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0730" windowHeight="11760" tabRatio="894" activeTab="1"/>
  </bookViews>
  <sheets>
    <sheet name="август" sheetId="65" r:id="rId1"/>
    <sheet name="оклад" sheetId="6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 localSheetId="1">#REF!</definedName>
    <definedName name="a">#REF!</definedName>
    <definedName name="выхрабд" localSheetId="1">[1]всяки!$I$3:$I$23</definedName>
    <definedName name="выхрабд">[2]всяки!$I$3:$I$23</definedName>
    <definedName name="год" localSheetId="1">[1]всяки!$C$1:$C$12</definedName>
    <definedName name="год">[2]всяки!$C$1:$C$12</definedName>
    <definedName name="должность" localSheetId="0">[3]Сотрудники!$C$4:$C$49</definedName>
    <definedName name="должность" localSheetId="1">#REF!</definedName>
    <definedName name="должность">#REF!</definedName>
    <definedName name="допнер" localSheetId="1">[1]всяки!$H$3:$H$23</definedName>
    <definedName name="допнер">[2]всяки!$H$3:$H$23</definedName>
    <definedName name="мес" localSheetId="0">[4]Лист1!$AT$25:$AT$36</definedName>
    <definedName name="мес" localSheetId="1">[5]Лист1!$AT$29:$AT$40</definedName>
    <definedName name="мес">[6]Лист1!$AT$27:$AT$38</definedName>
    <definedName name="месяц" localSheetId="1">[1]всяки!$A$1:$A$12</definedName>
    <definedName name="месяц">[2]всяки!$A$1:$A$12</definedName>
    <definedName name="нед" localSheetId="0">#REF!</definedName>
    <definedName name="нед">#REF!</definedName>
    <definedName name="офис" localSheetId="0">#REF!</definedName>
    <definedName name="офис" localSheetId="1">#REF!</definedName>
    <definedName name="офис">#REF!</definedName>
    <definedName name="подразделение" localSheetId="0">#REF!</definedName>
    <definedName name="подразделение">#REF!</definedName>
    <definedName name="празд" localSheetId="1">[1]всяки!$G$3:$G$23</definedName>
    <definedName name="празд">[2]всяки!$G$3:$G$23</definedName>
    <definedName name="предпр" localSheetId="1">[1]всяки!$F$3:$F$23</definedName>
    <definedName name="предпр">[2]всяки!$F$3:$F$23</definedName>
  </definedNames>
  <calcPr calcId="125725"/>
</workbook>
</file>

<file path=xl/calcChain.xml><?xml version="1.0" encoding="utf-8"?>
<calcChain xmlns="http://schemas.openxmlformats.org/spreadsheetml/2006/main">
  <c r="D12" i="69"/>
  <c r="C12"/>
  <c r="D69" l="1"/>
  <c r="C69"/>
  <c r="D68"/>
  <c r="C68"/>
  <c r="F30"/>
  <c r="E30"/>
  <c r="H29"/>
  <c r="H28"/>
  <c r="H25"/>
  <c r="H24"/>
  <c r="H20"/>
  <c r="H17"/>
  <c r="H15"/>
  <c r="H10"/>
  <c r="G30"/>
  <c r="H8"/>
  <c r="H6"/>
  <c r="I68" l="1"/>
  <c r="H30"/>
  <c r="AT8" i="65" l="1"/>
  <c r="AU8"/>
  <c r="AV8"/>
  <c r="AZ8"/>
  <c r="BA8"/>
  <c r="AT10"/>
  <c r="D10" s="1"/>
  <c r="AU10"/>
  <c r="AV10"/>
  <c r="AZ10"/>
  <c r="BA10"/>
  <c r="D11"/>
  <c r="D8" l="1"/>
  <c r="L50"/>
  <c r="AF2" l="1"/>
  <c r="AT32"/>
  <c r="AU32"/>
  <c r="BA15"/>
  <c r="AY52"/>
  <c r="L52" s="1"/>
  <c r="D52" l="1"/>
  <c r="BA28" l="1"/>
  <c r="AU62" l="1"/>
  <c r="AT62"/>
  <c r="AU37"/>
  <c r="AT37"/>
  <c r="D37" l="1"/>
  <c r="D62"/>
  <c r="AU61" l="1"/>
  <c r="AT61"/>
  <c r="D61" l="1"/>
  <c r="AV60" l="1"/>
  <c r="BA17"/>
  <c r="AZ17"/>
  <c r="AV17"/>
  <c r="AU17"/>
  <c r="AT17"/>
  <c r="D17" l="1"/>
  <c r="C13" i="69" s="1"/>
  <c r="D32" i="65"/>
  <c r="D60"/>
  <c r="AU58"/>
  <c r="AT58"/>
  <c r="D58" l="1"/>
  <c r="B73" l="1"/>
  <c r="D73" s="1"/>
  <c r="M63"/>
  <c r="AU42"/>
  <c r="AT42"/>
  <c r="BA41"/>
  <c r="D41" s="1"/>
  <c r="AV41"/>
  <c r="AV40"/>
  <c r="BA39"/>
  <c r="AV39"/>
  <c r="AU39"/>
  <c r="AT39"/>
  <c r="AZ39" s="1"/>
  <c r="AU36"/>
  <c r="AT36"/>
  <c r="BA35"/>
  <c r="AV35"/>
  <c r="D35" s="1"/>
  <c r="AU35"/>
  <c r="AT35"/>
  <c r="AZ34"/>
  <c r="AV34"/>
  <c r="AU34"/>
  <c r="AT34"/>
  <c r="AU31"/>
  <c r="AT31"/>
  <c r="AU30"/>
  <c r="AT30"/>
  <c r="AZ29"/>
  <c r="AV29"/>
  <c r="AU29"/>
  <c r="AT29"/>
  <c r="D28"/>
  <c r="AV28"/>
  <c r="AV27"/>
  <c r="D27" s="1"/>
  <c r="AU26"/>
  <c r="AT26"/>
  <c r="AU25"/>
  <c r="AT25"/>
  <c r="AU24"/>
  <c r="AT24"/>
  <c r="AU23"/>
  <c r="AT23"/>
  <c r="AZ22"/>
  <c r="AV22"/>
  <c r="AU22"/>
  <c r="AT22"/>
  <c r="AU21"/>
  <c r="AT21"/>
  <c r="AU20"/>
  <c r="AT20"/>
  <c r="BA19"/>
  <c r="AZ19"/>
  <c r="AV19"/>
  <c r="AU19"/>
  <c r="AT19"/>
  <c r="BA16"/>
  <c r="AV16"/>
  <c r="AU16"/>
  <c r="AT16"/>
  <c r="AZ16" s="1"/>
  <c r="F15"/>
  <c r="AV15"/>
  <c r="AV14"/>
  <c r="BA13"/>
  <c r="AZ13"/>
  <c r="AV13"/>
  <c r="AU13"/>
  <c r="AT13"/>
  <c r="E54"/>
  <c r="AV50"/>
  <c r="D50" s="1"/>
  <c r="BA49"/>
  <c r="AZ49"/>
  <c r="AV49"/>
  <c r="AU49"/>
  <c r="AT49"/>
  <c r="AV46"/>
  <c r="D46" s="1"/>
  <c r="L46"/>
  <c r="AZ45"/>
  <c r="AW45"/>
  <c r="D45" s="1"/>
  <c r="BA44"/>
  <c r="AU44"/>
  <c r="AT44"/>
  <c r="C5"/>
  <c r="Z3"/>
  <c r="P3"/>
  <c r="AN2"/>
  <c r="Z2"/>
  <c r="P2"/>
  <c r="AN1"/>
  <c r="AF1"/>
  <c r="Z1"/>
  <c r="P1"/>
  <c r="E10" l="1"/>
  <c r="F10" s="1"/>
  <c r="I10" s="1"/>
  <c r="J10"/>
  <c r="E8"/>
  <c r="F8" s="1"/>
  <c r="I8" s="1"/>
  <c r="J8"/>
  <c r="AD56"/>
  <c r="AG56"/>
  <c r="U56"/>
  <c r="AK56"/>
  <c r="AH56"/>
  <c r="AJ56"/>
  <c r="AI56"/>
  <c r="J37"/>
  <c r="K37" s="1"/>
  <c r="J62"/>
  <c r="K62" s="1"/>
  <c r="E37"/>
  <c r="F37" s="1"/>
  <c r="E62"/>
  <c r="F62" s="1"/>
  <c r="J61"/>
  <c r="K61" s="1"/>
  <c r="E61"/>
  <c r="F61" s="1"/>
  <c r="P56"/>
  <c r="O56"/>
  <c r="J17"/>
  <c r="J32"/>
  <c r="K32" s="1"/>
  <c r="E17"/>
  <c r="F17" s="1"/>
  <c r="D13" i="69" s="1"/>
  <c r="D30" s="1"/>
  <c r="E32" i="65"/>
  <c r="F32" s="1"/>
  <c r="J58"/>
  <c r="K58" s="1"/>
  <c r="E58"/>
  <c r="D23"/>
  <c r="F28"/>
  <c r="E19"/>
  <c r="F19" s="1"/>
  <c r="D21"/>
  <c r="D42"/>
  <c r="G63"/>
  <c r="D20"/>
  <c r="D22"/>
  <c r="D36"/>
  <c r="AV44"/>
  <c r="D15"/>
  <c r="D31"/>
  <c r="D34"/>
  <c r="L35"/>
  <c r="F41"/>
  <c r="D39"/>
  <c r="L45"/>
  <c r="D13"/>
  <c r="D29"/>
  <c r="D49"/>
  <c r="D25"/>
  <c r="L27"/>
  <c r="AW44"/>
  <c r="D16"/>
  <c r="D19"/>
  <c r="D24"/>
  <c r="D26"/>
  <c r="J31"/>
  <c r="K31" s="1"/>
  <c r="E29"/>
  <c r="F29" s="1"/>
  <c r="E44"/>
  <c r="F44" s="1"/>
  <c r="I44" s="1"/>
  <c r="L40"/>
  <c r="BA40" s="1"/>
  <c r="D40"/>
  <c r="J42"/>
  <c r="K42" s="1"/>
  <c r="N42" s="1"/>
  <c r="E41"/>
  <c r="E39"/>
  <c r="F39" s="1"/>
  <c r="J36"/>
  <c r="K36" s="1"/>
  <c r="E34"/>
  <c r="F34" s="1"/>
  <c r="I34" s="1"/>
  <c r="E30"/>
  <c r="F30" s="1"/>
  <c r="J29"/>
  <c r="K29" s="1"/>
  <c r="E28"/>
  <c r="E27"/>
  <c r="E25"/>
  <c r="F25" s="1"/>
  <c r="J23"/>
  <c r="K23" s="1"/>
  <c r="E21"/>
  <c r="F21" s="1"/>
  <c r="J19"/>
  <c r="K19" s="1"/>
  <c r="E16"/>
  <c r="F16" s="1"/>
  <c r="E13"/>
  <c r="F13" s="1"/>
  <c r="J39"/>
  <c r="K39" s="1"/>
  <c r="J34"/>
  <c r="K34" s="1"/>
  <c r="N34" s="1"/>
  <c r="E31"/>
  <c r="F31" s="1"/>
  <c r="J26"/>
  <c r="K26" s="1"/>
  <c r="J25"/>
  <c r="K25" s="1"/>
  <c r="J24"/>
  <c r="K24" s="1"/>
  <c r="E22"/>
  <c r="F22" s="1"/>
  <c r="J20"/>
  <c r="K20" s="1"/>
  <c r="J16"/>
  <c r="K16" s="1"/>
  <c r="E15"/>
  <c r="J13"/>
  <c r="K13" s="1"/>
  <c r="J30"/>
  <c r="K30" s="1"/>
  <c r="E23"/>
  <c r="F23" s="1"/>
  <c r="J22"/>
  <c r="K22" s="1"/>
  <c r="J21"/>
  <c r="K21" s="1"/>
  <c r="E36"/>
  <c r="F36" s="1"/>
  <c r="E24"/>
  <c r="F24" s="1"/>
  <c r="E49"/>
  <c r="F49" s="1"/>
  <c r="J44"/>
  <c r="K44" s="1"/>
  <c r="E42"/>
  <c r="F42" s="1"/>
  <c r="I42" s="1"/>
  <c r="E26"/>
  <c r="F26" s="1"/>
  <c r="J49"/>
  <c r="K49" s="1"/>
  <c r="N49" s="1"/>
  <c r="D44"/>
  <c r="AZ44"/>
  <c r="E20"/>
  <c r="F20" s="1"/>
  <c r="L14"/>
  <c r="D14"/>
  <c r="D30"/>
  <c r="I36" l="1"/>
  <c r="I29"/>
  <c r="H63"/>
  <c r="I25"/>
  <c r="N22"/>
  <c r="U59"/>
  <c r="I49"/>
  <c r="I13"/>
  <c r="J56"/>
  <c r="N29"/>
  <c r="N36"/>
  <c r="N44"/>
  <c r="P59"/>
  <c r="N16"/>
  <c r="I16"/>
  <c r="I39"/>
  <c r="F58"/>
  <c r="I58" s="1"/>
  <c r="L60"/>
  <c r="I19"/>
  <c r="N25"/>
  <c r="I22"/>
  <c r="N13"/>
  <c r="N39"/>
  <c r="N19"/>
  <c r="AG57" l="1"/>
  <c r="F63"/>
  <c r="F64" s="1"/>
  <c r="K63"/>
  <c r="I68"/>
  <c r="AJ57"/>
  <c r="U57"/>
  <c r="AH57"/>
  <c r="AK57"/>
  <c r="AD57"/>
  <c r="AI57"/>
  <c r="P57"/>
  <c r="O57"/>
  <c r="AV59"/>
  <c r="D59" s="1"/>
  <c r="L59"/>
  <c r="N58" s="1"/>
  <c r="I63" l="1"/>
  <c r="J57"/>
  <c r="L63"/>
  <c r="N63" l="1"/>
  <c r="N68" l="1"/>
  <c r="J69" s="1"/>
  <c r="J71" s="1"/>
  <c r="J65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AN13" authorId="0">
      <text>
        <r>
          <rPr>
            <b/>
            <sz val="9"/>
            <color indexed="81"/>
            <rFont val="Tahoma"/>
            <family val="2"/>
            <charset val="204"/>
          </rPr>
          <t>Абдраманов</t>
        </r>
      </text>
    </comment>
    <comment ref="AR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бреус
</t>
        </r>
      </text>
    </comment>
    <comment ref="L23" authorId="0">
      <text>
        <r>
          <rPr>
            <b/>
            <sz val="9"/>
            <color indexed="81"/>
            <rFont val="Tahoma"/>
            <family val="2"/>
            <charset val="204"/>
          </rPr>
          <t>07.08.19 за экспедитора</t>
        </r>
      </text>
    </comment>
    <comment ref="S23" authorId="0">
      <text>
        <r>
          <rPr>
            <b/>
            <sz val="9"/>
            <color indexed="81"/>
            <rFont val="Tahoma"/>
            <family val="2"/>
            <charset val="204"/>
          </rPr>
          <t>Касьянчик</t>
        </r>
      </text>
    </comment>
    <comment ref="U23" authorId="0">
      <text>
        <r>
          <rPr>
            <sz val="10"/>
            <rFont val="Arial Cyr"/>
            <charset val="204"/>
          </rPr>
          <t xml:space="preserve">д.Саша экибаз, был экспедитором
</t>
        </r>
      </text>
    </comment>
    <comment ref="T24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V24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W24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AI2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Наемный грузчик
</t>
        </r>
      </text>
    </comment>
    <comment ref="S29" authorId="0">
      <text>
        <r>
          <rPr>
            <b/>
            <sz val="9"/>
            <color indexed="81"/>
            <rFont val="Tahoma"/>
            <family val="2"/>
            <charset val="204"/>
          </rPr>
          <t>Абишев</t>
        </r>
      </text>
    </comment>
    <comment ref="AC2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Наемный водитель
</t>
        </r>
      </text>
    </comment>
    <comment ref="O31" authorId="0">
      <text>
        <r>
          <rPr>
            <b/>
            <sz val="9"/>
            <color indexed="81"/>
            <rFont val="Tahoma"/>
            <family val="2"/>
            <charset val="204"/>
          </rPr>
          <t>Абишев</t>
        </r>
      </text>
    </comment>
    <comment ref="P34" authorId="0">
      <text>
        <r>
          <rPr>
            <b/>
            <sz val="9"/>
            <color indexed="81"/>
            <rFont val="Tahoma"/>
            <family val="2"/>
            <charset val="204"/>
          </rPr>
          <t>+Курманбаев</t>
        </r>
      </text>
    </comment>
    <comment ref="S34" authorId="0">
      <text>
        <r>
          <rPr>
            <b/>
            <sz val="9"/>
            <color indexed="81"/>
            <rFont val="Tahoma"/>
            <family val="2"/>
            <charset val="204"/>
          </rPr>
          <t>+Курманбаев</t>
        </r>
      </text>
    </comment>
    <comment ref="V3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Мухтаров
</t>
        </r>
      </text>
    </comment>
    <comment ref="W3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Мухтаров
</t>
        </r>
      </text>
    </comment>
    <comment ref="Z34" authorId="0">
      <text>
        <r>
          <rPr>
            <b/>
            <sz val="9"/>
            <color indexed="81"/>
            <rFont val="Tahoma"/>
            <family val="2"/>
            <charset val="204"/>
          </rPr>
          <t>+Бреус</t>
        </r>
      </text>
    </comment>
    <comment ref="AA34" authorId="0">
      <text>
        <r>
          <rPr>
            <b/>
            <sz val="9"/>
            <color indexed="81"/>
            <rFont val="Tahoma"/>
            <family val="2"/>
            <charset val="204"/>
          </rPr>
          <t>+Бреус</t>
        </r>
      </text>
    </comment>
    <comment ref="AB34" authorId="0">
      <text>
        <r>
          <rPr>
            <b/>
            <sz val="9"/>
            <color indexed="81"/>
            <rFont val="Tahoma"/>
            <family val="2"/>
            <charset val="204"/>
          </rPr>
          <t>+Бреус</t>
        </r>
      </text>
    </comment>
    <comment ref="AC34" authorId="0">
      <text>
        <r>
          <rPr>
            <b/>
            <sz val="9"/>
            <color indexed="81"/>
            <rFont val="Tahoma"/>
            <family val="2"/>
            <charset val="204"/>
          </rPr>
          <t>+Бреус</t>
        </r>
      </text>
    </comment>
    <comment ref="AD34" authorId="0">
      <text>
        <r>
          <rPr>
            <b/>
            <sz val="9"/>
            <color indexed="81"/>
            <rFont val="Tahoma"/>
            <family val="2"/>
            <charset val="204"/>
          </rPr>
          <t>Петров</t>
        </r>
      </text>
    </comment>
    <comment ref="AG34" authorId="0">
      <text>
        <r>
          <rPr>
            <b/>
            <sz val="9"/>
            <color indexed="81"/>
            <rFont val="Tahoma"/>
            <family val="2"/>
            <charset val="204"/>
          </rPr>
          <t>+Бреус</t>
        </r>
      </text>
    </comment>
    <comment ref="AI34" authorId="0">
      <text>
        <r>
          <rPr>
            <b/>
            <sz val="9"/>
            <color indexed="81"/>
            <rFont val="Tahoma"/>
            <family val="2"/>
            <charset val="204"/>
          </rPr>
          <t>+Бреус</t>
        </r>
      </text>
    </comment>
    <comment ref="AJ34" authorId="0">
      <text>
        <r>
          <rPr>
            <b/>
            <sz val="9"/>
            <color indexed="81"/>
            <rFont val="Tahoma"/>
            <family val="2"/>
            <charset val="204"/>
          </rPr>
          <t>+Бреус</t>
        </r>
      </text>
    </comment>
    <comment ref="AN34" authorId="0">
      <text>
        <r>
          <rPr>
            <b/>
            <sz val="9"/>
            <color indexed="81"/>
            <rFont val="Tahoma"/>
            <family val="2"/>
            <charset val="204"/>
          </rPr>
          <t>+Бреус</t>
        </r>
      </text>
    </comment>
    <comment ref="AO34" authorId="0">
      <text>
        <r>
          <rPr>
            <b/>
            <sz val="9"/>
            <color indexed="81"/>
            <rFont val="Tahoma"/>
            <family val="2"/>
            <charset val="204"/>
          </rPr>
          <t>+Бреус</t>
        </r>
      </text>
    </comment>
    <comment ref="AP34" authorId="0">
      <text>
        <r>
          <rPr>
            <b/>
            <sz val="9"/>
            <color indexed="81"/>
            <rFont val="Tahoma"/>
            <family val="2"/>
            <charset val="204"/>
          </rPr>
          <t>+Бреус</t>
        </r>
      </text>
    </comment>
    <comment ref="W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Наемник Слава
</t>
        </r>
      </text>
    </comment>
    <comment ref="AD37" authorId="0">
      <text>
        <r>
          <rPr>
            <b/>
            <sz val="9"/>
            <color indexed="81"/>
            <rFont val="Tahoma"/>
            <family val="2"/>
            <charset val="204"/>
          </rPr>
          <t>Наемник Слава
+Бреус</t>
        </r>
      </text>
    </comment>
    <comment ref="AD54" authorId="0">
      <text>
        <r>
          <rPr>
            <b/>
            <sz val="9"/>
            <color indexed="81"/>
            <rFont val="Tahoma"/>
            <family val="2"/>
            <charset val="204"/>
          </rPr>
          <t>Фогель на основном</t>
        </r>
      </text>
    </comment>
    <comment ref="V61" authorId="0">
      <text>
        <r>
          <rPr>
            <b/>
            <sz val="9"/>
            <color indexed="81"/>
            <rFont val="Tahoma"/>
            <family val="2"/>
            <charset val="204"/>
          </rPr>
          <t>Захаров+кужанов</t>
        </r>
      </text>
    </comment>
    <comment ref="AQ61" authorId="0">
      <text>
        <r>
          <rPr>
            <b/>
            <sz val="9"/>
            <color indexed="81"/>
            <rFont val="Tahoma"/>
            <family val="2"/>
            <charset val="204"/>
          </rPr>
          <t>наемный водитель
Юра</t>
        </r>
      </text>
    </comment>
    <comment ref="AR61" authorId="0">
      <text>
        <r>
          <rPr>
            <b/>
            <sz val="9"/>
            <color indexed="81"/>
            <rFont val="Tahoma"/>
            <family val="2"/>
            <charset val="204"/>
          </rPr>
          <t>азмуханов</t>
        </r>
      </text>
    </comment>
    <comment ref="W62" authorId="0">
      <text>
        <r>
          <rPr>
            <b/>
            <sz val="9"/>
            <color indexed="81"/>
            <rFont val="Tahoma"/>
            <family val="2"/>
            <charset val="204"/>
          </rPr>
          <t>Костоев</t>
        </r>
      </text>
    </comment>
    <comment ref="Z62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AA62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AB62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AC62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AD62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AG62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AH6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Зубенко
</t>
        </r>
      </text>
    </comment>
    <comment ref="AI62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AJ62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AN62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AO62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  <comment ref="AP62" authorId="0">
      <text>
        <r>
          <rPr>
            <b/>
            <sz val="9"/>
            <color indexed="81"/>
            <rFont val="Tahoma"/>
            <family val="2"/>
            <charset val="204"/>
          </rPr>
          <t>Оганесян</t>
        </r>
      </text>
    </comment>
  </commentList>
</comments>
</file>

<file path=xl/sharedStrings.xml><?xml version="1.0" encoding="utf-8"?>
<sst xmlns="http://schemas.openxmlformats.org/spreadsheetml/2006/main" count="371" uniqueCount="127">
  <si>
    <t>от</t>
  </si>
  <si>
    <t>р</t>
  </si>
  <si>
    <t>Р</t>
  </si>
  <si>
    <t>гр</t>
  </si>
  <si>
    <t>х</t>
  </si>
  <si>
    <t>Н</t>
  </si>
  <si>
    <t xml:space="preserve"> </t>
  </si>
  <si>
    <t>Ср</t>
  </si>
  <si>
    <t>Чт</t>
  </si>
  <si>
    <t>Пт</t>
  </si>
  <si>
    <t>Сб</t>
  </si>
  <si>
    <t>Вс</t>
  </si>
  <si>
    <t>Пн</t>
  </si>
  <si>
    <t>Вт</t>
  </si>
  <si>
    <t>рабочих дней</t>
  </si>
  <si>
    <t>рабочих часов</t>
  </si>
  <si>
    <t>доплаты</t>
  </si>
  <si>
    <t>Неявка</t>
  </si>
  <si>
    <t>кладовщик</t>
  </si>
  <si>
    <t>экспедитор</t>
  </si>
  <si>
    <t>доставка город</t>
  </si>
  <si>
    <t>доставка регион</t>
  </si>
  <si>
    <t>Технический директор</t>
  </si>
  <si>
    <t>Инспектор по кадрам</t>
  </si>
  <si>
    <t>Карщик</t>
  </si>
  <si>
    <t>С</t>
  </si>
  <si>
    <t>К</t>
  </si>
  <si>
    <t>ремонт</t>
  </si>
  <si>
    <t xml:space="preserve">грузчик </t>
  </si>
  <si>
    <t>Норма дней/ часов</t>
  </si>
  <si>
    <t>тариф</t>
  </si>
  <si>
    <t>переработка</t>
  </si>
  <si>
    <t>ин</t>
  </si>
  <si>
    <t>Доставка Вода</t>
  </si>
  <si>
    <t>Доставка город</t>
  </si>
  <si>
    <t>Доставка Регион</t>
  </si>
  <si>
    <t>Родичева Валентина Александровна</t>
  </si>
  <si>
    <t>доставка вода</t>
  </si>
  <si>
    <t>кл</t>
  </si>
  <si>
    <t xml:space="preserve"> -доплата за кладовщика (обозначение -кл)</t>
  </si>
  <si>
    <t xml:space="preserve">{ФИО}  </t>
  </si>
  <si>
    <t>{оклад}</t>
  </si>
  <si>
    <t>{премия}</t>
  </si>
  <si>
    <t>{отработано}</t>
  </si>
  <si>
    <t>{оклад за час в день}</t>
  </si>
  <si>
    <t>{Начислено оклад}</t>
  </si>
  <si>
    <t>{Доплата}</t>
  </si>
  <si>
    <t>{премия за час в день}</t>
  </si>
  <si>
    <t>{начислено премия}</t>
  </si>
  <si>
    <t>{Итоговая зп}</t>
  </si>
  <si>
    <t>{Итоговая премия}</t>
  </si>
  <si>
    <t>с уволеными</t>
  </si>
  <si>
    <t>без уволеных</t>
  </si>
  <si>
    <t>кол-во отсутствующ</t>
  </si>
  <si>
    <t>доплата за грузчика</t>
  </si>
  <si>
    <t>Мыломойка</t>
  </si>
  <si>
    <t>Ф</t>
  </si>
  <si>
    <t xml:space="preserve"> - разгрузка грузового автомобиля</t>
  </si>
  <si>
    <t xml:space="preserve"> - стажировка</t>
  </si>
  <si>
    <t>доплата за гр</t>
  </si>
  <si>
    <t>М</t>
  </si>
  <si>
    <t>Удержано</t>
  </si>
  <si>
    <t>сумма</t>
  </si>
  <si>
    <t>кол-во чел. с доплатой без кладовщиков</t>
  </si>
  <si>
    <t>депримирование 25% от премии</t>
  </si>
  <si>
    <t>30% кладовщик вода</t>
  </si>
  <si>
    <t xml:space="preserve">доплата за груз </t>
  </si>
  <si>
    <t xml:space="preserve">по штатному расписанию </t>
  </si>
  <si>
    <t>Остаток</t>
  </si>
  <si>
    <t>вода доставка</t>
  </si>
  <si>
    <t xml:space="preserve"> - доплата за технического директора</t>
  </si>
  <si>
    <t>тд</t>
  </si>
  <si>
    <t>Основной</t>
  </si>
  <si>
    <t>Доставка город/регион</t>
  </si>
  <si>
    <t>мыломойка доставка</t>
  </si>
  <si>
    <t>н</t>
  </si>
  <si>
    <t>Климов Никита</t>
  </si>
  <si>
    <t>Б</t>
  </si>
  <si>
    <t>до 20.00 катал маршрут</t>
  </si>
  <si>
    <t>экспедитор вода</t>
  </si>
  <si>
    <t>регион водитель</t>
  </si>
  <si>
    <t>оп</t>
  </si>
  <si>
    <t xml:space="preserve">22 дн / 176 ч </t>
  </si>
  <si>
    <t>Ревизия</t>
  </si>
  <si>
    <t>ревизия</t>
  </si>
  <si>
    <t>август 2019</t>
  </si>
  <si>
    <t>Петров Петр Петрович</t>
  </si>
  <si>
    <t>Иванов Иван Иванович</t>
  </si>
  <si>
    <t>Сергеев Сергей Сергеевич</t>
  </si>
  <si>
    <t>склад №1</t>
  </si>
  <si>
    <t>ФИО1</t>
  </si>
  <si>
    <t>ФИО2</t>
  </si>
  <si>
    <t>ФИО3</t>
  </si>
  <si>
    <t>ФИО4</t>
  </si>
  <si>
    <t>ФИО5</t>
  </si>
  <si>
    <t>ФИО6</t>
  </si>
  <si>
    <t>ФИО7</t>
  </si>
  <si>
    <t>ФИО8</t>
  </si>
  <si>
    <t>ФИО10</t>
  </si>
  <si>
    <t>ФИО11</t>
  </si>
  <si>
    <t>СКЛАД1</t>
  </si>
  <si>
    <t>ФИО12</t>
  </si>
  <si>
    <t>Зарплатная ведомость _______________________________2019г.</t>
  </si>
  <si>
    <t>должность/ФИО</t>
  </si>
  <si>
    <t>ставка /22дн</t>
  </si>
  <si>
    <t>отработано дней и часов</t>
  </si>
  <si>
    <t>Начислено</t>
  </si>
  <si>
    <t>к выдачи</t>
  </si>
  <si>
    <t>Подпись</t>
  </si>
  <si>
    <t>Оклад</t>
  </si>
  <si>
    <t>Под зп</t>
  </si>
  <si>
    <t>Аванс</t>
  </si>
  <si>
    <t>Вычеты</t>
  </si>
  <si>
    <t xml:space="preserve">23 дн / 184 ч </t>
  </si>
  <si>
    <t xml:space="preserve">16 дн / 128 ч </t>
  </si>
  <si>
    <t xml:space="preserve">1 дн / 8 ч </t>
  </si>
  <si>
    <t xml:space="preserve">21 дн / 168 ч </t>
  </si>
  <si>
    <t>1 дн</t>
  </si>
  <si>
    <t xml:space="preserve">20 дн / 160 ч </t>
  </si>
  <si>
    <t xml:space="preserve">2 дн / 16 ч </t>
  </si>
  <si>
    <t xml:space="preserve">0 дн / 0 ч </t>
  </si>
  <si>
    <t xml:space="preserve">18 дн / 144 ч </t>
  </si>
  <si>
    <t xml:space="preserve">3 дн / 24 ч </t>
  </si>
  <si>
    <t xml:space="preserve">4 дн / 32 ч </t>
  </si>
  <si>
    <t xml:space="preserve">15 дн / 120 ч </t>
  </si>
  <si>
    <t>2 дн</t>
  </si>
  <si>
    <t>ФИО4 в течении месяца уволился ему сделали расчет</t>
  </si>
</sst>
</file>

<file path=xl/styles.xml><?xml version="1.0" encoding="utf-8"?>
<styleSheet xmlns="http://schemas.openxmlformats.org/spreadsheetml/2006/main">
  <fonts count="6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sz val="10"/>
      <color indexed="8"/>
      <name val="Arial Narrow"/>
      <family val="2"/>
      <charset val="204"/>
    </font>
    <font>
      <b/>
      <sz val="9"/>
      <name val="Arial Cyr"/>
      <charset val="204"/>
    </font>
    <font>
      <sz val="9"/>
      <name val="Arial Narrow"/>
      <family val="2"/>
      <charset val="204"/>
    </font>
    <font>
      <sz val="10"/>
      <name val="Arial Narrow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sz val="11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3" tint="-0.249977111117893"/>
      <name val="Arial Cyr"/>
      <charset val="204"/>
    </font>
    <font>
      <sz val="9"/>
      <color rgb="FF000000"/>
      <name val="Calibri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0"/>
      <color theme="1"/>
      <name val="Arial Cyr"/>
      <charset val="204"/>
    </font>
    <font>
      <b/>
      <sz val="9"/>
      <color rgb="FF000000"/>
      <name val="Calibri"/>
      <family val="2"/>
      <charset val="204"/>
    </font>
    <font>
      <sz val="8"/>
      <color rgb="FFFF0000"/>
      <name val="Arial"/>
      <family val="2"/>
      <charset val="204"/>
    </font>
    <font>
      <sz val="9"/>
      <color rgb="FFFF0000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rgb="FFFF0000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10"/>
      <color rgb="FFFF0000"/>
      <name val="Arial Cyr"/>
      <charset val="204"/>
    </font>
    <font>
      <sz val="9"/>
      <color rgb="FFFF0000"/>
      <name val="Calibri"/>
      <family val="2"/>
      <charset val="204"/>
    </font>
    <font>
      <b/>
      <sz val="9"/>
      <color rgb="FFFF0000"/>
      <name val="Calibri"/>
      <family val="2"/>
      <charset val="204"/>
      <scheme val="minor"/>
    </font>
    <font>
      <b/>
      <sz val="9"/>
      <color rgb="FFFF0000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sz val="8"/>
      <color rgb="FFFF0000"/>
      <name val="Arial Narrow"/>
      <family val="2"/>
      <charset val="204"/>
    </font>
    <font>
      <sz val="11"/>
      <color rgb="FFFF0000"/>
      <name val="Arial"/>
      <family val="2"/>
      <charset val="204"/>
    </font>
    <font>
      <sz val="10"/>
      <color theme="1"/>
      <name val="Arial Cyr"/>
      <charset val="204"/>
    </font>
    <font>
      <b/>
      <sz val="11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8.5"/>
      <color theme="1"/>
      <name val="Arial Narrow"/>
      <family val="2"/>
      <charset val="204"/>
    </font>
    <font>
      <sz val="8.5"/>
      <color theme="3" tint="0.39997558519241921"/>
      <name val="Arial Narrow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FF0000"/>
      <name val="Arial Cyr"/>
      <charset val="204"/>
    </font>
    <font>
      <sz val="10"/>
      <color theme="1"/>
      <name val="Arial Narrow"/>
      <family val="2"/>
      <charset val="204"/>
    </font>
    <font>
      <sz val="10"/>
      <color theme="3" tint="-0.249977111117893"/>
      <name val="Arial Narrow"/>
      <family val="2"/>
      <charset val="204"/>
    </font>
    <font>
      <sz val="11"/>
      <color rgb="FF000000"/>
      <name val="Arial"/>
      <family val="2"/>
      <charset val="204"/>
    </font>
    <font>
      <b/>
      <sz val="8.5"/>
      <color rgb="FFFF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0"/>
      <color rgb="FF000000"/>
      <name val="Arial Narrow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0"/>
      </left>
      <right style="hair">
        <color indexed="0"/>
      </right>
      <top style="thin">
        <color indexed="0"/>
      </top>
      <bottom style="hair">
        <color indexed="64"/>
      </bottom>
      <diagonal/>
    </border>
    <border>
      <left style="hair">
        <color indexed="0"/>
      </left>
      <right style="hair">
        <color indexed="0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0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 style="hair">
        <color indexed="64"/>
      </top>
      <bottom style="dash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1">
    <xf numFmtId="0" fontId="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5" fillId="0" borderId="0"/>
    <xf numFmtId="0" fontId="11" fillId="0" borderId="0"/>
    <xf numFmtId="0" fontId="5" fillId="0" borderId="0"/>
    <xf numFmtId="0" fontId="21" fillId="0" borderId="0"/>
    <xf numFmtId="0" fontId="1" fillId="0" borderId="0"/>
    <xf numFmtId="0" fontId="5" fillId="0" borderId="0"/>
  </cellStyleXfs>
  <cellXfs count="454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6" applyFont="1"/>
    <xf numFmtId="0" fontId="12" fillId="0" borderId="0" xfId="6" applyFont="1" applyFill="1"/>
    <xf numFmtId="0" fontId="22" fillId="3" borderId="3" xfId="6" applyFont="1" applyFill="1" applyBorder="1" applyAlignment="1">
      <alignment horizontal="center" vertical="center"/>
    </xf>
    <xf numFmtId="0" fontId="22" fillId="3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0" fontId="22" fillId="5" borderId="5" xfId="6" applyFont="1" applyFill="1" applyBorder="1" applyAlignment="1">
      <alignment horizontal="center" vertical="center"/>
    </xf>
    <xf numFmtId="0" fontId="22" fillId="0" borderId="5" xfId="6" applyFont="1" applyFill="1" applyBorder="1" applyAlignment="1">
      <alignment horizontal="center" vertical="center"/>
    </xf>
    <xf numFmtId="0" fontId="22" fillId="7" borderId="0" xfId="6" applyFont="1" applyFill="1" applyBorder="1" applyAlignment="1">
      <alignment horizontal="center" vertical="center"/>
    </xf>
    <xf numFmtId="0" fontId="22" fillId="3" borderId="0" xfId="6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center" vertical="center"/>
    </xf>
    <xf numFmtId="0" fontId="22" fillId="5" borderId="0" xfId="6" applyFont="1" applyFill="1" applyBorder="1" applyAlignment="1">
      <alignment horizontal="center" vertical="center"/>
    </xf>
    <xf numFmtId="0" fontId="22" fillId="6" borderId="0" xfId="6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horizontal="center" vertical="center"/>
    </xf>
    <xf numFmtId="0" fontId="12" fillId="0" borderId="0" xfId="6" applyFont="1" applyBorder="1"/>
    <xf numFmtId="0" fontId="22" fillId="4" borderId="0" xfId="6" applyFont="1" applyFill="1" applyBorder="1" applyAlignment="1">
      <alignment horizontal="center" vertical="center"/>
    </xf>
    <xf numFmtId="0" fontId="22" fillId="8" borderId="0" xfId="6" applyFont="1" applyFill="1" applyBorder="1" applyAlignment="1">
      <alignment horizontal="center" vertical="center"/>
    </xf>
    <xf numFmtId="0" fontId="22" fillId="8" borderId="7" xfId="6" applyFont="1" applyFill="1" applyBorder="1" applyAlignment="1">
      <alignment horizontal="center" vertical="center"/>
    </xf>
    <xf numFmtId="0" fontId="22" fillId="9" borderId="0" xfId="6" applyFont="1" applyFill="1" applyBorder="1" applyAlignment="1">
      <alignment horizontal="center" vertical="center"/>
    </xf>
    <xf numFmtId="0" fontId="8" fillId="0" borderId="0" xfId="6" applyFont="1" applyBorder="1"/>
    <xf numFmtId="0" fontId="8" fillId="0" borderId="0" xfId="6" applyFont="1"/>
    <xf numFmtId="0" fontId="22" fillId="0" borderId="8" xfId="6" applyFont="1" applyFill="1" applyBorder="1" applyAlignment="1">
      <alignment horizontal="center" vertical="center"/>
    </xf>
    <xf numFmtId="0" fontId="22" fillId="4" borderId="6" xfId="6" applyFont="1" applyFill="1" applyBorder="1" applyAlignment="1">
      <alignment horizontal="center" vertical="center"/>
    </xf>
    <xf numFmtId="0" fontId="22" fillId="10" borderId="0" xfId="6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/>
    </xf>
    <xf numFmtId="0" fontId="7" fillId="0" borderId="0" xfId="6" applyFont="1" applyFill="1" applyBorder="1" applyAlignment="1">
      <alignment vertical="center"/>
    </xf>
    <xf numFmtId="0" fontId="0" fillId="11" borderId="0" xfId="0" applyFill="1"/>
    <xf numFmtId="0" fontId="13" fillId="0" borderId="0" xfId="1" applyFont="1" applyFill="1" applyBorder="1" applyAlignment="1">
      <alignment horizontal="center" vertical="center"/>
    </xf>
    <xf numFmtId="0" fontId="8" fillId="0" borderId="0" xfId="6" applyFont="1" applyFill="1" applyBorder="1"/>
    <xf numFmtId="0" fontId="8" fillId="0" borderId="0" xfId="6" applyFont="1" applyFill="1"/>
    <xf numFmtId="0" fontId="12" fillId="0" borderId="0" xfId="6" applyFont="1" applyFill="1" applyBorder="1" applyAlignment="1">
      <alignment horizontal="left"/>
    </xf>
    <xf numFmtId="0" fontId="12" fillId="0" borderId="0" xfId="6" applyFont="1" applyFill="1" applyBorder="1" applyAlignment="1">
      <alignment horizontal="center"/>
    </xf>
    <xf numFmtId="4" fontId="12" fillId="0" borderId="0" xfId="6" applyNumberFormat="1" applyFont="1" applyFill="1" applyBorder="1" applyAlignment="1">
      <alignment horizontal="left"/>
    </xf>
    <xf numFmtId="4" fontId="7" fillId="0" borderId="0" xfId="6" applyNumberFormat="1" applyFont="1" applyFill="1" applyBorder="1" applyAlignment="1">
      <alignment vertical="center"/>
    </xf>
    <xf numFmtId="4" fontId="13" fillId="0" borderId="0" xfId="1" applyNumberFormat="1" applyFont="1" applyFill="1" applyBorder="1" applyAlignment="1">
      <alignment horizontal="center" vertical="center" wrapText="1"/>
    </xf>
    <xf numFmtId="4" fontId="13" fillId="0" borderId="0" xfId="2" applyNumberFormat="1" applyFont="1" applyFill="1" applyBorder="1" applyAlignment="1">
      <alignment horizontal="left"/>
    </xf>
    <xf numFmtId="3" fontId="6" fillId="0" borderId="0" xfId="2" applyNumberFormat="1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3" fontId="6" fillId="0" borderId="0" xfId="2" applyNumberFormat="1" applyFont="1" applyFill="1" applyBorder="1" applyAlignment="1">
      <alignment horizontal="center" vertical="center"/>
    </xf>
    <xf numFmtId="3" fontId="13" fillId="0" borderId="0" xfId="2" applyNumberFormat="1" applyFont="1" applyFill="1" applyBorder="1" applyAlignment="1">
      <alignment horizontal="left"/>
    </xf>
    <xf numFmtId="4" fontId="13" fillId="12" borderId="0" xfId="1" applyNumberFormat="1" applyFont="1" applyFill="1" applyBorder="1" applyAlignment="1">
      <alignment horizontal="center" vertical="center" wrapText="1"/>
    </xf>
    <xf numFmtId="3" fontId="13" fillId="12" borderId="0" xfId="2" applyNumberFormat="1" applyFont="1" applyFill="1" applyBorder="1" applyAlignment="1">
      <alignment horizontal="left"/>
    </xf>
    <xf numFmtId="3" fontId="6" fillId="0" borderId="6" xfId="2" applyNumberFormat="1" applyFont="1" applyFill="1" applyBorder="1" applyAlignment="1">
      <alignment horizontal="center" vertical="center"/>
    </xf>
    <xf numFmtId="3" fontId="24" fillId="0" borderId="6" xfId="0" applyNumberFormat="1" applyFont="1" applyFill="1" applyBorder="1" applyAlignment="1">
      <alignment horizontal="center"/>
    </xf>
    <xf numFmtId="4" fontId="13" fillId="0" borderId="6" xfId="2" applyNumberFormat="1" applyFont="1" applyFill="1" applyBorder="1" applyAlignment="1">
      <alignment horizontal="left"/>
    </xf>
    <xf numFmtId="3" fontId="13" fillId="0" borderId="6" xfId="2" applyNumberFormat="1" applyFont="1" applyFill="1" applyBorder="1" applyAlignment="1">
      <alignment horizontal="left"/>
    </xf>
    <xf numFmtId="3" fontId="13" fillId="12" borderId="6" xfId="2" applyNumberFormat="1" applyFont="1" applyFill="1" applyBorder="1" applyAlignment="1">
      <alignment horizontal="left"/>
    </xf>
    <xf numFmtId="3" fontId="6" fillId="0" borderId="5" xfId="2" applyNumberFormat="1" applyFont="1" applyFill="1" applyBorder="1" applyAlignment="1">
      <alignment horizontal="center" vertical="center"/>
    </xf>
    <xf numFmtId="3" fontId="24" fillId="0" borderId="5" xfId="0" applyNumberFormat="1" applyFont="1" applyFill="1" applyBorder="1" applyAlignment="1">
      <alignment horizontal="center"/>
    </xf>
    <xf numFmtId="4" fontId="13" fillId="0" borderId="5" xfId="2" applyNumberFormat="1" applyFont="1" applyFill="1" applyBorder="1" applyAlignment="1">
      <alignment horizontal="left"/>
    </xf>
    <xf numFmtId="3" fontId="13" fillId="0" borderId="5" xfId="2" applyNumberFormat="1" applyFont="1" applyFill="1" applyBorder="1" applyAlignment="1">
      <alignment horizontal="left"/>
    </xf>
    <xf numFmtId="3" fontId="13" fillId="12" borderId="5" xfId="2" applyNumberFormat="1" applyFont="1" applyFill="1" applyBorder="1" applyAlignment="1">
      <alignment horizontal="left"/>
    </xf>
    <xf numFmtId="0" fontId="22" fillId="0" borderId="0" xfId="6" applyFont="1" applyFill="1" applyAlignment="1">
      <alignment horizontal="left" vertical="center"/>
    </xf>
    <xf numFmtId="0" fontId="17" fillId="0" borderId="0" xfId="6" applyFont="1" applyAlignment="1">
      <alignment horizontal="center"/>
    </xf>
    <xf numFmtId="0" fontId="25" fillId="0" borderId="5" xfId="0" applyNumberFormat="1" applyFont="1" applyFill="1" applyBorder="1" applyAlignment="1">
      <alignment horizontal="left" wrapText="1"/>
    </xf>
    <xf numFmtId="0" fontId="25" fillId="0" borderId="6" xfId="0" applyNumberFormat="1" applyFont="1" applyFill="1" applyBorder="1" applyAlignment="1">
      <alignment horizontal="left" wrapText="1"/>
    </xf>
    <xf numFmtId="0" fontId="27" fillId="0" borderId="0" xfId="6" applyFont="1" applyFill="1" applyBorder="1" applyAlignment="1">
      <alignment horizontal="center" vertical="center"/>
    </xf>
    <xf numFmtId="0" fontId="4" fillId="0" borderId="0" xfId="6" applyFont="1" applyFill="1" applyBorder="1"/>
    <xf numFmtId="0" fontId="12" fillId="0" borderId="6" xfId="6" applyFont="1" applyBorder="1"/>
    <xf numFmtId="0" fontId="25" fillId="0" borderId="0" xfId="0" applyNumberFormat="1" applyFont="1" applyFill="1" applyBorder="1" applyAlignment="1">
      <alignment horizontal="left" wrapText="1"/>
    </xf>
    <xf numFmtId="0" fontId="12" fillId="0" borderId="0" xfId="6" applyFont="1" applyFill="1" applyBorder="1"/>
    <xf numFmtId="0" fontId="0" fillId="0" borderId="0" xfId="0" applyFill="1" applyBorder="1"/>
    <xf numFmtId="0" fontId="22" fillId="0" borderId="3" xfId="6" applyFont="1" applyFill="1" applyBorder="1" applyAlignment="1">
      <alignment horizontal="center" vertical="center"/>
    </xf>
    <xf numFmtId="0" fontId="22" fillId="0" borderId="4" xfId="6" applyFont="1" applyFill="1" applyBorder="1" applyAlignment="1">
      <alignment horizontal="center" vertical="center"/>
    </xf>
    <xf numFmtId="0" fontId="22" fillId="3" borderId="10" xfId="6" applyFont="1" applyFill="1" applyBorder="1" applyAlignment="1">
      <alignment horizontal="center" vertical="center"/>
    </xf>
    <xf numFmtId="0" fontId="28" fillId="11" borderId="0" xfId="0" applyNumberFormat="1" applyFont="1" applyFill="1" applyBorder="1" applyAlignment="1">
      <alignment horizontal="center" vertical="center"/>
    </xf>
    <xf numFmtId="0" fontId="0" fillId="11" borderId="0" xfId="0" applyFill="1" applyBorder="1"/>
    <xf numFmtId="0" fontId="0" fillId="0" borderId="0" xfId="0" applyBorder="1"/>
    <xf numFmtId="3" fontId="12" fillId="0" borderId="0" xfId="6" applyNumberFormat="1" applyFont="1" applyFill="1"/>
    <xf numFmtId="3" fontId="6" fillId="15" borderId="0" xfId="2" applyNumberFormat="1" applyFont="1" applyFill="1" applyBorder="1" applyAlignment="1">
      <alignment horizontal="center" vertical="center"/>
    </xf>
    <xf numFmtId="3" fontId="24" fillId="15" borderId="0" xfId="0" applyNumberFormat="1" applyFont="1" applyFill="1" applyBorder="1" applyAlignment="1">
      <alignment horizontal="center"/>
    </xf>
    <xf numFmtId="4" fontId="13" fillId="15" borderId="0" xfId="2" applyNumberFormat="1" applyFont="1" applyFill="1" applyBorder="1" applyAlignment="1">
      <alignment horizontal="left"/>
    </xf>
    <xf numFmtId="3" fontId="13" fillId="15" borderId="0" xfId="2" applyNumberFormat="1" applyFont="1" applyFill="1" applyBorder="1" applyAlignment="1">
      <alignment horizontal="left"/>
    </xf>
    <xf numFmtId="0" fontId="14" fillId="11" borderId="0" xfId="2" applyFont="1" applyFill="1" applyBorder="1" applyAlignment="1">
      <alignment horizontal="left" vertical="center"/>
    </xf>
    <xf numFmtId="0" fontId="26" fillId="11" borderId="0" xfId="2" applyFont="1" applyFill="1" applyBorder="1" applyAlignment="1">
      <alignment horizontal="left" vertical="center"/>
    </xf>
    <xf numFmtId="0" fontId="8" fillId="0" borderId="0" xfId="6" applyFont="1" applyFill="1" applyAlignment="1">
      <alignment horizontal="center" vertical="center"/>
    </xf>
    <xf numFmtId="3" fontId="29" fillId="0" borderId="0" xfId="0" applyNumberFormat="1" applyFont="1" applyFill="1" applyBorder="1" applyAlignment="1">
      <alignment horizontal="left" wrapText="1"/>
    </xf>
    <xf numFmtId="0" fontId="22" fillId="14" borderId="0" xfId="6" applyFont="1" applyFill="1" applyBorder="1" applyAlignment="1">
      <alignment horizontal="center" vertical="center"/>
    </xf>
    <xf numFmtId="0" fontId="12" fillId="0" borderId="0" xfId="6" applyFont="1" applyAlignment="1">
      <alignment horizontal="left" vertical="center"/>
    </xf>
    <xf numFmtId="0" fontId="12" fillId="0" borderId="0" xfId="6" applyFont="1" applyFill="1" applyAlignment="1">
      <alignment horizontal="center" vertical="center"/>
    </xf>
    <xf numFmtId="0" fontId="23" fillId="16" borderId="13" xfId="6" applyFont="1" applyFill="1" applyBorder="1" applyAlignment="1">
      <alignment horizontal="center" vertical="center" wrapText="1"/>
    </xf>
    <xf numFmtId="0" fontId="4" fillId="0" borderId="0" xfId="6" applyFont="1" applyFill="1" applyBorder="1" applyAlignment="1">
      <alignment horizontal="center" vertical="center"/>
    </xf>
    <xf numFmtId="0" fontId="23" fillId="0" borderId="13" xfId="6" applyFont="1" applyFill="1" applyBorder="1" applyAlignment="1">
      <alignment horizontal="center" vertical="center" wrapText="1"/>
    </xf>
    <xf numFmtId="0" fontId="22" fillId="17" borderId="0" xfId="6" applyFont="1" applyFill="1" applyBorder="1" applyAlignment="1">
      <alignment horizontal="center" vertical="center"/>
    </xf>
    <xf numFmtId="4" fontId="8" fillId="0" borderId="0" xfId="6" applyNumberFormat="1" applyFont="1" applyFill="1" applyBorder="1" applyAlignment="1">
      <alignment horizont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/>
    <xf numFmtId="0" fontId="18" fillId="0" borderId="0" xfId="6" applyFont="1" applyFill="1" applyBorder="1"/>
    <xf numFmtId="0" fontId="30" fillId="0" borderId="0" xfId="6" applyFont="1" applyFill="1" applyBorder="1" applyAlignment="1">
      <alignment horizontal="left"/>
    </xf>
    <xf numFmtId="4" fontId="30" fillId="0" borderId="0" xfId="6" applyNumberFormat="1" applyFont="1" applyFill="1" applyBorder="1" applyAlignment="1">
      <alignment horizontal="left"/>
    </xf>
    <xf numFmtId="0" fontId="31" fillId="0" borderId="0" xfId="6" applyFont="1" applyFill="1" applyBorder="1" applyAlignment="1">
      <alignment horizontal="center" vertical="center"/>
    </xf>
    <xf numFmtId="0" fontId="12" fillId="3" borderId="0" xfId="6" applyFont="1" applyFill="1" applyBorder="1" applyAlignment="1">
      <alignment horizontal="center"/>
    </xf>
    <xf numFmtId="0" fontId="25" fillId="15" borderId="0" xfId="0" applyNumberFormat="1" applyFont="1" applyFill="1" applyBorder="1" applyAlignment="1">
      <alignment horizontal="left" wrapText="1"/>
    </xf>
    <xf numFmtId="0" fontId="6" fillId="0" borderId="5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right"/>
    </xf>
    <xf numFmtId="0" fontId="9" fillId="0" borderId="0" xfId="6" applyFont="1" applyAlignment="1">
      <alignment horizontal="left"/>
    </xf>
    <xf numFmtId="0" fontId="6" fillId="0" borderId="19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/>
    </xf>
    <xf numFmtId="0" fontId="9" fillId="0" borderId="0" xfId="6" applyFont="1" applyFill="1" applyBorder="1" applyAlignment="1">
      <alignment horizontal="left"/>
    </xf>
    <xf numFmtId="0" fontId="9" fillId="0" borderId="0" xfId="6" applyFont="1"/>
    <xf numFmtId="0" fontId="26" fillId="0" borderId="6" xfId="6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left"/>
    </xf>
    <xf numFmtId="0" fontId="26" fillId="11" borderId="0" xfId="0" applyFont="1" applyFill="1" applyBorder="1"/>
    <xf numFmtId="14" fontId="9" fillId="0" borderId="0" xfId="6" applyNumberFormat="1" applyFont="1" applyAlignment="1">
      <alignment horizontal="right"/>
    </xf>
    <xf numFmtId="14" fontId="9" fillId="0" borderId="0" xfId="6" applyNumberFormat="1" applyFont="1"/>
    <xf numFmtId="0" fontId="9" fillId="0" borderId="5" xfId="6" applyFont="1" applyFill="1" applyBorder="1" applyAlignment="1">
      <alignment horizontal="left"/>
    </xf>
    <xf numFmtId="0" fontId="32" fillId="0" borderId="0" xfId="6" applyFont="1" applyFill="1" applyBorder="1" applyAlignment="1">
      <alignment horizontal="left"/>
    </xf>
    <xf numFmtId="4" fontId="32" fillId="0" borderId="0" xfId="6" applyNumberFormat="1" applyFont="1" applyFill="1" applyBorder="1" applyAlignment="1">
      <alignment horizontal="left"/>
    </xf>
    <xf numFmtId="1" fontId="32" fillId="0" borderId="0" xfId="6" applyNumberFormat="1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/>
    </xf>
    <xf numFmtId="0" fontId="12" fillId="0" borderId="6" xfId="6" applyFont="1" applyFill="1" applyBorder="1"/>
    <xf numFmtId="0" fontId="9" fillId="0" borderId="0" xfId="6" applyFont="1" applyFill="1" applyBorder="1" applyAlignment="1">
      <alignment horizontal="right"/>
    </xf>
    <xf numFmtId="0" fontId="22" fillId="5" borderId="2" xfId="6" applyFont="1" applyFill="1" applyBorder="1" applyAlignment="1">
      <alignment horizontal="center" vertical="center"/>
    </xf>
    <xf numFmtId="3" fontId="24" fillId="0" borderId="21" xfId="0" applyNumberFormat="1" applyFont="1" applyFill="1" applyBorder="1" applyAlignment="1">
      <alignment horizontal="center"/>
    </xf>
    <xf numFmtId="0" fontId="25" fillId="0" borderId="21" xfId="0" applyNumberFormat="1" applyFont="1" applyFill="1" applyBorder="1" applyAlignment="1">
      <alignment horizontal="left" wrapText="1"/>
    </xf>
    <xf numFmtId="4" fontId="13" fillId="0" borderId="21" xfId="2" applyNumberFormat="1" applyFont="1" applyFill="1" applyBorder="1" applyAlignment="1">
      <alignment horizontal="left"/>
    </xf>
    <xf numFmtId="3" fontId="13" fillId="0" borderId="21" xfId="2" applyNumberFormat="1" applyFont="1" applyFill="1" applyBorder="1" applyAlignment="1">
      <alignment horizontal="left"/>
    </xf>
    <xf numFmtId="3" fontId="13" fillId="12" borderId="21" xfId="2" applyNumberFormat="1" applyFont="1" applyFill="1" applyBorder="1" applyAlignment="1">
      <alignment horizontal="left"/>
    </xf>
    <xf numFmtId="0" fontId="12" fillId="0" borderId="21" xfId="6" applyFont="1" applyBorder="1"/>
    <xf numFmtId="0" fontId="22" fillId="4" borderId="21" xfId="6" applyFont="1" applyFill="1" applyBorder="1" applyAlignment="1">
      <alignment horizontal="center" vertical="center"/>
    </xf>
    <xf numFmtId="0" fontId="22" fillId="5" borderId="21" xfId="6" applyFont="1" applyFill="1" applyBorder="1" applyAlignment="1">
      <alignment horizontal="center" vertical="center"/>
    </xf>
    <xf numFmtId="0" fontId="22" fillId="0" borderId="21" xfId="6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right"/>
    </xf>
    <xf numFmtId="3" fontId="6" fillId="0" borderId="21" xfId="2" applyNumberFormat="1" applyFont="1" applyFill="1" applyBorder="1" applyAlignment="1">
      <alignment horizontal="center" vertical="center"/>
    </xf>
    <xf numFmtId="0" fontId="22" fillId="6" borderId="21" xfId="6" applyFont="1" applyFill="1" applyBorder="1" applyAlignment="1">
      <alignment horizontal="center" vertical="center"/>
    </xf>
    <xf numFmtId="0" fontId="22" fillId="0" borderId="0" xfId="6" applyFont="1" applyBorder="1" applyAlignment="1">
      <alignment horizontal="left" vertical="center"/>
    </xf>
    <xf numFmtId="0" fontId="12" fillId="0" borderId="0" xfId="6" applyFont="1" applyBorder="1" applyAlignment="1">
      <alignment horizontal="center" vertical="center"/>
    </xf>
    <xf numFmtId="0" fontId="33" fillId="18" borderId="0" xfId="6" applyFont="1" applyFill="1" applyBorder="1" applyAlignment="1">
      <alignment horizontal="center"/>
    </xf>
    <xf numFmtId="0" fontId="12" fillId="5" borderId="0" xfId="6" applyFont="1" applyFill="1" applyBorder="1" applyAlignment="1"/>
    <xf numFmtId="0" fontId="22" fillId="8" borderId="23" xfId="6" applyFont="1" applyFill="1" applyBorder="1" applyAlignment="1">
      <alignment horizontal="center" vertical="center"/>
    </xf>
    <xf numFmtId="0" fontId="12" fillId="3" borderId="6" xfId="6" applyFont="1" applyFill="1" applyBorder="1" applyAlignment="1">
      <alignment horizontal="center"/>
    </xf>
    <xf numFmtId="0" fontId="25" fillId="0" borderId="21" xfId="0" applyNumberFormat="1" applyFont="1" applyFill="1" applyBorder="1" applyAlignment="1">
      <alignment horizontal="center" wrapText="1"/>
    </xf>
    <xf numFmtId="0" fontId="17" fillId="0" borderId="29" xfId="6" applyFont="1" applyFill="1" applyBorder="1" applyAlignment="1">
      <alignment horizontal="center"/>
    </xf>
    <xf numFmtId="0" fontId="22" fillId="16" borderId="17" xfId="6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wrapText="1"/>
    </xf>
    <xf numFmtId="0" fontId="33" fillId="3" borderId="0" xfId="6" applyFont="1" applyFill="1" applyBorder="1" applyAlignment="1">
      <alignment horizontal="center" vertical="center"/>
    </xf>
    <xf numFmtId="0" fontId="34" fillId="0" borderId="0" xfId="6" applyFont="1" applyFill="1" applyBorder="1" applyAlignment="1">
      <alignment horizontal="center" vertical="center"/>
    </xf>
    <xf numFmtId="0" fontId="34" fillId="3" borderId="0" xfId="6" applyFont="1" applyFill="1" applyBorder="1" applyAlignment="1">
      <alignment horizontal="center" vertical="center"/>
    </xf>
    <xf numFmtId="0" fontId="33" fillId="3" borderId="5" xfId="6" applyFont="1" applyFill="1" applyBorder="1" applyAlignment="1">
      <alignment horizontal="center" vertical="center"/>
    </xf>
    <xf numFmtId="0" fontId="33" fillId="0" borderId="5" xfId="6" applyFont="1" applyFill="1" applyBorder="1" applyAlignment="1">
      <alignment horizontal="center" vertical="center"/>
    </xf>
    <xf numFmtId="0" fontId="34" fillId="0" borderId="6" xfId="6" applyFont="1" applyFill="1" applyBorder="1" applyAlignment="1">
      <alignment horizontal="center" vertical="center"/>
    </xf>
    <xf numFmtId="0" fontId="34" fillId="3" borderId="6" xfId="6" applyFont="1" applyFill="1" applyBorder="1" applyAlignment="1">
      <alignment horizontal="center" vertical="center"/>
    </xf>
    <xf numFmtId="0" fontId="33" fillId="3" borderId="21" xfId="6" applyFont="1" applyFill="1" applyBorder="1" applyAlignment="1">
      <alignment horizontal="center" vertical="center"/>
    </xf>
    <xf numFmtId="0" fontId="33" fillId="0" borderId="21" xfId="6" applyFont="1" applyFill="1" applyBorder="1" applyAlignment="1">
      <alignment horizontal="center" vertical="center"/>
    </xf>
    <xf numFmtId="0" fontId="34" fillId="0" borderId="21" xfId="6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/>
    </xf>
    <xf numFmtId="2" fontId="33" fillId="11" borderId="0" xfId="0" applyNumberFormat="1" applyFont="1" applyFill="1" applyBorder="1" applyAlignment="1">
      <alignment horizontal="center" vertical="center" wrapText="1"/>
    </xf>
    <xf numFmtId="0" fontId="33" fillId="11" borderId="0" xfId="0" applyNumberFormat="1" applyFont="1" applyFill="1" applyBorder="1"/>
    <xf numFmtId="0" fontId="33" fillId="19" borderId="0" xfId="6" applyFont="1" applyFill="1" applyAlignment="1">
      <alignment horizontal="center"/>
    </xf>
    <xf numFmtId="0" fontId="22" fillId="19" borderId="0" xfId="6" applyFont="1" applyFill="1" applyBorder="1" applyAlignment="1">
      <alignment horizontal="center" vertical="center"/>
    </xf>
    <xf numFmtId="0" fontId="12" fillId="0" borderId="22" xfId="6" applyFont="1" applyBorder="1"/>
    <xf numFmtId="0" fontId="36" fillId="0" borderId="0" xfId="6" applyFont="1" applyFill="1" applyBorder="1"/>
    <xf numFmtId="0" fontId="38" fillId="0" borderId="0" xfId="2" applyFont="1" applyFill="1" applyBorder="1" applyAlignment="1">
      <alignment horizontal="right"/>
    </xf>
    <xf numFmtId="3" fontId="38" fillId="0" borderId="0" xfId="2" applyNumberFormat="1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left" wrapText="1"/>
    </xf>
    <xf numFmtId="4" fontId="37" fillId="0" borderId="0" xfId="2" applyNumberFormat="1" applyFont="1" applyFill="1" applyBorder="1" applyAlignment="1">
      <alignment horizontal="left"/>
    </xf>
    <xf numFmtId="3" fontId="37" fillId="0" borderId="0" xfId="2" applyNumberFormat="1" applyFont="1" applyFill="1" applyBorder="1" applyAlignment="1">
      <alignment horizontal="left"/>
    </xf>
    <xf numFmtId="0" fontId="41" fillId="0" borderId="0" xfId="6" applyFont="1" applyFill="1" applyBorder="1" applyAlignment="1">
      <alignment horizontal="center" vertical="center"/>
    </xf>
    <xf numFmtId="0" fontId="42" fillId="0" borderId="0" xfId="6" applyFont="1" applyFill="1" applyBorder="1" applyAlignment="1">
      <alignment horizontal="center" vertical="center"/>
    </xf>
    <xf numFmtId="0" fontId="43" fillId="0" borderId="0" xfId="6" applyFont="1" applyFill="1" applyBorder="1" applyAlignment="1">
      <alignment horizontal="center"/>
    </xf>
    <xf numFmtId="1" fontId="43" fillId="0" borderId="0" xfId="6" applyNumberFormat="1" applyFont="1" applyFill="1" applyBorder="1" applyAlignment="1">
      <alignment horizontal="center"/>
    </xf>
    <xf numFmtId="3" fontId="43" fillId="0" borderId="0" xfId="6" applyNumberFormat="1" applyFont="1" applyFill="1" applyBorder="1" applyAlignment="1">
      <alignment horizontal="center"/>
    </xf>
    <xf numFmtId="4" fontId="36" fillId="0" borderId="0" xfId="6" applyNumberFormat="1" applyFont="1" applyFill="1" applyBorder="1" applyAlignment="1">
      <alignment horizontal="left"/>
    </xf>
    <xf numFmtId="3" fontId="44" fillId="0" borderId="0" xfId="6" applyNumberFormat="1" applyFont="1" applyFill="1" applyBorder="1" applyAlignment="1"/>
    <xf numFmtId="0" fontId="45" fillId="0" borderId="0" xfId="6" applyFont="1" applyFill="1" applyBorder="1"/>
    <xf numFmtId="0" fontId="32" fillId="0" borderId="0" xfId="6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center" wrapText="1"/>
    </xf>
    <xf numFmtId="4" fontId="37" fillId="0" borderId="0" xfId="2" applyNumberFormat="1" applyFont="1" applyFill="1" applyBorder="1" applyAlignment="1">
      <alignment horizontal="center"/>
    </xf>
    <xf numFmtId="3" fontId="37" fillId="0" borderId="0" xfId="2" applyNumberFormat="1" applyFont="1" applyFill="1" applyBorder="1" applyAlignment="1">
      <alignment horizontal="center"/>
    </xf>
    <xf numFmtId="3" fontId="35" fillId="0" borderId="0" xfId="6" applyNumberFormat="1" applyFont="1" applyFill="1" applyBorder="1" applyAlignment="1">
      <alignment horizontal="center"/>
    </xf>
    <xf numFmtId="3" fontId="36" fillId="0" borderId="0" xfId="6" applyNumberFormat="1" applyFont="1" applyFill="1" applyBorder="1" applyAlignment="1">
      <alignment horizontal="left"/>
    </xf>
    <xf numFmtId="0" fontId="36" fillId="0" borderId="0" xfId="6" applyFont="1" applyFill="1" applyBorder="1" applyAlignment="1">
      <alignment horizontal="left"/>
    </xf>
    <xf numFmtId="0" fontId="0" fillId="11" borderId="0" xfId="0" applyNumberFormat="1" applyFont="1" applyFill="1" applyBorder="1" applyAlignment="1">
      <alignment horizontal="center" vertical="center"/>
    </xf>
    <xf numFmtId="0" fontId="46" fillId="11" borderId="0" xfId="0" applyNumberFormat="1" applyFont="1" applyFill="1" applyBorder="1" applyAlignment="1">
      <alignment horizontal="center" vertical="center"/>
    </xf>
    <xf numFmtId="3" fontId="6" fillId="0" borderId="24" xfId="2" applyNumberFormat="1" applyFont="1" applyFill="1" applyBorder="1" applyAlignment="1">
      <alignment horizontal="center" vertical="center"/>
    </xf>
    <xf numFmtId="3" fontId="24" fillId="0" borderId="24" xfId="0" applyNumberFormat="1" applyFont="1" applyFill="1" applyBorder="1" applyAlignment="1">
      <alignment horizontal="center"/>
    </xf>
    <xf numFmtId="0" fontId="25" fillId="0" borderId="24" xfId="0" applyNumberFormat="1" applyFont="1" applyFill="1" applyBorder="1" applyAlignment="1">
      <alignment horizontal="left" wrapText="1"/>
    </xf>
    <xf numFmtId="4" fontId="13" fillId="0" borderId="24" xfId="2" applyNumberFormat="1" applyFont="1" applyFill="1" applyBorder="1" applyAlignment="1">
      <alignment horizontal="left"/>
    </xf>
    <xf numFmtId="3" fontId="13" fillId="0" borderId="24" xfId="2" applyNumberFormat="1" applyFont="1" applyFill="1" applyBorder="1" applyAlignment="1">
      <alignment horizontal="left"/>
    </xf>
    <xf numFmtId="3" fontId="13" fillId="12" borderId="24" xfId="2" applyNumberFormat="1" applyFont="1" applyFill="1" applyBorder="1" applyAlignment="1">
      <alignment horizontal="left"/>
    </xf>
    <xf numFmtId="0" fontId="33" fillId="3" borderId="24" xfId="6" applyFont="1" applyFill="1" applyBorder="1" applyAlignment="1">
      <alignment horizontal="center" vertical="center"/>
    </xf>
    <xf numFmtId="4" fontId="32" fillId="11" borderId="0" xfId="6" applyNumberFormat="1" applyFont="1" applyFill="1" applyBorder="1" applyAlignment="1">
      <alignment horizontal="left"/>
    </xf>
    <xf numFmtId="0" fontId="5" fillId="11" borderId="0" xfId="5" applyFill="1" applyBorder="1"/>
    <xf numFmtId="49" fontId="15" fillId="0" borderId="0" xfId="6" applyNumberFormat="1" applyFont="1" applyAlignment="1">
      <alignment horizontal="center"/>
    </xf>
    <xf numFmtId="0" fontId="33" fillId="0" borderId="24" xfId="6" applyFont="1" applyFill="1" applyBorder="1" applyAlignment="1">
      <alignment horizontal="center" vertical="center"/>
    </xf>
    <xf numFmtId="0" fontId="17" fillId="6" borderId="0" xfId="6" applyFont="1" applyFill="1" applyAlignment="1">
      <alignment horizontal="center" vertical="center"/>
    </xf>
    <xf numFmtId="3" fontId="37" fillId="0" borderId="0" xfId="6" applyNumberFormat="1" applyFont="1" applyFill="1" applyBorder="1" applyAlignment="1">
      <alignment horizontal="center"/>
    </xf>
    <xf numFmtId="0" fontId="37" fillId="0" borderId="0" xfId="6" applyFont="1" applyFill="1" applyBorder="1"/>
    <xf numFmtId="0" fontId="19" fillId="0" borderId="0" xfId="6" applyFont="1" applyFill="1" applyBorder="1"/>
    <xf numFmtId="3" fontId="30" fillId="0" borderId="0" xfId="6" applyNumberFormat="1" applyFont="1" applyFill="1" applyBorder="1" applyAlignment="1"/>
    <xf numFmtId="0" fontId="30" fillId="0" borderId="0" xfId="6" applyFont="1" applyFill="1" applyBorder="1"/>
    <xf numFmtId="0" fontId="32" fillId="0" borderId="0" xfId="6" applyFont="1" applyFill="1" applyBorder="1"/>
    <xf numFmtId="1" fontId="30" fillId="0" borderId="0" xfId="6" applyNumberFormat="1" applyFont="1" applyFill="1" applyBorder="1" applyAlignment="1">
      <alignment horizontal="left"/>
    </xf>
    <xf numFmtId="0" fontId="45" fillId="0" borderId="0" xfId="6" applyFont="1" applyFill="1" applyBorder="1" applyAlignment="1">
      <alignment horizontal="center"/>
    </xf>
    <xf numFmtId="0" fontId="38" fillId="0" borderId="0" xfId="6" applyFont="1" applyFill="1" applyBorder="1" applyAlignment="1">
      <alignment horizontal="left"/>
    </xf>
    <xf numFmtId="3" fontId="32" fillId="0" borderId="0" xfId="6" applyNumberFormat="1" applyFont="1" applyFill="1" applyBorder="1" applyAlignment="1"/>
    <xf numFmtId="1" fontId="36" fillId="0" borderId="0" xfId="6" applyNumberFormat="1" applyFont="1" applyFill="1" applyBorder="1" applyAlignment="1">
      <alignment horizontal="left"/>
    </xf>
    <xf numFmtId="1" fontId="45" fillId="0" borderId="0" xfId="6" applyNumberFormat="1" applyFont="1" applyFill="1" applyBorder="1"/>
    <xf numFmtId="1" fontId="36" fillId="0" borderId="0" xfId="6" applyNumberFormat="1" applyFont="1" applyFill="1" applyBorder="1"/>
    <xf numFmtId="3" fontId="45" fillId="0" borderId="0" xfId="6" applyNumberFormat="1" applyFont="1" applyFill="1" applyBorder="1"/>
    <xf numFmtId="4" fontId="0" fillId="11" borderId="0" xfId="0" applyNumberFormat="1" applyFont="1" applyFill="1" applyBorder="1" applyAlignment="1">
      <alignment horizontal="center" vertical="center"/>
    </xf>
    <xf numFmtId="4" fontId="28" fillId="11" borderId="0" xfId="0" applyNumberFormat="1" applyFont="1" applyFill="1" applyBorder="1" applyAlignment="1">
      <alignment horizontal="center" vertical="center"/>
    </xf>
    <xf numFmtId="4" fontId="12" fillId="0" borderId="0" xfId="6" applyNumberFormat="1" applyFont="1" applyBorder="1"/>
    <xf numFmtId="4" fontId="8" fillId="0" borderId="0" xfId="0" applyNumberFormat="1" applyFont="1" applyBorder="1" applyAlignment="1">
      <alignment horizontal="left"/>
    </xf>
    <xf numFmtId="4" fontId="19" fillId="11" borderId="0" xfId="6" applyNumberFormat="1" applyFont="1" applyFill="1" applyBorder="1" applyAlignment="1">
      <alignment horizontal="left"/>
    </xf>
    <xf numFmtId="4" fontId="8" fillId="0" borderId="0" xfId="6" applyNumberFormat="1" applyFont="1" applyFill="1"/>
    <xf numFmtId="4" fontId="43" fillId="0" borderId="0" xfId="6" applyNumberFormat="1" applyFont="1" applyFill="1" applyBorder="1" applyAlignment="1">
      <alignment horizontal="center"/>
    </xf>
    <xf numFmtId="4" fontId="36" fillId="0" borderId="0" xfId="6" applyNumberFormat="1" applyFont="1" applyFill="1" applyBorder="1" applyAlignment="1">
      <alignment horizontal="center"/>
    </xf>
    <xf numFmtId="4" fontId="45" fillId="0" borderId="0" xfId="6" applyNumberFormat="1" applyFont="1" applyFill="1" applyBorder="1"/>
    <xf numFmtId="4" fontId="45" fillId="0" borderId="0" xfId="6" applyNumberFormat="1" applyFont="1" applyFill="1" applyBorder="1" applyAlignment="1">
      <alignment horizontal="center"/>
    </xf>
    <xf numFmtId="4" fontId="0" fillId="0" borderId="0" xfId="0" applyNumberFormat="1" applyBorder="1"/>
    <xf numFmtId="4" fontId="8" fillId="0" borderId="0" xfId="6" applyNumberFormat="1" applyFont="1"/>
    <xf numFmtId="4" fontId="8" fillId="0" borderId="0" xfId="6" applyNumberFormat="1" applyFont="1" applyFill="1" applyBorder="1"/>
    <xf numFmtId="4" fontId="32" fillId="0" borderId="0" xfId="6" applyNumberFormat="1" applyFont="1" applyFill="1" applyBorder="1"/>
    <xf numFmtId="4" fontId="37" fillId="0" borderId="0" xfId="6" applyNumberFormat="1" applyFont="1" applyFill="1" applyBorder="1" applyAlignment="1">
      <alignment horizontal="center"/>
    </xf>
    <xf numFmtId="4" fontId="36" fillId="0" borderId="0" xfId="6" applyNumberFormat="1" applyFont="1" applyFill="1" applyBorder="1"/>
    <xf numFmtId="0" fontId="6" fillId="15" borderId="0" xfId="2" applyFont="1" applyFill="1" applyBorder="1" applyAlignment="1">
      <alignment horizontal="right"/>
    </xf>
    <xf numFmtId="3" fontId="32" fillId="0" borderId="0" xfId="6" applyNumberFormat="1" applyFont="1" applyFill="1" applyBorder="1" applyAlignment="1">
      <alignment horizontal="center"/>
    </xf>
    <xf numFmtId="0" fontId="22" fillId="8" borderId="21" xfId="6" applyFont="1" applyFill="1" applyBorder="1" applyAlignment="1">
      <alignment horizontal="center" vertical="center"/>
    </xf>
    <xf numFmtId="2" fontId="28" fillId="11" borderId="0" xfId="0" applyNumberFormat="1" applyFont="1" applyFill="1" applyBorder="1" applyAlignment="1">
      <alignment horizontal="center" vertical="center"/>
    </xf>
    <xf numFmtId="0" fontId="35" fillId="20" borderId="0" xfId="6" applyFont="1" applyFill="1" applyBorder="1" applyAlignment="1">
      <alignment horizontal="center" vertical="top"/>
    </xf>
    <xf numFmtId="0" fontId="29" fillId="0" borderId="0" xfId="0" applyNumberFormat="1" applyFont="1" applyFill="1" applyBorder="1" applyAlignment="1">
      <alignment horizontal="left" wrapText="1"/>
    </xf>
    <xf numFmtId="1" fontId="8" fillId="0" borderId="0" xfId="6" applyNumberFormat="1" applyFont="1" applyFill="1" applyAlignment="1">
      <alignment horizontal="center" vertical="center"/>
    </xf>
    <xf numFmtId="1" fontId="12" fillId="0" borderId="0" xfId="6" applyNumberFormat="1" applyFont="1" applyFill="1" applyBorder="1" applyAlignment="1">
      <alignment horizontal="left"/>
    </xf>
    <xf numFmtId="0" fontId="9" fillId="15" borderId="6" xfId="6" applyFont="1" applyFill="1" applyBorder="1" applyAlignment="1">
      <alignment horizontal="left"/>
    </xf>
    <xf numFmtId="3" fontId="6" fillId="15" borderId="6" xfId="2" applyNumberFormat="1" applyFont="1" applyFill="1" applyBorder="1" applyAlignment="1">
      <alignment horizontal="center" vertical="center"/>
    </xf>
    <xf numFmtId="3" fontId="24" fillId="15" borderId="6" xfId="0" applyNumberFormat="1" applyFont="1" applyFill="1" applyBorder="1" applyAlignment="1">
      <alignment horizontal="center"/>
    </xf>
    <xf numFmtId="0" fontId="25" fillId="15" borderId="6" xfId="0" applyNumberFormat="1" applyFont="1" applyFill="1" applyBorder="1" applyAlignment="1">
      <alignment horizontal="left" wrapText="1"/>
    </xf>
    <xf numFmtId="4" fontId="13" fillId="15" borderId="6" xfId="2" applyNumberFormat="1" applyFont="1" applyFill="1" applyBorder="1" applyAlignment="1">
      <alignment horizontal="left"/>
    </xf>
    <xf numFmtId="3" fontId="13" fillId="15" borderId="6" xfId="2" applyNumberFormat="1" applyFont="1" applyFill="1" applyBorder="1" applyAlignment="1">
      <alignment horizontal="left"/>
    </xf>
    <xf numFmtId="3" fontId="47" fillId="0" borderId="0" xfId="6" applyNumberFormat="1" applyFont="1" applyFill="1" applyBorder="1" applyAlignment="1">
      <alignment horizontal="center"/>
    </xf>
    <xf numFmtId="3" fontId="16" fillId="0" borderId="0" xfId="6" applyNumberFormat="1" applyFont="1" applyFill="1" applyAlignment="1">
      <alignment horizontal="center"/>
    </xf>
    <xf numFmtId="3" fontId="16" fillId="0" borderId="0" xfId="6" applyNumberFormat="1" applyFont="1" applyFill="1" applyBorder="1" applyAlignment="1">
      <alignment horizontal="center"/>
    </xf>
    <xf numFmtId="3" fontId="48" fillId="0" borderId="0" xfId="0" applyNumberFormat="1" applyFont="1" applyFill="1" applyBorder="1" applyAlignment="1">
      <alignment horizontal="center" wrapText="1"/>
    </xf>
    <xf numFmtId="3" fontId="16" fillId="0" borderId="0" xfId="6" applyNumberFormat="1" applyFont="1" applyAlignment="1">
      <alignment horizontal="center"/>
    </xf>
    <xf numFmtId="0" fontId="22" fillId="0" borderId="10" xfId="6" applyFont="1" applyFill="1" applyBorder="1" applyAlignment="1">
      <alignment horizontal="center" vertical="center"/>
    </xf>
    <xf numFmtId="0" fontId="32" fillId="11" borderId="0" xfId="6" applyFont="1" applyFill="1" applyBorder="1"/>
    <xf numFmtId="3" fontId="6" fillId="21" borderId="0" xfId="2" applyNumberFormat="1" applyFont="1" applyFill="1" applyBorder="1" applyAlignment="1">
      <alignment horizontal="center" vertical="center"/>
    </xf>
    <xf numFmtId="3" fontId="24" fillId="21" borderId="0" xfId="0" applyNumberFormat="1" applyFont="1" applyFill="1" applyBorder="1" applyAlignment="1">
      <alignment horizontal="center"/>
    </xf>
    <xf numFmtId="0" fontId="25" fillId="21" borderId="0" xfId="0" applyNumberFormat="1" applyFont="1" applyFill="1" applyBorder="1" applyAlignment="1">
      <alignment horizontal="left" wrapText="1"/>
    </xf>
    <xf numFmtId="4" fontId="13" fillId="21" borderId="0" xfId="2" applyNumberFormat="1" applyFont="1" applyFill="1" applyBorder="1" applyAlignment="1">
      <alignment horizontal="left"/>
    </xf>
    <xf numFmtId="3" fontId="13" fillId="21" borderId="0" xfId="2" applyNumberFormat="1" applyFont="1" applyFill="1" applyBorder="1" applyAlignment="1">
      <alignment horizontal="left"/>
    </xf>
    <xf numFmtId="0" fontId="22" fillId="21" borderId="0" xfId="6" applyFont="1" applyFill="1" applyBorder="1" applyAlignment="1">
      <alignment horizontal="center" vertical="center"/>
    </xf>
    <xf numFmtId="4" fontId="12" fillId="11" borderId="0" xfId="6" applyNumberFormat="1" applyFont="1" applyFill="1" applyBorder="1" applyAlignment="1">
      <alignment horizontal="left"/>
    </xf>
    <xf numFmtId="4" fontId="50" fillId="11" borderId="0" xfId="0" applyNumberFormat="1" applyFont="1" applyFill="1" applyBorder="1" applyAlignment="1">
      <alignment horizontal="center" vertical="center"/>
    </xf>
    <xf numFmtId="4" fontId="51" fillId="11" borderId="0" xfId="0" applyNumberFormat="1" applyFont="1" applyFill="1" applyBorder="1" applyAlignment="1">
      <alignment horizontal="center" vertical="center"/>
    </xf>
    <xf numFmtId="14" fontId="9" fillId="0" borderId="6" xfId="6" applyNumberFormat="1" applyFont="1" applyBorder="1" applyAlignment="1">
      <alignment horizontal="right"/>
    </xf>
    <xf numFmtId="0" fontId="34" fillId="0" borderId="5" xfId="6" applyFont="1" applyFill="1" applyBorder="1" applyAlignment="1">
      <alignment horizontal="center" vertical="center"/>
    </xf>
    <xf numFmtId="0" fontId="9" fillId="0" borderId="0" xfId="6" applyFont="1" applyBorder="1" applyAlignment="1">
      <alignment horizontal="left"/>
    </xf>
    <xf numFmtId="0" fontId="49" fillId="0" borderId="0" xfId="6" applyFont="1" applyFill="1" applyBorder="1" applyAlignment="1">
      <alignment horizontal="center" vertical="center"/>
    </xf>
    <xf numFmtId="3" fontId="6" fillId="8" borderId="0" xfId="2" applyNumberFormat="1" applyFont="1" applyFill="1" applyBorder="1" applyAlignment="1">
      <alignment horizontal="center" vertical="center"/>
    </xf>
    <xf numFmtId="3" fontId="24" fillId="8" borderId="0" xfId="0" applyNumberFormat="1" applyFont="1" applyFill="1" applyBorder="1" applyAlignment="1">
      <alignment horizontal="center"/>
    </xf>
    <xf numFmtId="0" fontId="25" fillId="8" borderId="0" xfId="0" applyNumberFormat="1" applyFont="1" applyFill="1" applyBorder="1" applyAlignment="1">
      <alignment horizontal="left" wrapText="1"/>
    </xf>
    <xf numFmtId="4" fontId="13" fillId="8" borderId="0" xfId="2" applyNumberFormat="1" applyFont="1" applyFill="1" applyBorder="1" applyAlignment="1">
      <alignment horizontal="left"/>
    </xf>
    <xf numFmtId="3" fontId="13" fillId="8" borderId="0" xfId="2" applyNumberFormat="1" applyFont="1" applyFill="1" applyBorder="1" applyAlignment="1">
      <alignment horizontal="left"/>
    </xf>
    <xf numFmtId="1" fontId="35" fillId="20" borderId="0" xfId="6" applyNumberFormat="1" applyFont="1" applyFill="1" applyBorder="1" applyAlignment="1">
      <alignment horizontal="center" vertical="top"/>
    </xf>
    <xf numFmtId="0" fontId="6" fillId="21" borderId="0" xfId="2" applyFont="1" applyFill="1" applyBorder="1" applyAlignment="1">
      <alignment horizontal="left"/>
    </xf>
    <xf numFmtId="0" fontId="52" fillId="0" borderId="0" xfId="6" applyFont="1" applyFill="1" applyBorder="1" applyAlignment="1">
      <alignment horizontal="center" vertical="center"/>
    </xf>
    <xf numFmtId="0" fontId="53" fillId="11" borderId="0" xfId="0" applyNumberFormat="1" applyFont="1" applyFill="1" applyBorder="1" applyAlignment="1">
      <alignment horizontal="center" vertical="center"/>
    </xf>
    <xf numFmtId="1" fontId="42" fillId="0" borderId="0" xfId="6" applyNumberFormat="1" applyFont="1" applyFill="1" applyBorder="1" applyAlignment="1">
      <alignment horizontal="center" vertical="center"/>
    </xf>
    <xf numFmtId="4" fontId="13" fillId="15" borderId="21" xfId="2" applyNumberFormat="1" applyFont="1" applyFill="1" applyBorder="1" applyAlignment="1">
      <alignment horizontal="left"/>
    </xf>
    <xf numFmtId="3" fontId="13" fillId="15" borderId="21" xfId="2" applyNumberFormat="1" applyFont="1" applyFill="1" applyBorder="1" applyAlignment="1">
      <alignment horizontal="left"/>
    </xf>
    <xf numFmtId="3" fontId="55" fillId="0" borderId="21" xfId="0" applyNumberFormat="1" applyFont="1" applyFill="1" applyBorder="1" applyAlignment="1">
      <alignment horizontal="center"/>
    </xf>
    <xf numFmtId="4" fontId="12" fillId="0" borderId="0" xfId="6" applyNumberFormat="1" applyFont="1" applyFill="1" applyBorder="1"/>
    <xf numFmtId="0" fontId="17" fillId="6" borderId="0" xfId="6" applyFont="1" applyFill="1" applyBorder="1" applyAlignment="1">
      <alignment horizontal="center"/>
    </xf>
    <xf numFmtId="0" fontId="12" fillId="0" borderId="27" xfId="6" applyFont="1" applyFill="1" applyBorder="1"/>
    <xf numFmtId="0" fontId="33" fillId="3" borderId="27" xfId="6" applyFont="1" applyFill="1" applyBorder="1" applyAlignment="1">
      <alignment horizontal="center" vertical="center"/>
    </xf>
    <xf numFmtId="0" fontId="22" fillId="3" borderId="21" xfId="6" applyFont="1" applyFill="1" applyBorder="1" applyAlignment="1">
      <alignment horizontal="center" vertical="center"/>
    </xf>
    <xf numFmtId="0" fontId="22" fillId="4" borderId="24" xfId="6" applyFont="1" applyFill="1" applyBorder="1" applyAlignment="1">
      <alignment horizontal="center" vertical="center"/>
    </xf>
    <xf numFmtId="0" fontId="12" fillId="0" borderId="24" xfId="6" applyFont="1" applyBorder="1"/>
    <xf numFmtId="0" fontId="33" fillId="0" borderId="27" xfId="6" applyFont="1" applyFill="1" applyBorder="1" applyAlignment="1">
      <alignment horizontal="center" vertical="center"/>
    </xf>
    <xf numFmtId="0" fontId="22" fillId="0" borderId="27" xfId="6" applyFont="1" applyFill="1" applyBorder="1" applyAlignment="1">
      <alignment horizontal="center" vertical="center"/>
    </xf>
    <xf numFmtId="4" fontId="0" fillId="0" borderId="0" xfId="0" applyNumberFormat="1" applyFill="1" applyBorder="1"/>
    <xf numFmtId="0" fontId="56" fillId="0" borderId="0" xfId="0" applyFont="1"/>
    <xf numFmtId="0" fontId="6" fillId="0" borderId="27" xfId="2" applyFont="1" applyFill="1" applyBorder="1" applyAlignment="1">
      <alignment horizontal="right"/>
    </xf>
    <xf numFmtId="3" fontId="6" fillId="0" borderId="27" xfId="2" applyNumberFormat="1" applyFont="1" applyFill="1" applyBorder="1" applyAlignment="1">
      <alignment horizontal="center" vertical="center"/>
    </xf>
    <xf numFmtId="3" fontId="24" fillId="0" borderId="27" xfId="0" applyNumberFormat="1" applyFont="1" applyFill="1" applyBorder="1" applyAlignment="1">
      <alignment horizontal="center"/>
    </xf>
    <xf numFmtId="0" fontId="25" fillId="0" borderId="27" xfId="0" applyNumberFormat="1" applyFont="1" applyFill="1" applyBorder="1" applyAlignment="1">
      <alignment horizontal="left" wrapText="1"/>
    </xf>
    <xf numFmtId="4" fontId="13" fillId="0" borderId="27" xfId="2" applyNumberFormat="1" applyFont="1" applyFill="1" applyBorder="1" applyAlignment="1">
      <alignment horizontal="left"/>
    </xf>
    <xf numFmtId="3" fontId="13" fillId="12" borderId="27" xfId="2" applyNumberFormat="1" applyFont="1" applyFill="1" applyBorder="1" applyAlignment="1">
      <alignment horizontal="left"/>
    </xf>
    <xf numFmtId="0" fontId="49" fillId="0" borderId="27" xfId="6" applyFont="1" applyFill="1" applyBorder="1" applyAlignment="1">
      <alignment horizontal="center" vertical="center"/>
    </xf>
    <xf numFmtId="0" fontId="17" fillId="0" borderId="27" xfId="6" applyFont="1" applyFill="1" applyBorder="1" applyAlignment="1">
      <alignment horizontal="center"/>
    </xf>
    <xf numFmtId="0" fontId="22" fillId="8" borderId="27" xfId="6" applyFont="1" applyFill="1" applyBorder="1" applyAlignment="1">
      <alignment horizontal="center" vertical="center"/>
    </xf>
    <xf numFmtId="0" fontId="6" fillId="8" borderId="0" xfId="2" applyFont="1" applyFill="1" applyBorder="1" applyAlignment="1">
      <alignment horizontal="right"/>
    </xf>
    <xf numFmtId="0" fontId="17" fillId="0" borderId="0" xfId="6" applyFont="1" applyFill="1" applyAlignment="1">
      <alignment horizontal="center" vertical="center"/>
    </xf>
    <xf numFmtId="0" fontId="22" fillId="9" borderId="21" xfId="6" applyFont="1" applyFill="1" applyBorder="1" applyAlignment="1">
      <alignment horizontal="center" vertical="center"/>
    </xf>
    <xf numFmtId="0" fontId="22" fillId="9" borderId="6" xfId="6" applyFont="1" applyFill="1" applyBorder="1" applyAlignment="1">
      <alignment horizontal="center" vertical="center"/>
    </xf>
    <xf numFmtId="0" fontId="22" fillId="9" borderId="5" xfId="6" applyFont="1" applyFill="1" applyBorder="1" applyAlignment="1">
      <alignment horizontal="center" vertical="center"/>
    </xf>
    <xf numFmtId="0" fontId="22" fillId="9" borderId="24" xfId="6" applyFont="1" applyFill="1" applyBorder="1" applyAlignment="1">
      <alignment horizontal="center" vertical="center"/>
    </xf>
    <xf numFmtId="0" fontId="22" fillId="9" borderId="27" xfId="6" applyFont="1" applyFill="1" applyBorder="1" applyAlignment="1">
      <alignment horizontal="center" vertical="center"/>
    </xf>
    <xf numFmtId="4" fontId="13" fillId="12" borderId="0" xfId="2" applyNumberFormat="1" applyFont="1" applyFill="1" applyBorder="1" applyAlignment="1">
      <alignment horizontal="left"/>
    </xf>
    <xf numFmtId="4" fontId="12" fillId="0" borderId="27" xfId="6" applyNumberFormat="1" applyFont="1" applyFill="1" applyBorder="1" applyAlignment="1">
      <alignment horizontal="left"/>
    </xf>
    <xf numFmtId="3" fontId="13" fillId="0" borderId="27" xfId="2" applyNumberFormat="1" applyFont="1" applyFill="1" applyBorder="1" applyAlignment="1">
      <alignment horizontal="left"/>
    </xf>
    <xf numFmtId="0" fontId="6" fillId="0" borderId="0" xfId="2" applyFont="1" applyFill="1" applyBorder="1" applyAlignment="1"/>
    <xf numFmtId="0" fontId="28" fillId="11" borderId="6" xfId="0" applyNumberFormat="1" applyFont="1" applyFill="1" applyBorder="1" applyAlignment="1">
      <alignment horizontal="center" vertical="center"/>
    </xf>
    <xf numFmtId="0" fontId="22" fillId="16" borderId="25" xfId="6" applyFont="1" applyFill="1" applyBorder="1" applyAlignment="1">
      <alignment horizontal="center" vertical="center" wrapText="1"/>
    </xf>
    <xf numFmtId="2" fontId="32" fillId="0" borderId="0" xfId="6" applyNumberFormat="1" applyFont="1" applyFill="1" applyBorder="1" applyAlignment="1">
      <alignment horizontal="center"/>
    </xf>
    <xf numFmtId="2" fontId="43" fillId="0" borderId="0" xfId="6" applyNumberFormat="1" applyFont="1" applyFill="1" applyBorder="1" applyAlignment="1">
      <alignment horizontal="center"/>
    </xf>
    <xf numFmtId="1" fontId="36" fillId="0" borderId="0" xfId="6" applyNumberFormat="1" applyFont="1" applyFill="1" applyBorder="1" applyAlignment="1">
      <alignment horizontal="center"/>
    </xf>
    <xf numFmtId="4" fontId="12" fillId="0" borderId="0" xfId="6" applyNumberFormat="1" applyFont="1" applyFill="1" applyBorder="1" applyAlignment="1">
      <alignment horizontal="center"/>
    </xf>
    <xf numFmtId="0" fontId="35" fillId="0" borderId="0" xfId="6" applyFont="1" applyFill="1" applyBorder="1" applyAlignment="1">
      <alignment horizontal="center"/>
    </xf>
    <xf numFmtId="0" fontId="36" fillId="0" borderId="0" xfId="6" applyFont="1" applyFill="1" applyBorder="1" applyAlignment="1">
      <alignment horizontal="center"/>
    </xf>
    <xf numFmtId="1" fontId="45" fillId="0" borderId="0" xfId="6" applyNumberFormat="1" applyFont="1" applyFill="1" applyBorder="1" applyAlignment="1">
      <alignment horizontal="center"/>
    </xf>
    <xf numFmtId="0" fontId="33" fillId="0" borderId="0" xfId="6" applyFont="1" applyFill="1" applyBorder="1" applyAlignment="1">
      <alignment horizontal="center" vertical="center"/>
    </xf>
    <xf numFmtId="4" fontId="32" fillId="0" borderId="0" xfId="6" applyNumberFormat="1" applyFont="1" applyFill="1" applyBorder="1" applyAlignment="1">
      <alignment horizontal="center"/>
    </xf>
    <xf numFmtId="0" fontId="33" fillId="0" borderId="0" xfId="6" applyFont="1" applyFill="1" applyBorder="1" applyAlignment="1">
      <alignment horizontal="center" vertical="center"/>
    </xf>
    <xf numFmtId="0" fontId="35" fillId="0" borderId="0" xfId="6" applyFont="1" applyFill="1" applyBorder="1" applyAlignment="1">
      <alignment horizontal="center" vertical="top"/>
    </xf>
    <xf numFmtId="0" fontId="33" fillId="0" borderId="0" xfId="6" applyFont="1" applyFill="1" applyBorder="1" applyAlignment="1">
      <alignment horizontal="center" vertical="center"/>
    </xf>
    <xf numFmtId="0" fontId="12" fillId="0" borderId="0" xfId="6" applyFont="1" applyFill="1" applyAlignment="1">
      <alignment horizontal="center"/>
    </xf>
    <xf numFmtId="0" fontId="33" fillId="0" borderId="0" xfId="6" applyFont="1" applyFill="1" applyBorder="1" applyAlignment="1">
      <alignment horizontal="center" vertical="center"/>
    </xf>
    <xf numFmtId="0" fontId="9" fillId="15" borderId="0" xfId="6" applyFont="1" applyFill="1" applyBorder="1" applyAlignment="1">
      <alignment horizontal="left"/>
    </xf>
    <xf numFmtId="0" fontId="33" fillId="0" borderId="0" xfId="6" applyFont="1" applyFill="1" applyBorder="1" applyAlignment="1">
      <alignment horizontal="center" vertical="center"/>
    </xf>
    <xf numFmtId="0" fontId="12" fillId="13" borderId="0" xfId="6" applyFont="1" applyFill="1" applyAlignment="1">
      <alignment horizontal="center"/>
    </xf>
    <xf numFmtId="0" fontId="33" fillId="0" borderId="0" xfId="6" applyFont="1" applyFill="1" applyBorder="1" applyAlignment="1">
      <alignment horizontal="center" vertical="center"/>
    </xf>
    <xf numFmtId="0" fontId="34" fillId="19" borderId="21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9" fillId="0" borderId="24" xfId="6" applyFont="1" applyBorder="1" applyAlignment="1">
      <alignment horizontal="left"/>
    </xf>
    <xf numFmtId="0" fontId="12" fillId="3" borderId="24" xfId="6" applyFont="1" applyFill="1" applyBorder="1" applyAlignment="1">
      <alignment horizontal="center"/>
    </xf>
    <xf numFmtId="0" fontId="6" fillId="0" borderId="6" xfId="1" applyFont="1" applyFill="1" applyBorder="1" applyAlignment="1">
      <alignment horizontal="right" vertical="top"/>
    </xf>
    <xf numFmtId="0" fontId="33" fillId="0" borderId="26" xfId="6" applyFont="1" applyFill="1" applyBorder="1" applyAlignment="1">
      <alignment horizontal="center" vertical="center"/>
    </xf>
    <xf numFmtId="0" fontId="33" fillId="3" borderId="26" xfId="6" applyFont="1" applyFill="1" applyBorder="1" applyAlignment="1">
      <alignment horizontal="center" vertical="center"/>
    </xf>
    <xf numFmtId="0" fontId="22" fillId="9" borderId="26" xfId="6" applyFont="1" applyFill="1" applyBorder="1" applyAlignment="1">
      <alignment horizontal="center" vertical="center"/>
    </xf>
    <xf numFmtId="0" fontId="22" fillId="0" borderId="26" xfId="6" applyFont="1" applyFill="1" applyBorder="1" applyAlignment="1">
      <alignment horizontal="center" vertical="center"/>
    </xf>
    <xf numFmtId="0" fontId="6" fillId="21" borderId="26" xfId="2" applyFont="1" applyFill="1" applyBorder="1" applyAlignment="1">
      <alignment horizontal="right"/>
    </xf>
    <xf numFmtId="3" fontId="6" fillId="21" borderId="26" xfId="2" applyNumberFormat="1" applyFont="1" applyFill="1" applyBorder="1" applyAlignment="1">
      <alignment horizontal="center" vertical="center"/>
    </xf>
    <xf numFmtId="3" fontId="24" fillId="21" borderId="26" xfId="0" applyNumberFormat="1" applyFont="1" applyFill="1" applyBorder="1" applyAlignment="1">
      <alignment horizontal="center"/>
    </xf>
    <xf numFmtId="0" fontId="25" fillId="21" borderId="26" xfId="0" applyNumberFormat="1" applyFont="1" applyFill="1" applyBorder="1" applyAlignment="1">
      <alignment horizontal="left" wrapText="1"/>
    </xf>
    <xf numFmtId="4" fontId="13" fillId="21" borderId="26" xfId="2" applyNumberFormat="1" applyFont="1" applyFill="1" applyBorder="1" applyAlignment="1">
      <alignment horizontal="left"/>
    </xf>
    <xf numFmtId="3" fontId="13" fillId="21" borderId="26" xfId="2" applyNumberFormat="1" applyFont="1" applyFill="1" applyBorder="1" applyAlignment="1">
      <alignment horizontal="left"/>
    </xf>
    <xf numFmtId="0" fontId="33" fillId="21" borderId="26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4" fontId="57" fillId="11" borderId="0" xfId="0" applyNumberFormat="1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0" fontId="33" fillId="0" borderId="0" xfId="6" applyFont="1" applyFill="1" applyBorder="1" applyAlignment="1">
      <alignment horizontal="center" vertical="center"/>
    </xf>
    <xf numFmtId="14" fontId="9" fillId="15" borderId="0" xfId="6" applyNumberFormat="1" applyFont="1" applyFill="1" applyBorder="1" applyAlignment="1">
      <alignment horizontal="right"/>
    </xf>
    <xf numFmtId="3" fontId="58" fillId="0" borderId="0" xfId="9" applyNumberFormat="1" applyFont="1" applyFill="1" applyBorder="1" applyAlignment="1">
      <alignment horizontal="center"/>
    </xf>
    <xf numFmtId="0" fontId="58" fillId="0" borderId="0" xfId="9" applyFont="1" applyFill="1" applyBorder="1"/>
    <xf numFmtId="3" fontId="59" fillId="0" borderId="0" xfId="9" applyNumberFormat="1" applyFont="1" applyFill="1" applyBorder="1" applyAlignment="1">
      <alignment horizontal="center" vertical="center"/>
    </xf>
    <xf numFmtId="3" fontId="58" fillId="0" borderId="0" xfId="9" applyNumberFormat="1" applyFont="1" applyFill="1" applyBorder="1" applyAlignment="1">
      <alignment horizontal="center" vertical="center"/>
    </xf>
    <xf numFmtId="0" fontId="58" fillId="0" borderId="0" xfId="9" applyFont="1" applyFill="1" applyBorder="1" applyAlignment="1">
      <alignment horizontal="center" vertical="center"/>
    </xf>
    <xf numFmtId="0" fontId="54" fillId="0" borderId="0" xfId="9" applyFont="1" applyFill="1" applyBorder="1"/>
    <xf numFmtId="0" fontId="54" fillId="0" borderId="0" xfId="9" applyFont="1"/>
    <xf numFmtId="3" fontId="58" fillId="22" borderId="28" xfId="2" applyNumberFormat="1" applyFont="1" applyFill="1" applyBorder="1" applyAlignment="1">
      <alignment vertical="center"/>
    </xf>
    <xf numFmtId="3" fontId="58" fillId="0" borderId="19" xfId="2" applyNumberFormat="1" applyFont="1" applyFill="1" applyBorder="1" applyAlignment="1">
      <alignment horizontal="center" vertical="center"/>
    </xf>
    <xf numFmtId="0" fontId="58" fillId="0" borderId="19" xfId="2" applyFont="1" applyFill="1" applyBorder="1" applyAlignment="1">
      <alignment horizontal="center" vertical="center"/>
    </xf>
    <xf numFmtId="3" fontId="58" fillId="0" borderId="15" xfId="3" applyNumberFormat="1" applyFont="1" applyFill="1" applyBorder="1" applyAlignment="1">
      <alignment horizontal="center" vertical="center" wrapText="1"/>
    </xf>
    <xf numFmtId="3" fontId="9" fillId="22" borderId="14" xfId="10" applyNumberFormat="1" applyFont="1" applyFill="1" applyBorder="1" applyAlignment="1">
      <alignment horizontal="center" vertical="center" wrapText="1"/>
    </xf>
    <xf numFmtId="3" fontId="9" fillId="0" borderId="14" xfId="10" applyNumberFormat="1" applyFont="1" applyFill="1" applyBorder="1" applyAlignment="1">
      <alignment horizontal="center" vertical="center" wrapText="1"/>
    </xf>
    <xf numFmtId="0" fontId="58" fillId="0" borderId="31" xfId="2" applyFont="1" applyFill="1" applyBorder="1" applyAlignment="1">
      <alignment horizontal="center" vertical="center"/>
    </xf>
    <xf numFmtId="0" fontId="58" fillId="0" borderId="9" xfId="9" applyFont="1" applyFill="1" applyBorder="1"/>
    <xf numFmtId="0" fontId="59" fillId="23" borderId="0" xfId="2" applyFont="1" applyFill="1" applyBorder="1" applyAlignment="1">
      <alignment horizontal="left" vertical="center"/>
    </xf>
    <xf numFmtId="0" fontId="59" fillId="23" borderId="0" xfId="9" applyFont="1" applyFill="1" applyBorder="1" applyAlignment="1">
      <alignment horizontal="center" vertical="center"/>
    </xf>
    <xf numFmtId="4" fontId="59" fillId="23" borderId="0" xfId="9" applyNumberFormat="1" applyFont="1" applyFill="1" applyBorder="1" applyAlignment="1">
      <alignment horizontal="center" vertical="center"/>
    </xf>
    <xf numFmtId="0" fontId="59" fillId="0" borderId="0" xfId="2" applyFont="1" applyFill="1" applyBorder="1" applyAlignment="1">
      <alignment horizontal="left" vertical="center"/>
    </xf>
    <xf numFmtId="0" fontId="59" fillId="0" borderId="0" xfId="9" applyFont="1" applyFill="1" applyBorder="1" applyAlignment="1">
      <alignment horizontal="center" vertical="center"/>
    </xf>
    <xf numFmtId="4" fontId="59" fillId="0" borderId="0" xfId="9" applyNumberFormat="1" applyFont="1" applyFill="1" applyBorder="1" applyAlignment="1">
      <alignment horizontal="center" vertical="center"/>
    </xf>
    <xf numFmtId="3" fontId="58" fillId="0" borderId="0" xfId="2" applyNumberFormat="1" applyFont="1" applyFill="1" applyBorder="1" applyAlignment="1">
      <alignment horizontal="center"/>
    </xf>
    <xf numFmtId="0" fontId="58" fillId="0" borderId="0" xfId="9" applyFont="1" applyFill="1" applyBorder="1" applyAlignment="1">
      <alignment horizontal="center" vertical="center" wrapText="1"/>
    </xf>
    <xf numFmtId="4" fontId="58" fillId="0" borderId="0" xfId="2" applyNumberFormat="1" applyFont="1" applyFill="1" applyBorder="1" applyAlignment="1">
      <alignment horizontal="center"/>
    </xf>
    <xf numFmtId="4" fontId="58" fillId="0" borderId="0" xfId="2" applyNumberFormat="1" applyFont="1" applyFill="1" applyBorder="1" applyAlignment="1">
      <alignment horizontal="center" vertical="center"/>
    </xf>
    <xf numFmtId="3" fontId="58" fillId="0" borderId="0" xfId="2" applyNumberFormat="1" applyFont="1" applyFill="1" applyBorder="1" applyAlignment="1">
      <alignment horizontal="center" vertical="center"/>
    </xf>
    <xf numFmtId="4" fontId="58" fillId="0" borderId="0" xfId="2" applyNumberFormat="1" applyFont="1" applyFill="1" applyBorder="1" applyAlignment="1">
      <alignment horizontal="left"/>
    </xf>
    <xf numFmtId="0" fontId="58" fillId="0" borderId="16" xfId="2" applyFont="1" applyFill="1" applyBorder="1" applyAlignment="1">
      <alignment horizontal="right"/>
    </xf>
    <xf numFmtId="0" fontId="58" fillId="0" borderId="16" xfId="9" applyFont="1" applyFill="1" applyBorder="1" applyAlignment="1">
      <alignment horizontal="center" vertical="center" wrapText="1"/>
    </xf>
    <xf numFmtId="4" fontId="58" fillId="0" borderId="16" xfId="2" applyNumberFormat="1" applyFont="1" applyFill="1" applyBorder="1" applyAlignment="1">
      <alignment horizontal="center"/>
    </xf>
    <xf numFmtId="4" fontId="58" fillId="0" borderId="16" xfId="2" applyNumberFormat="1" applyFont="1" applyFill="1" applyBorder="1" applyAlignment="1">
      <alignment horizontal="center" vertical="center"/>
    </xf>
    <xf numFmtId="3" fontId="58" fillId="0" borderId="16" xfId="2" applyNumberFormat="1" applyFont="1" applyFill="1" applyBorder="1" applyAlignment="1">
      <alignment horizontal="center" vertical="center"/>
    </xf>
    <xf numFmtId="4" fontId="58" fillId="0" borderId="16" xfId="2" applyNumberFormat="1" applyFont="1" applyFill="1" applyBorder="1" applyAlignment="1">
      <alignment horizontal="left"/>
    </xf>
    <xf numFmtId="0" fontId="58" fillId="0" borderId="0" xfId="2" applyFont="1" applyFill="1" applyBorder="1" applyAlignment="1">
      <alignment horizontal="right"/>
    </xf>
    <xf numFmtId="3" fontId="58" fillId="0" borderId="7" xfId="2" applyNumberFormat="1" applyFont="1" applyFill="1" applyBorder="1" applyAlignment="1">
      <alignment horizontal="center" vertical="center"/>
    </xf>
    <xf numFmtId="3" fontId="59" fillId="23" borderId="0" xfId="9" applyNumberFormat="1" applyFont="1" applyFill="1" applyBorder="1" applyAlignment="1">
      <alignment horizontal="center" vertical="center"/>
    </xf>
    <xf numFmtId="3" fontId="58" fillId="0" borderId="11" xfId="2" applyNumberFormat="1" applyFont="1" applyFill="1" applyBorder="1" applyAlignment="1">
      <alignment horizontal="center" vertical="center"/>
    </xf>
    <xf numFmtId="0" fontId="58" fillId="0" borderId="11" xfId="9" applyFont="1" applyFill="1" applyBorder="1" applyAlignment="1">
      <alignment horizontal="center" vertical="center" wrapText="1"/>
    </xf>
    <xf numFmtId="4" fontId="58" fillId="0" borderId="11" xfId="2" applyNumberFormat="1" applyFont="1" applyFill="1" applyBorder="1" applyAlignment="1">
      <alignment horizontal="center"/>
    </xf>
    <xf numFmtId="4" fontId="58" fillId="0" borderId="11" xfId="2" applyNumberFormat="1" applyFont="1" applyFill="1" applyBorder="1" applyAlignment="1">
      <alignment horizontal="center" vertical="center"/>
    </xf>
    <xf numFmtId="4" fontId="58" fillId="0" borderId="11" xfId="2" applyNumberFormat="1" applyFont="1" applyFill="1" applyBorder="1" applyAlignment="1">
      <alignment horizontal="left"/>
    </xf>
    <xf numFmtId="0" fontId="58" fillId="0" borderId="0" xfId="2" applyFont="1" applyFill="1" applyBorder="1"/>
    <xf numFmtId="4" fontId="58" fillId="0" borderId="25" xfId="2" applyNumberFormat="1" applyFont="1" applyFill="1" applyBorder="1" applyAlignment="1">
      <alignment horizontal="center"/>
    </xf>
    <xf numFmtId="0" fontId="54" fillId="0" borderId="0" xfId="9" applyFont="1" applyBorder="1"/>
    <xf numFmtId="0" fontId="9" fillId="0" borderId="0" xfId="6" applyFont="1" applyFill="1" applyBorder="1"/>
    <xf numFmtId="3" fontId="58" fillId="0" borderId="5" xfId="2" applyNumberFormat="1" applyFont="1" applyFill="1" applyBorder="1" applyAlignment="1">
      <alignment horizontal="center" vertical="center"/>
    </xf>
    <xf numFmtId="0" fontId="58" fillId="0" borderId="5" xfId="9" applyFont="1" applyFill="1" applyBorder="1" applyAlignment="1">
      <alignment horizontal="center" vertical="center" wrapText="1"/>
    </xf>
    <xf numFmtId="4" fontId="58" fillId="0" borderId="5" xfId="2" applyNumberFormat="1" applyFont="1" applyFill="1" applyBorder="1" applyAlignment="1">
      <alignment horizontal="center"/>
    </xf>
    <xf numFmtId="4" fontId="58" fillId="0" borderId="5" xfId="2" applyNumberFormat="1" applyFont="1" applyFill="1" applyBorder="1" applyAlignment="1">
      <alignment horizontal="center" vertical="center"/>
    </xf>
    <xf numFmtId="4" fontId="58" fillId="0" borderId="5" xfId="2" applyNumberFormat="1" applyFont="1" applyFill="1" applyBorder="1" applyAlignment="1">
      <alignment horizontal="left"/>
    </xf>
    <xf numFmtId="0" fontId="58" fillId="0" borderId="6" xfId="2" applyFont="1" applyFill="1" applyBorder="1" applyAlignment="1">
      <alignment horizontal="right"/>
    </xf>
    <xf numFmtId="3" fontId="58" fillId="0" borderId="6" xfId="2" applyNumberFormat="1" applyFont="1" applyFill="1" applyBorder="1" applyAlignment="1">
      <alignment horizontal="center" vertical="center"/>
    </xf>
    <xf numFmtId="0" fontId="58" fillId="0" borderId="6" xfId="9" applyFont="1" applyFill="1" applyBorder="1" applyAlignment="1">
      <alignment horizontal="center" vertical="center" wrapText="1"/>
    </xf>
    <xf numFmtId="4" fontId="58" fillId="0" borderId="6" xfId="2" applyNumberFormat="1" applyFont="1" applyFill="1" applyBorder="1" applyAlignment="1">
      <alignment horizontal="center"/>
    </xf>
    <xf numFmtId="4" fontId="58" fillId="0" borderId="6" xfId="2" applyNumberFormat="1" applyFont="1" applyFill="1" applyBorder="1" applyAlignment="1">
      <alignment horizontal="center" vertical="center"/>
    </xf>
    <xf numFmtId="4" fontId="58" fillId="0" borderId="6" xfId="2" applyNumberFormat="1" applyFont="1" applyFill="1" applyBorder="1" applyAlignment="1">
      <alignment horizontal="left"/>
    </xf>
    <xf numFmtId="4" fontId="58" fillId="0" borderId="7" xfId="2" applyNumberFormat="1" applyFont="1" applyFill="1" applyBorder="1" applyAlignment="1">
      <alignment horizontal="left"/>
    </xf>
    <xf numFmtId="0" fontId="58" fillId="0" borderId="5" xfId="2" applyFont="1" applyFill="1" applyBorder="1" applyAlignment="1">
      <alignment horizontal="left"/>
    </xf>
    <xf numFmtId="0" fontId="58" fillId="0" borderId="16" xfId="2" applyFont="1" applyFill="1" applyBorder="1" applyAlignment="1">
      <alignment horizontal="left"/>
    </xf>
    <xf numFmtId="0" fontId="58" fillId="0" borderId="12" xfId="2" applyFont="1" applyFill="1" applyBorder="1" applyAlignment="1">
      <alignment horizontal="left"/>
    </xf>
    <xf numFmtId="3" fontId="58" fillId="0" borderId="12" xfId="2" applyNumberFormat="1" applyFont="1" applyFill="1" applyBorder="1" applyAlignment="1">
      <alignment horizontal="center" vertical="center"/>
    </xf>
    <xf numFmtId="4" fontId="58" fillId="0" borderId="12" xfId="2" applyNumberFormat="1" applyFont="1" applyFill="1" applyBorder="1" applyAlignment="1">
      <alignment horizontal="left"/>
    </xf>
    <xf numFmtId="0" fontId="58" fillId="0" borderId="7" xfId="9" applyFont="1" applyFill="1" applyBorder="1" applyAlignment="1">
      <alignment horizontal="center" vertical="center" wrapText="1"/>
    </xf>
    <xf numFmtId="4" fontId="58" fillId="0" borderId="7" xfId="2" applyNumberFormat="1" applyFont="1" applyFill="1" applyBorder="1" applyAlignment="1">
      <alignment horizontal="center"/>
    </xf>
    <xf numFmtId="4" fontId="58" fillId="0" borderId="7" xfId="2" applyNumberFormat="1" applyFont="1" applyFill="1" applyBorder="1" applyAlignment="1">
      <alignment horizontal="center" vertical="center"/>
    </xf>
    <xf numFmtId="0" fontId="58" fillId="0" borderId="0" xfId="2" applyFont="1" applyFill="1" applyBorder="1" applyAlignment="1">
      <alignment vertical="top"/>
    </xf>
    <xf numFmtId="0" fontId="58" fillId="0" borderId="12" xfId="9" applyFont="1" applyFill="1" applyBorder="1" applyAlignment="1">
      <alignment horizontal="center" vertical="center" wrapText="1"/>
    </xf>
    <xf numFmtId="4" fontId="58" fillId="0" borderId="12" xfId="2" applyNumberFormat="1" applyFont="1" applyFill="1" applyBorder="1" applyAlignment="1">
      <alignment horizontal="center"/>
    </xf>
    <xf numFmtId="4" fontId="58" fillId="0" borderId="12" xfId="2" applyNumberFormat="1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4" fontId="9" fillId="0" borderId="0" xfId="6" applyNumberFormat="1" applyFont="1" applyFill="1" applyBorder="1" applyAlignment="1">
      <alignment horizontal="center" vertical="center"/>
    </xf>
    <xf numFmtId="3" fontId="9" fillId="0" borderId="0" xfId="6" applyNumberFormat="1" applyFont="1" applyFill="1" applyBorder="1"/>
    <xf numFmtId="4" fontId="58" fillId="0" borderId="0" xfId="9" applyNumberFormat="1" applyFont="1" applyFill="1" applyBorder="1" applyAlignment="1">
      <alignment horizontal="center" vertical="center"/>
    </xf>
    <xf numFmtId="0" fontId="58" fillId="0" borderId="25" xfId="0" applyFont="1" applyFill="1" applyBorder="1" applyAlignment="1">
      <alignment horizontal="center" vertical="center" wrapText="1"/>
    </xf>
    <xf numFmtId="0" fontId="6" fillId="0" borderId="26" xfId="2" applyFont="1" applyFill="1" applyBorder="1" applyAlignment="1">
      <alignment horizontal="right"/>
    </xf>
    <xf numFmtId="4" fontId="58" fillId="0" borderId="0" xfId="0" applyNumberFormat="1" applyFont="1" applyFill="1" applyBorder="1" applyAlignment="1">
      <alignment horizontal="center" vertical="center" wrapText="1"/>
    </xf>
    <xf numFmtId="1" fontId="36" fillId="0" borderId="0" xfId="6" applyNumberFormat="1" applyFont="1" applyFill="1" applyBorder="1" applyAlignment="1">
      <alignment horizontal="center"/>
    </xf>
    <xf numFmtId="1" fontId="45" fillId="0" borderId="0" xfId="6" applyNumberFormat="1" applyFont="1" applyFill="1" applyBorder="1" applyAlignment="1">
      <alignment horizontal="center"/>
    </xf>
    <xf numFmtId="2" fontId="45" fillId="0" borderId="0" xfId="6" applyNumberFormat="1" applyFont="1" applyFill="1" applyBorder="1" applyAlignment="1">
      <alignment horizontal="center"/>
    </xf>
    <xf numFmtId="2" fontId="43" fillId="0" borderId="0" xfId="6" applyNumberFormat="1" applyFont="1" applyFill="1" applyBorder="1" applyAlignment="1">
      <alignment horizontal="center"/>
    </xf>
    <xf numFmtId="2" fontId="32" fillId="0" borderId="0" xfId="6" applyNumberFormat="1" applyFont="1" applyFill="1" applyBorder="1" applyAlignment="1">
      <alignment horizontal="center"/>
    </xf>
    <xf numFmtId="2" fontId="44" fillId="0" borderId="0" xfId="6" applyNumberFormat="1" applyFont="1" applyFill="1" applyBorder="1" applyAlignment="1">
      <alignment horizontal="center"/>
    </xf>
    <xf numFmtId="4" fontId="12" fillId="0" borderId="0" xfId="6" applyNumberFormat="1" applyFont="1" applyFill="1" applyBorder="1" applyAlignment="1">
      <alignment horizontal="center"/>
    </xf>
    <xf numFmtId="3" fontId="8" fillId="0" borderId="0" xfId="6" applyNumberFormat="1" applyFont="1" applyFill="1" applyAlignment="1">
      <alignment horizontal="center"/>
    </xf>
    <xf numFmtId="0" fontId="8" fillId="0" borderId="0" xfId="6" applyFont="1" applyFill="1" applyAlignment="1">
      <alignment horizontal="center"/>
    </xf>
    <xf numFmtId="4" fontId="32" fillId="0" borderId="0" xfId="6" applyNumberFormat="1" applyFont="1" applyFill="1" applyBorder="1" applyAlignment="1">
      <alignment horizontal="center"/>
    </xf>
    <xf numFmtId="0" fontId="35" fillId="0" borderId="0" xfId="6" applyFont="1" applyFill="1" applyBorder="1" applyAlignment="1">
      <alignment horizontal="center"/>
    </xf>
    <xf numFmtId="0" fontId="36" fillId="0" borderId="0" xfId="6" applyFont="1" applyFill="1" applyBorder="1" applyAlignment="1">
      <alignment horizontal="center"/>
    </xf>
    <xf numFmtId="0" fontId="22" fillId="16" borderId="25" xfId="6" applyFont="1" applyFill="1" applyBorder="1" applyAlignment="1">
      <alignment horizontal="center" vertical="center" wrapText="1"/>
    </xf>
    <xf numFmtId="0" fontId="22" fillId="19" borderId="17" xfId="6" applyFont="1" applyFill="1" applyBorder="1" applyAlignment="1">
      <alignment horizontal="center" vertical="center" wrapText="1"/>
    </xf>
    <xf numFmtId="0" fontId="22" fillId="19" borderId="18" xfId="6" applyFont="1" applyFill="1" applyBorder="1" applyAlignment="1">
      <alignment horizontal="center" vertical="center" wrapText="1"/>
    </xf>
    <xf numFmtId="0" fontId="22" fillId="10" borderId="15" xfId="6" applyFont="1" applyFill="1" applyBorder="1" applyAlignment="1">
      <alignment horizontal="center" vertical="center" wrapText="1"/>
    </xf>
    <xf numFmtId="0" fontId="22" fillId="8" borderId="28" xfId="6" applyFont="1" applyFill="1" applyBorder="1" applyAlignment="1">
      <alignment horizontal="center" vertical="center" wrapText="1"/>
    </xf>
    <xf numFmtId="0" fontId="22" fillId="4" borderId="15" xfId="6" applyFont="1" applyFill="1" applyBorder="1" applyAlignment="1">
      <alignment horizontal="center" vertical="center" wrapText="1"/>
    </xf>
    <xf numFmtId="0" fontId="22" fillId="4" borderId="13" xfId="6" applyFont="1" applyFill="1" applyBorder="1" applyAlignment="1">
      <alignment horizontal="center" vertical="center" wrapText="1"/>
    </xf>
    <xf numFmtId="0" fontId="58" fillId="0" borderId="30" xfId="2" applyFont="1" applyFill="1" applyBorder="1" applyAlignment="1">
      <alignment horizontal="center" vertical="center"/>
    </xf>
    <xf numFmtId="0" fontId="58" fillId="0" borderId="17" xfId="2" applyFont="1" applyFill="1" applyBorder="1" applyAlignment="1">
      <alignment horizontal="center" vertical="center"/>
    </xf>
    <xf numFmtId="0" fontId="58" fillId="0" borderId="13" xfId="9" applyFont="1" applyFill="1" applyBorder="1" applyAlignment="1">
      <alignment horizontal="center" vertical="center" wrapText="1"/>
    </xf>
    <xf numFmtId="0" fontId="58" fillId="0" borderId="14" xfId="9" applyFont="1" applyFill="1" applyBorder="1" applyAlignment="1">
      <alignment horizontal="center" vertical="center" wrapText="1"/>
    </xf>
    <xf numFmtId="0" fontId="58" fillId="0" borderId="13" xfId="6" applyFont="1" applyFill="1" applyBorder="1" applyAlignment="1">
      <alignment horizontal="center" vertical="center" wrapText="1"/>
    </xf>
    <xf numFmtId="0" fontId="58" fillId="0" borderId="14" xfId="6" applyFont="1" applyFill="1" applyBorder="1" applyAlignment="1">
      <alignment horizontal="center" vertical="center" wrapText="1"/>
    </xf>
    <xf numFmtId="3" fontId="58" fillId="22" borderId="28" xfId="2" applyNumberFormat="1" applyFont="1" applyFill="1" applyBorder="1" applyAlignment="1">
      <alignment horizontal="center" vertical="center"/>
    </xf>
    <xf numFmtId="3" fontId="58" fillId="22" borderId="25" xfId="2" applyNumberFormat="1" applyFont="1" applyFill="1" applyBorder="1" applyAlignment="1">
      <alignment horizontal="center" vertical="center"/>
    </xf>
  </cellXfs>
  <cellStyles count="11">
    <cellStyle name="Excel Built-in Normal" xfId="1"/>
    <cellStyle name="Excel Built-in Normal 2" xfId="2"/>
    <cellStyle name="Excel Built-in Normal 3" xfId="3"/>
    <cellStyle name="Обычный" xfId="0" builtinId="0"/>
    <cellStyle name="Обычный 2" xfId="4"/>
    <cellStyle name="Обычный 2 2" xfId="5"/>
    <cellStyle name="Обычный 3" xfId="6"/>
    <cellStyle name="Обычный 3 2" xfId="7"/>
    <cellStyle name="Обычный 4" xfId="8"/>
    <cellStyle name="Обычный 4 2" xfId="10"/>
    <cellStyle name="Обычный 5" xfId="9"/>
  </cellStyles>
  <dxfs count="15">
    <dxf>
      <font>
        <strike val="0"/>
        <color rgb="FFFFFFFF"/>
      </font>
    </dxf>
    <dxf>
      <font>
        <strike val="0"/>
        <color rgb="FFFFFFFF"/>
      </font>
    </dxf>
    <dxf>
      <font>
        <strike val="0"/>
        <color auto="1"/>
      </font>
      <fill>
        <patternFill>
          <bgColor theme="4" tint="0.39994506668294322"/>
        </patternFill>
      </fill>
    </dxf>
    <dxf>
      <font>
        <strike val="0"/>
        <color theme="0"/>
      </font>
    </dxf>
    <dxf>
      <font>
        <strike val="0"/>
        <color auto="1"/>
      </font>
      <fill>
        <patternFill>
          <bgColor theme="4" tint="0.39994506668294322"/>
        </patternFill>
      </fill>
    </dxf>
    <dxf>
      <font>
        <strike val="0"/>
        <color auto="1"/>
      </font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strike val="0"/>
        <color theme="0"/>
      </font>
      <fill>
        <patternFill>
          <bgColor theme="0"/>
        </patternFill>
      </fill>
    </dxf>
    <dxf>
      <font>
        <strike val="0"/>
        <color theme="0"/>
      </font>
    </dxf>
    <dxf>
      <font>
        <strike val="0"/>
        <color theme="0"/>
      </font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dri\Downloads\91426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dri/Downloads/91426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dri/Downloads/&#108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dri/Downloads/&#1075;&#1088;&#1072;&#1092;&#1080;&#1082;%20&#1089;&#1084;&#1077;&#1085;&#1085;&#1086;&#1089;&#1090;&#1080;%20&#1072;&#1074;&#1090;&#108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dri\Desktop\&#1075;&#1088;&#1072;&#1092;&#1080;&#1082;%20&#1089;&#1084;&#1077;&#1085;&#1085;&#1086;&#1089;&#1090;&#1080;%20&#1072;&#1074;&#1090;&#10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%20&#1089;&#1084;&#1077;&#1085;&#1085;&#1086;&#1089;&#1090;&#1080;%20&#1072;&#1074;&#1090;&#10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dri\Desktop\&#1079;&#1079;&#1079;%20(2019)%20&#1085;&#1086;&#1074;&#1099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dri\Desktop\&#1079;&#1079;&#1079;%20(2019)%20&#1085;&#1086;&#1074;&#1099;&#10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dri\Desktop\&#1079;&#1079;&#1079;%20(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О Сентябрь (2)"/>
      <sheetName val="СТО Сентябрь"/>
      <sheetName val="Лист1"/>
      <sheetName val="всяки"/>
      <sheetName val="Структура"/>
    </sheetNames>
    <sheetDataSet>
      <sheetData sheetId="0"/>
      <sheetData sheetId="1"/>
      <sheetData sheetId="2"/>
      <sheetData sheetId="3">
        <row r="1">
          <cell r="A1" t="str">
            <v>январь</v>
          </cell>
          <cell r="C1">
            <v>2010</v>
          </cell>
        </row>
        <row r="2">
          <cell r="A2" t="str">
            <v>февраль</v>
          </cell>
          <cell r="C2">
            <v>2011</v>
          </cell>
        </row>
        <row r="3">
          <cell r="A3" t="str">
            <v>март</v>
          </cell>
          <cell r="C3">
            <v>2012</v>
          </cell>
          <cell r="F3">
            <v>2012</v>
          </cell>
          <cell r="G3">
            <v>42005</v>
          </cell>
          <cell r="H3">
            <v>42128</v>
          </cell>
          <cell r="I3">
            <v>42128</v>
          </cell>
        </row>
        <row r="4">
          <cell r="A4" t="str">
            <v>апрель</v>
          </cell>
          <cell r="C4">
            <v>2013</v>
          </cell>
          <cell r="F4">
            <v>2013</v>
          </cell>
          <cell r="G4">
            <v>42006</v>
          </cell>
          <cell r="H4">
            <v>42135</v>
          </cell>
          <cell r="I4">
            <v>42135</v>
          </cell>
        </row>
        <row r="5">
          <cell r="A5" t="str">
            <v>май</v>
          </cell>
          <cell r="C5">
            <v>2014</v>
          </cell>
          <cell r="F5">
            <v>2014</v>
          </cell>
          <cell r="G5">
            <v>42007</v>
          </cell>
          <cell r="H5">
            <v>42007</v>
          </cell>
          <cell r="I5">
            <v>42007</v>
          </cell>
        </row>
        <row r="6">
          <cell r="A6" t="str">
            <v>июнь</v>
          </cell>
          <cell r="C6">
            <v>2015</v>
          </cell>
          <cell r="F6">
            <v>2015</v>
          </cell>
          <cell r="G6">
            <v>42008</v>
          </cell>
          <cell r="H6">
            <v>42008</v>
          </cell>
          <cell r="I6">
            <v>42008</v>
          </cell>
        </row>
        <row r="7">
          <cell r="A7" t="str">
            <v>июль</v>
          </cell>
          <cell r="C7">
            <v>2016</v>
          </cell>
          <cell r="F7">
            <v>2016</v>
          </cell>
          <cell r="G7">
            <v>42009</v>
          </cell>
          <cell r="H7">
            <v>42009</v>
          </cell>
          <cell r="I7">
            <v>42009</v>
          </cell>
        </row>
        <row r="8">
          <cell r="A8" t="str">
            <v>август</v>
          </cell>
          <cell r="C8">
            <v>2017</v>
          </cell>
          <cell r="F8">
            <v>2017</v>
          </cell>
          <cell r="G8">
            <v>42010</v>
          </cell>
          <cell r="H8">
            <v>42010</v>
          </cell>
          <cell r="I8">
            <v>42010</v>
          </cell>
        </row>
        <row r="9">
          <cell r="A9" t="str">
            <v>сентябрь</v>
          </cell>
          <cell r="C9">
            <v>2018</v>
          </cell>
          <cell r="F9">
            <v>2018</v>
          </cell>
          <cell r="G9">
            <v>42011</v>
          </cell>
          <cell r="H9">
            <v>42011</v>
          </cell>
          <cell r="I9">
            <v>42011</v>
          </cell>
        </row>
        <row r="10">
          <cell r="A10" t="str">
            <v>октябрь</v>
          </cell>
          <cell r="C10">
            <v>2019</v>
          </cell>
          <cell r="F10">
            <v>2019</v>
          </cell>
          <cell r="G10">
            <v>42012</v>
          </cell>
          <cell r="H10">
            <v>42012</v>
          </cell>
          <cell r="I10">
            <v>42012</v>
          </cell>
        </row>
        <row r="11">
          <cell r="A11" t="str">
            <v>ноябрь</v>
          </cell>
          <cell r="C11">
            <v>2020</v>
          </cell>
          <cell r="F11">
            <v>2020</v>
          </cell>
          <cell r="G11">
            <v>2020</v>
          </cell>
          <cell r="H11">
            <v>2020</v>
          </cell>
          <cell r="I11">
            <v>2020</v>
          </cell>
        </row>
        <row r="12">
          <cell r="A12" t="str">
            <v>декабрь</v>
          </cell>
          <cell r="C12">
            <v>2021</v>
          </cell>
          <cell r="F12">
            <v>42057</v>
          </cell>
          <cell r="G12">
            <v>42058</v>
          </cell>
          <cell r="H12">
            <v>42058</v>
          </cell>
          <cell r="I12">
            <v>42058</v>
          </cell>
        </row>
        <row r="13">
          <cell r="F13">
            <v>42070</v>
          </cell>
          <cell r="G13">
            <v>42071</v>
          </cell>
          <cell r="H13">
            <v>42071</v>
          </cell>
          <cell r="I13">
            <v>42071</v>
          </cell>
        </row>
        <row r="14">
          <cell r="F14">
            <v>42124</v>
          </cell>
          <cell r="G14">
            <v>42125</v>
          </cell>
          <cell r="H14">
            <v>42125</v>
          </cell>
          <cell r="I14">
            <v>42125</v>
          </cell>
        </row>
        <row r="15">
          <cell r="F15">
            <v>42132</v>
          </cell>
          <cell r="G15">
            <v>42133</v>
          </cell>
          <cell r="H15">
            <v>42133</v>
          </cell>
          <cell r="I15">
            <v>42133</v>
          </cell>
        </row>
        <row r="16">
          <cell r="F16">
            <v>42166</v>
          </cell>
          <cell r="G16">
            <v>42167</v>
          </cell>
          <cell r="H16">
            <v>42167</v>
          </cell>
          <cell r="I16">
            <v>42167</v>
          </cell>
        </row>
        <row r="17">
          <cell r="F17">
            <v>42311</v>
          </cell>
          <cell r="G17">
            <v>42312</v>
          </cell>
          <cell r="H17">
            <v>42312</v>
          </cell>
          <cell r="I17">
            <v>42312</v>
          </cell>
        </row>
        <row r="18">
          <cell r="F18">
            <v>42369</v>
          </cell>
          <cell r="G18">
            <v>42370</v>
          </cell>
          <cell r="H18">
            <v>42370</v>
          </cell>
          <cell r="I18">
            <v>42370</v>
          </cell>
        </row>
        <row r="19">
          <cell r="F19">
            <v>42370</v>
          </cell>
          <cell r="G19">
            <v>42312</v>
          </cell>
          <cell r="H19">
            <v>42312</v>
          </cell>
          <cell r="I19">
            <v>42312</v>
          </cell>
        </row>
        <row r="20">
          <cell r="F20">
            <v>42312</v>
          </cell>
          <cell r="G20">
            <v>42312</v>
          </cell>
          <cell r="H20">
            <v>42312</v>
          </cell>
          <cell r="I20">
            <v>42312</v>
          </cell>
        </row>
        <row r="21">
          <cell r="F21">
            <v>42312</v>
          </cell>
          <cell r="G21">
            <v>42312</v>
          </cell>
          <cell r="H21">
            <v>42312</v>
          </cell>
          <cell r="I21">
            <v>42312</v>
          </cell>
        </row>
        <row r="22">
          <cell r="F22">
            <v>42312</v>
          </cell>
          <cell r="G22">
            <v>42312</v>
          </cell>
          <cell r="H22">
            <v>42312</v>
          </cell>
          <cell r="I22">
            <v>42312</v>
          </cell>
        </row>
        <row r="23">
          <cell r="F23">
            <v>42312</v>
          </cell>
          <cell r="G23">
            <v>42312</v>
          </cell>
          <cell r="H23">
            <v>42312</v>
          </cell>
          <cell r="I23">
            <v>42312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ТО Сентябрь (2)"/>
      <sheetName val="СТО Сентябрь"/>
      <sheetName val="Лист1"/>
      <sheetName val="всяки"/>
      <sheetName val="Структура"/>
    </sheetNames>
    <sheetDataSet>
      <sheetData sheetId="0"/>
      <sheetData sheetId="1"/>
      <sheetData sheetId="2"/>
      <sheetData sheetId="3">
        <row r="1">
          <cell r="A1" t="str">
            <v>январь</v>
          </cell>
          <cell r="C1">
            <v>2010</v>
          </cell>
        </row>
        <row r="2">
          <cell r="A2" t="str">
            <v>февраль</v>
          </cell>
          <cell r="C2">
            <v>2011</v>
          </cell>
        </row>
        <row r="3">
          <cell r="A3" t="str">
            <v>март</v>
          </cell>
          <cell r="C3">
            <v>2012</v>
          </cell>
          <cell r="F3">
            <v>2012</v>
          </cell>
          <cell r="G3">
            <v>42005</v>
          </cell>
          <cell r="H3">
            <v>42128</v>
          </cell>
          <cell r="I3">
            <v>42128</v>
          </cell>
        </row>
        <row r="4">
          <cell r="A4" t="str">
            <v>апрель</v>
          </cell>
          <cell r="C4">
            <v>2013</v>
          </cell>
          <cell r="F4">
            <v>2013</v>
          </cell>
          <cell r="G4">
            <v>42006</v>
          </cell>
          <cell r="H4">
            <v>42135</v>
          </cell>
          <cell r="I4">
            <v>42135</v>
          </cell>
        </row>
        <row r="5">
          <cell r="A5" t="str">
            <v>май</v>
          </cell>
          <cell r="C5">
            <v>2014</v>
          </cell>
          <cell r="F5">
            <v>2014</v>
          </cell>
          <cell r="G5">
            <v>42007</v>
          </cell>
          <cell r="H5">
            <v>42007</v>
          </cell>
          <cell r="I5">
            <v>42007</v>
          </cell>
        </row>
        <row r="6">
          <cell r="A6" t="str">
            <v>июнь</v>
          </cell>
          <cell r="C6">
            <v>2015</v>
          </cell>
          <cell r="F6">
            <v>2015</v>
          </cell>
          <cell r="G6">
            <v>42008</v>
          </cell>
          <cell r="H6">
            <v>42008</v>
          </cell>
          <cell r="I6">
            <v>42008</v>
          </cell>
        </row>
        <row r="7">
          <cell r="A7" t="str">
            <v>июль</v>
          </cell>
          <cell r="C7">
            <v>2016</v>
          </cell>
          <cell r="F7">
            <v>2016</v>
          </cell>
          <cell r="G7">
            <v>42009</v>
          </cell>
          <cell r="H7">
            <v>42009</v>
          </cell>
          <cell r="I7">
            <v>42009</v>
          </cell>
        </row>
        <row r="8">
          <cell r="A8" t="str">
            <v>август</v>
          </cell>
          <cell r="C8">
            <v>2017</v>
          </cell>
          <cell r="F8">
            <v>2017</v>
          </cell>
          <cell r="G8">
            <v>42010</v>
          </cell>
          <cell r="H8">
            <v>42010</v>
          </cell>
          <cell r="I8">
            <v>42010</v>
          </cell>
        </row>
        <row r="9">
          <cell r="A9" t="str">
            <v>сентябрь</v>
          </cell>
          <cell r="C9">
            <v>2018</v>
          </cell>
          <cell r="F9">
            <v>2018</v>
          </cell>
          <cell r="G9">
            <v>42011</v>
          </cell>
          <cell r="H9">
            <v>42011</v>
          </cell>
          <cell r="I9">
            <v>42011</v>
          </cell>
        </row>
        <row r="10">
          <cell r="A10" t="str">
            <v>октябрь</v>
          </cell>
          <cell r="C10">
            <v>2019</v>
          </cell>
          <cell r="F10">
            <v>2019</v>
          </cell>
          <cell r="G10">
            <v>42012</v>
          </cell>
          <cell r="H10">
            <v>42012</v>
          </cell>
          <cell r="I10">
            <v>42012</v>
          </cell>
        </row>
        <row r="11">
          <cell r="A11" t="str">
            <v>ноябрь</v>
          </cell>
          <cell r="C11">
            <v>2020</v>
          </cell>
          <cell r="F11">
            <v>2020</v>
          </cell>
          <cell r="G11">
            <v>2020</v>
          </cell>
          <cell r="H11">
            <v>2020</v>
          </cell>
          <cell r="I11">
            <v>2020</v>
          </cell>
        </row>
        <row r="12">
          <cell r="A12" t="str">
            <v>декабрь</v>
          </cell>
          <cell r="C12">
            <v>2021</v>
          </cell>
          <cell r="F12">
            <v>42057</v>
          </cell>
          <cell r="G12">
            <v>42058</v>
          </cell>
          <cell r="H12">
            <v>42058</v>
          </cell>
          <cell r="I12">
            <v>42058</v>
          </cell>
        </row>
        <row r="13">
          <cell r="F13">
            <v>42070</v>
          </cell>
          <cell r="G13">
            <v>42071</v>
          </cell>
          <cell r="H13">
            <v>42071</v>
          </cell>
          <cell r="I13">
            <v>42071</v>
          </cell>
        </row>
        <row r="14">
          <cell r="F14">
            <v>42124</v>
          </cell>
          <cell r="G14">
            <v>42125</v>
          </cell>
          <cell r="H14">
            <v>42125</v>
          </cell>
          <cell r="I14">
            <v>42125</v>
          </cell>
        </row>
        <row r="15">
          <cell r="F15">
            <v>42132</v>
          </cell>
          <cell r="G15">
            <v>42133</v>
          </cell>
          <cell r="H15">
            <v>42133</v>
          </cell>
          <cell r="I15">
            <v>42133</v>
          </cell>
        </row>
        <row r="16">
          <cell r="F16">
            <v>42166</v>
          </cell>
          <cell r="G16">
            <v>42167</v>
          </cell>
          <cell r="H16">
            <v>42167</v>
          </cell>
          <cell r="I16">
            <v>42167</v>
          </cell>
        </row>
        <row r="17">
          <cell r="F17">
            <v>42311</v>
          </cell>
          <cell r="G17">
            <v>42312</v>
          </cell>
          <cell r="H17">
            <v>42312</v>
          </cell>
          <cell r="I17">
            <v>42312</v>
          </cell>
        </row>
        <row r="18">
          <cell r="F18">
            <v>42369</v>
          </cell>
          <cell r="G18">
            <v>42370</v>
          </cell>
          <cell r="H18">
            <v>42370</v>
          </cell>
          <cell r="I18">
            <v>42370</v>
          </cell>
        </row>
        <row r="19">
          <cell r="F19">
            <v>42370</v>
          </cell>
          <cell r="G19">
            <v>42312</v>
          </cell>
          <cell r="H19">
            <v>42312</v>
          </cell>
          <cell r="I19">
            <v>42312</v>
          </cell>
        </row>
        <row r="20">
          <cell r="F20">
            <v>42312</v>
          </cell>
          <cell r="G20">
            <v>42312</v>
          </cell>
          <cell r="H20">
            <v>42312</v>
          </cell>
          <cell r="I20">
            <v>42312</v>
          </cell>
        </row>
        <row r="21">
          <cell r="F21">
            <v>42312</v>
          </cell>
          <cell r="G21">
            <v>42312</v>
          </cell>
          <cell r="H21">
            <v>42312</v>
          </cell>
          <cell r="I21">
            <v>42312</v>
          </cell>
        </row>
        <row r="22">
          <cell r="F22">
            <v>42312</v>
          </cell>
          <cell r="G22">
            <v>42312</v>
          </cell>
          <cell r="H22">
            <v>42312</v>
          </cell>
          <cell r="I22">
            <v>42312</v>
          </cell>
        </row>
        <row r="23">
          <cell r="F23">
            <v>42312</v>
          </cell>
          <cell r="G23">
            <v>42312</v>
          </cell>
          <cell r="H23">
            <v>42312</v>
          </cell>
          <cell r="I23">
            <v>42312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отрудники"/>
      <sheetName val="август2018"/>
      <sheetName val="август"/>
      <sheetName val="январь"/>
      <sheetName val="февраль"/>
      <sheetName val="март"/>
      <sheetName val="апрель"/>
      <sheetName val="май"/>
      <sheetName val="июнь"/>
      <sheetName val="июль"/>
      <sheetName val="сентябрь"/>
      <sheetName val="октябрь"/>
      <sheetName val="декабрь"/>
      <sheetName val="ноябрь"/>
      <sheetName val="РАСЧЕТ"/>
    </sheetNames>
    <sheetDataSet>
      <sheetData sheetId="0">
        <row r="4">
          <cell r="C4" t="str">
            <v>технический директор</v>
          </cell>
        </row>
        <row r="5">
          <cell r="C5" t="str">
            <v>инспектор по кадрам</v>
          </cell>
        </row>
        <row r="6">
          <cell r="C6" t="str">
            <v>кассир</v>
          </cell>
        </row>
        <row r="7">
          <cell r="C7" t="str">
            <v>оператор</v>
          </cell>
        </row>
        <row r="8">
          <cell r="C8" t="str">
            <v>оператор</v>
          </cell>
        </row>
        <row r="9">
          <cell r="C9" t="str">
            <v>оператор</v>
          </cell>
        </row>
        <row r="10">
          <cell r="C10" t="str">
            <v>кладовщик</v>
          </cell>
        </row>
        <row r="11">
          <cell r="C11" t="str">
            <v>кладовщик</v>
          </cell>
        </row>
        <row r="12">
          <cell r="C12" t="str">
            <v>кладовщик</v>
          </cell>
        </row>
        <row r="13">
          <cell r="C13" t="str">
            <v>кладовщик</v>
          </cell>
        </row>
        <row r="14">
          <cell r="C14" t="str">
            <v>кладовщик</v>
          </cell>
        </row>
        <row r="15">
          <cell r="C15" t="str">
            <v>кладовщик</v>
          </cell>
        </row>
        <row r="16">
          <cell r="C16" t="str">
            <v>контролер склада</v>
          </cell>
        </row>
        <row r="17">
          <cell r="C17" t="str">
            <v>водитель</v>
          </cell>
        </row>
        <row r="18">
          <cell r="C18" t="str">
            <v>водитель-экспедитор</v>
          </cell>
        </row>
        <row r="19">
          <cell r="C19" t="str">
            <v>водитель-экспедитор</v>
          </cell>
        </row>
        <row r="20">
          <cell r="C20" t="str">
            <v>водитель-экспедитор</v>
          </cell>
        </row>
        <row r="21">
          <cell r="C21" t="str">
            <v>водитель-экспедитор</v>
          </cell>
        </row>
        <row r="22">
          <cell r="C22" t="str">
            <v>водитель-экспедитор</v>
          </cell>
        </row>
        <row r="23">
          <cell r="C23" t="str">
            <v>водитель-экспедитор</v>
          </cell>
        </row>
        <row r="24">
          <cell r="C24" t="str">
            <v>водитель-экспедитор</v>
          </cell>
        </row>
        <row r="25">
          <cell r="C25" t="str">
            <v>водитель-экспедитор</v>
          </cell>
        </row>
        <row r="26">
          <cell r="C26" t="str">
            <v>водитель-экспедитор</v>
          </cell>
        </row>
        <row r="27">
          <cell r="C27" t="str">
            <v>водитель-экспедитор</v>
          </cell>
        </row>
        <row r="28">
          <cell r="C28" t="str">
            <v>водитель-экспедитор</v>
          </cell>
        </row>
        <row r="29">
          <cell r="C29" t="str">
            <v>карщик</v>
          </cell>
        </row>
        <row r="30">
          <cell r="C30" t="str">
            <v>грузчик-экспедитор</v>
          </cell>
        </row>
        <row r="31">
          <cell r="C31" t="str">
            <v>грузчик-экспедитор</v>
          </cell>
        </row>
        <row r="32">
          <cell r="C32" t="str">
            <v>грузчик-экспедитор</v>
          </cell>
        </row>
        <row r="33">
          <cell r="C33" t="str">
            <v>грузчик-комплектовщик</v>
          </cell>
        </row>
        <row r="34">
          <cell r="C34" t="str">
            <v>грузчик-комплектовщик</v>
          </cell>
        </row>
        <row r="35">
          <cell r="C35" t="str">
            <v>грузчик-комплектовщик</v>
          </cell>
        </row>
        <row r="36">
          <cell r="C36" t="str">
            <v>грузчик-комплектовщик</v>
          </cell>
        </row>
        <row r="37">
          <cell r="C37" t="str">
            <v>грузчик-комплектовщик</v>
          </cell>
        </row>
        <row r="38">
          <cell r="C38" t="str">
            <v>грузчик-комплектовщик</v>
          </cell>
        </row>
        <row r="39">
          <cell r="C39" t="str">
            <v>грузчик-комплектовщик</v>
          </cell>
        </row>
        <row r="40">
          <cell r="C40" t="str">
            <v>грузчик-комплектовщик</v>
          </cell>
        </row>
        <row r="41">
          <cell r="C41" t="str">
            <v>грузчик-комплектовщик</v>
          </cell>
        </row>
        <row r="42">
          <cell r="C42" t="str">
            <v>грузчик-комплектовщик</v>
          </cell>
        </row>
        <row r="43">
          <cell r="C43" t="str">
            <v>грузчик-комплектовщик</v>
          </cell>
        </row>
        <row r="44">
          <cell r="C44" t="str">
            <v>грузчик-комплектовщик</v>
          </cell>
        </row>
        <row r="45">
          <cell r="C45" t="str">
            <v>грузчик-комплектовщик</v>
          </cell>
        </row>
        <row r="46">
          <cell r="C46" t="str">
            <v>грузчик-комплектовщик</v>
          </cell>
        </row>
        <row r="47">
          <cell r="C47" t="str">
            <v>грузчик-комплектовщик</v>
          </cell>
        </row>
        <row r="48">
          <cell r="C48" t="str">
            <v>грузчик-комплектовщик</v>
          </cell>
        </row>
        <row r="49">
          <cell r="C49" t="str">
            <v>грузчик-комплектовщик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5">
          <cell r="AT25" t="str">
            <v>пн</v>
          </cell>
        </row>
        <row r="26">
          <cell r="AT26" t="str">
            <v>вт</v>
          </cell>
        </row>
        <row r="27">
          <cell r="AT27" t="str">
            <v>ср</v>
          </cell>
        </row>
        <row r="28">
          <cell r="AT28" t="str">
            <v>чт</v>
          </cell>
        </row>
        <row r="29">
          <cell r="AT29" t="str">
            <v>пт</v>
          </cell>
        </row>
        <row r="30">
          <cell r="AT30" t="str">
            <v>сб</v>
          </cell>
        </row>
        <row r="31">
          <cell r="AT31" t="str">
            <v>вс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7">
          <cell r="AT27" t="str">
            <v>пн</v>
          </cell>
        </row>
        <row r="29">
          <cell r="AT29" t="str">
            <v>ср</v>
          </cell>
        </row>
        <row r="30">
          <cell r="AT30" t="str">
            <v>чт</v>
          </cell>
        </row>
        <row r="31">
          <cell r="AT31" t="str">
            <v>пт</v>
          </cell>
        </row>
        <row r="32">
          <cell r="AT32" t="str">
            <v>сб</v>
          </cell>
        </row>
        <row r="33">
          <cell r="AT33" t="str">
            <v>вс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7">
          <cell r="AT27" t="str">
            <v>пн</v>
          </cell>
        </row>
        <row r="28">
          <cell r="AT28" t="str">
            <v>вт</v>
          </cell>
        </row>
        <row r="29">
          <cell r="AT29" t="str">
            <v>ср</v>
          </cell>
        </row>
        <row r="30">
          <cell r="AT30" t="str">
            <v>чт</v>
          </cell>
        </row>
        <row r="31">
          <cell r="AT31" t="str">
            <v>пт</v>
          </cell>
        </row>
        <row r="32">
          <cell r="AT32" t="str">
            <v>сб</v>
          </cell>
        </row>
        <row r="33">
          <cell r="AT33" t="str">
            <v>вс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Штатное расписание"/>
      <sheetName val="основной"/>
      <sheetName val="декабрь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Шаблон табе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E1">
            <v>0</v>
          </cell>
        </row>
        <row r="2">
          <cell r="B2" t="str">
            <v>август 2019</v>
          </cell>
          <cell r="C2">
            <v>0</v>
          </cell>
          <cell r="E2">
            <v>0</v>
          </cell>
        </row>
        <row r="3">
          <cell r="C3">
            <v>0</v>
          </cell>
          <cell r="D3">
            <v>0</v>
          </cell>
          <cell r="F3">
            <v>0</v>
          </cell>
          <cell r="G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F4">
            <v>0</v>
          </cell>
          <cell r="G4">
            <v>0</v>
          </cell>
        </row>
        <row r="5">
          <cell r="B5" t="str">
            <v>Норма дней/ часов</v>
          </cell>
          <cell r="C5">
            <v>22</v>
          </cell>
          <cell r="D5">
            <v>176</v>
          </cell>
        </row>
        <row r="6">
          <cell r="B6" t="str">
            <v xml:space="preserve">{ФИО}  </v>
          </cell>
          <cell r="C6" t="str">
            <v>{оклад}</v>
          </cell>
          <cell r="D6" t="str">
            <v>{премия}</v>
          </cell>
          <cell r="E6" t="str">
            <v>{отработано}</v>
          </cell>
          <cell r="F6" t="str">
            <v>{оклад за час в день}</v>
          </cell>
          <cell r="G6" t="str">
            <v>{Начислено оклад}</v>
          </cell>
        </row>
        <row r="7">
          <cell r="B7" t="str">
            <v>Технический директор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Жаксыбаев Серик Жумабаевич</v>
          </cell>
          <cell r="C8">
            <v>200000</v>
          </cell>
          <cell r="D8">
            <v>0</v>
          </cell>
          <cell r="E8" t="str">
            <v xml:space="preserve">22 дн / 176 ч </v>
          </cell>
          <cell r="F8">
            <v>1136.3636363636363</v>
          </cell>
          <cell r="G8">
            <v>199999.99999999997</v>
          </cell>
          <cell r="H8">
            <v>0</v>
          </cell>
          <cell r="I8">
            <v>0</v>
          </cell>
        </row>
        <row r="9">
          <cell r="B9" t="str">
            <v>Инспектор по кадрам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 t="str">
            <v>Пономарёва Галина Юрьевна</v>
          </cell>
          <cell r="C10">
            <v>100000</v>
          </cell>
          <cell r="D10">
            <v>0</v>
          </cell>
          <cell r="E10" t="str">
            <v xml:space="preserve">23 дн / 184 ч </v>
          </cell>
          <cell r="F10">
            <v>568.18181818181813</v>
          </cell>
          <cell r="G10">
            <v>104545.45454545453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 t="str">
            <v xml:space="preserve"> ДН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Кассир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Васильченко Вера Анатольевна</v>
          </cell>
          <cell r="C13">
            <v>130000</v>
          </cell>
          <cell r="D13">
            <v>0</v>
          </cell>
          <cell r="E13" t="str">
            <v xml:space="preserve">22 дн / 176 ч </v>
          </cell>
          <cell r="F13">
            <v>738.63636363636363</v>
          </cell>
          <cell r="G13">
            <v>130000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 t="str">
            <v>Оператор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Комарницкая Мария Сергеевна</v>
          </cell>
          <cell r="C16">
            <v>110000</v>
          </cell>
          <cell r="D16">
            <v>0</v>
          </cell>
          <cell r="E16" t="str">
            <v xml:space="preserve">17 дн / 136 ч </v>
          </cell>
          <cell r="F16">
            <v>625</v>
          </cell>
          <cell r="G16">
            <v>85000</v>
          </cell>
          <cell r="H16">
            <v>0</v>
          </cell>
          <cell r="I16">
            <v>0</v>
          </cell>
        </row>
        <row r="17">
          <cell r="B17" t="str">
            <v>доплата оператор 25%</v>
          </cell>
          <cell r="C17">
            <v>0</v>
          </cell>
          <cell r="D17">
            <v>0</v>
          </cell>
          <cell r="E17" t="str">
            <v>10 ДН</v>
          </cell>
          <cell r="F17">
            <v>0</v>
          </cell>
          <cell r="G17">
            <v>0</v>
          </cell>
          <cell r="H17">
            <v>27500</v>
          </cell>
          <cell r="I17">
            <v>0</v>
          </cell>
        </row>
        <row r="18">
          <cell r="B18" t="str">
            <v>Конькова Татьяна Владимировна</v>
          </cell>
          <cell r="C18">
            <v>110000</v>
          </cell>
          <cell r="D18">
            <v>0</v>
          </cell>
          <cell r="E18" t="str">
            <v xml:space="preserve">22 дн / 176 ч </v>
          </cell>
          <cell r="F18">
            <v>625</v>
          </cell>
          <cell r="G18">
            <v>110000</v>
          </cell>
          <cell r="H18">
            <v>0</v>
          </cell>
          <cell r="I18">
            <v>0</v>
          </cell>
        </row>
        <row r="19">
          <cell r="B19" t="str">
            <v>доплата оператор 25%</v>
          </cell>
          <cell r="C19">
            <v>0</v>
          </cell>
          <cell r="D19">
            <v>0</v>
          </cell>
          <cell r="E19" t="str">
            <v>15 ДН</v>
          </cell>
          <cell r="F19">
            <v>0</v>
          </cell>
          <cell r="G19">
            <v>0</v>
          </cell>
          <cell r="H19">
            <v>41250</v>
          </cell>
          <cell r="I19">
            <v>0</v>
          </cell>
        </row>
        <row r="20">
          <cell r="B20" t="str">
            <v>Крылова Алёна Александровна</v>
          </cell>
          <cell r="C20">
            <v>110000</v>
          </cell>
          <cell r="D20">
            <v>0</v>
          </cell>
          <cell r="E20" t="str">
            <v xml:space="preserve">12 дн / 96 ч </v>
          </cell>
          <cell r="F20">
            <v>625</v>
          </cell>
          <cell r="G20">
            <v>60000</v>
          </cell>
          <cell r="H20">
            <v>0</v>
          </cell>
          <cell r="I20">
            <v>0</v>
          </cell>
        </row>
        <row r="21">
          <cell r="B21" t="str">
            <v>доплата оператор 25%</v>
          </cell>
          <cell r="C21">
            <v>0</v>
          </cell>
          <cell r="D21">
            <v>0</v>
          </cell>
          <cell r="E21" t="str">
            <v>5 ДН</v>
          </cell>
          <cell r="F21">
            <v>0</v>
          </cell>
          <cell r="G21">
            <v>0</v>
          </cell>
          <cell r="H21">
            <v>13750</v>
          </cell>
          <cell r="I21">
            <v>0</v>
          </cell>
        </row>
        <row r="22">
          <cell r="B22" t="str">
            <v>Петропавловск</v>
          </cell>
          <cell r="C22" t="str">
            <v>тариф</v>
          </cell>
          <cell r="D22">
            <v>2272.7272727272725</v>
          </cell>
          <cell r="E22">
            <v>0</v>
          </cell>
          <cell r="F22" t="str">
            <v>кол-во чел. с доплатой без кладовщиков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>кол-во отсутствующ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>сумма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 t="str">
            <v>Петрова Валентина Константиновна</v>
          </cell>
          <cell r="C26">
            <v>115000</v>
          </cell>
          <cell r="D26">
            <v>0</v>
          </cell>
          <cell r="E26" t="str">
            <v xml:space="preserve">24 дн / 192 ч </v>
          </cell>
          <cell r="F26">
            <v>653.40909090909088</v>
          </cell>
          <cell r="G26">
            <v>125454.54545454544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Касымов Дияз Ерболович</v>
          </cell>
          <cell r="C28">
            <v>50000</v>
          </cell>
          <cell r="D28">
            <v>30000</v>
          </cell>
          <cell r="E28" t="str">
            <v xml:space="preserve">23 дн / 184 ч </v>
          </cell>
          <cell r="F28">
            <v>284.09090909090907</v>
          </cell>
          <cell r="G28">
            <v>52272.727272727265</v>
          </cell>
          <cell r="H28">
            <v>0</v>
          </cell>
          <cell r="I28">
            <v>0</v>
          </cell>
        </row>
        <row r="29">
          <cell r="B29" t="str">
            <v xml:space="preserve">доплата за груз </v>
          </cell>
          <cell r="C29">
            <v>0</v>
          </cell>
          <cell r="D29">
            <v>0</v>
          </cell>
          <cell r="E29" t="str">
            <v>6 дн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 t="str">
            <v>Карель Андрей Андреевич</v>
          </cell>
          <cell r="C31">
            <v>50000</v>
          </cell>
          <cell r="D31">
            <v>30000</v>
          </cell>
          <cell r="E31" t="str">
            <v xml:space="preserve">16 дн / 128 ч </v>
          </cell>
          <cell r="F31">
            <v>284.09090909090907</v>
          </cell>
          <cell r="G31">
            <v>36363.63636363636</v>
          </cell>
          <cell r="H31">
            <v>0</v>
          </cell>
          <cell r="I31">
            <v>0</v>
          </cell>
        </row>
        <row r="32">
          <cell r="B32" t="str">
            <v>экспедитор</v>
          </cell>
          <cell r="C32">
            <v>50000</v>
          </cell>
          <cell r="D32">
            <v>50000</v>
          </cell>
          <cell r="E32" t="str">
            <v xml:space="preserve">0 дн / 0 ч </v>
          </cell>
          <cell r="F32">
            <v>284.09090909090907</v>
          </cell>
          <cell r="G32">
            <v>0</v>
          </cell>
          <cell r="H32">
            <v>0</v>
          </cell>
          <cell r="I32">
            <v>0</v>
          </cell>
        </row>
        <row r="33">
          <cell r="B33" t="str">
            <v>регион</v>
          </cell>
          <cell r="C33">
            <v>60000</v>
          </cell>
          <cell r="D33">
            <v>40000</v>
          </cell>
          <cell r="E33" t="str">
            <v xml:space="preserve">0 дн / 0 ч </v>
          </cell>
          <cell r="F33">
            <v>340.90909090909093</v>
          </cell>
          <cell r="G33">
            <v>0</v>
          </cell>
          <cell r="H33">
            <v>0</v>
          </cell>
          <cell r="I33">
            <v>0</v>
          </cell>
        </row>
        <row r="34">
          <cell r="B34" t="str">
            <v>Доставка город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 t="str">
            <v>Абишев Маулен Токтасынович</v>
          </cell>
          <cell r="C35">
            <v>110000</v>
          </cell>
          <cell r="D35">
            <v>40000</v>
          </cell>
          <cell r="E35" t="str">
            <v xml:space="preserve">11 дн / 88 ч </v>
          </cell>
          <cell r="F35">
            <v>625</v>
          </cell>
          <cell r="G35">
            <v>55000</v>
          </cell>
          <cell r="H35">
            <v>0</v>
          </cell>
          <cell r="I35">
            <v>0</v>
          </cell>
        </row>
        <row r="36">
          <cell r="B36" t="str">
            <v>водитель-экспедитор</v>
          </cell>
          <cell r="C36">
            <v>130000</v>
          </cell>
          <cell r="D36">
            <v>40000</v>
          </cell>
          <cell r="E36" t="str">
            <v xml:space="preserve">1 дн / 8 ч </v>
          </cell>
          <cell r="F36">
            <v>738.63636363636363</v>
          </cell>
          <cell r="G36">
            <v>5909.090909090909</v>
          </cell>
          <cell r="H36">
            <v>0</v>
          </cell>
          <cell r="I36">
            <v>0</v>
          </cell>
        </row>
        <row r="37">
          <cell r="B37" t="str">
            <v>Ибрагимов Кайырболат Канатович</v>
          </cell>
          <cell r="C37">
            <v>50000</v>
          </cell>
          <cell r="D37">
            <v>50000</v>
          </cell>
          <cell r="E37" t="str">
            <v xml:space="preserve">10 дн / 80 ч </v>
          </cell>
          <cell r="F37">
            <v>284.09090909090907</v>
          </cell>
          <cell r="G37">
            <v>22727.272727272724</v>
          </cell>
          <cell r="H37">
            <v>0</v>
          </cell>
          <cell r="I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Жавраев Виктор Валерьевич</v>
          </cell>
          <cell r="C39">
            <v>130000</v>
          </cell>
          <cell r="D39">
            <v>40000</v>
          </cell>
          <cell r="E39" t="str">
            <v xml:space="preserve">22 дн / 176 ч </v>
          </cell>
          <cell r="F39">
            <v>738.63636363636363</v>
          </cell>
          <cell r="G39">
            <v>130000</v>
          </cell>
          <cell r="H39">
            <v>0</v>
          </cell>
          <cell r="I39">
            <v>0</v>
          </cell>
        </row>
        <row r="40">
          <cell r="B40" t="str">
            <v>доплата за грузчика</v>
          </cell>
          <cell r="C40">
            <v>3000</v>
          </cell>
          <cell r="D40">
            <v>0</v>
          </cell>
          <cell r="E40" t="str">
            <v>17 дн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 t="str">
            <v xml:space="preserve"> дн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 t="str">
            <v>Родичева Валентина Александровна</v>
          </cell>
          <cell r="C42">
            <v>50000</v>
          </cell>
          <cell r="D42">
            <v>20000</v>
          </cell>
          <cell r="E42" t="str">
            <v xml:space="preserve">5 дн / 40 ч </v>
          </cell>
          <cell r="F42">
            <v>284.09090909090907</v>
          </cell>
          <cell r="G42">
            <v>11363.636363636362</v>
          </cell>
          <cell r="H42">
            <v>0</v>
          </cell>
          <cell r="I42">
            <v>0</v>
          </cell>
        </row>
        <row r="43">
          <cell r="B43" t="str">
            <v>кладовщик рахат</v>
          </cell>
          <cell r="C43">
            <v>115000</v>
          </cell>
          <cell r="D43">
            <v>0</v>
          </cell>
          <cell r="E43" t="str">
            <v xml:space="preserve">0 дн / 0 ч </v>
          </cell>
          <cell r="F43">
            <v>653.40909090909088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Броженко Евгений Вячеславович</v>
          </cell>
          <cell r="C44">
            <v>100000</v>
          </cell>
          <cell r="D44">
            <v>40000</v>
          </cell>
          <cell r="E44" t="str">
            <v xml:space="preserve">22 дн / 176 ч </v>
          </cell>
          <cell r="F44">
            <v>568.18181818181813</v>
          </cell>
          <cell r="G44">
            <v>99999.999999999985</v>
          </cell>
          <cell r="H44">
            <v>0</v>
          </cell>
          <cell r="I44">
            <v>0</v>
          </cell>
        </row>
        <row r="45">
          <cell r="B45" t="str">
            <v>доплата за грузчика</v>
          </cell>
          <cell r="C45">
            <v>3000</v>
          </cell>
          <cell r="D45">
            <v>0</v>
          </cell>
          <cell r="E45" t="str">
            <v>3 дн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 t="str">
            <v>Валивач Дмитрий Михайлович</v>
          </cell>
          <cell r="C46">
            <v>50000</v>
          </cell>
          <cell r="D46">
            <v>20000</v>
          </cell>
          <cell r="E46" t="str">
            <v xml:space="preserve">8 дн / 64 ч </v>
          </cell>
          <cell r="F46">
            <v>284.09090909090907</v>
          </cell>
          <cell r="G46">
            <v>18181.81818181818</v>
          </cell>
          <cell r="H46">
            <v>0</v>
          </cell>
          <cell r="I46">
            <v>0</v>
          </cell>
        </row>
        <row r="47">
          <cell r="B47" t="str">
            <v>Муталапов Ерлан Толегенович</v>
          </cell>
          <cell r="C47">
            <v>70000</v>
          </cell>
          <cell r="D47">
            <v>0</v>
          </cell>
          <cell r="E47" t="str">
            <v xml:space="preserve">7 дн / 56 ч </v>
          </cell>
          <cell r="F47">
            <v>397.72727272727275</v>
          </cell>
          <cell r="G47">
            <v>22272.727272727272</v>
          </cell>
          <cell r="H47">
            <v>0</v>
          </cell>
          <cell r="I47">
            <v>22272.727272727272</v>
          </cell>
        </row>
        <row r="48">
          <cell r="B48" t="str">
            <v>эспедитор</v>
          </cell>
          <cell r="C48">
            <v>100000</v>
          </cell>
          <cell r="D48">
            <v>0</v>
          </cell>
          <cell r="E48" t="str">
            <v xml:space="preserve">0 дн / 0 ч </v>
          </cell>
          <cell r="F48">
            <v>568.18181818181813</v>
          </cell>
          <cell r="G48">
            <v>0</v>
          </cell>
          <cell r="H48">
            <v>0</v>
          </cell>
        </row>
        <row r="49">
          <cell r="B49" t="str">
            <v>доставка вода</v>
          </cell>
          <cell r="C49">
            <v>90000</v>
          </cell>
          <cell r="D49">
            <v>0</v>
          </cell>
          <cell r="E49" t="str">
            <v xml:space="preserve">0 дн / 0 ч </v>
          </cell>
          <cell r="F49">
            <v>511.36363636363637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на руки  мин.зарплату</v>
          </cell>
          <cell r="C50">
            <v>42500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Жук Сергей Геннадьевич</v>
          </cell>
          <cell r="C51">
            <v>100000</v>
          </cell>
          <cell r="D51">
            <v>40000</v>
          </cell>
          <cell r="E51" t="str">
            <v xml:space="preserve">21 дн / 168 ч </v>
          </cell>
          <cell r="F51">
            <v>568.18181818181813</v>
          </cell>
          <cell r="G51">
            <v>95454.545454545441</v>
          </cell>
          <cell r="H51">
            <v>0</v>
          </cell>
          <cell r="I51">
            <v>0</v>
          </cell>
        </row>
        <row r="52">
          <cell r="B52" t="str">
            <v>доплата за грузчика</v>
          </cell>
          <cell r="C52">
            <v>3000</v>
          </cell>
          <cell r="D52">
            <v>0</v>
          </cell>
          <cell r="E52" t="str">
            <v>18 дн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 t="str">
            <v>ремонт</v>
          </cell>
          <cell r="C53">
            <v>100000</v>
          </cell>
          <cell r="D53">
            <v>0</v>
          </cell>
          <cell r="E53" t="str">
            <v>1 дн</v>
          </cell>
          <cell r="F53">
            <v>568.18181818181813</v>
          </cell>
          <cell r="G53">
            <v>4545.454545454545</v>
          </cell>
          <cell r="H53">
            <v>0</v>
          </cell>
          <cell r="I53">
            <v>0</v>
          </cell>
        </row>
        <row r="54">
          <cell r="B54" t="str">
            <v>Климов Никита</v>
          </cell>
          <cell r="C54">
            <v>50000</v>
          </cell>
          <cell r="D54">
            <v>20000</v>
          </cell>
          <cell r="E54" t="str">
            <v xml:space="preserve">0 дн / 0 ч </v>
          </cell>
          <cell r="F54">
            <v>284.09090909090907</v>
          </cell>
          <cell r="G54">
            <v>0</v>
          </cell>
          <cell r="H54">
            <v>0</v>
          </cell>
          <cell r="I54">
            <v>0</v>
          </cell>
        </row>
        <row r="55">
          <cell r="B55" t="str">
            <v>склад петропавловск</v>
          </cell>
          <cell r="C55">
            <v>50000</v>
          </cell>
          <cell r="D55">
            <v>30000</v>
          </cell>
          <cell r="E55" t="str">
            <v xml:space="preserve">2 дн / 16 ч </v>
          </cell>
          <cell r="F55">
            <v>284.09090909090907</v>
          </cell>
          <cell r="G55">
            <v>4545.454545454545</v>
          </cell>
          <cell r="H55">
            <v>0</v>
          </cell>
          <cell r="I55">
            <v>0</v>
          </cell>
        </row>
        <row r="56">
          <cell r="B56" t="str">
            <v>Петров Евгений Валентинович</v>
          </cell>
          <cell r="C56">
            <v>50000</v>
          </cell>
          <cell r="D56">
            <v>20000</v>
          </cell>
          <cell r="E56" t="str">
            <v xml:space="preserve">6 дн / 48 ч </v>
          </cell>
          <cell r="F56">
            <v>284.09090909090907</v>
          </cell>
          <cell r="G56">
            <v>13636.363636363636</v>
          </cell>
          <cell r="H56">
            <v>0</v>
          </cell>
          <cell r="I56">
            <v>0</v>
          </cell>
        </row>
        <row r="57">
          <cell r="B57" t="str">
            <v>доставка вода</v>
          </cell>
          <cell r="C57">
            <v>60000</v>
          </cell>
          <cell r="D57">
            <v>30000</v>
          </cell>
          <cell r="E57" t="str">
            <v xml:space="preserve">1 дн / 8 ч </v>
          </cell>
          <cell r="F57">
            <v>340.90909090909093</v>
          </cell>
          <cell r="G57">
            <v>2727.2727272727275</v>
          </cell>
          <cell r="H57">
            <v>0</v>
          </cell>
          <cell r="I57">
            <v>0</v>
          </cell>
        </row>
        <row r="58">
          <cell r="B58" t="str">
            <v>вода</v>
          </cell>
          <cell r="C58">
            <v>50000</v>
          </cell>
          <cell r="D58">
            <v>30000</v>
          </cell>
          <cell r="E58" t="str">
            <v xml:space="preserve">1 дн / 8 ч </v>
          </cell>
          <cell r="F58">
            <v>284.09090909090907</v>
          </cell>
          <cell r="G58">
            <v>2272.7272727272725</v>
          </cell>
          <cell r="H58">
            <v>0</v>
          </cell>
          <cell r="I58">
            <v>0</v>
          </cell>
        </row>
        <row r="59">
          <cell r="B59" t="str">
            <v>доплата за гр</v>
          </cell>
          <cell r="C59">
            <v>0</v>
          </cell>
          <cell r="D59">
            <v>0</v>
          </cell>
          <cell r="E59" t="str">
            <v>0 дн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B60" t="str">
            <v>Захаров  Александр Владимирович</v>
          </cell>
          <cell r="C60">
            <v>110000</v>
          </cell>
          <cell r="D60">
            <v>40000</v>
          </cell>
          <cell r="E60" t="str">
            <v xml:space="preserve">21 дн / 168 ч </v>
          </cell>
          <cell r="F60">
            <v>625</v>
          </cell>
          <cell r="G60">
            <v>105000</v>
          </cell>
          <cell r="H60">
            <v>0</v>
          </cell>
          <cell r="I60">
            <v>0</v>
          </cell>
        </row>
        <row r="61">
          <cell r="B61" t="str">
            <v>ремонт</v>
          </cell>
          <cell r="C61">
            <v>110000</v>
          </cell>
          <cell r="D61">
            <v>0</v>
          </cell>
          <cell r="E61" t="str">
            <v>1 дн</v>
          </cell>
          <cell r="F61">
            <v>625</v>
          </cell>
          <cell r="G61">
            <v>5000</v>
          </cell>
          <cell r="H61">
            <v>0</v>
          </cell>
          <cell r="I61">
            <v>0</v>
          </cell>
        </row>
        <row r="62">
          <cell r="B62" t="str">
            <v>Кужанов Раимбек Джасланович</v>
          </cell>
          <cell r="C62">
            <v>50000</v>
          </cell>
          <cell r="D62">
            <v>50000</v>
          </cell>
          <cell r="E62" t="str">
            <v xml:space="preserve">22 дн / 176 ч </v>
          </cell>
          <cell r="F62">
            <v>284.09090909090907</v>
          </cell>
          <cell r="G62">
            <v>49999.999999999993</v>
          </cell>
          <cell r="H62">
            <v>0</v>
          </cell>
          <cell r="I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Пархамчук Дмитрий Викторович</v>
          </cell>
          <cell r="C64">
            <v>100000</v>
          </cell>
          <cell r="D64">
            <v>40000</v>
          </cell>
          <cell r="E64" t="str">
            <v xml:space="preserve">20 дн / 160 ч </v>
          </cell>
          <cell r="F64">
            <v>568.18181818181813</v>
          </cell>
          <cell r="G64">
            <v>90909.090909090897</v>
          </cell>
          <cell r="H64">
            <v>0</v>
          </cell>
          <cell r="I64">
            <v>0</v>
          </cell>
        </row>
        <row r="65">
          <cell r="B65" t="str">
            <v>доплата за грузчика</v>
          </cell>
          <cell r="C65">
            <v>3000</v>
          </cell>
          <cell r="D65">
            <v>0</v>
          </cell>
          <cell r="E65" t="str">
            <v>3 дн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B66" t="str">
            <v>экспедитор</v>
          </cell>
          <cell r="C66">
            <v>50000</v>
          </cell>
          <cell r="D66">
            <v>50000</v>
          </cell>
          <cell r="E66" t="str">
            <v xml:space="preserve">2 дн / 16 ч </v>
          </cell>
          <cell r="F66">
            <v>284.09090909090907</v>
          </cell>
          <cell r="G66">
            <v>4545.454545454545</v>
          </cell>
          <cell r="H66">
            <v>0</v>
          </cell>
          <cell r="I66">
            <v>0</v>
          </cell>
        </row>
        <row r="67">
          <cell r="B67" t="str">
            <v>Володин Михаил Владимирович</v>
          </cell>
          <cell r="C67">
            <v>50000</v>
          </cell>
          <cell r="D67">
            <v>20000</v>
          </cell>
          <cell r="E67" t="str">
            <v xml:space="preserve">19 дн / 152 ч </v>
          </cell>
          <cell r="F67">
            <v>284.09090909090907</v>
          </cell>
          <cell r="G67">
            <v>43181.818181818177</v>
          </cell>
          <cell r="H67">
            <v>0</v>
          </cell>
          <cell r="I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Романцов Роман Владимирович</v>
          </cell>
          <cell r="C69">
            <v>130000</v>
          </cell>
          <cell r="D69">
            <v>40000</v>
          </cell>
          <cell r="E69" t="str">
            <v xml:space="preserve">23 дн / 184 ч </v>
          </cell>
          <cell r="F69">
            <v>738.63636363636363</v>
          </cell>
          <cell r="G69">
            <v>135909.09090909091</v>
          </cell>
          <cell r="H69">
            <v>0</v>
          </cell>
          <cell r="I69">
            <v>0</v>
          </cell>
        </row>
        <row r="70">
          <cell r="B70" t="str">
            <v>доплата за грузчика</v>
          </cell>
          <cell r="C70">
            <v>2272.7272727272725</v>
          </cell>
          <cell r="D70">
            <v>0</v>
          </cell>
          <cell r="E70" t="str">
            <v>0 дн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B71" t="str">
            <v>переработка</v>
          </cell>
          <cell r="C71">
            <v>1000</v>
          </cell>
          <cell r="D71">
            <v>0</v>
          </cell>
          <cell r="E71" t="str">
            <v xml:space="preserve"> дн</v>
          </cell>
          <cell r="F71">
            <v>0</v>
          </cell>
          <cell r="G71">
            <v>0</v>
          </cell>
          <cell r="H71">
            <v>0</v>
          </cell>
        </row>
        <row r="72">
          <cell r="B72" t="str">
            <v>Иляхин Владислав Анатольевич</v>
          </cell>
          <cell r="C72">
            <v>50000</v>
          </cell>
          <cell r="D72">
            <v>20000</v>
          </cell>
          <cell r="E72" t="str">
            <v xml:space="preserve">22 дн / 176 ч </v>
          </cell>
          <cell r="F72">
            <v>284.09090909090907</v>
          </cell>
          <cell r="G72">
            <v>49999.999999999993</v>
          </cell>
          <cell r="H72">
            <v>0</v>
          </cell>
          <cell r="I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B74" t="str">
            <v>Сороченко Леонид Михайлович</v>
          </cell>
          <cell r="C74">
            <v>130000</v>
          </cell>
          <cell r="D74">
            <v>40000</v>
          </cell>
          <cell r="E74" t="str">
            <v xml:space="preserve">23 дн / 184 ч </v>
          </cell>
          <cell r="F74">
            <v>738.63636363636363</v>
          </cell>
          <cell r="G74">
            <v>135909.09090909091</v>
          </cell>
          <cell r="H74">
            <v>0</v>
          </cell>
          <cell r="I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B76" t="str">
            <v>Иванов  Николай Александрович</v>
          </cell>
          <cell r="C76">
            <v>50000</v>
          </cell>
          <cell r="D76">
            <v>20000</v>
          </cell>
          <cell r="E76" t="str">
            <v xml:space="preserve">4 дн / 32 ч </v>
          </cell>
          <cell r="F76">
            <v>284.09090909090907</v>
          </cell>
          <cell r="G76">
            <v>9090.9090909090901</v>
          </cell>
          <cell r="H76">
            <v>0</v>
          </cell>
          <cell r="I76">
            <v>0</v>
          </cell>
        </row>
        <row r="77">
          <cell r="B77" t="str">
            <v>склад петропавловск</v>
          </cell>
          <cell r="C77">
            <v>50000</v>
          </cell>
          <cell r="D77">
            <v>30000</v>
          </cell>
          <cell r="E77" t="str">
            <v xml:space="preserve">2 дн / 16 ч </v>
          </cell>
          <cell r="F77">
            <v>284.09090909090907</v>
          </cell>
          <cell r="G77">
            <v>4545.454545454545</v>
          </cell>
          <cell r="H77">
            <v>0</v>
          </cell>
          <cell r="I77">
            <v>0</v>
          </cell>
        </row>
        <row r="78">
          <cell r="B78" t="str">
            <v>Голубев Максим Анатольевич</v>
          </cell>
          <cell r="C78">
            <v>50000</v>
          </cell>
          <cell r="D78">
            <v>20000</v>
          </cell>
          <cell r="E78" t="str">
            <v xml:space="preserve">16 дн / 128 ч </v>
          </cell>
          <cell r="F78">
            <v>284.09090909090907</v>
          </cell>
          <cell r="G78">
            <v>36363.63636363636</v>
          </cell>
          <cell r="H78">
            <v>0</v>
          </cell>
          <cell r="I78">
            <v>0</v>
          </cell>
        </row>
        <row r="79">
          <cell r="B79" t="str">
            <v>склад Петропавловск</v>
          </cell>
          <cell r="C79">
            <v>50000</v>
          </cell>
          <cell r="D79">
            <v>30000</v>
          </cell>
          <cell r="E79" t="str">
            <v xml:space="preserve">2 дн / 16 ч </v>
          </cell>
          <cell r="F79">
            <v>284.09090909090907</v>
          </cell>
          <cell r="G79">
            <v>4545.454545454545</v>
          </cell>
          <cell r="H79">
            <v>0</v>
          </cell>
          <cell r="I79">
            <v>0</v>
          </cell>
        </row>
        <row r="80">
          <cell r="B80" t="str">
            <v>Доставка город/регион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Азмуханов Радик Рамильевич</v>
          </cell>
          <cell r="C81">
            <v>100000</v>
          </cell>
          <cell r="D81">
            <v>40000</v>
          </cell>
          <cell r="E81" t="str">
            <v xml:space="preserve">1 дн / 8 ч </v>
          </cell>
          <cell r="F81">
            <v>568.18181818181813</v>
          </cell>
          <cell r="G81">
            <v>4545.454545454545</v>
          </cell>
          <cell r="H81">
            <v>0</v>
          </cell>
          <cell r="I81">
            <v>0</v>
          </cell>
        </row>
        <row r="82">
          <cell r="B82" t="str">
            <v>доставка регион</v>
          </cell>
          <cell r="C82">
            <v>110000</v>
          </cell>
          <cell r="D82">
            <v>50000</v>
          </cell>
          <cell r="E82" t="str">
            <v xml:space="preserve">16 дн / 128 ч </v>
          </cell>
          <cell r="F82">
            <v>625</v>
          </cell>
          <cell r="G82">
            <v>80000</v>
          </cell>
          <cell r="H82">
            <v>0</v>
          </cell>
          <cell r="I82">
            <v>0</v>
          </cell>
        </row>
        <row r="83">
          <cell r="B83" t="str">
            <v>доставка вода</v>
          </cell>
          <cell r="C83">
            <v>110000</v>
          </cell>
          <cell r="D83">
            <v>40000</v>
          </cell>
          <cell r="E83" t="str">
            <v xml:space="preserve">0 дн / 0 ч </v>
          </cell>
          <cell r="F83">
            <v>625</v>
          </cell>
          <cell r="G83">
            <v>0</v>
          </cell>
          <cell r="H83">
            <v>0</v>
          </cell>
          <cell r="I83">
            <v>0</v>
          </cell>
        </row>
        <row r="84">
          <cell r="B84" t="str">
            <v>Мухтаров Тулеген Кабдуллович</v>
          </cell>
          <cell r="C84">
            <v>50000</v>
          </cell>
          <cell r="D84">
            <v>20000</v>
          </cell>
          <cell r="E84" t="str">
            <v xml:space="preserve">0 дн / 0 ч </v>
          </cell>
          <cell r="F84">
            <v>284.09090909090907</v>
          </cell>
          <cell r="G84">
            <v>0</v>
          </cell>
          <cell r="H84">
            <v>0</v>
          </cell>
          <cell r="I84">
            <v>0</v>
          </cell>
        </row>
        <row r="85">
          <cell r="B85" t="str">
            <v>доставка регион</v>
          </cell>
          <cell r="C85">
            <v>60000</v>
          </cell>
          <cell r="D85">
            <v>40000</v>
          </cell>
          <cell r="E85" t="str">
            <v xml:space="preserve">18 дн / 144 ч </v>
          </cell>
          <cell r="F85">
            <v>340.90909090909093</v>
          </cell>
          <cell r="G85">
            <v>49090.909090909096</v>
          </cell>
          <cell r="H85">
            <v>0</v>
          </cell>
          <cell r="I85">
            <v>0</v>
          </cell>
        </row>
        <row r="86">
          <cell r="B86" t="str">
            <v>вода доставка</v>
          </cell>
          <cell r="C86">
            <v>60000</v>
          </cell>
          <cell r="D86">
            <v>30000</v>
          </cell>
          <cell r="E86" t="str">
            <v xml:space="preserve">3 дн / 24 ч </v>
          </cell>
          <cell r="F86">
            <v>340.90909090909093</v>
          </cell>
          <cell r="G86">
            <v>8181.818181818182</v>
          </cell>
          <cell r="H86">
            <v>0</v>
          </cell>
          <cell r="I86">
            <v>0</v>
          </cell>
        </row>
        <row r="87">
          <cell r="B87" t="str">
            <v>Касьянчик Степан Сергеевич</v>
          </cell>
          <cell r="C87">
            <v>100000</v>
          </cell>
          <cell r="D87">
            <v>40000</v>
          </cell>
          <cell r="E87" t="str">
            <v xml:space="preserve">4 дн / 32 ч </v>
          </cell>
          <cell r="F87">
            <v>568.18181818181813</v>
          </cell>
          <cell r="G87">
            <v>18181.81818181818</v>
          </cell>
          <cell r="H87">
            <v>0</v>
          </cell>
          <cell r="I87">
            <v>0</v>
          </cell>
        </row>
        <row r="88">
          <cell r="B88" t="str">
            <v>доставка регион</v>
          </cell>
          <cell r="C88">
            <v>110000</v>
          </cell>
          <cell r="D88">
            <v>50000</v>
          </cell>
          <cell r="E88" t="str">
            <v xml:space="preserve">15 дн / 120 ч </v>
          </cell>
          <cell r="F88">
            <v>625</v>
          </cell>
          <cell r="G88">
            <v>75000</v>
          </cell>
          <cell r="H88">
            <v>0</v>
          </cell>
          <cell r="I88">
            <v>0</v>
          </cell>
        </row>
        <row r="89">
          <cell r="B89" t="str">
            <v>доплата за грузчика</v>
          </cell>
          <cell r="C89">
            <v>3000</v>
          </cell>
          <cell r="D89">
            <v>0</v>
          </cell>
          <cell r="E89" t="str">
            <v>1 дн</v>
          </cell>
          <cell r="F89">
            <v>17.045454545454547</v>
          </cell>
          <cell r="G89">
            <v>0</v>
          </cell>
          <cell r="H89">
            <v>0</v>
          </cell>
          <cell r="I89">
            <v>0</v>
          </cell>
        </row>
        <row r="90">
          <cell r="B90" t="str">
            <v>ремонт</v>
          </cell>
          <cell r="C90">
            <v>100000</v>
          </cell>
          <cell r="D90">
            <v>0</v>
          </cell>
          <cell r="E90" t="str">
            <v>2 дн</v>
          </cell>
          <cell r="F90">
            <v>568.18181818181813</v>
          </cell>
          <cell r="G90">
            <v>9090.9090909090901</v>
          </cell>
          <cell r="H90">
            <v>0</v>
          </cell>
          <cell r="I90">
            <v>0</v>
          </cell>
        </row>
        <row r="91">
          <cell r="B91" t="str">
            <v>Колбасин Виталий</v>
          </cell>
          <cell r="C91">
            <v>50000</v>
          </cell>
          <cell r="D91">
            <v>20000</v>
          </cell>
          <cell r="E91" t="str">
            <v xml:space="preserve">5 дн / 40 ч </v>
          </cell>
          <cell r="F91">
            <v>284.09090909090907</v>
          </cell>
          <cell r="G91">
            <v>11363.636363636362</v>
          </cell>
          <cell r="H91">
            <v>0</v>
          </cell>
          <cell r="I91">
            <v>0</v>
          </cell>
        </row>
        <row r="92">
          <cell r="B92" t="str">
            <v>доставка регион</v>
          </cell>
          <cell r="C92">
            <v>60000</v>
          </cell>
          <cell r="D92">
            <v>40000</v>
          </cell>
          <cell r="E92" t="str">
            <v xml:space="preserve">12 дн / 96 ч </v>
          </cell>
          <cell r="F92">
            <v>340.90909090909093</v>
          </cell>
          <cell r="G92">
            <v>32727.272727272728</v>
          </cell>
          <cell r="H92">
            <v>0</v>
          </cell>
          <cell r="I92">
            <v>0</v>
          </cell>
        </row>
        <row r="93">
          <cell r="B93" t="str">
            <v>экспедитор</v>
          </cell>
          <cell r="C93">
            <v>50000</v>
          </cell>
          <cell r="D93">
            <v>50000</v>
          </cell>
          <cell r="E93" t="str">
            <v xml:space="preserve">1 дн / 8 ч </v>
          </cell>
          <cell r="F93">
            <v>284.09090909090907</v>
          </cell>
          <cell r="G93">
            <v>2272.7272727272725</v>
          </cell>
          <cell r="H93">
            <v>0</v>
          </cell>
          <cell r="I93">
            <v>0</v>
          </cell>
        </row>
        <row r="94">
          <cell r="B94" t="str">
            <v>регион водитель</v>
          </cell>
          <cell r="C94">
            <v>110000</v>
          </cell>
          <cell r="D94">
            <v>50000</v>
          </cell>
          <cell r="E94" t="str">
            <v xml:space="preserve">1 дн / 8 ч </v>
          </cell>
          <cell r="F94">
            <v>625</v>
          </cell>
          <cell r="G94">
            <v>5000</v>
          </cell>
          <cell r="H94">
            <v>0</v>
          </cell>
          <cell r="I94">
            <v>0</v>
          </cell>
        </row>
        <row r="95">
          <cell r="B95" t="str">
            <v>Доставка Вода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B96" t="str">
            <v>Оганесян Артем Оганесович</v>
          </cell>
          <cell r="C96">
            <v>110000</v>
          </cell>
          <cell r="D96">
            <v>40000</v>
          </cell>
          <cell r="E96" t="str">
            <v xml:space="preserve">22 дн / 176 ч </v>
          </cell>
          <cell r="F96">
            <v>625</v>
          </cell>
          <cell r="G96">
            <v>110000</v>
          </cell>
          <cell r="H96">
            <v>0</v>
          </cell>
          <cell r="I96">
            <v>0</v>
          </cell>
        </row>
        <row r="97">
          <cell r="B97" t="str">
            <v>доплата за грузчика</v>
          </cell>
          <cell r="C97">
            <v>3000</v>
          </cell>
          <cell r="D97">
            <v>0</v>
          </cell>
          <cell r="E97" t="str">
            <v>0 дн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B98" t="str">
            <v>Костоев Джабраил Абдрахманович</v>
          </cell>
          <cell r="C98">
            <v>60000</v>
          </cell>
          <cell r="D98">
            <v>30000</v>
          </cell>
          <cell r="E98" t="str">
            <v xml:space="preserve">20 дн / 160 ч </v>
          </cell>
          <cell r="F98">
            <v>340.90909090909093</v>
          </cell>
          <cell r="G98">
            <v>54545.454545454551</v>
          </cell>
          <cell r="H98">
            <v>0</v>
          </cell>
          <cell r="I98">
            <v>0</v>
          </cell>
        </row>
        <row r="99">
          <cell r="B99" t="str">
            <v>экспедитор вода</v>
          </cell>
          <cell r="C99">
            <v>60000</v>
          </cell>
          <cell r="D99">
            <v>50000</v>
          </cell>
          <cell r="E99" t="str">
            <v xml:space="preserve">2 дн / 16 ч </v>
          </cell>
          <cell r="F99">
            <v>340.90909090909093</v>
          </cell>
          <cell r="G99">
            <v>5454.545454545455</v>
          </cell>
          <cell r="H99">
            <v>0</v>
          </cell>
          <cell r="I99">
            <v>0</v>
          </cell>
        </row>
        <row r="100">
          <cell r="B100" t="str">
            <v>Зубенко Андрей Викторович</v>
          </cell>
          <cell r="C100">
            <v>110000</v>
          </cell>
          <cell r="D100">
            <v>40000</v>
          </cell>
          <cell r="E100" t="str">
            <v xml:space="preserve">19 дн / 152 ч </v>
          </cell>
          <cell r="F100">
            <v>625</v>
          </cell>
          <cell r="G100">
            <v>95000</v>
          </cell>
          <cell r="H100">
            <v>0</v>
          </cell>
          <cell r="I100">
            <v>0</v>
          </cell>
        </row>
        <row r="101">
          <cell r="B101" t="str">
            <v>экспедитор</v>
          </cell>
          <cell r="C101">
            <v>50000</v>
          </cell>
          <cell r="D101">
            <v>50000</v>
          </cell>
          <cell r="E101" t="str">
            <v xml:space="preserve">3 дн / 24 ч </v>
          </cell>
          <cell r="F101">
            <v>284.09090909090907</v>
          </cell>
          <cell r="G101">
            <v>6818.181818181818</v>
          </cell>
          <cell r="H101">
            <v>0</v>
          </cell>
          <cell r="I101">
            <v>0</v>
          </cell>
        </row>
        <row r="102">
          <cell r="B102" t="str">
            <v>доставка регион</v>
          </cell>
          <cell r="C102">
            <v>110000</v>
          </cell>
          <cell r="D102">
            <v>50000</v>
          </cell>
          <cell r="E102" t="str">
            <v xml:space="preserve">3 дн / 24 ч </v>
          </cell>
          <cell r="F102">
            <v>625</v>
          </cell>
          <cell r="G102">
            <v>15000</v>
          </cell>
          <cell r="H102">
            <v>0</v>
          </cell>
          <cell r="I102">
            <v>0</v>
          </cell>
        </row>
        <row r="103">
          <cell r="B103" t="str">
            <v>ремонт</v>
          </cell>
          <cell r="C103">
            <v>100000</v>
          </cell>
          <cell r="D103">
            <v>0</v>
          </cell>
          <cell r="E103" t="str">
            <v>0 дн</v>
          </cell>
          <cell r="F103">
            <v>568.18181818181813</v>
          </cell>
          <cell r="G103">
            <v>0</v>
          </cell>
          <cell r="H103">
            <v>0</v>
          </cell>
          <cell r="I103">
            <v>0</v>
          </cell>
        </row>
        <row r="104">
          <cell r="B104" t="str">
            <v>доплата за грузчика</v>
          </cell>
          <cell r="C104">
            <v>3000</v>
          </cell>
          <cell r="D104">
            <v>0</v>
          </cell>
          <cell r="E104" t="str">
            <v>0 дн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B105" t="str">
            <v>перерасчет ремонт июль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H105">
            <v>434.78</v>
          </cell>
          <cell r="I105">
            <v>0</v>
          </cell>
        </row>
        <row r="106">
          <cell r="B106" t="str">
            <v>Курмамбаев Ренат Сабыржанович</v>
          </cell>
          <cell r="C106">
            <v>60000</v>
          </cell>
          <cell r="D106">
            <v>30000</v>
          </cell>
          <cell r="E106" t="str">
            <v xml:space="preserve">22 дн / 176 ч </v>
          </cell>
          <cell r="F106">
            <v>340.90909090909093</v>
          </cell>
          <cell r="G106">
            <v>60000.000000000007</v>
          </cell>
          <cell r="H106">
            <v>0</v>
          </cell>
          <cell r="I106">
            <v>0</v>
          </cell>
        </row>
        <row r="107">
          <cell r="B107" t="str">
            <v>доставка регион</v>
          </cell>
          <cell r="C107">
            <v>60000</v>
          </cell>
          <cell r="D107">
            <v>40000</v>
          </cell>
          <cell r="E107" t="str">
            <v xml:space="preserve">3 дн / 24 ч </v>
          </cell>
          <cell r="F107">
            <v>340.90909090909093</v>
          </cell>
          <cell r="G107">
            <v>8181.818181818182</v>
          </cell>
          <cell r="H107">
            <v>0</v>
          </cell>
          <cell r="I107">
            <v>0</v>
          </cell>
        </row>
        <row r="108">
          <cell r="B108" t="str">
            <v>Доставка Регион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B109" t="str">
            <v>Котиков Олег Евгеньевич</v>
          </cell>
          <cell r="C109">
            <v>110000</v>
          </cell>
          <cell r="D109">
            <v>50000</v>
          </cell>
          <cell r="E109" t="str">
            <v xml:space="preserve">11 дн / 88 ч </v>
          </cell>
          <cell r="F109">
            <v>625</v>
          </cell>
          <cell r="G109">
            <v>55000</v>
          </cell>
          <cell r="H109">
            <v>0</v>
          </cell>
          <cell r="I109">
            <v>0</v>
          </cell>
        </row>
        <row r="110">
          <cell r="B110" t="str">
            <v>ремонт</v>
          </cell>
          <cell r="C110">
            <v>110000</v>
          </cell>
          <cell r="D110">
            <v>0</v>
          </cell>
          <cell r="E110" t="str">
            <v>1 дн</v>
          </cell>
          <cell r="F110">
            <v>625</v>
          </cell>
          <cell r="G110">
            <v>5000</v>
          </cell>
          <cell r="H110">
            <v>0</v>
          </cell>
          <cell r="I110">
            <v>0</v>
          </cell>
        </row>
        <row r="111">
          <cell r="B111" t="str">
            <v>Абдраманов Дастан Адилович</v>
          </cell>
          <cell r="C111">
            <v>60000</v>
          </cell>
          <cell r="D111">
            <v>40000</v>
          </cell>
          <cell r="E111" t="str">
            <v xml:space="preserve">12 дн / 96 ч </v>
          </cell>
          <cell r="F111">
            <v>340.90909090909093</v>
          </cell>
          <cell r="G111">
            <v>32727.272727272728</v>
          </cell>
          <cell r="H111">
            <v>0</v>
          </cell>
          <cell r="I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B113" t="str">
            <v>Латышев Андрей Иванович</v>
          </cell>
          <cell r="C113">
            <v>110000</v>
          </cell>
          <cell r="D113">
            <v>50000</v>
          </cell>
          <cell r="E113" t="str">
            <v xml:space="preserve">22 дн / 176 ч </v>
          </cell>
          <cell r="F113">
            <v>625</v>
          </cell>
          <cell r="G113">
            <v>110000</v>
          </cell>
          <cell r="H113">
            <v>0</v>
          </cell>
          <cell r="I113">
            <v>0</v>
          </cell>
        </row>
        <row r="114">
          <cell r="B114" t="str">
            <v>доплата за грузчика</v>
          </cell>
          <cell r="C114">
            <v>3000</v>
          </cell>
          <cell r="D114">
            <v>0</v>
          </cell>
          <cell r="E114" t="str">
            <v>1 дн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B115" t="str">
            <v>ремонт</v>
          </cell>
          <cell r="C115">
            <v>110000</v>
          </cell>
          <cell r="D115">
            <v>0</v>
          </cell>
          <cell r="E115" t="str">
            <v>0 дн</v>
          </cell>
          <cell r="F115">
            <v>625</v>
          </cell>
          <cell r="G115">
            <v>0</v>
          </cell>
          <cell r="H115">
            <v>0</v>
          </cell>
          <cell r="I115">
            <v>0</v>
          </cell>
        </row>
        <row r="116">
          <cell r="B116" t="str">
            <v>Степанов Данил</v>
          </cell>
          <cell r="C116">
            <v>60000</v>
          </cell>
          <cell r="D116">
            <v>40000</v>
          </cell>
          <cell r="E116" t="str">
            <v xml:space="preserve">21 дн / 168 ч </v>
          </cell>
          <cell r="F116">
            <v>340.90909090909093</v>
          </cell>
          <cell r="G116">
            <v>57272.727272727279</v>
          </cell>
          <cell r="H116">
            <v>0</v>
          </cell>
          <cell r="I116">
            <v>0</v>
          </cell>
        </row>
        <row r="117">
          <cell r="B117" t="str">
            <v>Ратушный Юрий Сергеевич</v>
          </cell>
          <cell r="C117">
            <v>110000</v>
          </cell>
          <cell r="D117">
            <v>50000</v>
          </cell>
          <cell r="E117" t="str">
            <v xml:space="preserve">0 дн / 0 ч </v>
          </cell>
          <cell r="F117">
            <v>625</v>
          </cell>
          <cell r="G117">
            <v>0</v>
          </cell>
          <cell r="H117">
            <v>0</v>
          </cell>
          <cell r="I117">
            <v>0</v>
          </cell>
        </row>
        <row r="118">
          <cell r="B118" t="str">
            <v>доплата за грузчика</v>
          </cell>
          <cell r="C118">
            <v>3000</v>
          </cell>
          <cell r="D118">
            <v>0</v>
          </cell>
          <cell r="E118" t="str">
            <v>0 дн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B119" t="str">
            <v>ремонт</v>
          </cell>
          <cell r="C119">
            <v>110000</v>
          </cell>
          <cell r="D119">
            <v>0</v>
          </cell>
          <cell r="E119" t="str">
            <v>0 дн</v>
          </cell>
          <cell r="F119">
            <v>625</v>
          </cell>
          <cell r="G119">
            <v>0</v>
          </cell>
          <cell r="H119">
            <v>0</v>
          </cell>
          <cell r="I119">
            <v>0</v>
          </cell>
        </row>
        <row r="120">
          <cell r="B120" t="str">
            <v>больничный 50%</v>
          </cell>
          <cell r="C120">
            <v>55000</v>
          </cell>
          <cell r="D120">
            <v>0</v>
          </cell>
          <cell r="E120" t="str">
            <v>22 дн</v>
          </cell>
          <cell r="F120">
            <v>0</v>
          </cell>
          <cell r="G120">
            <v>0</v>
          </cell>
          <cell r="H120">
            <v>55000</v>
          </cell>
          <cell r="I120">
            <v>0</v>
          </cell>
        </row>
        <row r="121">
          <cell r="B121" t="str">
            <v>экспедитор</v>
          </cell>
          <cell r="C121">
            <v>50000</v>
          </cell>
          <cell r="D121">
            <v>50000</v>
          </cell>
          <cell r="E121" t="str">
            <v xml:space="preserve">0 дн / 0 ч </v>
          </cell>
          <cell r="F121">
            <v>284.09090909090907</v>
          </cell>
          <cell r="G121">
            <v>0</v>
          </cell>
          <cell r="H121">
            <v>0</v>
          </cell>
          <cell r="I121">
            <v>0</v>
          </cell>
        </row>
        <row r="122">
          <cell r="B122" t="str">
            <v>Карщик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B123" t="str">
            <v>Степанов Геннадий Васильевич</v>
          </cell>
          <cell r="C123">
            <v>50000</v>
          </cell>
          <cell r="D123">
            <v>50000</v>
          </cell>
          <cell r="E123" t="str">
            <v xml:space="preserve">21 дн / 168 ч </v>
          </cell>
          <cell r="F123">
            <v>284.09090909090907</v>
          </cell>
          <cell r="G123">
            <v>47727.272727272721</v>
          </cell>
          <cell r="H123">
            <v>0</v>
          </cell>
          <cell r="I123">
            <v>0</v>
          </cell>
        </row>
        <row r="124">
          <cell r="B124" t="str">
            <v>30% кладовщик вода</v>
          </cell>
          <cell r="C124">
            <v>0</v>
          </cell>
          <cell r="D124">
            <v>0</v>
          </cell>
          <cell r="E124" t="str">
            <v>0 ДН</v>
          </cell>
          <cell r="F124">
            <v>0</v>
          </cell>
          <cell r="I124">
            <v>0</v>
          </cell>
        </row>
        <row r="125">
          <cell r="B125" t="str">
            <v>доплата за грузчика</v>
          </cell>
          <cell r="C125">
            <v>0</v>
          </cell>
          <cell r="D125">
            <v>0</v>
          </cell>
          <cell r="E125" t="str">
            <v>0 ДН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B126" t="str">
            <v>депримирование 25% от премии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B127" t="str">
            <v>Основной (Кэмми/химия/сыры)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B128" t="str">
            <v>Бузько Римма Романовна</v>
          </cell>
          <cell r="C128">
            <v>110000</v>
          </cell>
          <cell r="D128">
            <v>0</v>
          </cell>
          <cell r="E128" t="str">
            <v xml:space="preserve">23 дн / 184 ч </v>
          </cell>
          <cell r="F128">
            <v>625</v>
          </cell>
          <cell r="G128">
            <v>115000</v>
          </cell>
          <cell r="H128">
            <v>0</v>
          </cell>
          <cell r="I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B130" t="str">
            <v>Иванова Ирина Васильевна</v>
          </cell>
          <cell r="C130">
            <v>110000</v>
          </cell>
          <cell r="D130">
            <v>0</v>
          </cell>
          <cell r="E130" t="str">
            <v xml:space="preserve">24 дн / 192 ч </v>
          </cell>
          <cell r="F130">
            <v>625</v>
          </cell>
          <cell r="G130">
            <v>120000</v>
          </cell>
          <cell r="H130">
            <v>0</v>
          </cell>
          <cell r="I130">
            <v>0</v>
          </cell>
        </row>
        <row r="131">
          <cell r="B131">
            <v>0</v>
          </cell>
          <cell r="C131">
            <v>12500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B132" t="str">
            <v>Жиенбаев Амангельды Серикович</v>
          </cell>
          <cell r="C132">
            <v>50000</v>
          </cell>
          <cell r="D132">
            <v>30000</v>
          </cell>
          <cell r="E132" t="str">
            <v xml:space="preserve">22 дн / 176 ч </v>
          </cell>
          <cell r="F132">
            <v>284.09090909090907</v>
          </cell>
          <cell r="G132">
            <v>49999.999999999993</v>
          </cell>
          <cell r="H132">
            <v>0</v>
          </cell>
          <cell r="I132">
            <v>0</v>
          </cell>
        </row>
        <row r="133">
          <cell r="B133" t="str">
            <v xml:space="preserve">доплата за груз </v>
          </cell>
          <cell r="E133" t="str">
            <v>3 ДН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B134" t="str">
            <v>переработка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B135" t="str">
            <v>мыломойка доставка</v>
          </cell>
          <cell r="C135">
            <v>20000</v>
          </cell>
          <cell r="D135">
            <v>0</v>
          </cell>
          <cell r="E135" t="str">
            <v>3 ДН</v>
          </cell>
          <cell r="F135">
            <v>0</v>
          </cell>
          <cell r="I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B137" t="str">
            <v>Жолдыбаев Нурлан Жанадылович</v>
          </cell>
          <cell r="C137">
            <v>50000</v>
          </cell>
          <cell r="D137">
            <v>30000</v>
          </cell>
          <cell r="E137" t="str">
            <v xml:space="preserve">20 дн / 164 ч </v>
          </cell>
          <cell r="F137">
            <v>284.09090909090907</v>
          </cell>
          <cell r="G137">
            <v>46590.909090909088</v>
          </cell>
          <cell r="H137">
            <v>0</v>
          </cell>
          <cell r="I137">
            <v>0</v>
          </cell>
        </row>
        <row r="138">
          <cell r="B138" t="str">
            <v xml:space="preserve">доплата за груз </v>
          </cell>
          <cell r="E138" t="str">
            <v>4 ДН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B139" t="str">
            <v>переработка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B140" t="str">
            <v>экспедитор</v>
          </cell>
          <cell r="C140">
            <v>50000</v>
          </cell>
          <cell r="D140">
            <v>50000</v>
          </cell>
          <cell r="E140" t="str">
            <v xml:space="preserve">4 дн / 32 ч </v>
          </cell>
          <cell r="F140">
            <v>284.09090909090907</v>
          </cell>
          <cell r="G140">
            <v>9090.9090909090901</v>
          </cell>
          <cell r="H140">
            <v>0</v>
          </cell>
          <cell r="I140">
            <v>0</v>
          </cell>
        </row>
        <row r="141">
          <cell r="B141" t="str">
            <v>мыломойка доставка</v>
          </cell>
          <cell r="C141">
            <v>20000</v>
          </cell>
          <cell r="D141">
            <v>0</v>
          </cell>
          <cell r="E141" t="str">
            <v>2 ДН</v>
          </cell>
          <cell r="F141">
            <v>0</v>
          </cell>
          <cell r="I141">
            <v>0</v>
          </cell>
        </row>
        <row r="142">
          <cell r="B142" t="str">
            <v>Химия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B143" t="str">
            <v xml:space="preserve">Жакиенов Арман Зейнелгабиденович </v>
          </cell>
          <cell r="C143">
            <v>50000</v>
          </cell>
          <cell r="D143">
            <v>30000</v>
          </cell>
          <cell r="E143" t="str">
            <v xml:space="preserve">19 дн / 152 ч </v>
          </cell>
          <cell r="F143">
            <v>284.09090909090907</v>
          </cell>
          <cell r="G143">
            <v>43181.818181818177</v>
          </cell>
          <cell r="H143">
            <v>0</v>
          </cell>
          <cell r="I143">
            <v>0</v>
          </cell>
        </row>
        <row r="144">
          <cell r="B144" t="str">
            <v xml:space="preserve">доплата за груз </v>
          </cell>
          <cell r="C144">
            <v>0</v>
          </cell>
          <cell r="D144">
            <v>0</v>
          </cell>
          <cell r="E144" t="str">
            <v>0 ДН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B145" t="str">
            <v>мыломойка доставка</v>
          </cell>
          <cell r="C145">
            <v>20000</v>
          </cell>
          <cell r="D145" t="str">
            <v>3 ДН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B146" t="str">
            <v>Сыры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Мукуров Тамерлан Жанадылович</v>
          </cell>
          <cell r="C147">
            <v>50000</v>
          </cell>
          <cell r="D147">
            <v>50000</v>
          </cell>
          <cell r="E147" t="str">
            <v xml:space="preserve">24 дн / 192 ч </v>
          </cell>
          <cell r="F147">
            <v>284.09090909090907</v>
          </cell>
          <cell r="G147">
            <v>54545.454545454544</v>
          </cell>
          <cell r="H147">
            <v>0</v>
          </cell>
          <cell r="I147">
            <v>0</v>
          </cell>
        </row>
        <row r="148">
          <cell r="B148" t="str">
            <v>водитель-экспедитор</v>
          </cell>
          <cell r="C148">
            <v>80000</v>
          </cell>
          <cell r="D148">
            <v>40000</v>
          </cell>
          <cell r="E148" t="str">
            <v xml:space="preserve">0 дн / 0 ч </v>
          </cell>
          <cell r="F148">
            <v>454.54545454545456</v>
          </cell>
          <cell r="G148">
            <v>0</v>
          </cell>
          <cell r="H148">
            <v>0</v>
          </cell>
          <cell r="I148">
            <v>0</v>
          </cell>
        </row>
        <row r="149">
          <cell r="B149" t="str">
            <v>кладовщик 30%</v>
          </cell>
          <cell r="C149">
            <v>15000</v>
          </cell>
          <cell r="D149">
            <v>0</v>
          </cell>
          <cell r="E149" t="str">
            <v>0 ДН</v>
          </cell>
          <cell r="F149">
            <v>0</v>
          </cell>
          <cell r="G149">
            <v>0</v>
          </cell>
          <cell r="I149">
            <v>0</v>
          </cell>
        </row>
        <row r="150">
          <cell r="B150" t="str">
            <v xml:space="preserve">доплата за груз </v>
          </cell>
          <cell r="E150" t="str">
            <v>1 ДН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B151" t="str">
            <v>перерасчет июль 2 дн</v>
          </cell>
          <cell r="E151">
            <v>0</v>
          </cell>
          <cell r="F151">
            <v>0</v>
          </cell>
          <cell r="G151">
            <v>0</v>
          </cell>
          <cell r="H151">
            <v>8695.64</v>
          </cell>
          <cell r="I151">
            <v>0</v>
          </cell>
        </row>
        <row r="152">
          <cell r="B152" t="str">
            <v>Вода</v>
          </cell>
          <cell r="C152" t="str">
            <v>тариф</v>
          </cell>
          <cell r="D152">
            <v>2272.7272727272725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B156" t="str">
            <v>Инербаев Жанат Бейбытович</v>
          </cell>
          <cell r="C156">
            <v>70000</v>
          </cell>
          <cell r="D156">
            <v>40000</v>
          </cell>
          <cell r="E156" t="str">
            <v xml:space="preserve">22 дн / 176 ч </v>
          </cell>
          <cell r="F156">
            <v>397.72727272727275</v>
          </cell>
          <cell r="G156">
            <v>70000</v>
          </cell>
          <cell r="H156">
            <v>0</v>
          </cell>
          <cell r="I156">
            <v>0</v>
          </cell>
        </row>
        <row r="157">
          <cell r="B157" t="str">
            <v>30% кладовщик вода</v>
          </cell>
          <cell r="C157">
            <v>33000</v>
          </cell>
          <cell r="D157">
            <v>0</v>
          </cell>
          <cell r="E157" t="str">
            <v>0 ДН</v>
          </cell>
          <cell r="F157">
            <v>0</v>
          </cell>
          <cell r="H157">
            <v>0</v>
          </cell>
          <cell r="I157">
            <v>0</v>
          </cell>
        </row>
        <row r="158">
          <cell r="B158" t="str">
            <v>грузчик</v>
          </cell>
          <cell r="C158">
            <v>50000</v>
          </cell>
          <cell r="D158">
            <v>30000</v>
          </cell>
          <cell r="E158" t="str">
            <v xml:space="preserve">1 дн / 12 ч </v>
          </cell>
          <cell r="F158">
            <v>284.09090909090907</v>
          </cell>
          <cell r="G158">
            <v>3409.090909090909</v>
          </cell>
          <cell r="H158">
            <v>0</v>
          </cell>
          <cell r="I158">
            <v>0</v>
          </cell>
        </row>
        <row r="159">
          <cell r="B159" t="str">
            <v>Мусабек Нурлыбек Алпысулы</v>
          </cell>
          <cell r="C159">
            <v>50000</v>
          </cell>
          <cell r="D159">
            <v>30000</v>
          </cell>
          <cell r="E159" t="str">
            <v xml:space="preserve">17 дн / 133,5 ч </v>
          </cell>
          <cell r="F159">
            <v>284.09090909090907</v>
          </cell>
          <cell r="G159">
            <v>37926.13636363636</v>
          </cell>
          <cell r="H159">
            <v>0</v>
          </cell>
          <cell r="I159">
            <v>0</v>
          </cell>
        </row>
        <row r="160">
          <cell r="B160" t="str">
            <v>доплата за груз</v>
          </cell>
          <cell r="C160">
            <v>0</v>
          </cell>
          <cell r="D160">
            <v>0</v>
          </cell>
          <cell r="E160" t="str">
            <v>3 ДН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B161" t="str">
            <v>переработка</v>
          </cell>
          <cell r="C161">
            <v>0</v>
          </cell>
          <cell r="D161">
            <v>0</v>
          </cell>
          <cell r="E161" t="str">
            <v>0 час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B162" t="str">
            <v>Туранов Азамат Куандыкович</v>
          </cell>
          <cell r="C162">
            <v>50000</v>
          </cell>
          <cell r="D162">
            <v>30000</v>
          </cell>
          <cell r="E162" t="str">
            <v xml:space="preserve">19 дн / 145,5 ч </v>
          </cell>
          <cell r="F162">
            <v>284.09090909090907</v>
          </cell>
          <cell r="G162">
            <v>41335.227272727272</v>
          </cell>
          <cell r="H162">
            <v>0</v>
          </cell>
          <cell r="I162">
            <v>0</v>
          </cell>
        </row>
        <row r="163">
          <cell r="B163" t="str">
            <v>доплата за груз</v>
          </cell>
          <cell r="C163">
            <v>0</v>
          </cell>
          <cell r="D163">
            <v>0</v>
          </cell>
          <cell r="E163" t="str">
            <v>5 ДН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B164" t="str">
            <v>переработка</v>
          </cell>
          <cell r="C164">
            <v>0</v>
          </cell>
          <cell r="D164">
            <v>0</v>
          </cell>
          <cell r="E164" t="str">
            <v>0 час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B165" t="str">
            <v>Рахат</v>
          </cell>
          <cell r="C165">
            <v>0</v>
          </cell>
          <cell r="D165">
            <v>0</v>
          </cell>
          <cell r="E165" t="str">
            <v>тариф</v>
          </cell>
          <cell r="F165">
            <v>2272.7272727272725</v>
          </cell>
          <cell r="G165">
            <v>0</v>
          </cell>
          <cell r="H165">
            <v>0</v>
          </cell>
          <cell r="I165" t="str">
            <v>кол-во чел. с доплатой без кладовщиков</v>
          </cell>
        </row>
        <row r="166"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 t="str">
            <v>кол-во отсутствующ</v>
          </cell>
        </row>
        <row r="167"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 t="str">
            <v>сумма</v>
          </cell>
        </row>
        <row r="168"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>Жайкова Юлия Юрьевна</v>
          </cell>
          <cell r="C169">
            <v>140000</v>
          </cell>
          <cell r="D169">
            <v>0</v>
          </cell>
          <cell r="E169" t="str">
            <v xml:space="preserve">23 дн / 184 ч </v>
          </cell>
          <cell r="F169">
            <v>795.4545454545455</v>
          </cell>
          <cell r="G169">
            <v>146363.63636363638</v>
          </cell>
          <cell r="H169">
            <v>0</v>
          </cell>
          <cell r="I169">
            <v>0</v>
          </cell>
        </row>
        <row r="170">
          <cell r="B170" t="str">
            <v>доплата за гр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>Демихова Наталья Юрьевна</v>
          </cell>
          <cell r="C171">
            <v>115000</v>
          </cell>
          <cell r="D171">
            <v>0</v>
          </cell>
          <cell r="E171" t="str">
            <v xml:space="preserve">20 дн / 160 ч </v>
          </cell>
          <cell r="F171">
            <v>653.40909090909088</v>
          </cell>
          <cell r="G171">
            <v>104545.45454545454</v>
          </cell>
          <cell r="H171">
            <v>0</v>
          </cell>
          <cell r="I171">
            <v>0</v>
          </cell>
        </row>
        <row r="172">
          <cell r="B172" t="str">
            <v xml:space="preserve">перерасчет отпуск 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1710</v>
          </cell>
          <cell r="I172">
            <v>0</v>
          </cell>
        </row>
        <row r="173">
          <cell r="B173" t="str">
            <v>Арндт  Михаил Михайлович</v>
          </cell>
          <cell r="C173">
            <v>50000</v>
          </cell>
          <cell r="D173">
            <v>40000</v>
          </cell>
          <cell r="E173" t="str">
            <v xml:space="preserve">4 дн / 32 ч </v>
          </cell>
          <cell r="F173">
            <v>284.09090909090907</v>
          </cell>
          <cell r="G173">
            <v>9090.9090909090901</v>
          </cell>
          <cell r="H173">
            <v>0</v>
          </cell>
          <cell r="I173">
            <v>0</v>
          </cell>
        </row>
        <row r="174">
          <cell r="B174" t="str">
            <v>доплата за гр</v>
          </cell>
          <cell r="C174">
            <v>0</v>
          </cell>
          <cell r="D174">
            <v>0</v>
          </cell>
          <cell r="E174" t="str">
            <v>2 дн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B175" t="str">
            <v>переработка</v>
          </cell>
          <cell r="C175">
            <v>0</v>
          </cell>
          <cell r="D175">
            <v>0</v>
          </cell>
          <cell r="E175" t="str">
            <v>4 час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B176">
            <v>0</v>
          </cell>
          <cell r="C176">
            <v>34500</v>
          </cell>
          <cell r="D176">
            <v>0</v>
          </cell>
          <cell r="E176" t="str">
            <v>0 ДН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B177" t="str">
            <v>Байдельдинов Арман</v>
          </cell>
          <cell r="C177">
            <v>50000</v>
          </cell>
          <cell r="D177">
            <v>40000</v>
          </cell>
          <cell r="E177" t="str">
            <v xml:space="preserve">18 дн / 144 ч </v>
          </cell>
          <cell r="F177">
            <v>284.09090909090907</v>
          </cell>
          <cell r="G177">
            <v>40909.090909090904</v>
          </cell>
          <cell r="H177">
            <v>0</v>
          </cell>
          <cell r="I177">
            <v>0</v>
          </cell>
        </row>
        <row r="178">
          <cell r="B178" t="str">
            <v>доплата за гр</v>
          </cell>
          <cell r="C178">
            <v>0</v>
          </cell>
          <cell r="D178">
            <v>0</v>
          </cell>
          <cell r="E178" t="str">
            <v>7 дн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B179" t="str">
            <v>переработка</v>
          </cell>
          <cell r="C179">
            <v>0</v>
          </cell>
          <cell r="D179">
            <v>0</v>
          </cell>
          <cell r="E179" t="str">
            <v>18 час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B180" t="str">
            <v>Бреус Никита Вячеславович</v>
          </cell>
          <cell r="C180">
            <v>50000</v>
          </cell>
          <cell r="D180">
            <v>40000</v>
          </cell>
          <cell r="E180" t="str">
            <v xml:space="preserve">4 дн / 32 ч </v>
          </cell>
          <cell r="F180">
            <v>284.09090909090907</v>
          </cell>
          <cell r="G180">
            <v>9090.9090909090901</v>
          </cell>
          <cell r="H180">
            <v>0</v>
          </cell>
          <cell r="I180">
            <v>0</v>
          </cell>
        </row>
        <row r="181">
          <cell r="B181" t="str">
            <v>доплата за гр</v>
          </cell>
          <cell r="C181">
            <v>0</v>
          </cell>
          <cell r="D181">
            <v>0</v>
          </cell>
          <cell r="E181" t="str">
            <v>2 дн</v>
          </cell>
          <cell r="F181">
            <v>0</v>
          </cell>
          <cell r="G181">
            <v>0</v>
          </cell>
          <cell r="I181">
            <v>0</v>
          </cell>
        </row>
        <row r="182">
          <cell r="B182" t="str">
            <v>переработка</v>
          </cell>
          <cell r="C182">
            <v>0</v>
          </cell>
          <cell r="D182">
            <v>0</v>
          </cell>
          <cell r="E182" t="str">
            <v>4 час</v>
          </cell>
          <cell r="F182">
            <v>0</v>
          </cell>
          <cell r="G182">
            <v>0</v>
          </cell>
          <cell r="I182">
            <v>0</v>
          </cell>
        </row>
        <row r="183">
          <cell r="B183" t="str">
            <v>доставка город</v>
          </cell>
          <cell r="C183">
            <v>50000</v>
          </cell>
          <cell r="D183">
            <v>20000</v>
          </cell>
          <cell r="E183" t="str">
            <v xml:space="preserve">3 дн / 24 ч </v>
          </cell>
          <cell r="F183">
            <v>284.09090909090907</v>
          </cell>
          <cell r="G183">
            <v>6818.181818181818</v>
          </cell>
          <cell r="H183">
            <v>0</v>
          </cell>
          <cell r="I183">
            <v>0</v>
          </cell>
        </row>
        <row r="184">
          <cell r="B184" t="str">
            <v>доставка вода</v>
          </cell>
          <cell r="C184">
            <v>60000</v>
          </cell>
          <cell r="D184">
            <v>30000</v>
          </cell>
          <cell r="E184" t="str">
            <v xml:space="preserve">13 дн / 104 ч </v>
          </cell>
          <cell r="F184">
            <v>340.90909090909093</v>
          </cell>
          <cell r="G184">
            <v>35454.545454545456</v>
          </cell>
          <cell r="H184">
            <v>0</v>
          </cell>
          <cell r="I184">
            <v>0</v>
          </cell>
        </row>
        <row r="185">
          <cell r="B185" t="str">
            <v>Бородий Михаил</v>
          </cell>
          <cell r="C185">
            <v>50000</v>
          </cell>
          <cell r="D185">
            <v>40000</v>
          </cell>
          <cell r="E185" t="str">
            <v xml:space="preserve">21 дн / 168 ч </v>
          </cell>
          <cell r="F185">
            <v>284.09090909090907</v>
          </cell>
          <cell r="G185">
            <v>47727.272727272721</v>
          </cell>
          <cell r="H185">
            <v>0</v>
          </cell>
          <cell r="I185">
            <v>0</v>
          </cell>
        </row>
        <row r="186">
          <cell r="B186" t="str">
            <v>доплата за гр</v>
          </cell>
          <cell r="C186">
            <v>0</v>
          </cell>
          <cell r="D186">
            <v>0</v>
          </cell>
          <cell r="E186" t="str">
            <v>8 дн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B187" t="str">
            <v>переработка</v>
          </cell>
          <cell r="C187">
            <v>0</v>
          </cell>
          <cell r="D187">
            <v>0</v>
          </cell>
          <cell r="E187" t="str">
            <v>21 час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B188" t="str">
            <v>Ергазинов Аблайхан Сайлауович</v>
          </cell>
          <cell r="C188">
            <v>50000</v>
          </cell>
          <cell r="D188">
            <v>40000</v>
          </cell>
          <cell r="E188" t="str">
            <v xml:space="preserve">1 дн / 8 ч </v>
          </cell>
          <cell r="F188">
            <v>284.09090909090907</v>
          </cell>
          <cell r="G188">
            <v>2272.7272727272725</v>
          </cell>
          <cell r="H188">
            <v>0</v>
          </cell>
          <cell r="I188">
            <v>0</v>
          </cell>
        </row>
        <row r="189">
          <cell r="B189" t="str">
            <v>доплата за гр</v>
          </cell>
          <cell r="C189">
            <v>0</v>
          </cell>
          <cell r="D189">
            <v>0</v>
          </cell>
          <cell r="E189" t="str">
            <v>1 дн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B190" t="str">
            <v>переработка</v>
          </cell>
          <cell r="C190">
            <v>0</v>
          </cell>
          <cell r="D190">
            <v>0</v>
          </cell>
          <cell r="E190" t="str">
            <v>1 час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B191" t="str">
            <v>Соболев Максим Александрович</v>
          </cell>
          <cell r="C191">
            <v>50000</v>
          </cell>
          <cell r="D191">
            <v>40000</v>
          </cell>
          <cell r="E191" t="str">
            <v xml:space="preserve">5 дн / 40 ч </v>
          </cell>
          <cell r="F191">
            <v>284.09090909090907</v>
          </cell>
          <cell r="G191">
            <v>11363.636363636362</v>
          </cell>
          <cell r="H191">
            <v>0</v>
          </cell>
          <cell r="I191">
            <v>0</v>
          </cell>
        </row>
        <row r="192">
          <cell r="B192" t="str">
            <v>доплата за гр</v>
          </cell>
          <cell r="C192">
            <v>0</v>
          </cell>
          <cell r="D192">
            <v>0</v>
          </cell>
          <cell r="E192" t="str">
            <v>0 дн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B193" t="str">
            <v>переработка</v>
          </cell>
          <cell r="C193">
            <v>0</v>
          </cell>
          <cell r="D193">
            <v>0</v>
          </cell>
          <cell r="E193" t="str">
            <v>3 час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B194" t="str">
            <v>Омаров Рустам Жулдызбекович</v>
          </cell>
          <cell r="C194">
            <v>50000</v>
          </cell>
          <cell r="D194">
            <v>40000</v>
          </cell>
          <cell r="E194" t="str">
            <v xml:space="preserve">20 дн / 157 ч </v>
          </cell>
          <cell r="F194">
            <v>284.09090909090907</v>
          </cell>
          <cell r="G194">
            <v>44602.272727272721</v>
          </cell>
          <cell r="H194">
            <v>0</v>
          </cell>
          <cell r="I194">
            <v>0</v>
          </cell>
        </row>
        <row r="195">
          <cell r="B195" t="str">
            <v>доплата за гр</v>
          </cell>
          <cell r="C195">
            <v>0</v>
          </cell>
          <cell r="D195">
            <v>0</v>
          </cell>
          <cell r="E195" t="str">
            <v>7 дн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B196" t="str">
            <v>переработка</v>
          </cell>
          <cell r="C196">
            <v>0</v>
          </cell>
          <cell r="D196">
            <v>0</v>
          </cell>
          <cell r="E196" t="str">
            <v>19 час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B197" t="str">
            <v>Фогель Павел Александрович</v>
          </cell>
          <cell r="C197">
            <v>50000</v>
          </cell>
          <cell r="D197">
            <v>40000</v>
          </cell>
          <cell r="E197" t="str">
            <v xml:space="preserve">12 дн / 96 ч </v>
          </cell>
          <cell r="F197">
            <v>284.09090909090907</v>
          </cell>
          <cell r="G197">
            <v>27272.727272727272</v>
          </cell>
          <cell r="H197">
            <v>0</v>
          </cell>
          <cell r="I197">
            <v>0</v>
          </cell>
        </row>
        <row r="198">
          <cell r="B198" t="str">
            <v>доплата за гр</v>
          </cell>
          <cell r="C198">
            <v>0</v>
          </cell>
          <cell r="D198">
            <v>0</v>
          </cell>
          <cell r="E198" t="str">
            <v>5 дн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B199" t="str">
            <v>переработка</v>
          </cell>
          <cell r="C199">
            <v>0</v>
          </cell>
          <cell r="D199">
            <v>0</v>
          </cell>
          <cell r="E199" t="str">
            <v>12 час</v>
          </cell>
          <cell r="F199">
            <v>0</v>
          </cell>
          <cell r="G199">
            <v>0</v>
          </cell>
          <cell r="I199">
            <v>0</v>
          </cell>
        </row>
        <row r="200">
          <cell r="B200" t="str">
            <v>доставка город</v>
          </cell>
          <cell r="C200">
            <v>50000</v>
          </cell>
          <cell r="D200">
            <v>20000</v>
          </cell>
          <cell r="E200" t="str">
            <v xml:space="preserve">2 дн / 16 ч </v>
          </cell>
          <cell r="F200">
            <v>284.09090909090907</v>
          </cell>
          <cell r="G200">
            <v>4545.454545454545</v>
          </cell>
          <cell r="H200">
            <v>0</v>
          </cell>
          <cell r="I200">
            <v>0</v>
          </cell>
        </row>
        <row r="201">
          <cell r="B201" t="str">
            <v>основной склад</v>
          </cell>
          <cell r="C201">
            <v>50000</v>
          </cell>
          <cell r="D201">
            <v>30000</v>
          </cell>
          <cell r="E201" t="str">
            <v xml:space="preserve">1 дн / 8 ч </v>
          </cell>
          <cell r="F201">
            <v>284.09090909090907</v>
          </cell>
          <cell r="G201">
            <v>2272.7272727272725</v>
          </cell>
          <cell r="H201">
            <v>0</v>
          </cell>
          <cell r="I201">
            <v>0</v>
          </cell>
        </row>
        <row r="202">
          <cell r="B202" t="str">
            <v>Цыбулькин Сергей Викторович</v>
          </cell>
          <cell r="C202">
            <v>50000</v>
          </cell>
          <cell r="D202">
            <v>40000</v>
          </cell>
          <cell r="E202" t="str">
            <v xml:space="preserve">17 дн / 136 ч </v>
          </cell>
          <cell r="F202">
            <v>284.09090909090907</v>
          </cell>
          <cell r="G202">
            <v>38636.363636363632</v>
          </cell>
          <cell r="H202">
            <v>0</v>
          </cell>
          <cell r="I202">
            <v>0</v>
          </cell>
        </row>
        <row r="203">
          <cell r="B203" t="str">
            <v>доплата за гр</v>
          </cell>
          <cell r="C203">
            <v>0</v>
          </cell>
          <cell r="D203">
            <v>0</v>
          </cell>
          <cell r="E203" t="str">
            <v>3 дн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B204" t="str">
            <v>переработка</v>
          </cell>
          <cell r="C204">
            <v>0</v>
          </cell>
          <cell r="D204">
            <v>0</v>
          </cell>
          <cell r="E204" t="str">
            <v>14 час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B205" t="str">
            <v>Шукубаев Дамир Абылкасымович</v>
          </cell>
          <cell r="C205">
            <v>50000</v>
          </cell>
          <cell r="D205">
            <v>40000</v>
          </cell>
          <cell r="E205" t="str">
            <v xml:space="preserve">20 дн / 154 ч </v>
          </cell>
          <cell r="F205">
            <v>284.09090909090907</v>
          </cell>
          <cell r="G205">
            <v>43749.999999999993</v>
          </cell>
          <cell r="H205">
            <v>0</v>
          </cell>
          <cell r="I205">
            <v>0</v>
          </cell>
        </row>
        <row r="206">
          <cell r="B206" t="str">
            <v>доплата за гр</v>
          </cell>
          <cell r="C206">
            <v>0</v>
          </cell>
          <cell r="D206">
            <v>0</v>
          </cell>
          <cell r="E206" t="str">
            <v>6 дн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B207" t="str">
            <v>переработка</v>
          </cell>
          <cell r="C207">
            <v>0</v>
          </cell>
          <cell r="D207">
            <v>0</v>
          </cell>
          <cell r="E207" t="str">
            <v>18 час</v>
          </cell>
          <cell r="F207">
            <v>0</v>
          </cell>
          <cell r="G207">
            <v>0</v>
          </cell>
          <cell r="I207">
            <v>0</v>
          </cell>
        </row>
        <row r="208">
          <cell r="B208" t="str">
            <v>доставка город</v>
          </cell>
          <cell r="C208">
            <v>50000</v>
          </cell>
          <cell r="D208">
            <v>20000</v>
          </cell>
          <cell r="E208" t="str">
            <v xml:space="preserve">1 дн / 8 ч </v>
          </cell>
          <cell r="F208">
            <v>284.09090909090907</v>
          </cell>
          <cell r="G208">
            <v>2272.7272727272725</v>
          </cell>
          <cell r="H208">
            <v>0</v>
          </cell>
          <cell r="I208">
            <v>0</v>
          </cell>
        </row>
        <row r="209">
          <cell r="B209" t="str">
            <v>приемка вагона 30% от кладовщика</v>
          </cell>
          <cell r="C209">
            <v>0</v>
          </cell>
          <cell r="D209">
            <v>0</v>
          </cell>
          <cell r="E209" t="str">
            <v>1 дн</v>
          </cell>
          <cell r="F209">
            <v>0</v>
          </cell>
          <cell r="G209">
            <v>0</v>
          </cell>
          <cell r="I209">
            <v>0</v>
          </cell>
        </row>
        <row r="210">
          <cell r="B210" t="str">
            <v>кладовщик</v>
          </cell>
          <cell r="C210">
            <v>115000</v>
          </cell>
          <cell r="D210">
            <v>0</v>
          </cell>
          <cell r="E210" t="str">
            <v xml:space="preserve">3 дн / 24 ч </v>
          </cell>
          <cell r="F210">
            <v>653.40909090909088</v>
          </cell>
          <cell r="G210">
            <v>15681.81818181818</v>
          </cell>
          <cell r="H210">
            <v>0</v>
          </cell>
          <cell r="I210">
            <v>0</v>
          </cell>
        </row>
        <row r="211">
          <cell r="B211" t="str">
            <v>грузчик 30% от оклада</v>
          </cell>
          <cell r="C211">
            <v>15000</v>
          </cell>
          <cell r="D211">
            <v>0</v>
          </cell>
          <cell r="E211" t="str">
            <v>3 ДН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B212">
            <v>0</v>
          </cell>
          <cell r="E212">
            <v>0</v>
          </cell>
          <cell r="F212">
            <v>0</v>
          </cell>
          <cell r="G212">
            <v>3965568.1818181803</v>
          </cell>
          <cell r="H212">
            <v>148340.41999999998</v>
          </cell>
          <cell r="I212">
            <v>22272.727272727272</v>
          </cell>
        </row>
        <row r="213">
          <cell r="B213">
            <v>0</v>
          </cell>
          <cell r="E213">
            <v>0</v>
          </cell>
          <cell r="F213">
            <v>0</v>
          </cell>
          <cell r="G213">
            <v>4113908.6018181802</v>
          </cell>
          <cell r="H213">
            <v>0</v>
          </cell>
          <cell r="I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без уволеных</v>
          </cell>
          <cell r="H214">
            <v>0</v>
          </cell>
          <cell r="I214">
            <v>0</v>
          </cell>
        </row>
        <row r="215">
          <cell r="C215">
            <v>0</v>
          </cell>
          <cell r="D215">
            <v>0</v>
          </cell>
          <cell r="E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G217">
            <v>0</v>
          </cell>
          <cell r="H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с уволеными</v>
          </cell>
          <cell r="H218">
            <v>0</v>
          </cell>
          <cell r="I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E220">
            <v>6380000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B221">
            <v>43678</v>
          </cell>
          <cell r="C221">
            <v>0</v>
          </cell>
          <cell r="D221">
            <v>0</v>
          </cell>
          <cell r="E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B222">
            <v>43708</v>
          </cell>
          <cell r="C222">
            <v>290000</v>
          </cell>
          <cell r="D222">
            <v>22</v>
          </cell>
          <cell r="E222">
            <v>6380000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B223" t="str">
            <v xml:space="preserve">по штатному расписанию 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</sheetData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Штатное расписание"/>
      <sheetName val="основной"/>
      <sheetName val="декабрь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Шаблон табель"/>
      <sheetName val="Лист1"/>
      <sheetName val="шабл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B8" t="str">
            <v>Инспектор по кадрам</v>
          </cell>
        </row>
      </sheetData>
      <sheetData sheetId="9">
        <row r="8">
          <cell r="B8" t="str">
            <v>Инспектор по кадрам</v>
          </cell>
        </row>
      </sheetData>
      <sheetData sheetId="10">
        <row r="8">
          <cell r="B8" t="str">
            <v>Жаксыбаев Серик Жумабаевич</v>
          </cell>
          <cell r="C8">
            <v>200000</v>
          </cell>
          <cell r="D8">
            <v>0</v>
          </cell>
          <cell r="E8" t="str">
            <v xml:space="preserve">19 дн / 152 ч </v>
          </cell>
          <cell r="F8">
            <v>1136.3636363636363</v>
          </cell>
          <cell r="G8">
            <v>172727.27272727271</v>
          </cell>
          <cell r="H8">
            <v>172727.25</v>
          </cell>
          <cell r="I8">
            <v>172727.25</v>
          </cell>
        </row>
        <row r="9">
          <cell r="B9" t="str">
            <v>Инспектор по кадрам</v>
          </cell>
          <cell r="C9">
            <v>172727.25</v>
          </cell>
          <cell r="D9">
            <v>172727.25</v>
          </cell>
          <cell r="E9">
            <v>172727.25</v>
          </cell>
          <cell r="F9">
            <v>172727.25</v>
          </cell>
          <cell r="G9">
            <v>172727.25</v>
          </cell>
          <cell r="H9">
            <v>172727.25</v>
          </cell>
          <cell r="I9">
            <v>172727.25</v>
          </cell>
        </row>
        <row r="10">
          <cell r="B10" t="str">
            <v>Пономарёва Галина Юрьевна</v>
          </cell>
          <cell r="C10">
            <v>100000</v>
          </cell>
          <cell r="D10">
            <v>0</v>
          </cell>
          <cell r="E10" t="str">
            <v xml:space="preserve">19 дн / 152 ч </v>
          </cell>
          <cell r="F10">
            <v>568.18181818181813</v>
          </cell>
          <cell r="G10">
            <v>86363.636363636353</v>
          </cell>
          <cell r="H10">
            <v>86363.625</v>
          </cell>
          <cell r="I10">
            <v>86363.625</v>
          </cell>
        </row>
        <row r="11">
          <cell r="B11">
            <v>86363.625</v>
          </cell>
          <cell r="C11">
            <v>86363.625</v>
          </cell>
          <cell r="D11">
            <v>86363.625</v>
          </cell>
          <cell r="E11" t="str">
            <v xml:space="preserve"> ДН</v>
          </cell>
          <cell r="F11">
            <v>86363.625</v>
          </cell>
          <cell r="G11">
            <v>86363.625</v>
          </cell>
          <cell r="H11">
            <v>86363.625</v>
          </cell>
          <cell r="I11">
            <v>86363.625</v>
          </cell>
        </row>
        <row r="12">
          <cell r="B12" t="str">
            <v>Кассир</v>
          </cell>
          <cell r="C12">
            <v>86363.625</v>
          </cell>
          <cell r="D12">
            <v>86363.625</v>
          </cell>
          <cell r="E12">
            <v>86363.625</v>
          </cell>
          <cell r="F12">
            <v>86363.625</v>
          </cell>
          <cell r="G12">
            <v>86363.625</v>
          </cell>
          <cell r="H12">
            <v>86363.625</v>
          </cell>
          <cell r="I12">
            <v>86363.625</v>
          </cell>
        </row>
        <row r="13">
          <cell r="B13" t="str">
            <v>Васильченко Вера Анатольевна</v>
          </cell>
          <cell r="C13">
            <v>130000</v>
          </cell>
          <cell r="D13">
            <v>0</v>
          </cell>
          <cell r="E13" t="str">
            <v xml:space="preserve">15 дн / 120 ч </v>
          </cell>
          <cell r="F13">
            <v>738.63636363636363</v>
          </cell>
          <cell r="G13">
            <v>88636.363636363632</v>
          </cell>
          <cell r="H13">
            <v>88636.3125</v>
          </cell>
          <cell r="I13">
            <v>88636.3125</v>
          </cell>
        </row>
        <row r="14">
          <cell r="B14">
            <v>88636.3125</v>
          </cell>
          <cell r="C14">
            <v>88636.3125</v>
          </cell>
          <cell r="D14">
            <v>88636.3125</v>
          </cell>
          <cell r="E14">
            <v>88636.3125</v>
          </cell>
          <cell r="F14">
            <v>88636.3125</v>
          </cell>
          <cell r="G14">
            <v>88636.3125</v>
          </cell>
          <cell r="H14">
            <v>88636.3125</v>
          </cell>
          <cell r="I14">
            <v>88636.3125</v>
          </cell>
        </row>
        <row r="15">
          <cell r="B15" t="str">
            <v>Оператор</v>
          </cell>
          <cell r="C15">
            <v>88636.3125</v>
          </cell>
          <cell r="D15">
            <v>88636.3125</v>
          </cell>
          <cell r="E15">
            <v>88636.3125</v>
          </cell>
          <cell r="F15">
            <v>88636.3125</v>
          </cell>
          <cell r="G15">
            <v>88636.3125</v>
          </cell>
          <cell r="H15">
            <v>88636.3125</v>
          </cell>
          <cell r="I15">
            <v>88636.3125</v>
          </cell>
        </row>
        <row r="16">
          <cell r="B16" t="str">
            <v>Комарницкая Мария Сергеевна</v>
          </cell>
          <cell r="C16">
            <v>110000</v>
          </cell>
          <cell r="D16">
            <v>0</v>
          </cell>
          <cell r="E16" t="str">
            <v xml:space="preserve">17 дн / 136 ч </v>
          </cell>
          <cell r="F16">
            <v>625</v>
          </cell>
          <cell r="G16">
            <v>85000</v>
          </cell>
          <cell r="H16">
            <v>85000</v>
          </cell>
          <cell r="I16">
            <v>85000</v>
          </cell>
        </row>
        <row r="17">
          <cell r="B17" t="str">
            <v>доплата оператор 50%</v>
          </cell>
          <cell r="C17">
            <v>85000</v>
          </cell>
          <cell r="D17">
            <v>85000</v>
          </cell>
          <cell r="E17" t="str">
            <v xml:space="preserve"> ДН</v>
          </cell>
          <cell r="F17">
            <v>85000</v>
          </cell>
          <cell r="G17">
            <v>85000</v>
          </cell>
          <cell r="H17">
            <v>27500</v>
          </cell>
          <cell r="I17">
            <v>27500</v>
          </cell>
        </row>
        <row r="18">
          <cell r="B18" t="str">
            <v>Конькова Татьяна Владимировна</v>
          </cell>
          <cell r="C18">
            <v>110000</v>
          </cell>
          <cell r="D18">
            <v>0</v>
          </cell>
          <cell r="E18" t="str">
            <v xml:space="preserve">19 дн / 152 ч </v>
          </cell>
          <cell r="F18">
            <v>625</v>
          </cell>
          <cell r="G18">
            <v>95000</v>
          </cell>
          <cell r="H18">
            <v>95000</v>
          </cell>
          <cell r="I18">
            <v>95000</v>
          </cell>
        </row>
        <row r="19">
          <cell r="B19" t="str">
            <v>доплата оператор 50%</v>
          </cell>
          <cell r="C19">
            <v>95000</v>
          </cell>
          <cell r="D19">
            <v>95000</v>
          </cell>
          <cell r="E19" t="str">
            <v xml:space="preserve"> ДН</v>
          </cell>
          <cell r="F19">
            <v>95000</v>
          </cell>
          <cell r="G19">
            <v>95000</v>
          </cell>
          <cell r="H19">
            <v>41250</v>
          </cell>
          <cell r="I19">
            <v>41250</v>
          </cell>
        </row>
        <row r="20">
          <cell r="B20" t="str">
            <v>Крылова Алёна Александровна</v>
          </cell>
          <cell r="C20">
            <v>110000</v>
          </cell>
          <cell r="D20">
            <v>0</v>
          </cell>
          <cell r="E20" t="str">
            <v xml:space="preserve">9 дн / 72 ч </v>
          </cell>
          <cell r="F20">
            <v>625</v>
          </cell>
          <cell r="G20">
            <v>45000</v>
          </cell>
          <cell r="H20">
            <v>45000</v>
          </cell>
          <cell r="I20">
            <v>45000</v>
          </cell>
        </row>
        <row r="21">
          <cell r="B21" t="str">
            <v>доплата оператор 50%</v>
          </cell>
          <cell r="C21">
            <v>45000</v>
          </cell>
          <cell r="D21">
            <v>45000</v>
          </cell>
          <cell r="E21" t="str">
            <v xml:space="preserve"> ДН</v>
          </cell>
          <cell r="F21">
            <v>45000</v>
          </cell>
          <cell r="G21">
            <v>45000</v>
          </cell>
          <cell r="H21" t="e">
            <v>#VALUE!</v>
          </cell>
          <cell r="I21">
            <v>45000</v>
          </cell>
        </row>
        <row r="22">
          <cell r="B22" t="str">
            <v>Петропавловск</v>
          </cell>
          <cell r="C22" t="str">
            <v>тариф</v>
          </cell>
          <cell r="D22">
            <v>2272.7272727272725</v>
          </cell>
          <cell r="E22">
            <v>2272.7265625</v>
          </cell>
          <cell r="F22" t="str">
            <v>кол-во чел. с доплатой без кладовщиков</v>
          </cell>
          <cell r="G22">
            <v>2272.7265625</v>
          </cell>
          <cell r="H22">
            <v>2272.7265625</v>
          </cell>
          <cell r="I22">
            <v>2272.7265625</v>
          </cell>
        </row>
        <row r="23">
          <cell r="B23">
            <v>2272.7265625</v>
          </cell>
          <cell r="C23">
            <v>2272.7265625</v>
          </cell>
          <cell r="D23">
            <v>2272.7265625</v>
          </cell>
          <cell r="E23">
            <v>2272.7265625</v>
          </cell>
          <cell r="F23" t="str">
            <v>кол-во отсутствующ</v>
          </cell>
          <cell r="G23">
            <v>2272.7265625</v>
          </cell>
          <cell r="H23">
            <v>2272.7265625</v>
          </cell>
          <cell r="I23">
            <v>2272.7265625</v>
          </cell>
        </row>
        <row r="24">
          <cell r="B24">
            <v>2272.7265625</v>
          </cell>
          <cell r="C24">
            <v>2272.7265625</v>
          </cell>
          <cell r="D24">
            <v>2272.7265625</v>
          </cell>
          <cell r="E24">
            <v>2272.7265625</v>
          </cell>
          <cell r="F24" t="str">
            <v>сумма</v>
          </cell>
          <cell r="G24">
            <v>2272.7265625</v>
          </cell>
          <cell r="H24">
            <v>2272.7265625</v>
          </cell>
          <cell r="I24">
            <v>2272.7265625</v>
          </cell>
        </row>
        <row r="25">
          <cell r="B25">
            <v>2272.7265625</v>
          </cell>
          <cell r="C25">
            <v>2272.7265625</v>
          </cell>
          <cell r="D25">
            <v>2272.7265625</v>
          </cell>
          <cell r="E25">
            <v>2272.7265625</v>
          </cell>
          <cell r="F25">
            <v>2272.7265625</v>
          </cell>
          <cell r="G25">
            <v>2272.7265625</v>
          </cell>
          <cell r="H25">
            <v>2272.7265625</v>
          </cell>
          <cell r="I25">
            <v>2272.7265625</v>
          </cell>
        </row>
        <row r="26">
          <cell r="B26" t="str">
            <v>Петрова Валентина Константиновна</v>
          </cell>
          <cell r="C26">
            <v>115000</v>
          </cell>
          <cell r="D26">
            <v>0</v>
          </cell>
          <cell r="E26" t="str">
            <v xml:space="preserve">20 дн / 160 ч </v>
          </cell>
          <cell r="F26">
            <v>653.40909090909088</v>
          </cell>
          <cell r="G26">
            <v>104545.45454545454</v>
          </cell>
          <cell r="H26">
            <v>104545.4375</v>
          </cell>
          <cell r="I26">
            <v>104545.4375</v>
          </cell>
        </row>
        <row r="27">
          <cell r="B27">
            <v>104545.4375</v>
          </cell>
          <cell r="C27">
            <v>104545.4375</v>
          </cell>
          <cell r="D27">
            <v>104545.4375</v>
          </cell>
          <cell r="E27">
            <v>104545.4375</v>
          </cell>
          <cell r="F27">
            <v>104545.4375</v>
          </cell>
          <cell r="G27">
            <v>104545.4375</v>
          </cell>
          <cell r="H27">
            <v>104545.4375</v>
          </cell>
          <cell r="I27">
            <v>104545.4375</v>
          </cell>
        </row>
        <row r="28">
          <cell r="B28" t="str">
            <v>Касымов Дияз Ерболович</v>
          </cell>
          <cell r="C28">
            <v>50000</v>
          </cell>
          <cell r="D28">
            <v>30000</v>
          </cell>
          <cell r="E28" t="str">
            <v xml:space="preserve">19 дн / 152 ч </v>
          </cell>
          <cell r="F28">
            <v>284.09090909090907</v>
          </cell>
          <cell r="G28">
            <v>43181.818181818177</v>
          </cell>
          <cell r="H28">
            <v>43181.8125</v>
          </cell>
          <cell r="I28">
            <v>43181.8125</v>
          </cell>
        </row>
        <row r="29">
          <cell r="B29" t="str">
            <v xml:space="preserve">доплата за груз </v>
          </cell>
          <cell r="C29">
            <v>43181.8125</v>
          </cell>
          <cell r="D29">
            <v>43181.8125</v>
          </cell>
          <cell r="E29" t="str">
            <v>0 дн</v>
          </cell>
          <cell r="F29">
            <v>43181.8125</v>
          </cell>
          <cell r="G29">
            <v>43181.8125</v>
          </cell>
          <cell r="H29">
            <v>43181.8125</v>
          </cell>
          <cell r="I29">
            <v>43181.8125</v>
          </cell>
        </row>
        <row r="30">
          <cell r="B30">
            <v>43181.8125</v>
          </cell>
          <cell r="C30">
            <v>43181.8125</v>
          </cell>
          <cell r="D30">
            <v>43181.8125</v>
          </cell>
          <cell r="E30">
            <v>43181.8125</v>
          </cell>
          <cell r="F30">
            <v>43181.8125</v>
          </cell>
          <cell r="G30">
            <v>43181.8125</v>
          </cell>
          <cell r="H30">
            <v>43181.8125</v>
          </cell>
          <cell r="I30">
            <v>43181.8125</v>
          </cell>
        </row>
        <row r="31">
          <cell r="B31" t="str">
            <v>Карель Андрей Андреевич</v>
          </cell>
          <cell r="C31">
            <v>50000</v>
          </cell>
          <cell r="D31">
            <v>30000</v>
          </cell>
          <cell r="E31" t="str">
            <v xml:space="preserve">12 дн / 96 ч </v>
          </cell>
          <cell r="F31">
            <v>284.09090909090907</v>
          </cell>
          <cell r="G31">
            <v>27272.727272727272</v>
          </cell>
          <cell r="H31">
            <v>27272.71875</v>
          </cell>
          <cell r="I31">
            <v>27272.71875</v>
          </cell>
        </row>
        <row r="32">
          <cell r="B32" t="str">
            <v>экспедитор</v>
          </cell>
          <cell r="C32">
            <v>50000</v>
          </cell>
          <cell r="D32">
            <v>50000</v>
          </cell>
          <cell r="E32" t="str">
            <v xml:space="preserve">0 дн / 0 ч </v>
          </cell>
          <cell r="F32">
            <v>284.09090909090907</v>
          </cell>
          <cell r="G32">
            <v>0</v>
          </cell>
          <cell r="H32">
            <v>0</v>
          </cell>
          <cell r="I32">
            <v>0</v>
          </cell>
        </row>
        <row r="33">
          <cell r="B33" t="str">
            <v>регион</v>
          </cell>
          <cell r="C33">
            <v>60000</v>
          </cell>
          <cell r="D33">
            <v>40000</v>
          </cell>
          <cell r="E33" t="str">
            <v xml:space="preserve">0 дн / 0 ч </v>
          </cell>
          <cell r="F33">
            <v>340.90909090909093</v>
          </cell>
          <cell r="G33">
            <v>0</v>
          </cell>
          <cell r="H33">
            <v>0</v>
          </cell>
          <cell r="I33">
            <v>0</v>
          </cell>
        </row>
        <row r="34">
          <cell r="B34" t="str">
            <v>Карщик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 t="str">
            <v>Степанов Геннадий Васильевич</v>
          </cell>
          <cell r="C35">
            <v>50000</v>
          </cell>
          <cell r="D35">
            <v>50000</v>
          </cell>
          <cell r="E35" t="str">
            <v xml:space="preserve">14 дн / 112 ч </v>
          </cell>
          <cell r="F35">
            <v>284.09090909090907</v>
          </cell>
          <cell r="G35">
            <v>31818.181818181816</v>
          </cell>
          <cell r="H35">
            <v>31818.171875</v>
          </cell>
          <cell r="I35">
            <v>31818.171875</v>
          </cell>
        </row>
        <row r="36">
          <cell r="B36" t="str">
            <v>30% кладовщик вода</v>
          </cell>
          <cell r="C36">
            <v>31818.171875</v>
          </cell>
          <cell r="D36">
            <v>31818.171875</v>
          </cell>
          <cell r="E36" t="str">
            <v>0 ДН</v>
          </cell>
          <cell r="F36">
            <v>31818.171875</v>
          </cell>
          <cell r="I36">
            <v>31818.171875</v>
          </cell>
        </row>
        <row r="37">
          <cell r="B37" t="str">
            <v>доплата за грузчика</v>
          </cell>
          <cell r="C37">
            <v>31818.171875</v>
          </cell>
          <cell r="D37">
            <v>31818.171875</v>
          </cell>
          <cell r="E37" t="str">
            <v>0 ДН</v>
          </cell>
          <cell r="F37">
            <v>31818.171875</v>
          </cell>
          <cell r="G37">
            <v>31818.171875</v>
          </cell>
          <cell r="H37">
            <v>31818.171875</v>
          </cell>
          <cell r="I37">
            <v>31818.171875</v>
          </cell>
        </row>
        <row r="38">
          <cell r="B38" t="str">
            <v>депримирование 25% от премии</v>
          </cell>
          <cell r="C38">
            <v>31818.171875</v>
          </cell>
          <cell r="D38">
            <v>31818.171875</v>
          </cell>
          <cell r="E38">
            <v>31818.171875</v>
          </cell>
          <cell r="F38">
            <v>31818.171875</v>
          </cell>
          <cell r="G38">
            <v>31818.171875</v>
          </cell>
          <cell r="H38">
            <v>31818.171875</v>
          </cell>
          <cell r="I38">
            <v>31818.171875</v>
          </cell>
        </row>
        <row r="39">
          <cell r="B39" t="str">
            <v>Основной (Кэмми/химия/сыры)</v>
          </cell>
          <cell r="C39">
            <v>31818.171875</v>
          </cell>
          <cell r="D39">
            <v>31818.171875</v>
          </cell>
          <cell r="E39">
            <v>31818.171875</v>
          </cell>
          <cell r="F39">
            <v>31818.171875</v>
          </cell>
          <cell r="G39">
            <v>31818.171875</v>
          </cell>
          <cell r="H39">
            <v>31818.171875</v>
          </cell>
          <cell r="I39">
            <v>31818.171875</v>
          </cell>
        </row>
        <row r="40">
          <cell r="B40" t="str">
            <v>Бузько Римма Романовна</v>
          </cell>
          <cell r="C40">
            <v>110000</v>
          </cell>
          <cell r="D40">
            <v>0</v>
          </cell>
          <cell r="E40" t="str">
            <v xml:space="preserve">17 дн / 136 ч </v>
          </cell>
          <cell r="F40">
            <v>625</v>
          </cell>
          <cell r="G40">
            <v>85000</v>
          </cell>
          <cell r="H40">
            <v>85000</v>
          </cell>
          <cell r="I40">
            <v>85000</v>
          </cell>
        </row>
        <row r="41">
          <cell r="B41">
            <v>85000</v>
          </cell>
          <cell r="C41">
            <v>85000</v>
          </cell>
          <cell r="D41">
            <v>85000</v>
          </cell>
          <cell r="E41">
            <v>85000</v>
          </cell>
          <cell r="F41">
            <v>85000</v>
          </cell>
          <cell r="G41">
            <v>85000</v>
          </cell>
          <cell r="H41">
            <v>85000</v>
          </cell>
          <cell r="I41">
            <v>85000</v>
          </cell>
        </row>
        <row r="42">
          <cell r="B42" t="str">
            <v>Иванова Ирина Васильевна</v>
          </cell>
          <cell r="C42">
            <v>110000</v>
          </cell>
          <cell r="D42">
            <v>0</v>
          </cell>
          <cell r="E42" t="str">
            <v xml:space="preserve">18 дн / 144 ч </v>
          </cell>
          <cell r="F42">
            <v>625</v>
          </cell>
          <cell r="G42">
            <v>90000</v>
          </cell>
          <cell r="H42">
            <v>90000</v>
          </cell>
          <cell r="I42">
            <v>90000</v>
          </cell>
        </row>
        <row r="43">
          <cell r="B43">
            <v>90000</v>
          </cell>
          <cell r="C43">
            <v>12500</v>
          </cell>
          <cell r="D43">
            <v>12500</v>
          </cell>
          <cell r="E43">
            <v>12500</v>
          </cell>
          <cell r="F43">
            <v>12500</v>
          </cell>
          <cell r="G43">
            <v>12500</v>
          </cell>
          <cell r="H43">
            <v>12500</v>
          </cell>
          <cell r="I43">
            <v>12500</v>
          </cell>
        </row>
        <row r="44">
          <cell r="B44" t="str">
            <v>Жиенбаев Амангельды Серикович</v>
          </cell>
          <cell r="C44">
            <v>50000</v>
          </cell>
          <cell r="D44">
            <v>30000</v>
          </cell>
          <cell r="E44" t="str">
            <v xml:space="preserve">16 дн / 128 ч </v>
          </cell>
          <cell r="F44">
            <v>284.09090909090907</v>
          </cell>
          <cell r="G44">
            <v>36363.63636363636</v>
          </cell>
          <cell r="H44">
            <v>36363.625</v>
          </cell>
          <cell r="I44">
            <v>36363.625</v>
          </cell>
        </row>
        <row r="45">
          <cell r="B45" t="str">
            <v xml:space="preserve">доплата за груз </v>
          </cell>
          <cell r="E45" t="str">
            <v>1 ДН</v>
          </cell>
          <cell r="F45">
            <v>36363.625</v>
          </cell>
          <cell r="G45">
            <v>36363.625</v>
          </cell>
          <cell r="H45">
            <v>36363.625</v>
          </cell>
          <cell r="I45">
            <v>36363.625</v>
          </cell>
        </row>
        <row r="46">
          <cell r="B46" t="str">
            <v>переработка</v>
          </cell>
          <cell r="C46">
            <v>36363.625</v>
          </cell>
          <cell r="D46">
            <v>36363.625</v>
          </cell>
          <cell r="E46">
            <v>36363.625</v>
          </cell>
          <cell r="F46">
            <v>36363.625</v>
          </cell>
          <cell r="G46">
            <v>36363.625</v>
          </cell>
          <cell r="H46">
            <v>36363.625</v>
          </cell>
          <cell r="I46">
            <v>36363.625</v>
          </cell>
        </row>
        <row r="47">
          <cell r="B47">
            <v>36363.625</v>
          </cell>
          <cell r="C47">
            <v>36363.625</v>
          </cell>
          <cell r="D47">
            <v>36363.625</v>
          </cell>
          <cell r="E47">
            <v>36363.625</v>
          </cell>
          <cell r="F47">
            <v>36363.625</v>
          </cell>
          <cell r="G47">
            <v>36363.625</v>
          </cell>
          <cell r="H47">
            <v>36363.625</v>
          </cell>
          <cell r="I47">
            <v>36363.625</v>
          </cell>
        </row>
        <row r="48">
          <cell r="B48" t="str">
            <v>Жолдыбаев Нурлан Жанадылович</v>
          </cell>
          <cell r="C48">
            <v>50000</v>
          </cell>
          <cell r="D48">
            <v>30000</v>
          </cell>
          <cell r="E48" t="str">
            <v xml:space="preserve">14 дн / 116 ч </v>
          </cell>
          <cell r="F48">
            <v>284.09090909090907</v>
          </cell>
          <cell r="G48">
            <v>32954.545454545449</v>
          </cell>
          <cell r="H48">
            <v>32954.53125</v>
          </cell>
          <cell r="I48">
            <v>32954.53125</v>
          </cell>
        </row>
        <row r="49">
          <cell r="B49" t="str">
            <v xml:space="preserve">доплата за груз </v>
          </cell>
          <cell r="E49" t="str">
            <v>2 ДН</v>
          </cell>
          <cell r="F49">
            <v>32954.53125</v>
          </cell>
          <cell r="G49">
            <v>32954.53125</v>
          </cell>
          <cell r="H49">
            <v>32954.53125</v>
          </cell>
          <cell r="I49">
            <v>32954.53125</v>
          </cell>
        </row>
        <row r="50">
          <cell r="B50" t="str">
            <v>переработка</v>
          </cell>
          <cell r="C50">
            <v>32954.53125</v>
          </cell>
          <cell r="D50">
            <v>32954.53125</v>
          </cell>
          <cell r="E50">
            <v>32954.53125</v>
          </cell>
          <cell r="F50">
            <v>32954.53125</v>
          </cell>
          <cell r="G50">
            <v>32954.53125</v>
          </cell>
          <cell r="H50">
            <v>32954.53125</v>
          </cell>
          <cell r="I50">
            <v>32954.53125</v>
          </cell>
        </row>
        <row r="51">
          <cell r="B51" t="str">
            <v>экспедитор</v>
          </cell>
          <cell r="C51">
            <v>50000</v>
          </cell>
          <cell r="D51">
            <v>50000</v>
          </cell>
          <cell r="E51" t="str">
            <v xml:space="preserve">4 дн / 32 ч </v>
          </cell>
          <cell r="F51">
            <v>284.09090909090907</v>
          </cell>
          <cell r="G51">
            <v>9090.9090909090901</v>
          </cell>
          <cell r="H51">
            <v>9090.90625</v>
          </cell>
          <cell r="I51">
            <v>9090.90625</v>
          </cell>
        </row>
        <row r="52">
          <cell r="B52" t="str">
            <v>Химия</v>
          </cell>
          <cell r="C52">
            <v>9090.90625</v>
          </cell>
          <cell r="D52">
            <v>9090.90625</v>
          </cell>
          <cell r="E52">
            <v>9090.90625</v>
          </cell>
          <cell r="F52">
            <v>9090.90625</v>
          </cell>
          <cell r="G52">
            <v>9090.90625</v>
          </cell>
          <cell r="H52">
            <v>9090.90625</v>
          </cell>
          <cell r="I52">
            <v>9090.90625</v>
          </cell>
        </row>
        <row r="53">
          <cell r="B53" t="str">
            <v xml:space="preserve">Жакиенов Арман Зейнелгабиденович </v>
          </cell>
          <cell r="C53">
            <v>50000</v>
          </cell>
          <cell r="D53">
            <v>30000</v>
          </cell>
          <cell r="E53" t="str">
            <v xml:space="preserve">13 дн / 104 ч </v>
          </cell>
          <cell r="F53">
            <v>284.09090909090907</v>
          </cell>
          <cell r="G53">
            <v>29545.454545454544</v>
          </cell>
          <cell r="H53">
            <v>29545.453125</v>
          </cell>
          <cell r="I53">
            <v>29545.453125</v>
          </cell>
        </row>
        <row r="54">
          <cell r="B54" t="str">
            <v xml:space="preserve">доплата за груз </v>
          </cell>
          <cell r="E54" t="str">
            <v>0 ДН</v>
          </cell>
          <cell r="F54">
            <v>29545.453125</v>
          </cell>
          <cell r="G54">
            <v>29545.453125</v>
          </cell>
          <cell r="H54">
            <v>29545.453125</v>
          </cell>
          <cell r="I54">
            <v>29545.453125</v>
          </cell>
        </row>
        <row r="55">
          <cell r="B55" t="str">
            <v>мыломойка доставка</v>
          </cell>
          <cell r="C55">
            <v>20000</v>
          </cell>
          <cell r="D55" t="str">
            <v>0 ДН</v>
          </cell>
          <cell r="E55">
            <v>20000</v>
          </cell>
          <cell r="F55">
            <v>20000</v>
          </cell>
          <cell r="I55">
            <v>20000</v>
          </cell>
        </row>
        <row r="56">
          <cell r="B56" t="str">
            <v>Сыры</v>
          </cell>
          <cell r="C56">
            <v>20000</v>
          </cell>
          <cell r="D56">
            <v>20000</v>
          </cell>
          <cell r="E56">
            <v>20000</v>
          </cell>
          <cell r="F56">
            <v>20000</v>
          </cell>
          <cell r="G56">
            <v>20000</v>
          </cell>
          <cell r="H56">
            <v>20000</v>
          </cell>
          <cell r="I56">
            <v>20000</v>
          </cell>
        </row>
        <row r="57">
          <cell r="B57" t="str">
            <v>Мукуров Тамерлан Жанадылович</v>
          </cell>
          <cell r="C57">
            <v>50000</v>
          </cell>
          <cell r="D57">
            <v>50000</v>
          </cell>
          <cell r="E57" t="str">
            <v xml:space="preserve">19 дн / 152 ч </v>
          </cell>
          <cell r="F57">
            <v>284.09090909090907</v>
          </cell>
          <cell r="G57">
            <v>43181.818181818177</v>
          </cell>
          <cell r="H57">
            <v>43181.8125</v>
          </cell>
          <cell r="I57">
            <v>43181.8125</v>
          </cell>
        </row>
        <row r="58">
          <cell r="B58" t="str">
            <v>водитель-экспедитор</v>
          </cell>
          <cell r="C58">
            <v>80000</v>
          </cell>
          <cell r="D58">
            <v>40000</v>
          </cell>
          <cell r="E58" t="str">
            <v xml:space="preserve">0 дн / 0 ч </v>
          </cell>
          <cell r="F58">
            <v>454.54545454545456</v>
          </cell>
          <cell r="G58">
            <v>0</v>
          </cell>
          <cell r="H58">
            <v>0</v>
          </cell>
          <cell r="I58">
            <v>0</v>
          </cell>
        </row>
        <row r="59">
          <cell r="B59" t="str">
            <v>кладовщик 30%</v>
          </cell>
          <cell r="C59">
            <v>15000</v>
          </cell>
          <cell r="D59">
            <v>15000</v>
          </cell>
          <cell r="E59" t="str">
            <v>0 ДН</v>
          </cell>
          <cell r="F59">
            <v>15000</v>
          </cell>
          <cell r="G59">
            <v>15000</v>
          </cell>
          <cell r="I59">
            <v>15000</v>
          </cell>
        </row>
        <row r="60">
          <cell r="B60" t="str">
            <v xml:space="preserve">доплата за груз </v>
          </cell>
          <cell r="E60" t="str">
            <v>1 ДН</v>
          </cell>
          <cell r="F60">
            <v>15000</v>
          </cell>
          <cell r="G60">
            <v>15000</v>
          </cell>
          <cell r="H60">
            <v>15000</v>
          </cell>
          <cell r="I60">
            <v>15000</v>
          </cell>
        </row>
        <row r="61">
          <cell r="B61" t="str">
            <v>Вода</v>
          </cell>
          <cell r="C61" t="str">
            <v>тариф</v>
          </cell>
          <cell r="D61">
            <v>2272.7272727272725</v>
          </cell>
          <cell r="E61">
            <v>2272.7265625</v>
          </cell>
          <cell r="F61">
            <v>2272.7265625</v>
          </cell>
          <cell r="G61">
            <v>2272.7265625</v>
          </cell>
          <cell r="H61">
            <v>2272.7265625</v>
          </cell>
          <cell r="I61">
            <v>2272.7265625</v>
          </cell>
        </row>
        <row r="62">
          <cell r="B62">
            <v>2272.7265625</v>
          </cell>
          <cell r="C62">
            <v>2272.7265625</v>
          </cell>
          <cell r="D62">
            <v>2272.7265625</v>
          </cell>
          <cell r="E62">
            <v>2272.7265625</v>
          </cell>
          <cell r="F62">
            <v>2272.7265625</v>
          </cell>
          <cell r="G62">
            <v>2272.7265625</v>
          </cell>
          <cell r="H62">
            <v>2272.7265625</v>
          </cell>
          <cell r="I62">
            <v>2272.7265625</v>
          </cell>
        </row>
        <row r="63">
          <cell r="B63">
            <v>2272.7265625</v>
          </cell>
          <cell r="C63">
            <v>2272.7265625</v>
          </cell>
          <cell r="D63">
            <v>2272.7265625</v>
          </cell>
          <cell r="E63">
            <v>2272.7265625</v>
          </cell>
          <cell r="F63">
            <v>2272.7265625</v>
          </cell>
          <cell r="G63">
            <v>2272.7265625</v>
          </cell>
          <cell r="H63">
            <v>2272.7265625</v>
          </cell>
          <cell r="I63">
            <v>2272.7265625</v>
          </cell>
        </row>
        <row r="64">
          <cell r="B64">
            <v>2272.7265625</v>
          </cell>
          <cell r="C64">
            <v>2272.7265625</v>
          </cell>
          <cell r="D64">
            <v>2272.7265625</v>
          </cell>
          <cell r="E64">
            <v>2272.7265625</v>
          </cell>
          <cell r="F64">
            <v>2272.7265625</v>
          </cell>
          <cell r="G64">
            <v>2272.7265625</v>
          </cell>
          <cell r="H64">
            <v>2272.7265625</v>
          </cell>
          <cell r="I64">
            <v>2272.7265625</v>
          </cell>
        </row>
        <row r="65">
          <cell r="B65" t="str">
            <v>Инербаев Жанат Бейбытович</v>
          </cell>
          <cell r="C65">
            <v>70000</v>
          </cell>
          <cell r="D65">
            <v>40000</v>
          </cell>
          <cell r="E65" t="str">
            <v xml:space="preserve">19 дн / 152 ч </v>
          </cell>
          <cell r="F65">
            <v>397.72727272727275</v>
          </cell>
          <cell r="G65">
            <v>60454.545454545456</v>
          </cell>
          <cell r="H65">
            <v>60454.53125</v>
          </cell>
          <cell r="I65">
            <v>60454.53125</v>
          </cell>
        </row>
        <row r="66">
          <cell r="B66" t="str">
            <v>30% кладовщик вода</v>
          </cell>
          <cell r="C66">
            <v>33000</v>
          </cell>
          <cell r="D66">
            <v>33000</v>
          </cell>
          <cell r="E66" t="str">
            <v>0 ДН</v>
          </cell>
          <cell r="F66">
            <v>33000</v>
          </cell>
          <cell r="H66">
            <v>0</v>
          </cell>
          <cell r="I66">
            <v>0</v>
          </cell>
        </row>
        <row r="67">
          <cell r="B67" t="str">
            <v>грузчик</v>
          </cell>
          <cell r="C67">
            <v>50000</v>
          </cell>
          <cell r="D67">
            <v>30000</v>
          </cell>
          <cell r="E67" t="str">
            <v xml:space="preserve">1 дн / 12 ч </v>
          </cell>
          <cell r="F67">
            <v>284.09090909090907</v>
          </cell>
          <cell r="G67">
            <v>3409.090909090909</v>
          </cell>
          <cell r="H67">
            <v>3409.08984375</v>
          </cell>
          <cell r="I67">
            <v>3409.08984375</v>
          </cell>
        </row>
        <row r="68">
          <cell r="B68" t="str">
            <v>Мусабек Нурлыбек Алпысулы</v>
          </cell>
          <cell r="C68">
            <v>50000</v>
          </cell>
          <cell r="D68">
            <v>30000</v>
          </cell>
          <cell r="E68" t="str">
            <v xml:space="preserve">13 дн / 101,5 ч </v>
          </cell>
          <cell r="F68">
            <v>284.09090909090907</v>
          </cell>
          <cell r="G68">
            <v>28835.227272727268</v>
          </cell>
          <cell r="H68">
            <v>28835.21875</v>
          </cell>
          <cell r="I68">
            <v>28835.21875</v>
          </cell>
        </row>
        <row r="69">
          <cell r="B69" t="str">
            <v>доплата за груз</v>
          </cell>
          <cell r="C69">
            <v>28835.21875</v>
          </cell>
          <cell r="D69">
            <v>28835.21875</v>
          </cell>
          <cell r="E69" t="str">
            <v>0 ДН</v>
          </cell>
          <cell r="F69">
            <v>28835.21875</v>
          </cell>
          <cell r="G69">
            <v>28835.21875</v>
          </cell>
          <cell r="H69">
            <v>28835.21875</v>
          </cell>
          <cell r="I69">
            <v>28835.21875</v>
          </cell>
        </row>
        <row r="70">
          <cell r="B70" t="str">
            <v>переработка</v>
          </cell>
          <cell r="C70">
            <v>28835.21875</v>
          </cell>
          <cell r="D70">
            <v>28835.21875</v>
          </cell>
          <cell r="E70" t="str">
            <v>0 час</v>
          </cell>
          <cell r="F70">
            <v>28835.21875</v>
          </cell>
          <cell r="G70">
            <v>28835.21875</v>
          </cell>
          <cell r="H70">
            <v>28835.21875</v>
          </cell>
          <cell r="I70">
            <v>28835.21875</v>
          </cell>
        </row>
        <row r="71">
          <cell r="B71" t="str">
            <v>Туранов Азамат Куандыкович</v>
          </cell>
          <cell r="C71">
            <v>50000</v>
          </cell>
          <cell r="D71">
            <v>30000</v>
          </cell>
          <cell r="E71" t="str">
            <v xml:space="preserve">19 дн / 148,5 ч </v>
          </cell>
          <cell r="F71">
            <v>284.09090909090907</v>
          </cell>
          <cell r="G71">
            <v>42187.499999999993</v>
          </cell>
          <cell r="H71">
            <v>42187.46875</v>
          </cell>
          <cell r="I71">
            <v>42187.46875</v>
          </cell>
        </row>
        <row r="72">
          <cell r="B72" t="str">
            <v>доплата за груз</v>
          </cell>
          <cell r="C72">
            <v>42187.46875</v>
          </cell>
          <cell r="D72">
            <v>42187.46875</v>
          </cell>
          <cell r="E72" t="str">
            <v>0 ДН</v>
          </cell>
          <cell r="F72">
            <v>42187.46875</v>
          </cell>
          <cell r="G72">
            <v>42187.46875</v>
          </cell>
          <cell r="H72">
            <v>42187.46875</v>
          </cell>
          <cell r="I72">
            <v>42187.46875</v>
          </cell>
        </row>
        <row r="73">
          <cell r="B73" t="str">
            <v>переработка</v>
          </cell>
          <cell r="C73">
            <v>42187.46875</v>
          </cell>
          <cell r="D73">
            <v>42187.46875</v>
          </cell>
          <cell r="E73" t="str">
            <v>0 час</v>
          </cell>
          <cell r="F73">
            <v>42187.46875</v>
          </cell>
          <cell r="G73">
            <v>42187.46875</v>
          </cell>
          <cell r="H73">
            <v>42187.46875</v>
          </cell>
          <cell r="I73">
            <v>42187.46875</v>
          </cell>
        </row>
        <row r="74">
          <cell r="B74" t="str">
            <v>Рахат</v>
          </cell>
          <cell r="C74">
            <v>42187.46875</v>
          </cell>
          <cell r="D74">
            <v>42187.46875</v>
          </cell>
          <cell r="E74" t="str">
            <v>тариф</v>
          </cell>
          <cell r="F74">
            <v>2272.7272727272725</v>
          </cell>
          <cell r="G74">
            <v>2272.7265625</v>
          </cell>
          <cell r="H74">
            <v>2272.7265625</v>
          </cell>
          <cell r="I74" t="str">
            <v>кол-во чел. с доплатой без кладовщиков</v>
          </cell>
        </row>
        <row r="75">
          <cell r="B75">
            <v>2272.7265625</v>
          </cell>
          <cell r="C75">
            <v>2272.7265625</v>
          </cell>
          <cell r="D75">
            <v>2272.7265625</v>
          </cell>
          <cell r="E75">
            <v>2272.7265625</v>
          </cell>
          <cell r="F75">
            <v>2272.7265625</v>
          </cell>
          <cell r="G75">
            <v>2272.7265625</v>
          </cell>
          <cell r="H75">
            <v>2272.7265625</v>
          </cell>
          <cell r="I75" t="str">
            <v>кол-во отсутствующ</v>
          </cell>
        </row>
        <row r="76">
          <cell r="B76">
            <v>2272.7265625</v>
          </cell>
          <cell r="C76">
            <v>2272.7265625</v>
          </cell>
          <cell r="D76">
            <v>2272.7265625</v>
          </cell>
          <cell r="E76">
            <v>2272.7265625</v>
          </cell>
          <cell r="F76">
            <v>2272.7265625</v>
          </cell>
          <cell r="G76">
            <v>2272.7265625</v>
          </cell>
          <cell r="H76">
            <v>2272.7265625</v>
          </cell>
          <cell r="I76" t="str">
            <v>сумма</v>
          </cell>
        </row>
        <row r="77">
          <cell r="B77">
            <v>2272.7265625</v>
          </cell>
          <cell r="C77">
            <v>2272.7265625</v>
          </cell>
          <cell r="D77">
            <v>2272.7265625</v>
          </cell>
          <cell r="E77">
            <v>2272.7265625</v>
          </cell>
          <cell r="F77">
            <v>2272.7265625</v>
          </cell>
          <cell r="G77">
            <v>2272.7265625</v>
          </cell>
          <cell r="H77">
            <v>2272.7265625</v>
          </cell>
          <cell r="I77">
            <v>2272.7265625</v>
          </cell>
        </row>
        <row r="78">
          <cell r="B78" t="str">
            <v>Жайкова Юлия Юрьевна</v>
          </cell>
          <cell r="C78">
            <v>140000</v>
          </cell>
          <cell r="D78">
            <v>0</v>
          </cell>
          <cell r="E78" t="str">
            <v xml:space="preserve">19 дн / 152 ч </v>
          </cell>
          <cell r="F78">
            <v>795.4545454545455</v>
          </cell>
          <cell r="G78">
            <v>120909.09090909091</v>
          </cell>
          <cell r="H78">
            <v>120909.0625</v>
          </cell>
          <cell r="I78">
            <v>120909.0625</v>
          </cell>
        </row>
        <row r="79">
          <cell r="B79" t="str">
            <v>доплата за гр</v>
          </cell>
          <cell r="C79">
            <v>120909.0625</v>
          </cell>
          <cell r="D79">
            <v>120909.0625</v>
          </cell>
          <cell r="E79">
            <v>120909.0625</v>
          </cell>
          <cell r="F79">
            <v>120909.0625</v>
          </cell>
          <cell r="G79">
            <v>120909.0625</v>
          </cell>
          <cell r="H79">
            <v>120909.0625</v>
          </cell>
          <cell r="I79">
            <v>120909.0625</v>
          </cell>
        </row>
        <row r="80">
          <cell r="B80" t="str">
            <v>Демихова Наталья Юрьевна</v>
          </cell>
          <cell r="C80">
            <v>115000</v>
          </cell>
          <cell r="D80">
            <v>0</v>
          </cell>
          <cell r="E80" t="str">
            <v xml:space="preserve">16 дн / 128 ч </v>
          </cell>
          <cell r="F80">
            <v>653.40909090909088</v>
          </cell>
          <cell r="G80">
            <v>83636.363636363632</v>
          </cell>
          <cell r="H80">
            <v>83636.3125</v>
          </cell>
          <cell r="I80">
            <v>83636.3125</v>
          </cell>
        </row>
        <row r="81">
          <cell r="B81" t="str">
            <v xml:space="preserve">перерасчет отпуск </v>
          </cell>
          <cell r="C81">
            <v>83636.3125</v>
          </cell>
          <cell r="D81">
            <v>83636.3125</v>
          </cell>
          <cell r="E81">
            <v>83636.3125</v>
          </cell>
          <cell r="F81">
            <v>83636.3125</v>
          </cell>
          <cell r="G81">
            <v>83636.3125</v>
          </cell>
          <cell r="H81">
            <v>1710</v>
          </cell>
          <cell r="I81">
            <v>1710</v>
          </cell>
        </row>
        <row r="82">
          <cell r="B82" t="str">
            <v>Арндт  Михаил Михайлович</v>
          </cell>
          <cell r="C82">
            <v>50000</v>
          </cell>
          <cell r="D82">
            <v>40000</v>
          </cell>
          <cell r="E82" t="str">
            <v xml:space="preserve">4 дн / 32 ч </v>
          </cell>
          <cell r="F82">
            <v>284.09090909090907</v>
          </cell>
          <cell r="G82">
            <v>9090.9090909090901</v>
          </cell>
          <cell r="H82">
            <v>9090.90625</v>
          </cell>
          <cell r="I82">
            <v>9090.90625</v>
          </cell>
        </row>
        <row r="83">
          <cell r="B83" t="str">
            <v>доплата за гр</v>
          </cell>
          <cell r="C83">
            <v>9090.90625</v>
          </cell>
          <cell r="D83">
            <v>9090.90625</v>
          </cell>
          <cell r="E83" t="str">
            <v>2 дн</v>
          </cell>
          <cell r="F83">
            <v>9090.90625</v>
          </cell>
          <cell r="G83">
            <v>9090.90625</v>
          </cell>
          <cell r="H83">
            <v>9090.90625</v>
          </cell>
          <cell r="I83">
            <v>9090.90625</v>
          </cell>
        </row>
        <row r="84">
          <cell r="B84" t="str">
            <v>переработка</v>
          </cell>
          <cell r="C84">
            <v>9090.90625</v>
          </cell>
          <cell r="D84">
            <v>9090.90625</v>
          </cell>
          <cell r="E84" t="str">
            <v>4 час</v>
          </cell>
          <cell r="F84">
            <v>9090.90625</v>
          </cell>
          <cell r="G84">
            <v>9090.90625</v>
          </cell>
          <cell r="H84">
            <v>9090.90625</v>
          </cell>
          <cell r="I84">
            <v>9090.90625</v>
          </cell>
        </row>
        <row r="85">
          <cell r="B85">
            <v>9090.90625</v>
          </cell>
          <cell r="C85">
            <v>34500</v>
          </cell>
          <cell r="D85">
            <v>34500</v>
          </cell>
          <cell r="E85" t="str">
            <v>0 ДН</v>
          </cell>
          <cell r="F85">
            <v>34500</v>
          </cell>
          <cell r="G85">
            <v>34500</v>
          </cell>
          <cell r="H85">
            <v>34500</v>
          </cell>
          <cell r="I85">
            <v>34500</v>
          </cell>
        </row>
        <row r="86">
          <cell r="B86" t="str">
            <v>Байдельдинов Арман</v>
          </cell>
          <cell r="C86">
            <v>50000</v>
          </cell>
          <cell r="D86">
            <v>40000</v>
          </cell>
          <cell r="E86" t="str">
            <v xml:space="preserve">15 дн / 120 ч </v>
          </cell>
          <cell r="F86">
            <v>284.09090909090907</v>
          </cell>
          <cell r="G86">
            <v>34090.909090909088</v>
          </cell>
          <cell r="H86">
            <v>34090.90625</v>
          </cell>
          <cell r="I86">
            <v>34090.90625</v>
          </cell>
        </row>
        <row r="87">
          <cell r="B87" t="str">
            <v>доплата за гр</v>
          </cell>
          <cell r="C87">
            <v>34090.90625</v>
          </cell>
          <cell r="D87">
            <v>34090.90625</v>
          </cell>
          <cell r="E87" t="str">
            <v>2 дн</v>
          </cell>
          <cell r="F87">
            <v>34090.90625</v>
          </cell>
          <cell r="G87">
            <v>34090.90625</v>
          </cell>
          <cell r="I87">
            <v>34090.90625</v>
          </cell>
        </row>
        <row r="88">
          <cell r="B88" t="str">
            <v>переработка</v>
          </cell>
          <cell r="C88">
            <v>34090.90625</v>
          </cell>
          <cell r="D88">
            <v>34090.90625</v>
          </cell>
          <cell r="E88" t="str">
            <v>0 час</v>
          </cell>
          <cell r="F88">
            <v>34090.90625</v>
          </cell>
          <cell r="G88">
            <v>34090.90625</v>
          </cell>
          <cell r="H88">
            <v>34090.90625</v>
          </cell>
          <cell r="I88">
            <v>34090.90625</v>
          </cell>
        </row>
        <row r="89">
          <cell r="B89" t="str">
            <v>Бреус Никита Вячеславович</v>
          </cell>
          <cell r="C89">
            <v>50000</v>
          </cell>
          <cell r="D89">
            <v>40000</v>
          </cell>
          <cell r="E89" t="str">
            <v xml:space="preserve">4 дн / 32 ч </v>
          </cell>
          <cell r="F89">
            <v>284.09090909090907</v>
          </cell>
          <cell r="G89">
            <v>9090.9090909090901</v>
          </cell>
          <cell r="H89">
            <v>9090.90625</v>
          </cell>
          <cell r="I89">
            <v>9090.90625</v>
          </cell>
        </row>
        <row r="90">
          <cell r="B90" t="str">
            <v>доплата за гр</v>
          </cell>
          <cell r="C90">
            <v>9090.90625</v>
          </cell>
          <cell r="D90">
            <v>9090.90625</v>
          </cell>
          <cell r="E90" t="str">
            <v>1 дн</v>
          </cell>
          <cell r="F90">
            <v>9090.90625</v>
          </cell>
          <cell r="G90">
            <v>9090.90625</v>
          </cell>
          <cell r="I90">
            <v>9090.90625</v>
          </cell>
        </row>
        <row r="91">
          <cell r="B91" t="str">
            <v>переработка</v>
          </cell>
          <cell r="C91">
            <v>9090.90625</v>
          </cell>
          <cell r="D91">
            <v>9090.90625</v>
          </cell>
          <cell r="E91" t="str">
            <v>0 час</v>
          </cell>
          <cell r="F91">
            <v>9090.90625</v>
          </cell>
          <cell r="G91">
            <v>9090.90625</v>
          </cell>
          <cell r="I91">
            <v>9090.90625</v>
          </cell>
        </row>
        <row r="92">
          <cell r="B92" t="str">
            <v>доставка город</v>
          </cell>
          <cell r="C92">
            <v>50000</v>
          </cell>
          <cell r="D92">
            <v>20000</v>
          </cell>
          <cell r="E92" t="str">
            <v xml:space="preserve">1 дн / 8 ч </v>
          </cell>
          <cell r="F92">
            <v>284.09090909090907</v>
          </cell>
          <cell r="G92">
            <v>2272.7272727272725</v>
          </cell>
          <cell r="H92">
            <v>2272.7265625</v>
          </cell>
          <cell r="I92">
            <v>2272.7265625</v>
          </cell>
        </row>
        <row r="93">
          <cell r="B93" t="str">
            <v>доставка вода</v>
          </cell>
          <cell r="C93">
            <v>60000</v>
          </cell>
          <cell r="D93">
            <v>30000</v>
          </cell>
          <cell r="E93" t="str">
            <v xml:space="preserve">12 дн / 96 ч </v>
          </cell>
          <cell r="F93">
            <v>340.90909090909093</v>
          </cell>
          <cell r="G93">
            <v>32727.272727272728</v>
          </cell>
          <cell r="H93">
            <v>32727.265625</v>
          </cell>
          <cell r="I93">
            <v>32727.265625</v>
          </cell>
        </row>
        <row r="94">
          <cell r="B94" t="str">
            <v>Бородий Михаил</v>
          </cell>
          <cell r="C94">
            <v>50000</v>
          </cell>
          <cell r="D94">
            <v>40000</v>
          </cell>
          <cell r="E94" t="str">
            <v xml:space="preserve">19 дн / 152 ч </v>
          </cell>
          <cell r="F94">
            <v>284.09090909090907</v>
          </cell>
          <cell r="G94">
            <v>43181.818181818177</v>
          </cell>
          <cell r="H94">
            <v>43181.8125</v>
          </cell>
          <cell r="I94">
            <v>43181.8125</v>
          </cell>
        </row>
        <row r="95">
          <cell r="B95" t="str">
            <v>доплата за гр</v>
          </cell>
          <cell r="C95">
            <v>43181.8125</v>
          </cell>
          <cell r="D95">
            <v>43181.8125</v>
          </cell>
          <cell r="E95" t="str">
            <v>4 дн</v>
          </cell>
          <cell r="F95">
            <v>43181.8125</v>
          </cell>
          <cell r="G95">
            <v>43181.8125</v>
          </cell>
          <cell r="I95">
            <v>43181.8125</v>
          </cell>
        </row>
        <row r="96">
          <cell r="B96" t="str">
            <v>переработка</v>
          </cell>
          <cell r="C96">
            <v>43181.8125</v>
          </cell>
          <cell r="D96">
            <v>43181.8125</v>
          </cell>
          <cell r="E96" t="str">
            <v>0 час</v>
          </cell>
          <cell r="F96">
            <v>43181.8125</v>
          </cell>
          <cell r="G96">
            <v>43181.8125</v>
          </cell>
          <cell r="H96">
            <v>43181.8125</v>
          </cell>
          <cell r="I96">
            <v>43181.8125</v>
          </cell>
        </row>
        <row r="97">
          <cell r="B97" t="str">
            <v>Ергазинов Аблайхан Сайлауович</v>
          </cell>
          <cell r="C97">
            <v>50000</v>
          </cell>
          <cell r="D97">
            <v>40000</v>
          </cell>
          <cell r="E97" t="str">
            <v xml:space="preserve">1 дн / 8 ч </v>
          </cell>
          <cell r="F97">
            <v>284.09090909090907</v>
          </cell>
          <cell r="G97">
            <v>2272.7272727272725</v>
          </cell>
          <cell r="H97">
            <v>2272.7265625</v>
          </cell>
          <cell r="I97">
            <v>2272.7265625</v>
          </cell>
        </row>
        <row r="98">
          <cell r="B98" t="str">
            <v>доплата за гр</v>
          </cell>
          <cell r="C98">
            <v>2272.7265625</v>
          </cell>
          <cell r="D98">
            <v>2272.7265625</v>
          </cell>
          <cell r="E98" t="str">
            <v>1 дн</v>
          </cell>
          <cell r="F98">
            <v>2272.7265625</v>
          </cell>
          <cell r="G98">
            <v>2272.7265625</v>
          </cell>
          <cell r="H98">
            <v>2272.7265625</v>
          </cell>
          <cell r="I98">
            <v>2272.7265625</v>
          </cell>
        </row>
        <row r="99">
          <cell r="B99" t="str">
            <v>переработка</v>
          </cell>
          <cell r="C99">
            <v>2272.7265625</v>
          </cell>
          <cell r="D99">
            <v>2272.7265625</v>
          </cell>
          <cell r="E99" t="str">
            <v>1 час</v>
          </cell>
          <cell r="F99">
            <v>2272.7265625</v>
          </cell>
          <cell r="G99">
            <v>2272.7265625</v>
          </cell>
          <cell r="H99">
            <v>2272.7265625</v>
          </cell>
          <cell r="I99">
            <v>2272.7265625</v>
          </cell>
        </row>
        <row r="100">
          <cell r="B100" t="str">
            <v>Соболев Максим Александрович</v>
          </cell>
          <cell r="C100">
            <v>50000</v>
          </cell>
          <cell r="D100">
            <v>40000</v>
          </cell>
          <cell r="E100" t="str">
            <v xml:space="preserve">5 дн / 40 ч </v>
          </cell>
          <cell r="F100">
            <v>284.09090909090907</v>
          </cell>
          <cell r="G100">
            <v>11363.636363636362</v>
          </cell>
          <cell r="H100">
            <v>11363.6328125</v>
          </cell>
          <cell r="I100">
            <v>11363.6328125</v>
          </cell>
        </row>
        <row r="101">
          <cell r="B101" t="str">
            <v>доплата за гр</v>
          </cell>
          <cell r="C101">
            <v>11363.6328125</v>
          </cell>
          <cell r="D101">
            <v>11363.6328125</v>
          </cell>
          <cell r="E101" t="str">
            <v>0 дн</v>
          </cell>
          <cell r="F101">
            <v>11363.6328125</v>
          </cell>
          <cell r="G101">
            <v>11363.6328125</v>
          </cell>
          <cell r="H101">
            <v>11363.6328125</v>
          </cell>
          <cell r="I101">
            <v>11363.6328125</v>
          </cell>
        </row>
        <row r="102">
          <cell r="B102" t="str">
            <v>переработка</v>
          </cell>
          <cell r="C102">
            <v>11363.6328125</v>
          </cell>
          <cell r="D102">
            <v>11363.6328125</v>
          </cell>
          <cell r="E102" t="str">
            <v>3 час</v>
          </cell>
          <cell r="F102">
            <v>11363.6328125</v>
          </cell>
          <cell r="G102">
            <v>11363.6328125</v>
          </cell>
          <cell r="H102">
            <v>11363.6328125</v>
          </cell>
          <cell r="I102">
            <v>11363.6328125</v>
          </cell>
        </row>
        <row r="103">
          <cell r="B103" t="str">
            <v>Омаров Рустам Жулдызбекович</v>
          </cell>
          <cell r="C103">
            <v>50000</v>
          </cell>
          <cell r="D103">
            <v>40000</v>
          </cell>
          <cell r="E103" t="str">
            <v xml:space="preserve">17 дн / 136 ч </v>
          </cell>
          <cell r="F103">
            <v>284.09090909090907</v>
          </cell>
          <cell r="G103">
            <v>38636.363636363632</v>
          </cell>
          <cell r="H103">
            <v>38636.34375</v>
          </cell>
          <cell r="I103">
            <v>38636.34375</v>
          </cell>
        </row>
        <row r="104">
          <cell r="B104" t="str">
            <v>доплата за гр</v>
          </cell>
          <cell r="C104">
            <v>38636.34375</v>
          </cell>
          <cell r="D104">
            <v>38636.34375</v>
          </cell>
          <cell r="E104" t="str">
            <v>2 дн</v>
          </cell>
          <cell r="F104">
            <v>38636.34375</v>
          </cell>
          <cell r="G104">
            <v>38636.34375</v>
          </cell>
          <cell r="H104">
            <v>38636.34375</v>
          </cell>
          <cell r="I104">
            <v>38636.34375</v>
          </cell>
        </row>
        <row r="105">
          <cell r="B105" t="str">
            <v>переработка</v>
          </cell>
          <cell r="C105">
            <v>38636.34375</v>
          </cell>
          <cell r="D105">
            <v>38636.34375</v>
          </cell>
          <cell r="E105" t="str">
            <v>0 час</v>
          </cell>
          <cell r="F105">
            <v>38636.34375</v>
          </cell>
          <cell r="G105">
            <v>38636.34375</v>
          </cell>
          <cell r="H105">
            <v>38636.34375</v>
          </cell>
          <cell r="I105">
            <v>38636.34375</v>
          </cell>
        </row>
        <row r="106">
          <cell r="B106" t="str">
            <v>Фогель Павел Александрович</v>
          </cell>
          <cell r="C106">
            <v>50000</v>
          </cell>
          <cell r="D106">
            <v>40000</v>
          </cell>
          <cell r="E106" t="str">
            <v xml:space="preserve">9 дн / 72 ч </v>
          </cell>
          <cell r="F106">
            <v>284.09090909090907</v>
          </cell>
          <cell r="G106">
            <v>20454.545454545452</v>
          </cell>
          <cell r="H106">
            <v>20454.53125</v>
          </cell>
          <cell r="I106">
            <v>20454.53125</v>
          </cell>
        </row>
        <row r="107">
          <cell r="B107" t="str">
            <v>доплата за гр</v>
          </cell>
          <cell r="C107">
            <v>20454.53125</v>
          </cell>
          <cell r="D107">
            <v>20454.53125</v>
          </cell>
          <cell r="E107" t="str">
            <v>1 дн</v>
          </cell>
          <cell r="F107">
            <v>20454.53125</v>
          </cell>
          <cell r="G107">
            <v>20454.53125</v>
          </cell>
          <cell r="H107">
            <v>20454.53125</v>
          </cell>
          <cell r="I107">
            <v>20454.53125</v>
          </cell>
        </row>
        <row r="108">
          <cell r="B108" t="str">
            <v>переработка</v>
          </cell>
          <cell r="C108">
            <v>20454.53125</v>
          </cell>
          <cell r="D108">
            <v>20454.53125</v>
          </cell>
          <cell r="E108" t="str">
            <v>0 час</v>
          </cell>
          <cell r="F108">
            <v>20454.53125</v>
          </cell>
          <cell r="G108">
            <v>20454.53125</v>
          </cell>
          <cell r="I108">
            <v>20454.53125</v>
          </cell>
        </row>
        <row r="109">
          <cell r="B109" t="str">
            <v>доставка город</v>
          </cell>
          <cell r="C109">
            <v>50000</v>
          </cell>
          <cell r="D109">
            <v>20000</v>
          </cell>
          <cell r="E109" t="str">
            <v xml:space="preserve">2 дн / 16 ч </v>
          </cell>
          <cell r="F109">
            <v>284.09090909090907</v>
          </cell>
          <cell r="G109">
            <v>4545.454545454545</v>
          </cell>
          <cell r="H109">
            <v>4545.453125</v>
          </cell>
          <cell r="I109">
            <v>4545.453125</v>
          </cell>
        </row>
        <row r="110">
          <cell r="B110" t="str">
            <v>основной склад</v>
          </cell>
          <cell r="C110">
            <v>50000</v>
          </cell>
          <cell r="D110">
            <v>30000</v>
          </cell>
          <cell r="E110" t="str">
            <v xml:space="preserve">1 дн / 8 ч </v>
          </cell>
          <cell r="F110">
            <v>284.09090909090907</v>
          </cell>
          <cell r="G110">
            <v>2272.7272727272725</v>
          </cell>
          <cell r="H110">
            <v>2272.7265625</v>
          </cell>
          <cell r="I110">
            <v>2272.7265625</v>
          </cell>
        </row>
        <row r="111">
          <cell r="B111" t="str">
            <v>Цыбулькин Сергей Викторович</v>
          </cell>
          <cell r="C111">
            <v>50000</v>
          </cell>
          <cell r="D111">
            <v>40000</v>
          </cell>
          <cell r="E111" t="str">
            <v xml:space="preserve">13 дн / 104 ч </v>
          </cell>
          <cell r="F111">
            <v>284.09090909090907</v>
          </cell>
          <cell r="G111">
            <v>29545.454545454544</v>
          </cell>
          <cell r="H111">
            <v>29545.453125</v>
          </cell>
          <cell r="I111">
            <v>29545.453125</v>
          </cell>
        </row>
        <row r="112">
          <cell r="B112" t="str">
            <v>доплата за гр</v>
          </cell>
          <cell r="C112">
            <v>29545.453125</v>
          </cell>
          <cell r="D112">
            <v>29545.453125</v>
          </cell>
          <cell r="E112" t="str">
            <v>3 дн</v>
          </cell>
          <cell r="F112">
            <v>29545.453125</v>
          </cell>
          <cell r="G112">
            <v>29545.453125</v>
          </cell>
          <cell r="H112">
            <v>29545.453125</v>
          </cell>
          <cell r="I112">
            <v>29545.453125</v>
          </cell>
        </row>
        <row r="113">
          <cell r="B113" t="str">
            <v>переработка</v>
          </cell>
          <cell r="C113">
            <v>29545.453125</v>
          </cell>
          <cell r="D113">
            <v>29545.453125</v>
          </cell>
          <cell r="E113" t="str">
            <v>0 час</v>
          </cell>
          <cell r="F113">
            <v>29545.453125</v>
          </cell>
          <cell r="G113">
            <v>29545.453125</v>
          </cell>
          <cell r="H113">
            <v>29545.453125</v>
          </cell>
          <cell r="I113">
            <v>29545.453125</v>
          </cell>
        </row>
        <row r="114">
          <cell r="B114" t="str">
            <v>Шукубаев Дамир Абылкасымович</v>
          </cell>
          <cell r="C114">
            <v>50000</v>
          </cell>
          <cell r="D114">
            <v>40000</v>
          </cell>
          <cell r="E114" t="str">
            <v xml:space="preserve">16 дн / 128 ч </v>
          </cell>
          <cell r="F114">
            <v>284.09090909090907</v>
          </cell>
          <cell r="G114">
            <v>36363.63636363636</v>
          </cell>
          <cell r="H114">
            <v>36363.625</v>
          </cell>
          <cell r="I114">
            <v>36363.625</v>
          </cell>
        </row>
        <row r="115">
          <cell r="B115" t="str">
            <v>доплата за гр</v>
          </cell>
          <cell r="C115">
            <v>36363.625</v>
          </cell>
          <cell r="D115">
            <v>36363.625</v>
          </cell>
          <cell r="E115" t="str">
            <v>5 дн</v>
          </cell>
          <cell r="F115">
            <v>36363.625</v>
          </cell>
          <cell r="G115">
            <v>36363.625</v>
          </cell>
          <cell r="H115">
            <v>36363.625</v>
          </cell>
          <cell r="I115">
            <v>36363.625</v>
          </cell>
        </row>
        <row r="116">
          <cell r="B116" t="str">
            <v>переработка</v>
          </cell>
          <cell r="C116">
            <v>36363.625</v>
          </cell>
          <cell r="D116">
            <v>36363.625</v>
          </cell>
          <cell r="E116" t="str">
            <v>0 час</v>
          </cell>
          <cell r="F116">
            <v>36363.625</v>
          </cell>
          <cell r="G116">
            <v>36363.625</v>
          </cell>
          <cell r="I116">
            <v>36363.625</v>
          </cell>
        </row>
        <row r="117">
          <cell r="B117" t="str">
            <v>доставка город</v>
          </cell>
          <cell r="C117">
            <v>50000</v>
          </cell>
          <cell r="D117">
            <v>20000</v>
          </cell>
          <cell r="E117" t="str">
            <v xml:space="preserve">1 дн / 8 ч </v>
          </cell>
          <cell r="F117">
            <v>284.09090909090907</v>
          </cell>
          <cell r="G117">
            <v>2272.7272727272725</v>
          </cell>
          <cell r="H117">
            <v>2272.7265625</v>
          </cell>
          <cell r="I117">
            <v>2272.7265625</v>
          </cell>
        </row>
        <row r="118">
          <cell r="B118" t="str">
            <v>приемка вагона 30% от кладовщика</v>
          </cell>
          <cell r="C118">
            <v>2272.7265625</v>
          </cell>
          <cell r="D118">
            <v>2272.7265625</v>
          </cell>
          <cell r="E118" t="str">
            <v>1 дн</v>
          </cell>
          <cell r="F118">
            <v>2272.7265625</v>
          </cell>
          <cell r="G118">
            <v>2272.7265625</v>
          </cell>
          <cell r="I118">
            <v>2272.7265625</v>
          </cell>
        </row>
        <row r="119">
          <cell r="B119" t="str">
            <v>кладовщик</v>
          </cell>
          <cell r="C119">
            <v>115000</v>
          </cell>
          <cell r="D119">
            <v>115000</v>
          </cell>
          <cell r="E119" t="str">
            <v xml:space="preserve">3 дн / 24 ч </v>
          </cell>
          <cell r="F119">
            <v>653.40909090909088</v>
          </cell>
          <cell r="G119">
            <v>15681.81818181818</v>
          </cell>
          <cell r="H119">
            <v>15681.8125</v>
          </cell>
          <cell r="I119">
            <v>15681.8125</v>
          </cell>
        </row>
        <row r="120">
          <cell r="B120" t="str">
            <v>грузчик 30% от оклада</v>
          </cell>
          <cell r="C120">
            <v>15000</v>
          </cell>
          <cell r="D120">
            <v>15000</v>
          </cell>
          <cell r="E120" t="str">
            <v>3 ДН</v>
          </cell>
          <cell r="F120">
            <v>15000</v>
          </cell>
          <cell r="G120">
            <v>15000</v>
          </cell>
          <cell r="I120">
            <v>15000</v>
          </cell>
        </row>
        <row r="121">
          <cell r="B121" t="str">
            <v>Доставка город</v>
          </cell>
          <cell r="C121">
            <v>15000</v>
          </cell>
          <cell r="D121">
            <v>15000</v>
          </cell>
          <cell r="E121">
            <v>15000</v>
          </cell>
          <cell r="F121">
            <v>15000</v>
          </cell>
          <cell r="G121">
            <v>15000</v>
          </cell>
          <cell r="H121">
            <v>15000</v>
          </cell>
          <cell r="I121">
            <v>15000</v>
          </cell>
        </row>
        <row r="122">
          <cell r="B122" t="str">
            <v>Абишев Маулен Токтасынович</v>
          </cell>
          <cell r="C122">
            <v>110000</v>
          </cell>
          <cell r="D122">
            <v>40000</v>
          </cell>
          <cell r="E122" t="str">
            <v xml:space="preserve">8 дн / 64 ч </v>
          </cell>
          <cell r="F122">
            <v>625</v>
          </cell>
          <cell r="G122">
            <v>40000</v>
          </cell>
          <cell r="H122">
            <v>40000</v>
          </cell>
          <cell r="I122">
            <v>40000</v>
          </cell>
        </row>
        <row r="123">
          <cell r="B123" t="str">
            <v>водитель-экспедитор</v>
          </cell>
          <cell r="C123">
            <v>130000</v>
          </cell>
          <cell r="D123">
            <v>40000</v>
          </cell>
          <cell r="E123" t="str">
            <v xml:space="preserve">1 дн / 8 ч </v>
          </cell>
          <cell r="F123">
            <v>738.63636363636363</v>
          </cell>
          <cell r="G123">
            <v>5909.090909090909</v>
          </cell>
          <cell r="H123">
            <v>5909.08984375</v>
          </cell>
          <cell r="I123">
            <v>5909.08984375</v>
          </cell>
        </row>
        <row r="124">
          <cell r="B124" t="str">
            <v>Ибрагимов Кайырболат Канатович</v>
          </cell>
          <cell r="C124">
            <v>50000</v>
          </cell>
          <cell r="D124">
            <v>50000</v>
          </cell>
          <cell r="E124" t="str">
            <v xml:space="preserve">7 дн / 56 ч </v>
          </cell>
          <cell r="F124">
            <v>284.09090909090907</v>
          </cell>
          <cell r="G124">
            <v>15909.090909090908</v>
          </cell>
          <cell r="H124">
            <v>15909.0859375</v>
          </cell>
          <cell r="I124">
            <v>15909.0859375</v>
          </cell>
        </row>
        <row r="125">
          <cell r="B125">
            <v>15909.0859375</v>
          </cell>
          <cell r="C125">
            <v>15909.0859375</v>
          </cell>
          <cell r="D125">
            <v>15909.0859375</v>
          </cell>
          <cell r="E125">
            <v>15909.0859375</v>
          </cell>
          <cell r="F125">
            <v>15909.0859375</v>
          </cell>
          <cell r="G125">
            <v>15909.0859375</v>
          </cell>
          <cell r="H125">
            <v>15909.0859375</v>
          </cell>
          <cell r="I125">
            <v>15909.0859375</v>
          </cell>
        </row>
        <row r="126">
          <cell r="B126" t="str">
            <v>Жавраев Виктор Валерьевич</v>
          </cell>
          <cell r="C126">
            <v>130000</v>
          </cell>
          <cell r="D126">
            <v>40000</v>
          </cell>
          <cell r="E126" t="str">
            <v xml:space="preserve">19 дн / 152 ч </v>
          </cell>
          <cell r="F126">
            <v>738.63636363636363</v>
          </cell>
          <cell r="G126">
            <v>112272.72727272726</v>
          </cell>
          <cell r="H126">
            <v>112272.6875</v>
          </cell>
          <cell r="I126">
            <v>112272.6875</v>
          </cell>
        </row>
        <row r="127">
          <cell r="B127" t="str">
            <v>доплата за грузчика</v>
          </cell>
          <cell r="C127">
            <v>3000</v>
          </cell>
          <cell r="D127">
            <v>3000</v>
          </cell>
          <cell r="E127" t="str">
            <v>17 дн</v>
          </cell>
          <cell r="F127">
            <v>3000</v>
          </cell>
          <cell r="G127">
            <v>3000</v>
          </cell>
          <cell r="H127">
            <v>3000</v>
          </cell>
          <cell r="I127">
            <v>3000</v>
          </cell>
        </row>
        <row r="128">
          <cell r="B128" t="str">
            <v>переработка</v>
          </cell>
          <cell r="C128">
            <v>1000</v>
          </cell>
          <cell r="D128">
            <v>1000</v>
          </cell>
          <cell r="E128" t="str">
            <v xml:space="preserve"> дн</v>
          </cell>
          <cell r="F128">
            <v>1000</v>
          </cell>
          <cell r="G128">
            <v>1000</v>
          </cell>
          <cell r="H128">
            <v>1000</v>
          </cell>
          <cell r="I128">
            <v>1000</v>
          </cell>
        </row>
        <row r="129">
          <cell r="B129" t="str">
            <v>Родичева Валентина Александровна</v>
          </cell>
          <cell r="C129">
            <v>50000</v>
          </cell>
          <cell r="D129">
            <v>20000</v>
          </cell>
          <cell r="E129" t="str">
            <v xml:space="preserve">2 дн / 16 ч </v>
          </cell>
          <cell r="F129">
            <v>284.09090909090907</v>
          </cell>
          <cell r="G129">
            <v>4545.454545454545</v>
          </cell>
          <cell r="H129">
            <v>4545.453125</v>
          </cell>
          <cell r="I129">
            <v>4545.453125</v>
          </cell>
        </row>
        <row r="130">
          <cell r="B130" t="str">
            <v>кладовщик рахат</v>
          </cell>
          <cell r="C130">
            <v>115000</v>
          </cell>
          <cell r="D130">
            <v>0</v>
          </cell>
          <cell r="E130" t="str">
            <v xml:space="preserve">0 дн / 0 ч </v>
          </cell>
          <cell r="F130">
            <v>653.40909090909088</v>
          </cell>
          <cell r="G130">
            <v>0</v>
          </cell>
          <cell r="H130">
            <v>0</v>
          </cell>
          <cell r="I130">
            <v>0</v>
          </cell>
        </row>
        <row r="131">
          <cell r="B131" t="str">
            <v>Броженко Евгений Вячеславович</v>
          </cell>
          <cell r="C131">
            <v>100000</v>
          </cell>
          <cell r="D131">
            <v>40000</v>
          </cell>
          <cell r="E131" t="str">
            <v xml:space="preserve">19 дн / 152 ч </v>
          </cell>
          <cell r="F131">
            <v>568.18181818181813</v>
          </cell>
          <cell r="G131">
            <v>86363.636363636353</v>
          </cell>
          <cell r="H131">
            <v>86363.625</v>
          </cell>
          <cell r="I131">
            <v>86363.625</v>
          </cell>
        </row>
        <row r="132">
          <cell r="B132" t="str">
            <v>доплата за грузчика</v>
          </cell>
          <cell r="C132">
            <v>3000</v>
          </cell>
          <cell r="D132">
            <v>3000</v>
          </cell>
          <cell r="E132" t="str">
            <v>3 дн</v>
          </cell>
          <cell r="F132">
            <v>3000</v>
          </cell>
          <cell r="G132">
            <v>3000</v>
          </cell>
          <cell r="H132">
            <v>3000</v>
          </cell>
          <cell r="I132">
            <v>3000</v>
          </cell>
        </row>
        <row r="133">
          <cell r="B133" t="str">
            <v>Валивач Дмитрий Михайлович</v>
          </cell>
          <cell r="C133">
            <v>50000</v>
          </cell>
          <cell r="D133">
            <v>20000</v>
          </cell>
          <cell r="E133" t="str">
            <v xml:space="preserve">5 дн / 40 ч </v>
          </cell>
          <cell r="F133">
            <v>284.09090909090907</v>
          </cell>
          <cell r="G133">
            <v>11363.636363636362</v>
          </cell>
          <cell r="H133">
            <v>11363.6328125</v>
          </cell>
          <cell r="I133">
            <v>11363.6328125</v>
          </cell>
        </row>
        <row r="134">
          <cell r="B134" t="str">
            <v>Муталапов Ерлан Толегенович</v>
          </cell>
          <cell r="C134">
            <v>70000</v>
          </cell>
          <cell r="D134">
            <v>70000</v>
          </cell>
          <cell r="E134" t="str">
            <v xml:space="preserve">7 дн / 56 ч </v>
          </cell>
          <cell r="F134">
            <v>397.72727272727275</v>
          </cell>
          <cell r="G134">
            <v>22272.727272727272</v>
          </cell>
          <cell r="H134">
            <v>22272.71875</v>
          </cell>
          <cell r="I134">
            <v>-20227.272727272728</v>
          </cell>
        </row>
        <row r="135">
          <cell r="B135" t="str">
            <v>эспедитор</v>
          </cell>
          <cell r="C135">
            <v>100000</v>
          </cell>
          <cell r="D135">
            <v>100000</v>
          </cell>
          <cell r="E135" t="str">
            <v xml:space="preserve">0 дн / 0 ч </v>
          </cell>
          <cell r="F135">
            <v>568.18181818181813</v>
          </cell>
          <cell r="G135">
            <v>0</v>
          </cell>
          <cell r="H135">
            <v>0</v>
          </cell>
        </row>
        <row r="136">
          <cell r="B136" t="str">
            <v>доставка вода</v>
          </cell>
          <cell r="C136">
            <v>90000</v>
          </cell>
          <cell r="D136">
            <v>90000</v>
          </cell>
          <cell r="E136" t="str">
            <v xml:space="preserve">0 дн / 0 ч </v>
          </cell>
          <cell r="F136">
            <v>511.36363636363637</v>
          </cell>
          <cell r="G136">
            <v>0</v>
          </cell>
          <cell r="H136">
            <v>0</v>
          </cell>
          <cell r="I136">
            <v>0</v>
          </cell>
        </row>
        <row r="137">
          <cell r="B137" t="str">
            <v>на руки  мин.зарплату</v>
          </cell>
          <cell r="C137">
            <v>42500</v>
          </cell>
          <cell r="D137">
            <v>42500</v>
          </cell>
          <cell r="E137">
            <v>42500</v>
          </cell>
          <cell r="F137">
            <v>42500</v>
          </cell>
          <cell r="G137">
            <v>42500</v>
          </cell>
          <cell r="H137">
            <v>42500</v>
          </cell>
          <cell r="I137">
            <v>42500</v>
          </cell>
        </row>
        <row r="138">
          <cell r="B138" t="str">
            <v>Жук Сергей Геннадьевич</v>
          </cell>
          <cell r="C138">
            <v>100000</v>
          </cell>
          <cell r="D138">
            <v>40000</v>
          </cell>
          <cell r="E138" t="str">
            <v xml:space="preserve">19 дн / 152 ч </v>
          </cell>
          <cell r="F138">
            <v>568.18181818181813</v>
          </cell>
          <cell r="G138">
            <v>86363.636363636353</v>
          </cell>
          <cell r="H138">
            <v>86363.625</v>
          </cell>
          <cell r="I138">
            <v>86363.625</v>
          </cell>
        </row>
        <row r="139">
          <cell r="B139" t="str">
            <v>доплата за грузчика</v>
          </cell>
          <cell r="C139">
            <v>3000</v>
          </cell>
          <cell r="D139">
            <v>3000</v>
          </cell>
          <cell r="E139" t="str">
            <v>16 дн</v>
          </cell>
          <cell r="F139">
            <v>3000</v>
          </cell>
          <cell r="G139">
            <v>3000</v>
          </cell>
          <cell r="H139">
            <v>3000</v>
          </cell>
          <cell r="I139">
            <v>3000</v>
          </cell>
        </row>
        <row r="140">
          <cell r="B140" t="str">
            <v>ремонт</v>
          </cell>
          <cell r="C140">
            <v>100000</v>
          </cell>
          <cell r="D140">
            <v>100000</v>
          </cell>
          <cell r="E140" t="str">
            <v>0 дн</v>
          </cell>
          <cell r="F140">
            <v>568.18181818181813</v>
          </cell>
          <cell r="G140">
            <v>0</v>
          </cell>
          <cell r="H140">
            <v>0</v>
          </cell>
          <cell r="I140">
            <v>0</v>
          </cell>
        </row>
        <row r="141">
          <cell r="B141" t="str">
            <v>Климов Никита</v>
          </cell>
          <cell r="C141">
            <v>50000</v>
          </cell>
          <cell r="D141">
            <v>20000</v>
          </cell>
          <cell r="E141" t="str">
            <v xml:space="preserve">0 дн / 0 ч </v>
          </cell>
          <cell r="F141">
            <v>284.09090909090907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склад петропавловск</v>
          </cell>
          <cell r="C142">
            <v>50000</v>
          </cell>
          <cell r="D142">
            <v>30000</v>
          </cell>
          <cell r="E142" t="str">
            <v xml:space="preserve">2 дн / 16 ч </v>
          </cell>
          <cell r="F142">
            <v>284.09090909090907</v>
          </cell>
          <cell r="G142">
            <v>4545.454545454545</v>
          </cell>
          <cell r="H142">
            <v>4545.453125</v>
          </cell>
          <cell r="I142">
            <v>4545.453125</v>
          </cell>
        </row>
        <row r="143">
          <cell r="B143" t="str">
            <v>Петров Евгений Валентинович</v>
          </cell>
          <cell r="C143">
            <v>50000</v>
          </cell>
          <cell r="D143">
            <v>20000</v>
          </cell>
          <cell r="E143" t="str">
            <v xml:space="preserve">6 дн / 48 ч </v>
          </cell>
          <cell r="F143">
            <v>284.09090909090907</v>
          </cell>
          <cell r="G143">
            <v>13636.363636363636</v>
          </cell>
          <cell r="H143">
            <v>13636.359375</v>
          </cell>
          <cell r="I143">
            <v>13636.359375</v>
          </cell>
        </row>
        <row r="144">
          <cell r="B144" t="str">
            <v>доставка вода</v>
          </cell>
          <cell r="C144">
            <v>60000</v>
          </cell>
          <cell r="D144">
            <v>30000</v>
          </cell>
          <cell r="E144" t="str">
            <v xml:space="preserve">1 дн / 8 ч </v>
          </cell>
          <cell r="F144">
            <v>340.90909090909093</v>
          </cell>
          <cell r="G144">
            <v>2727.2727272727275</v>
          </cell>
          <cell r="H144">
            <v>2727.271484375</v>
          </cell>
          <cell r="I144">
            <v>2727.271484375</v>
          </cell>
        </row>
        <row r="145">
          <cell r="B145" t="str">
            <v>вода</v>
          </cell>
          <cell r="C145">
            <v>50000</v>
          </cell>
          <cell r="D145">
            <v>30000</v>
          </cell>
          <cell r="E145" t="str">
            <v xml:space="preserve">1 дн / 8 ч </v>
          </cell>
          <cell r="F145">
            <v>284.09090909090907</v>
          </cell>
          <cell r="G145">
            <v>2272.7272727272725</v>
          </cell>
          <cell r="H145">
            <v>2272.7265625</v>
          </cell>
          <cell r="I145">
            <v>2272.7265625</v>
          </cell>
        </row>
        <row r="146">
          <cell r="B146" t="str">
            <v>доплата за гр</v>
          </cell>
          <cell r="C146">
            <v>2272.7265625</v>
          </cell>
          <cell r="D146">
            <v>2272.7265625</v>
          </cell>
          <cell r="E146" t="str">
            <v>0 дн</v>
          </cell>
          <cell r="F146">
            <v>2272.7265625</v>
          </cell>
          <cell r="G146">
            <v>2272.7265625</v>
          </cell>
          <cell r="H146">
            <v>2272.7265625</v>
          </cell>
          <cell r="I146">
            <v>2272.7265625</v>
          </cell>
        </row>
        <row r="147">
          <cell r="B147" t="str">
            <v>Захаров  Александр Владимирович</v>
          </cell>
          <cell r="C147">
            <v>110000</v>
          </cell>
          <cell r="D147">
            <v>40000</v>
          </cell>
          <cell r="E147" t="str">
            <v xml:space="preserve">18 дн / 144 ч </v>
          </cell>
          <cell r="F147">
            <v>625</v>
          </cell>
          <cell r="G147">
            <v>90000</v>
          </cell>
          <cell r="H147">
            <v>90000</v>
          </cell>
          <cell r="I147">
            <v>90000</v>
          </cell>
        </row>
        <row r="148">
          <cell r="B148">
            <v>90000</v>
          </cell>
          <cell r="C148">
            <v>90000</v>
          </cell>
          <cell r="D148">
            <v>90000</v>
          </cell>
          <cell r="E148">
            <v>90000</v>
          </cell>
          <cell r="F148">
            <v>90000</v>
          </cell>
          <cell r="G148">
            <v>90000</v>
          </cell>
          <cell r="H148">
            <v>90000</v>
          </cell>
          <cell r="I148">
            <v>90000</v>
          </cell>
        </row>
        <row r="149">
          <cell r="B149" t="str">
            <v>Кужанов Раимбек Джасланович</v>
          </cell>
          <cell r="C149">
            <v>50000</v>
          </cell>
          <cell r="D149">
            <v>50000</v>
          </cell>
          <cell r="E149" t="str">
            <v xml:space="preserve">19 дн / 152 ч </v>
          </cell>
          <cell r="F149">
            <v>284.09090909090907</v>
          </cell>
          <cell r="G149">
            <v>43181.818181818177</v>
          </cell>
          <cell r="H149">
            <v>43181.8125</v>
          </cell>
          <cell r="I149">
            <v>43181.8125</v>
          </cell>
        </row>
        <row r="150">
          <cell r="B150">
            <v>43181.8125</v>
          </cell>
          <cell r="C150">
            <v>43181.8125</v>
          </cell>
          <cell r="D150">
            <v>43181.8125</v>
          </cell>
          <cell r="E150">
            <v>43181.8125</v>
          </cell>
          <cell r="F150">
            <v>43181.8125</v>
          </cell>
          <cell r="G150">
            <v>43181.8125</v>
          </cell>
          <cell r="H150">
            <v>43181.8125</v>
          </cell>
          <cell r="I150">
            <v>43181.8125</v>
          </cell>
        </row>
        <row r="151">
          <cell r="B151" t="str">
            <v>Пархамчук Дмитрий Викторович</v>
          </cell>
          <cell r="C151">
            <v>100000</v>
          </cell>
          <cell r="D151">
            <v>40000</v>
          </cell>
          <cell r="E151" t="str">
            <v xml:space="preserve">17 дн / 136 ч </v>
          </cell>
          <cell r="F151">
            <v>568.18181818181813</v>
          </cell>
          <cell r="G151">
            <v>77272.727272727265</v>
          </cell>
          <cell r="H151">
            <v>77272.6875</v>
          </cell>
          <cell r="I151">
            <v>77272.6875</v>
          </cell>
        </row>
        <row r="152">
          <cell r="B152" t="str">
            <v>доплата за грузчика</v>
          </cell>
          <cell r="C152">
            <v>3000</v>
          </cell>
          <cell r="D152">
            <v>3000</v>
          </cell>
          <cell r="E152" t="str">
            <v>3 дн</v>
          </cell>
          <cell r="F152">
            <v>3000</v>
          </cell>
          <cell r="G152">
            <v>3000</v>
          </cell>
          <cell r="H152">
            <v>3000</v>
          </cell>
          <cell r="I152">
            <v>3000</v>
          </cell>
        </row>
        <row r="153">
          <cell r="B153" t="str">
            <v>экспедитор</v>
          </cell>
          <cell r="C153">
            <v>50000</v>
          </cell>
          <cell r="D153">
            <v>50000</v>
          </cell>
          <cell r="E153" t="str">
            <v xml:space="preserve">2 дн / 16 ч </v>
          </cell>
          <cell r="F153">
            <v>284.09090909090907</v>
          </cell>
          <cell r="G153">
            <v>4545.454545454545</v>
          </cell>
          <cell r="H153">
            <v>4545.453125</v>
          </cell>
          <cell r="I153">
            <v>4545.453125</v>
          </cell>
        </row>
        <row r="154">
          <cell r="B154" t="str">
            <v>Володин Михаил Владимирович</v>
          </cell>
          <cell r="C154">
            <v>50000</v>
          </cell>
          <cell r="D154">
            <v>20000</v>
          </cell>
          <cell r="E154" t="str">
            <v xml:space="preserve">16 дн / 128 ч </v>
          </cell>
          <cell r="F154">
            <v>284.09090909090907</v>
          </cell>
          <cell r="G154">
            <v>36363.63636363636</v>
          </cell>
          <cell r="H154">
            <v>36363.625</v>
          </cell>
          <cell r="I154">
            <v>36363.625</v>
          </cell>
        </row>
        <row r="155">
          <cell r="B155">
            <v>36363.625</v>
          </cell>
          <cell r="C155">
            <v>36363.625</v>
          </cell>
          <cell r="D155">
            <v>36363.625</v>
          </cell>
          <cell r="E155">
            <v>36363.625</v>
          </cell>
          <cell r="F155">
            <v>36363.625</v>
          </cell>
          <cell r="G155">
            <v>36363.625</v>
          </cell>
          <cell r="H155">
            <v>36363.625</v>
          </cell>
          <cell r="I155">
            <v>36363.625</v>
          </cell>
        </row>
        <row r="156">
          <cell r="B156" t="str">
            <v>Романцов Роман Владимирович</v>
          </cell>
          <cell r="C156">
            <v>130000</v>
          </cell>
          <cell r="D156">
            <v>40000</v>
          </cell>
          <cell r="E156" t="str">
            <v xml:space="preserve">20 дн / 160 ч </v>
          </cell>
          <cell r="F156">
            <v>738.63636363636363</v>
          </cell>
          <cell r="G156">
            <v>118181.81818181818</v>
          </cell>
          <cell r="H156">
            <v>118181.8125</v>
          </cell>
          <cell r="I156">
            <v>118181.8125</v>
          </cell>
        </row>
        <row r="157">
          <cell r="B157" t="str">
            <v>доплата за грузчика</v>
          </cell>
          <cell r="C157">
            <v>2272.7272727272725</v>
          </cell>
          <cell r="D157">
            <v>2272.7265625</v>
          </cell>
          <cell r="E157" t="str">
            <v>0 дн</v>
          </cell>
          <cell r="F157">
            <v>2272.7265625</v>
          </cell>
          <cell r="G157">
            <v>2272.7265625</v>
          </cell>
          <cell r="H157">
            <v>2272.7265625</v>
          </cell>
          <cell r="I157">
            <v>2272.7265625</v>
          </cell>
        </row>
        <row r="158">
          <cell r="B158" t="str">
            <v>переработка</v>
          </cell>
          <cell r="C158">
            <v>1000</v>
          </cell>
          <cell r="D158">
            <v>1000</v>
          </cell>
          <cell r="E158" t="str">
            <v xml:space="preserve"> дн</v>
          </cell>
          <cell r="F158">
            <v>1000</v>
          </cell>
          <cell r="G158">
            <v>1000</v>
          </cell>
          <cell r="H158">
            <v>1000</v>
          </cell>
        </row>
        <row r="159">
          <cell r="B159" t="str">
            <v>Иляхин Владислав Анатольевич</v>
          </cell>
          <cell r="C159">
            <v>50000</v>
          </cell>
          <cell r="D159">
            <v>20000</v>
          </cell>
          <cell r="E159" t="str">
            <v xml:space="preserve">19 дн / 152 ч </v>
          </cell>
          <cell r="F159">
            <v>284.09090909090907</v>
          </cell>
          <cell r="G159">
            <v>43181.818181818177</v>
          </cell>
          <cell r="H159">
            <v>43181.8125</v>
          </cell>
          <cell r="I159">
            <v>43181.8125</v>
          </cell>
        </row>
        <row r="160">
          <cell r="B160">
            <v>43181.8125</v>
          </cell>
          <cell r="C160">
            <v>43181.8125</v>
          </cell>
          <cell r="D160">
            <v>43181.8125</v>
          </cell>
          <cell r="E160">
            <v>43181.8125</v>
          </cell>
          <cell r="F160">
            <v>43181.8125</v>
          </cell>
          <cell r="G160">
            <v>43181.8125</v>
          </cell>
          <cell r="H160">
            <v>43181.8125</v>
          </cell>
          <cell r="I160">
            <v>43181.8125</v>
          </cell>
        </row>
        <row r="161">
          <cell r="B161" t="str">
            <v>Сороченко Леонид Михайлович</v>
          </cell>
          <cell r="C161">
            <v>130000</v>
          </cell>
          <cell r="D161">
            <v>40000</v>
          </cell>
          <cell r="E161" t="str">
            <v xml:space="preserve">20 дн / 160 ч </v>
          </cell>
          <cell r="F161">
            <v>738.63636363636363</v>
          </cell>
          <cell r="G161">
            <v>118181.81818181818</v>
          </cell>
          <cell r="H161">
            <v>118181.8125</v>
          </cell>
          <cell r="I161">
            <v>118181.8125</v>
          </cell>
        </row>
        <row r="162">
          <cell r="B162">
            <v>118181.8125</v>
          </cell>
          <cell r="C162">
            <v>118181.8125</v>
          </cell>
          <cell r="D162">
            <v>118181.8125</v>
          </cell>
          <cell r="E162">
            <v>118181.8125</v>
          </cell>
          <cell r="F162">
            <v>118181.8125</v>
          </cell>
          <cell r="G162">
            <v>118181.8125</v>
          </cell>
          <cell r="H162">
            <v>118181.8125</v>
          </cell>
          <cell r="I162">
            <v>118181.8125</v>
          </cell>
        </row>
        <row r="163">
          <cell r="B163" t="str">
            <v>Иванов  Николай Александрович</v>
          </cell>
          <cell r="C163">
            <v>50000</v>
          </cell>
          <cell r="D163">
            <v>20000</v>
          </cell>
          <cell r="E163" t="str">
            <v xml:space="preserve">4 дн / 32 ч </v>
          </cell>
          <cell r="F163">
            <v>284.09090909090907</v>
          </cell>
          <cell r="G163">
            <v>9090.9090909090901</v>
          </cell>
          <cell r="H163">
            <v>9090.90625</v>
          </cell>
          <cell r="I163">
            <v>9090.90625</v>
          </cell>
        </row>
        <row r="164">
          <cell r="B164" t="str">
            <v>склад петропавловск</v>
          </cell>
          <cell r="C164">
            <v>50000</v>
          </cell>
          <cell r="D164">
            <v>30000</v>
          </cell>
          <cell r="E164" t="str">
            <v xml:space="preserve">2 дн / 16 ч </v>
          </cell>
          <cell r="F164">
            <v>284.09090909090907</v>
          </cell>
          <cell r="G164">
            <v>4545.454545454545</v>
          </cell>
          <cell r="H164">
            <v>4545.453125</v>
          </cell>
          <cell r="I164">
            <v>4545.453125</v>
          </cell>
        </row>
        <row r="165">
          <cell r="B165" t="str">
            <v>Голубев Максим Анатольевич</v>
          </cell>
          <cell r="C165">
            <v>50000</v>
          </cell>
          <cell r="D165">
            <v>20000</v>
          </cell>
          <cell r="E165" t="str">
            <v xml:space="preserve">13 дн / 104 ч </v>
          </cell>
          <cell r="F165">
            <v>284.09090909090907</v>
          </cell>
          <cell r="G165">
            <v>29545.454545454544</v>
          </cell>
          <cell r="H165">
            <v>29545.453125</v>
          </cell>
          <cell r="I165">
            <v>29545.453125</v>
          </cell>
        </row>
        <row r="166">
          <cell r="B166" t="str">
            <v>склад Петропавловск</v>
          </cell>
          <cell r="C166">
            <v>50000</v>
          </cell>
          <cell r="D166">
            <v>30000</v>
          </cell>
          <cell r="E166" t="str">
            <v xml:space="preserve">2 дн / 16 ч </v>
          </cell>
          <cell r="F166">
            <v>284.09090909090907</v>
          </cell>
          <cell r="G166">
            <v>4545.454545454545</v>
          </cell>
          <cell r="H166">
            <v>4545.453125</v>
          </cell>
          <cell r="I166">
            <v>4545.453125</v>
          </cell>
        </row>
        <row r="167">
          <cell r="B167" t="str">
            <v>Доставка город/регион</v>
          </cell>
          <cell r="C167">
            <v>4545.453125</v>
          </cell>
          <cell r="D167">
            <v>4545.453125</v>
          </cell>
          <cell r="E167">
            <v>4545.453125</v>
          </cell>
          <cell r="F167">
            <v>4545.453125</v>
          </cell>
          <cell r="G167">
            <v>4545.453125</v>
          </cell>
          <cell r="H167">
            <v>4545.453125</v>
          </cell>
          <cell r="I167">
            <v>4545.453125</v>
          </cell>
        </row>
        <row r="168">
          <cell r="B168" t="str">
            <v>Азмуханов Радик Рамильевич</v>
          </cell>
          <cell r="C168">
            <v>100000</v>
          </cell>
          <cell r="D168">
            <v>40000</v>
          </cell>
          <cell r="E168" t="str">
            <v xml:space="preserve">0 дн / 0 ч </v>
          </cell>
          <cell r="F168">
            <v>568.18181818181813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>доставка регион</v>
          </cell>
          <cell r="C169">
            <v>110000</v>
          </cell>
          <cell r="D169">
            <v>50000</v>
          </cell>
          <cell r="E169" t="str">
            <v xml:space="preserve">14 дн / 112 ч </v>
          </cell>
          <cell r="F169">
            <v>625</v>
          </cell>
          <cell r="G169">
            <v>70000</v>
          </cell>
          <cell r="H169">
            <v>70000</v>
          </cell>
          <cell r="I169">
            <v>70000</v>
          </cell>
        </row>
        <row r="170">
          <cell r="B170" t="str">
            <v>доставка вода</v>
          </cell>
          <cell r="C170">
            <v>110000</v>
          </cell>
          <cell r="D170">
            <v>40000</v>
          </cell>
          <cell r="E170" t="str">
            <v xml:space="preserve">0 дн / 0 ч </v>
          </cell>
          <cell r="F170">
            <v>625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>Мухтаров Тулеген Кабдуллович</v>
          </cell>
          <cell r="C171">
            <v>50000</v>
          </cell>
          <cell r="D171">
            <v>20000</v>
          </cell>
          <cell r="E171" t="str">
            <v xml:space="preserve">0 дн / 0 ч </v>
          </cell>
          <cell r="F171">
            <v>284.09090909090907</v>
          </cell>
          <cell r="G171">
            <v>0</v>
          </cell>
          <cell r="H171">
            <v>0</v>
          </cell>
          <cell r="I171">
            <v>0</v>
          </cell>
        </row>
        <row r="172">
          <cell r="B172" t="str">
            <v>доставка регион</v>
          </cell>
          <cell r="C172">
            <v>60000</v>
          </cell>
          <cell r="D172">
            <v>40000</v>
          </cell>
          <cell r="E172" t="str">
            <v xml:space="preserve">16 дн / 128 ч </v>
          </cell>
          <cell r="F172">
            <v>340.90909090909093</v>
          </cell>
          <cell r="G172">
            <v>43636.36363636364</v>
          </cell>
          <cell r="H172">
            <v>43636.34375</v>
          </cell>
          <cell r="I172">
            <v>43636.34375</v>
          </cell>
        </row>
        <row r="173">
          <cell r="B173" t="str">
            <v>вода доставка</v>
          </cell>
          <cell r="C173">
            <v>60000</v>
          </cell>
          <cell r="D173">
            <v>30000</v>
          </cell>
          <cell r="E173" t="str">
            <v xml:space="preserve">3 дн / 24 ч </v>
          </cell>
          <cell r="F173">
            <v>340.90909090909093</v>
          </cell>
          <cell r="G173">
            <v>8181.818181818182</v>
          </cell>
          <cell r="H173">
            <v>8181.81640625</v>
          </cell>
          <cell r="I173">
            <v>8181.81640625</v>
          </cell>
        </row>
        <row r="174">
          <cell r="B174" t="str">
            <v>Касьянчик Степан Сергеевич</v>
          </cell>
          <cell r="C174">
            <v>100000</v>
          </cell>
          <cell r="D174">
            <v>40000</v>
          </cell>
          <cell r="E174" t="str">
            <v xml:space="preserve">3 дн / 24 ч </v>
          </cell>
          <cell r="F174">
            <v>568.18181818181813</v>
          </cell>
          <cell r="G174">
            <v>13636.363636363636</v>
          </cell>
          <cell r="H174">
            <v>13636.359375</v>
          </cell>
          <cell r="I174">
            <v>13636.359375</v>
          </cell>
        </row>
        <row r="175">
          <cell r="B175" t="str">
            <v>доставка регион</v>
          </cell>
          <cell r="C175">
            <v>110000</v>
          </cell>
          <cell r="D175">
            <v>50000</v>
          </cell>
          <cell r="E175" t="str">
            <v xml:space="preserve">14 дн / 112 ч </v>
          </cell>
          <cell r="F175">
            <v>625</v>
          </cell>
          <cell r="G175">
            <v>70000</v>
          </cell>
          <cell r="H175">
            <v>70000</v>
          </cell>
          <cell r="I175">
            <v>70000</v>
          </cell>
        </row>
        <row r="176">
          <cell r="B176" t="str">
            <v>доплата за грузчика</v>
          </cell>
          <cell r="C176">
            <v>3000</v>
          </cell>
          <cell r="D176">
            <v>3000</v>
          </cell>
          <cell r="E176" t="str">
            <v>1 дн</v>
          </cell>
          <cell r="F176">
            <v>17.045454545454547</v>
          </cell>
          <cell r="G176">
            <v>17.045440673828125</v>
          </cell>
          <cell r="H176">
            <v>17.045440673828125</v>
          </cell>
          <cell r="I176">
            <v>17.045440673828125</v>
          </cell>
        </row>
        <row r="177">
          <cell r="B177" t="str">
            <v>ремонт</v>
          </cell>
          <cell r="C177">
            <v>100000</v>
          </cell>
          <cell r="D177">
            <v>100000</v>
          </cell>
          <cell r="E177" t="str">
            <v>2 дн</v>
          </cell>
          <cell r="F177">
            <v>568.18181818181813</v>
          </cell>
          <cell r="G177">
            <v>9090.9090909090901</v>
          </cell>
          <cell r="H177">
            <v>9090.90625</v>
          </cell>
          <cell r="I177">
            <v>9090.90625</v>
          </cell>
        </row>
        <row r="178">
          <cell r="B178" t="str">
            <v>Колбасин Виталий</v>
          </cell>
          <cell r="C178">
            <v>50000</v>
          </cell>
          <cell r="D178">
            <v>20000</v>
          </cell>
          <cell r="E178" t="str">
            <v xml:space="preserve">4 дн / 32 ч </v>
          </cell>
          <cell r="F178">
            <v>284.09090909090907</v>
          </cell>
          <cell r="G178">
            <v>9090.9090909090901</v>
          </cell>
          <cell r="H178">
            <v>9090.90625</v>
          </cell>
          <cell r="I178">
            <v>9090.90625</v>
          </cell>
        </row>
      </sheetData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Штатное расписание"/>
      <sheetName val="основной"/>
      <sheetName val="декабрь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Шаблон табель"/>
      <sheetName val="Лист1"/>
      <sheetName val="шаблон"/>
      <sheetName val="июk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B8" t="str">
            <v>Малыгин Александр Дмитриевич</v>
          </cell>
        </row>
        <row r="131">
          <cell r="E131" t="str">
            <v xml:space="preserve">5 дн / 40 ч </v>
          </cell>
          <cell r="G131">
            <v>26136.363636363636</v>
          </cell>
        </row>
      </sheetData>
      <sheetData sheetId="8">
        <row r="8">
          <cell r="B8" t="str">
            <v>Инспектор по кадрам</v>
          </cell>
        </row>
      </sheetData>
      <sheetData sheetId="9">
        <row r="8">
          <cell r="B8" t="str">
            <v>Жаксыбаев Серик Жумабаевич</v>
          </cell>
        </row>
      </sheetData>
      <sheetData sheetId="10">
        <row r="8">
          <cell r="B8" t="str">
            <v>Жаксыбаев Серик Жумабаевич</v>
          </cell>
        </row>
      </sheetData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"/>
  <dimension ref="A1:CK120"/>
  <sheetViews>
    <sheetView zoomScale="80" zoomScaleNormal="80" workbookViewId="0">
      <pane xSplit="1" ySplit="6" topLeftCell="B31" activePane="bottomRight" state="frozen"/>
      <selection pane="topRight" activeCell="C1" sqref="C1"/>
      <selection pane="bottomLeft" activeCell="A7" sqref="A7"/>
      <selection pane="bottomRight" activeCell="A43" sqref="A43:XFD47"/>
    </sheetView>
  </sheetViews>
  <sheetFormatPr defaultRowHeight="12.75"/>
  <cols>
    <col min="1" max="1" width="21.5703125" style="99" customWidth="1"/>
    <col min="2" max="2" width="9.42578125" style="34" customWidth="1"/>
    <col min="3" max="3" width="9.7109375" style="34" customWidth="1"/>
    <col min="4" max="4" width="12.7109375" style="6" customWidth="1"/>
    <col min="5" max="5" width="9.7109375" style="36" customWidth="1"/>
    <col min="6" max="6" width="10.140625" style="36" customWidth="1"/>
    <col min="7" max="7" width="8.42578125" style="36" customWidth="1"/>
    <col min="8" max="8" width="8.28515625" style="36" customWidth="1"/>
    <col min="9" max="9" width="10.5703125" style="36" customWidth="1"/>
    <col min="10" max="10" width="10.85546875" style="36" customWidth="1"/>
    <col min="11" max="11" width="9.7109375" style="36" customWidth="1"/>
    <col min="12" max="12" width="8.7109375" style="36" customWidth="1"/>
    <col min="13" max="13" width="10.28515625" style="36" customWidth="1"/>
    <col min="14" max="14" width="10.5703125" style="36" customWidth="1"/>
    <col min="15" max="15" width="7.28515625" style="5" customWidth="1"/>
    <col min="16" max="16" width="6.42578125" style="5" customWidth="1"/>
    <col min="17" max="17" width="7.140625" style="5" customWidth="1"/>
    <col min="18" max="18" width="7.28515625" style="5" customWidth="1"/>
    <col min="19" max="19" width="7.5703125" style="5" customWidth="1"/>
    <col min="20" max="20" width="7.85546875" style="5" customWidth="1"/>
    <col min="21" max="21" width="6.5703125" style="5" customWidth="1"/>
    <col min="22" max="22" width="8.28515625" style="5" customWidth="1"/>
    <col min="23" max="23" width="6.28515625" style="6" customWidth="1"/>
    <col min="24" max="24" width="6.28515625" style="5" customWidth="1"/>
    <col min="25" max="25" width="7.140625" style="5" customWidth="1"/>
    <col min="26" max="26" width="6.28515625" style="5" customWidth="1"/>
    <col min="27" max="27" width="5.85546875" style="5" customWidth="1"/>
    <col min="28" max="28" width="5.5703125" style="5" customWidth="1"/>
    <col min="29" max="29" width="5.85546875" style="5" customWidth="1"/>
    <col min="30" max="31" width="5.5703125" style="5" customWidth="1"/>
    <col min="32" max="32" width="7.5703125" style="5" customWidth="1"/>
    <col min="33" max="34" width="6.42578125" style="5" customWidth="1"/>
    <col min="35" max="35" width="6.7109375" style="5" customWidth="1"/>
    <col min="36" max="36" width="7.7109375" style="5" customWidth="1"/>
    <col min="37" max="37" width="6.7109375" style="5" customWidth="1"/>
    <col min="38" max="38" width="7" style="5" customWidth="1"/>
    <col min="39" max="45" width="7.42578125" style="5" customWidth="1"/>
    <col min="46" max="46" width="5.5703125" style="5" customWidth="1"/>
    <col min="47" max="47" width="7.42578125" style="5" customWidth="1"/>
    <col min="48" max="48" width="5.42578125" style="5" customWidth="1"/>
    <col min="49" max="51" width="5.140625" style="5" customWidth="1"/>
    <col min="52" max="53" width="5.7109375" style="5" customWidth="1"/>
    <col min="54" max="65" width="9.140625" style="64"/>
    <col min="66" max="89" width="9.140625" style="18"/>
    <col min="90" max="16384" width="9.140625" style="5"/>
  </cols>
  <sheetData>
    <row r="1" spans="1:89" ht="13.5" thickTop="1">
      <c r="D1" s="56"/>
      <c r="O1" s="22">
        <v>8</v>
      </c>
      <c r="P1" s="129" t="str">
        <f>"  - рабочий день (обозначение - количество часов)"</f>
        <v xml:space="preserve">  - рабочий день (обозначение - количество часов)</v>
      </c>
      <c r="Q1" s="130"/>
      <c r="R1" s="130"/>
      <c r="S1" s="130"/>
      <c r="T1" s="130"/>
      <c r="U1" s="130"/>
      <c r="V1" s="130"/>
      <c r="W1" s="89"/>
      <c r="X1" s="130"/>
      <c r="Y1" s="87" t="s">
        <v>0</v>
      </c>
      <c r="Z1" s="129" t="str">
        <f>"  - отпуск (обозначение - от)"</f>
        <v xml:space="preserve">  - отпуск (обозначение - от)</v>
      </c>
      <c r="AA1" s="130"/>
      <c r="AB1" s="130"/>
      <c r="AC1" s="130"/>
      <c r="AD1" s="4"/>
      <c r="AE1" s="25" t="s">
        <v>4</v>
      </c>
      <c r="AF1" s="3" t="str">
        <f>"  - неоплачиваемые(обозначение - буква х)"</f>
        <v xml:space="preserve">  - неоплачиваемые(обозначение - буква х)</v>
      </c>
      <c r="AG1" s="4"/>
      <c r="AH1" s="4"/>
      <c r="AI1" s="4"/>
      <c r="AJ1" s="4"/>
      <c r="AK1" s="4"/>
      <c r="AL1" s="4"/>
      <c r="AM1" s="12" t="s">
        <v>3</v>
      </c>
      <c r="AN1" s="3" t="str">
        <f>"  -доплата за грузчика(обозначение -гр)"</f>
        <v xml:space="preserve">  -доплата за грузчика(обозначение -гр)</v>
      </c>
      <c r="AO1" s="4"/>
      <c r="AP1" s="4"/>
      <c r="AQ1" s="4"/>
      <c r="AR1" s="4"/>
      <c r="AS1" s="4"/>
      <c r="AU1" s="83"/>
      <c r="AV1" s="136" t="s">
        <v>25</v>
      </c>
      <c r="AW1" s="5" t="s">
        <v>58</v>
      </c>
      <c r="BD1" s="89"/>
    </row>
    <row r="2" spans="1:89" ht="15" thickBot="1">
      <c r="A2" s="188" t="s">
        <v>85</v>
      </c>
      <c r="B2" s="57"/>
      <c r="D2" s="278"/>
      <c r="O2" s="81" t="s">
        <v>32</v>
      </c>
      <c r="P2" s="129" t="str">
        <f>"  - инвентаризация (обозначение - ин)"</f>
        <v xml:space="preserve">  - инвентаризация (обозначение - ин)</v>
      </c>
      <c r="Q2" s="130"/>
      <c r="R2" s="130"/>
      <c r="S2" s="130"/>
      <c r="T2" s="130"/>
      <c r="U2" s="130"/>
      <c r="V2" s="130"/>
      <c r="W2" s="89"/>
      <c r="X2" s="130"/>
      <c r="Y2" s="20" t="s">
        <v>1</v>
      </c>
      <c r="Z2" s="129" t="str">
        <f>"  - ремонт (обозначение - р)"</f>
        <v xml:space="preserve">  - ремонт (обозначение - р)</v>
      </c>
      <c r="AA2" s="130"/>
      <c r="AB2" s="130"/>
      <c r="AC2" s="130"/>
      <c r="AD2" s="4"/>
      <c r="AE2" s="317" t="s">
        <v>77</v>
      </c>
      <c r="AF2" s="3" t="str">
        <f>"  -Больничный (обозначение -Б)"</f>
        <v xml:space="preserve">  -Больничный (обозначение -Б)</v>
      </c>
      <c r="AG2" s="4"/>
      <c r="AH2" s="4"/>
      <c r="AI2" s="4"/>
      <c r="AJ2" s="4"/>
      <c r="AK2" s="4"/>
      <c r="AL2" s="4"/>
      <c r="AM2" s="152" t="s">
        <v>60</v>
      </c>
      <c r="AN2" s="3" t="str">
        <f>"  - развоз мыломойки (обозначение -М)"</f>
        <v xml:space="preserve">  - развоз мыломойки (обозначение -М)</v>
      </c>
      <c r="AU2" s="6"/>
      <c r="AV2" s="269" t="s">
        <v>71</v>
      </c>
      <c r="AW2" s="5" t="s">
        <v>70</v>
      </c>
    </row>
    <row r="3" spans="1:89" ht="13.5" thickBot="1">
      <c r="B3" s="35"/>
      <c r="C3" s="35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131" t="s">
        <v>26</v>
      </c>
      <c r="P3" s="129" t="str">
        <f>"  - командировка оплата офис (обозначение - К)"</f>
        <v xml:space="preserve">  - командировка оплата офис (обозначение - К)</v>
      </c>
      <c r="Q3" s="18"/>
      <c r="R3" s="18"/>
      <c r="S3" s="18"/>
      <c r="T3" s="18"/>
      <c r="U3" s="18"/>
      <c r="V3" s="18"/>
      <c r="W3" s="64"/>
      <c r="X3" s="130"/>
      <c r="Y3" s="27" t="s">
        <v>5</v>
      </c>
      <c r="Z3" s="129" t="str">
        <f>"  - неявка (обозначение - Н)"</f>
        <v xml:space="preserve">  - неявка (обозначение - Н)</v>
      </c>
      <c r="AA3" s="130"/>
      <c r="AB3" s="130"/>
      <c r="AC3" s="132"/>
      <c r="AE3" s="116" t="s">
        <v>56</v>
      </c>
      <c r="AF3" s="5" t="s">
        <v>57</v>
      </c>
      <c r="AM3" s="190" t="s">
        <v>38</v>
      </c>
      <c r="AN3" s="82" t="s">
        <v>39</v>
      </c>
      <c r="AU3" s="6"/>
    </row>
    <row r="4" spans="1:89" ht="13.5" thickBot="1">
      <c r="A4" s="104"/>
      <c r="B4" s="85"/>
      <c r="C4" s="29"/>
      <c r="E4" s="37"/>
      <c r="F4" s="37"/>
      <c r="G4" s="37"/>
      <c r="H4" s="37"/>
      <c r="I4" s="37"/>
      <c r="J4" s="37"/>
      <c r="K4" s="37"/>
      <c r="L4" s="37"/>
      <c r="M4" s="37"/>
      <c r="N4" s="37"/>
      <c r="AK4" s="6"/>
      <c r="AL4" s="5" t="s">
        <v>6</v>
      </c>
      <c r="AU4" s="6"/>
      <c r="AV4" s="6"/>
    </row>
    <row r="5" spans="1:89" ht="22.5" customHeight="1" thickBot="1">
      <c r="A5" s="105" t="s">
        <v>29</v>
      </c>
      <c r="B5" s="2">
        <v>22</v>
      </c>
      <c r="C5" s="1">
        <f>B5*8</f>
        <v>176</v>
      </c>
      <c r="O5" s="66" t="s">
        <v>8</v>
      </c>
      <c r="P5" s="66" t="s">
        <v>9</v>
      </c>
      <c r="Q5" s="7" t="s">
        <v>10</v>
      </c>
      <c r="R5" s="7" t="s">
        <v>11</v>
      </c>
      <c r="S5" s="66" t="s">
        <v>12</v>
      </c>
      <c r="T5" s="66" t="s">
        <v>13</v>
      </c>
      <c r="U5" s="66" t="s">
        <v>7</v>
      </c>
      <c r="V5" s="66" t="s">
        <v>8</v>
      </c>
      <c r="W5" s="66" t="s">
        <v>9</v>
      </c>
      <c r="X5" s="7" t="s">
        <v>10</v>
      </c>
      <c r="Y5" s="7" t="s">
        <v>11</v>
      </c>
      <c r="Z5" s="66" t="s">
        <v>12</v>
      </c>
      <c r="AA5" s="66" t="s">
        <v>13</v>
      </c>
      <c r="AB5" s="66" t="s">
        <v>7</v>
      </c>
      <c r="AC5" s="66" t="s">
        <v>8</v>
      </c>
      <c r="AD5" s="66" t="s">
        <v>9</v>
      </c>
      <c r="AE5" s="7" t="s">
        <v>10</v>
      </c>
      <c r="AF5" s="7" t="s">
        <v>11</v>
      </c>
      <c r="AG5" s="66" t="s">
        <v>12</v>
      </c>
      <c r="AH5" s="66" t="s">
        <v>13</v>
      </c>
      <c r="AI5" s="66" t="s">
        <v>7</v>
      </c>
      <c r="AJ5" s="66" t="s">
        <v>8</v>
      </c>
      <c r="AK5" s="66" t="s">
        <v>9</v>
      </c>
      <c r="AL5" s="7" t="s">
        <v>10</v>
      </c>
      <c r="AM5" s="7" t="s">
        <v>11</v>
      </c>
      <c r="AN5" s="66" t="s">
        <v>12</v>
      </c>
      <c r="AO5" s="66" t="s">
        <v>13</v>
      </c>
      <c r="AP5" s="66" t="s">
        <v>7</v>
      </c>
      <c r="AQ5" s="66" t="s">
        <v>8</v>
      </c>
      <c r="AR5" s="66" t="s">
        <v>9</v>
      </c>
      <c r="AS5" s="7" t="s">
        <v>10</v>
      </c>
      <c r="AT5" s="444" t="s">
        <v>14</v>
      </c>
      <c r="AU5" s="444" t="s">
        <v>15</v>
      </c>
      <c r="AV5" s="439" t="s">
        <v>16</v>
      </c>
      <c r="AW5" s="439"/>
      <c r="AX5" s="300"/>
      <c r="AY5" s="440" t="s">
        <v>55</v>
      </c>
      <c r="AZ5" s="442" t="s">
        <v>17</v>
      </c>
      <c r="BA5" s="443" t="s">
        <v>2</v>
      </c>
    </row>
    <row r="6" spans="1:89" ht="33" customHeight="1">
      <c r="A6" s="100" t="s">
        <v>40</v>
      </c>
      <c r="B6" s="31" t="s">
        <v>41</v>
      </c>
      <c r="C6" s="31" t="s">
        <v>42</v>
      </c>
      <c r="D6" s="86" t="s">
        <v>43</v>
      </c>
      <c r="E6" s="38" t="s">
        <v>44</v>
      </c>
      <c r="F6" s="38" t="s">
        <v>45</v>
      </c>
      <c r="G6" s="38" t="s">
        <v>46</v>
      </c>
      <c r="H6" s="38" t="s">
        <v>61</v>
      </c>
      <c r="I6" s="44" t="s">
        <v>49</v>
      </c>
      <c r="J6" s="38" t="s">
        <v>47</v>
      </c>
      <c r="K6" s="38" t="s">
        <v>48</v>
      </c>
      <c r="L6" s="38" t="s">
        <v>46</v>
      </c>
      <c r="M6" s="38" t="s">
        <v>61</v>
      </c>
      <c r="N6" s="44" t="s">
        <v>50</v>
      </c>
      <c r="O6" s="240">
        <v>1</v>
      </c>
      <c r="P6" s="240">
        <v>2</v>
      </c>
      <c r="Q6" s="68">
        <v>3</v>
      </c>
      <c r="R6" s="8">
        <v>4</v>
      </c>
      <c r="S6" s="67">
        <v>5</v>
      </c>
      <c r="T6" s="67">
        <v>6</v>
      </c>
      <c r="U6" s="67">
        <v>7</v>
      </c>
      <c r="V6" s="240">
        <v>8</v>
      </c>
      <c r="W6" s="240">
        <v>9</v>
      </c>
      <c r="X6" s="68">
        <v>10</v>
      </c>
      <c r="Y6" s="8">
        <v>11</v>
      </c>
      <c r="Z6" s="67">
        <v>12</v>
      </c>
      <c r="AA6" s="67">
        <v>13</v>
      </c>
      <c r="AB6" s="67">
        <v>14</v>
      </c>
      <c r="AC6" s="240">
        <v>15</v>
      </c>
      <c r="AD6" s="240">
        <v>16</v>
      </c>
      <c r="AE6" s="68">
        <v>17</v>
      </c>
      <c r="AF6" s="8">
        <v>18</v>
      </c>
      <c r="AG6" s="67">
        <v>19</v>
      </c>
      <c r="AH6" s="67">
        <v>20</v>
      </c>
      <c r="AI6" s="67">
        <v>21</v>
      </c>
      <c r="AJ6" s="240">
        <v>22</v>
      </c>
      <c r="AK6" s="240">
        <v>23</v>
      </c>
      <c r="AL6" s="68">
        <v>24</v>
      </c>
      <c r="AM6" s="8">
        <v>25</v>
      </c>
      <c r="AN6" s="67">
        <v>26</v>
      </c>
      <c r="AO6" s="67">
        <v>27</v>
      </c>
      <c r="AP6" s="67">
        <v>28</v>
      </c>
      <c r="AQ6" s="240">
        <v>29</v>
      </c>
      <c r="AR6" s="240">
        <v>30</v>
      </c>
      <c r="AS6" s="68">
        <v>31</v>
      </c>
      <c r="AT6" s="445"/>
      <c r="AU6" s="445"/>
      <c r="AV6" s="137" t="s">
        <v>28</v>
      </c>
      <c r="AW6" s="84" t="s">
        <v>18</v>
      </c>
      <c r="AX6" s="317" t="s">
        <v>81</v>
      </c>
      <c r="AY6" s="441"/>
      <c r="AZ6" s="442"/>
      <c r="BA6" s="443"/>
    </row>
    <row r="7" spans="1:89" customFormat="1">
      <c r="A7" s="106" t="s">
        <v>22</v>
      </c>
      <c r="B7" s="69"/>
      <c r="C7" s="69"/>
      <c r="D7" s="69"/>
      <c r="E7" s="69"/>
      <c r="F7" s="206"/>
      <c r="G7" s="206"/>
      <c r="H7" s="69"/>
      <c r="I7" s="69"/>
      <c r="J7" s="69"/>
      <c r="K7" s="206"/>
      <c r="L7" s="206"/>
      <c r="M7" s="69"/>
      <c r="N7" s="69"/>
      <c r="O7" s="69"/>
      <c r="P7" s="69"/>
      <c r="Q7" s="69"/>
      <c r="R7" s="69"/>
      <c r="S7" s="69"/>
      <c r="T7" s="69"/>
      <c r="U7" s="14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149"/>
      <c r="AJ7" s="69"/>
      <c r="AK7" s="69"/>
      <c r="AL7" s="69"/>
      <c r="AM7" s="69"/>
      <c r="AN7" s="69"/>
      <c r="AO7" s="69"/>
      <c r="AP7" s="149"/>
      <c r="AQ7" s="69"/>
      <c r="AR7" s="69"/>
      <c r="AS7" s="69"/>
      <c r="AT7" s="70"/>
      <c r="AU7" s="70"/>
      <c r="AV7" s="70"/>
      <c r="AW7" s="70"/>
      <c r="AX7" s="70"/>
      <c r="AY7" s="70"/>
      <c r="AZ7" s="30"/>
      <c r="BA7" s="30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</row>
    <row r="8" spans="1:89" ht="13.5">
      <c r="A8" s="28" t="s">
        <v>86</v>
      </c>
      <c r="B8" s="40">
        <v>200000</v>
      </c>
      <c r="C8" s="41">
        <v>0</v>
      </c>
      <c r="D8" s="63" t="str">
        <f>AT8&amp;" дн / "&amp;AU8&amp;" ч "</f>
        <v xml:space="preserve">22 дн / 176 ч </v>
      </c>
      <c r="E8" s="39">
        <f>B8/$C$5</f>
        <v>1136.3636363636363</v>
      </c>
      <c r="F8" s="39">
        <f>E8*AU8</f>
        <v>199999.99999999997</v>
      </c>
      <c r="G8" s="39"/>
      <c r="H8" s="43"/>
      <c r="I8" s="45">
        <f>F8</f>
        <v>199999.99999999997</v>
      </c>
      <c r="J8" s="39">
        <f>C8/$C$5</f>
        <v>0</v>
      </c>
      <c r="K8" s="39"/>
      <c r="L8" s="39"/>
      <c r="M8" s="43"/>
      <c r="N8" s="45"/>
      <c r="O8" s="308">
        <v>8</v>
      </c>
      <c r="P8" s="312">
        <v>8</v>
      </c>
      <c r="Q8" s="139" t="s">
        <v>84</v>
      </c>
      <c r="R8" s="139"/>
      <c r="S8" s="314">
        <v>8</v>
      </c>
      <c r="T8" s="316">
        <v>8</v>
      </c>
      <c r="U8" s="316">
        <v>8</v>
      </c>
      <c r="V8" s="318">
        <v>8</v>
      </c>
      <c r="W8" s="320">
        <v>8</v>
      </c>
      <c r="X8" s="139"/>
      <c r="Y8" s="139"/>
      <c r="Z8" s="335">
        <v>8</v>
      </c>
      <c r="AA8" s="335">
        <v>8</v>
      </c>
      <c r="AB8" s="335">
        <v>8</v>
      </c>
      <c r="AC8" s="336">
        <v>8</v>
      </c>
      <c r="AD8" s="337">
        <v>8</v>
      </c>
      <c r="AE8" s="139"/>
      <c r="AF8" s="139"/>
      <c r="AG8" s="308">
        <v>8</v>
      </c>
      <c r="AH8" s="340">
        <v>8</v>
      </c>
      <c r="AI8" s="341">
        <v>8</v>
      </c>
      <c r="AJ8" s="342">
        <v>8</v>
      </c>
      <c r="AK8" s="343">
        <v>8</v>
      </c>
      <c r="AL8" s="139"/>
      <c r="AM8" s="139"/>
      <c r="AN8" s="344">
        <v>8</v>
      </c>
      <c r="AO8" s="345">
        <v>8</v>
      </c>
      <c r="AP8" s="346">
        <v>8</v>
      </c>
      <c r="AQ8" s="347">
        <v>8</v>
      </c>
      <c r="AR8" s="349">
        <v>8</v>
      </c>
      <c r="AS8" s="139" t="s">
        <v>83</v>
      </c>
      <c r="AT8" s="19">
        <f>COUNTIF(O8:AS8,"&gt;0")</f>
        <v>22</v>
      </c>
      <c r="AU8" s="19">
        <f>SUM(O8:AS8)</f>
        <v>176</v>
      </c>
      <c r="AV8" s="17">
        <f>COUNTIF(O8:AS8,"=гр")</f>
        <v>0</v>
      </c>
      <c r="AW8" s="17"/>
      <c r="AX8" s="17"/>
      <c r="AY8" s="17"/>
      <c r="AZ8" s="17">
        <f>COUNTIF(O8:AS8,"=Н")</f>
        <v>0</v>
      </c>
      <c r="BA8" s="17">
        <f>COUNTIF(O8:AS8,"=у")</f>
        <v>0</v>
      </c>
    </row>
    <row r="9" spans="1:89" customFormat="1" ht="15.75" customHeight="1">
      <c r="A9" s="77" t="s">
        <v>23</v>
      </c>
      <c r="B9" s="69"/>
      <c r="C9" s="69"/>
      <c r="D9" s="69"/>
      <c r="E9" s="69"/>
      <c r="F9" s="206"/>
      <c r="G9" s="206"/>
      <c r="H9" s="69"/>
      <c r="I9" s="69"/>
      <c r="J9" s="69"/>
      <c r="K9" s="206"/>
      <c r="L9" s="206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187"/>
      <c r="AU9" s="187"/>
      <c r="AV9" s="70"/>
      <c r="AW9" s="70"/>
      <c r="AX9" s="70"/>
      <c r="AY9" s="70"/>
      <c r="AZ9" s="30"/>
      <c r="BA9" s="70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</row>
    <row r="10" spans="1:89" ht="13.5">
      <c r="A10" s="28" t="s">
        <v>87</v>
      </c>
      <c r="B10" s="40">
        <v>100000</v>
      </c>
      <c r="C10" s="41">
        <v>0</v>
      </c>
      <c r="D10" s="63" t="str">
        <f>AT10&amp;" дн / "&amp;AU10&amp;" ч "</f>
        <v xml:space="preserve">23 дн / 184 ч </v>
      </c>
      <c r="E10" s="39">
        <f>B10/$C$5</f>
        <v>568.18181818181813</v>
      </c>
      <c r="F10" s="39">
        <f>E10*AU10</f>
        <v>104545.45454545453</v>
      </c>
      <c r="G10" s="39"/>
      <c r="H10" s="43"/>
      <c r="I10" s="45">
        <f>F10</f>
        <v>104545.45454545453</v>
      </c>
      <c r="J10" s="39">
        <f>C10/$C$5</f>
        <v>0</v>
      </c>
      <c r="K10" s="39"/>
      <c r="L10" s="39"/>
      <c r="M10" s="43"/>
      <c r="N10" s="45"/>
      <c r="O10" s="308">
        <v>8</v>
      </c>
      <c r="P10" s="312">
        <v>8</v>
      </c>
      <c r="Q10" s="139"/>
      <c r="R10" s="139"/>
      <c r="S10" s="314">
        <v>8</v>
      </c>
      <c r="T10" s="316">
        <v>8</v>
      </c>
      <c r="U10" s="316">
        <v>8</v>
      </c>
      <c r="V10" s="318">
        <v>8</v>
      </c>
      <c r="W10" s="320">
        <v>8</v>
      </c>
      <c r="X10" s="139"/>
      <c r="Y10" s="139"/>
      <c r="Z10" s="335">
        <v>8</v>
      </c>
      <c r="AA10" s="335">
        <v>8</v>
      </c>
      <c r="AB10" s="335">
        <v>8</v>
      </c>
      <c r="AC10" s="336">
        <v>8</v>
      </c>
      <c r="AD10" s="337">
        <v>8</v>
      </c>
      <c r="AE10" s="139"/>
      <c r="AF10" s="139"/>
      <c r="AG10" s="308">
        <v>8</v>
      </c>
      <c r="AH10" s="340">
        <v>8</v>
      </c>
      <c r="AI10" s="341">
        <v>8</v>
      </c>
      <c r="AJ10" s="342">
        <v>8</v>
      </c>
      <c r="AK10" s="343">
        <v>8</v>
      </c>
      <c r="AL10" s="139"/>
      <c r="AM10" s="139"/>
      <c r="AN10" s="344">
        <v>8</v>
      </c>
      <c r="AO10" s="345">
        <v>8</v>
      </c>
      <c r="AP10" s="346">
        <v>8</v>
      </c>
      <c r="AQ10" s="347">
        <v>8</v>
      </c>
      <c r="AR10" s="349">
        <v>8</v>
      </c>
      <c r="AS10" s="349">
        <v>8</v>
      </c>
      <c r="AT10" s="19">
        <f>COUNTIF(O10:AS10,"&gt;0")</f>
        <v>23</v>
      </c>
      <c r="AU10" s="19">
        <f>SUM(O10:AS10)</f>
        <v>184</v>
      </c>
      <c r="AV10" s="17">
        <f>COUNTIF(O10:AS10,"=гр")</f>
        <v>0</v>
      </c>
      <c r="AW10" s="17"/>
      <c r="AX10" s="17"/>
      <c r="AY10" s="17"/>
      <c r="AZ10" s="17">
        <f>COUNTIF(O10:AS10,"=Н")</f>
        <v>0</v>
      </c>
      <c r="BA10" s="17">
        <f>COUNTIF(O10:AS10,"=у")</f>
        <v>0</v>
      </c>
    </row>
    <row r="11" spans="1:89" ht="13.5">
      <c r="A11" s="28"/>
      <c r="B11" s="40"/>
      <c r="C11" s="41"/>
      <c r="D11" s="138" t="str">
        <f xml:space="preserve"> AX11&amp;" ДН"</f>
        <v xml:space="preserve"> ДН</v>
      </c>
      <c r="E11" s="39"/>
      <c r="F11" s="39"/>
      <c r="G11" s="39"/>
      <c r="H11" s="43"/>
      <c r="I11" s="45"/>
      <c r="J11" s="39"/>
      <c r="K11" s="39"/>
      <c r="L11" s="39"/>
      <c r="M11" s="43"/>
      <c r="N11" s="45"/>
      <c r="O11" s="308"/>
      <c r="P11" s="312"/>
      <c r="Q11" s="139"/>
      <c r="R11" s="139"/>
      <c r="S11" s="314"/>
      <c r="T11" s="316"/>
      <c r="U11" s="316"/>
      <c r="V11" s="318"/>
      <c r="W11" s="320"/>
      <c r="X11" s="139"/>
      <c r="Y11" s="139"/>
      <c r="Z11" s="335"/>
      <c r="AA11" s="335"/>
      <c r="AB11" s="335"/>
      <c r="AC11" s="335"/>
      <c r="AD11" s="337"/>
      <c r="AE11" s="139"/>
      <c r="AF11" s="139"/>
      <c r="AG11" s="308"/>
      <c r="AH11" s="340"/>
      <c r="AI11" s="341"/>
      <c r="AJ11" s="342"/>
      <c r="AK11" s="343"/>
      <c r="AL11" s="139"/>
      <c r="AM11" s="139"/>
      <c r="AN11" s="344"/>
      <c r="AO11" s="345"/>
      <c r="AP11" s="346"/>
      <c r="AQ11" s="347"/>
      <c r="AR11" s="349"/>
      <c r="AS11" s="139"/>
      <c r="AT11" s="19"/>
      <c r="AU11" s="19"/>
      <c r="AV11" s="17"/>
      <c r="AW11" s="17"/>
      <c r="AX11" s="17"/>
      <c r="AY11" s="17"/>
      <c r="AZ11" s="17"/>
      <c r="BA11" s="17"/>
    </row>
    <row r="12" spans="1:89">
      <c r="A12" s="78" t="s">
        <v>34</v>
      </c>
      <c r="B12" s="69"/>
      <c r="C12" s="69"/>
      <c r="D12" s="69"/>
      <c r="E12" s="69"/>
      <c r="F12" s="206"/>
      <c r="G12" s="206"/>
      <c r="H12" s="69"/>
      <c r="I12" s="69"/>
      <c r="J12" s="69"/>
      <c r="K12" s="206"/>
      <c r="L12" s="206"/>
      <c r="M12" s="69"/>
      <c r="N12" s="69"/>
      <c r="O12" s="151"/>
      <c r="P12" s="151"/>
      <c r="Q12" s="150"/>
      <c r="R12" s="150"/>
      <c r="S12" s="151"/>
      <c r="T12" s="150"/>
      <c r="U12" s="150"/>
      <c r="V12" s="151"/>
      <c r="W12" s="151"/>
      <c r="X12" s="150"/>
      <c r="Y12" s="150"/>
      <c r="Z12" s="151"/>
      <c r="AA12" s="150"/>
      <c r="AB12" s="150"/>
      <c r="AC12" s="151"/>
      <c r="AD12" s="151"/>
      <c r="AE12" s="150"/>
      <c r="AF12" s="150"/>
      <c r="AG12" s="151"/>
      <c r="AH12" s="150"/>
      <c r="AI12" s="150"/>
      <c r="AJ12" s="151"/>
      <c r="AK12" s="151"/>
      <c r="AL12" s="150"/>
      <c r="AM12" s="150"/>
      <c r="AN12" s="151"/>
      <c r="AO12" s="150"/>
      <c r="AP12" s="150"/>
      <c r="AQ12" s="151"/>
      <c r="AR12" s="151"/>
      <c r="AS12" s="150"/>
      <c r="AT12" s="70"/>
      <c r="AU12" s="70"/>
      <c r="AV12" s="70"/>
      <c r="AW12" s="70"/>
      <c r="AX12" s="70"/>
      <c r="AY12" s="70"/>
      <c r="AZ12" s="70"/>
      <c r="BA12" s="70"/>
    </row>
    <row r="13" spans="1:89" ht="13.5">
      <c r="A13" s="101" t="s">
        <v>88</v>
      </c>
      <c r="B13" s="42">
        <v>100000</v>
      </c>
      <c r="C13" s="41">
        <v>40000</v>
      </c>
      <c r="D13" s="63" t="str">
        <f>AT13&amp;" дн / "&amp;AU13&amp;" ч "</f>
        <v xml:space="preserve">21 дн / 168 ч </v>
      </c>
      <c r="E13" s="39">
        <f>B13/$C$5</f>
        <v>568.18181818181813</v>
      </c>
      <c r="F13" s="39">
        <f>E13*AU13</f>
        <v>95454.545454545441</v>
      </c>
      <c r="G13" s="39"/>
      <c r="H13" s="43"/>
      <c r="I13" s="45">
        <f>F13+F15</f>
        <v>99999.999999999985</v>
      </c>
      <c r="J13" s="39">
        <f>C13/$C$5</f>
        <v>227.27272727272728</v>
      </c>
      <c r="K13" s="39">
        <f>J13*AU13</f>
        <v>38181.818181818184</v>
      </c>
      <c r="L13" s="39"/>
      <c r="M13" s="43"/>
      <c r="N13" s="45">
        <f>K13+L14</f>
        <v>92181.818181818177</v>
      </c>
      <c r="O13" s="17">
        <v>8</v>
      </c>
      <c r="P13" s="17">
        <v>8</v>
      </c>
      <c r="Q13" s="13"/>
      <c r="R13" s="13"/>
      <c r="S13" s="17">
        <v>8</v>
      </c>
      <c r="T13" s="17">
        <v>8</v>
      </c>
      <c r="U13" s="17">
        <v>8</v>
      </c>
      <c r="V13" s="17">
        <v>8</v>
      </c>
      <c r="W13" s="17">
        <v>8</v>
      </c>
      <c r="X13" s="13"/>
      <c r="Y13" s="13"/>
      <c r="Z13" s="17">
        <v>8</v>
      </c>
      <c r="AA13" s="17">
        <v>8</v>
      </c>
      <c r="AB13" s="17">
        <v>8</v>
      </c>
      <c r="AC13" s="17">
        <v>8</v>
      </c>
      <c r="AD13" s="17">
        <v>8</v>
      </c>
      <c r="AE13" s="13"/>
      <c r="AF13" s="13"/>
      <c r="AG13" s="17">
        <v>8</v>
      </c>
      <c r="AH13" s="17">
        <v>8</v>
      </c>
      <c r="AI13" s="17">
        <v>8</v>
      </c>
      <c r="AJ13" s="17">
        <v>8</v>
      </c>
      <c r="AK13" s="17">
        <v>8</v>
      </c>
      <c r="AL13" s="13"/>
      <c r="AM13" s="13"/>
      <c r="AN13" s="17">
        <v>8</v>
      </c>
      <c r="AO13" s="17">
        <v>8</v>
      </c>
      <c r="AP13" s="17">
        <v>8</v>
      </c>
      <c r="AQ13" s="17" t="s">
        <v>4</v>
      </c>
      <c r="AR13" s="17">
        <v>8</v>
      </c>
      <c r="AS13" s="13"/>
      <c r="AT13" s="22">
        <f t="shared" ref="AT13" si="0">COUNTIF(O13:AS13,"&gt;0")</f>
        <v>21</v>
      </c>
      <c r="AU13" s="22">
        <f t="shared" ref="AU13" si="1">SUM(O13:AS13)</f>
        <v>168</v>
      </c>
      <c r="AV13" s="17">
        <f>COUNTIF(O13:AS13,"=гр")</f>
        <v>0</v>
      </c>
      <c r="AW13" s="17"/>
      <c r="AX13" s="17"/>
      <c r="AY13" s="17"/>
      <c r="AZ13" s="17">
        <f>COUNTIF(O13:AS13,"=Н")</f>
        <v>0</v>
      </c>
      <c r="BA13" s="17">
        <f>COUNTIF(O13:AS13,"=у")</f>
        <v>0</v>
      </c>
    </row>
    <row r="14" spans="1:89" ht="13.5">
      <c r="A14" s="98" t="s">
        <v>54</v>
      </c>
      <c r="B14" s="42">
        <v>3000</v>
      </c>
      <c r="C14" s="41"/>
      <c r="D14" s="17" t="str">
        <f>AV14&amp;" дн"</f>
        <v>18 дн</v>
      </c>
      <c r="E14" s="39"/>
      <c r="F14" s="39"/>
      <c r="G14" s="39"/>
      <c r="H14" s="43"/>
      <c r="I14" s="45"/>
      <c r="J14" s="39"/>
      <c r="K14" s="207"/>
      <c r="L14" s="39">
        <f>B14*AV14</f>
        <v>54000</v>
      </c>
      <c r="M14" s="43"/>
      <c r="N14" s="45"/>
      <c r="O14" s="17" t="s">
        <v>3</v>
      </c>
      <c r="P14" s="17" t="s">
        <v>3</v>
      </c>
      <c r="Q14" s="139"/>
      <c r="R14" s="139"/>
      <c r="S14" s="17" t="s">
        <v>3</v>
      </c>
      <c r="T14" s="17" t="s">
        <v>3</v>
      </c>
      <c r="U14" s="17" t="s">
        <v>3</v>
      </c>
      <c r="V14" s="17" t="s">
        <v>3</v>
      </c>
      <c r="W14" s="17" t="s">
        <v>3</v>
      </c>
      <c r="X14" s="139"/>
      <c r="Y14" s="139"/>
      <c r="Z14" s="17"/>
      <c r="AA14" s="17" t="s">
        <v>3</v>
      </c>
      <c r="AB14" s="17" t="s">
        <v>3</v>
      </c>
      <c r="AC14" s="17" t="s">
        <v>3</v>
      </c>
      <c r="AD14" s="17" t="s">
        <v>3</v>
      </c>
      <c r="AE14" s="139"/>
      <c r="AF14" s="139"/>
      <c r="AG14" s="17" t="s">
        <v>3</v>
      </c>
      <c r="AH14" s="17"/>
      <c r="AI14" s="17" t="s">
        <v>3</v>
      </c>
      <c r="AJ14" s="17" t="s">
        <v>3</v>
      </c>
      <c r="AK14" s="17" t="s">
        <v>3</v>
      </c>
      <c r="AL14" s="139"/>
      <c r="AM14" s="139"/>
      <c r="AN14" s="17"/>
      <c r="AO14" s="17" t="s">
        <v>3</v>
      </c>
      <c r="AP14" s="17" t="s">
        <v>3</v>
      </c>
      <c r="AQ14" s="17"/>
      <c r="AR14" s="17" t="s">
        <v>3</v>
      </c>
      <c r="AS14" s="139"/>
      <c r="AT14" s="22"/>
      <c r="AU14" s="22"/>
      <c r="AV14" s="16">
        <f>COUNTIF(O14:AS14,"=гр")</f>
        <v>18</v>
      </c>
      <c r="AW14" s="17"/>
      <c r="AX14" s="17"/>
      <c r="AY14" s="17"/>
      <c r="AZ14" s="17"/>
      <c r="BA14" s="17"/>
    </row>
    <row r="15" spans="1:89" ht="13.5">
      <c r="A15" s="126" t="s">
        <v>27</v>
      </c>
      <c r="B15" s="127">
        <v>100000</v>
      </c>
      <c r="C15" s="117"/>
      <c r="D15" s="135" t="str">
        <f>BA15&amp;" дн"</f>
        <v>1 дн</v>
      </c>
      <c r="E15" s="119">
        <f t="shared" ref="E15:E17" si="2">B15/$C$5</f>
        <v>568.18181818181813</v>
      </c>
      <c r="F15" s="119">
        <f>B15/B5*BA15</f>
        <v>4545.454545454545</v>
      </c>
      <c r="G15" s="119"/>
      <c r="H15" s="120"/>
      <c r="I15" s="121"/>
      <c r="J15" s="119"/>
      <c r="K15" s="119"/>
      <c r="L15" s="119"/>
      <c r="M15" s="120"/>
      <c r="N15" s="121"/>
      <c r="O15" s="148"/>
      <c r="P15" s="148"/>
      <c r="Q15" s="146"/>
      <c r="R15" s="146"/>
      <c r="S15" s="148"/>
      <c r="T15" s="148"/>
      <c r="U15" s="319" t="s">
        <v>78</v>
      </c>
      <c r="V15" s="148"/>
      <c r="W15" s="148"/>
      <c r="X15" s="146"/>
      <c r="Y15" s="146"/>
      <c r="Z15" s="148"/>
      <c r="AA15" s="148"/>
      <c r="AB15" s="148"/>
      <c r="AC15" s="148"/>
      <c r="AD15" s="148"/>
      <c r="AE15" s="146"/>
      <c r="AF15" s="146"/>
      <c r="AG15" s="148"/>
      <c r="AH15" s="148"/>
      <c r="AI15" s="148"/>
      <c r="AJ15" s="148"/>
      <c r="AK15" s="148"/>
      <c r="AL15" s="146"/>
      <c r="AM15" s="146"/>
      <c r="AN15" s="148"/>
      <c r="AO15" s="148"/>
      <c r="AP15" s="148"/>
      <c r="AQ15" s="148" t="s">
        <v>1</v>
      </c>
      <c r="AR15" s="148"/>
      <c r="AS15" s="146"/>
      <c r="AT15" s="22"/>
      <c r="AU15" s="22"/>
      <c r="AV15" s="125">
        <f>COUNTIF(O15:AS15,"=гр")</f>
        <v>0</v>
      </c>
      <c r="AW15" s="125"/>
      <c r="AX15" s="125"/>
      <c r="AY15" s="125"/>
      <c r="AZ15" s="125"/>
      <c r="BA15" s="133">
        <f>COUNTIF(O15:AS15,"=р")</f>
        <v>1</v>
      </c>
    </row>
    <row r="16" spans="1:89" ht="13.5">
      <c r="A16" s="261" t="s">
        <v>76</v>
      </c>
      <c r="B16" s="242">
        <v>50000</v>
      </c>
      <c r="C16" s="243">
        <v>20000</v>
      </c>
      <c r="D16" s="244" t="str">
        <f>AT16&amp;" дн / "&amp;AU16&amp;" ч "</f>
        <v xml:space="preserve">0 дн / 0 ч </v>
      </c>
      <c r="E16" s="245">
        <f t="shared" si="2"/>
        <v>284.09090909090907</v>
      </c>
      <c r="F16" s="245">
        <f>E16*AU16</f>
        <v>0</v>
      </c>
      <c r="G16" s="245"/>
      <c r="H16" s="246"/>
      <c r="I16" s="246">
        <f>F16+F17</f>
        <v>4545.454545454545</v>
      </c>
      <c r="J16" s="245">
        <f>C16/$C$5</f>
        <v>113.63636363636364</v>
      </c>
      <c r="K16" s="245">
        <f>J16*AU16</f>
        <v>0</v>
      </c>
      <c r="L16" s="245"/>
      <c r="M16" s="246"/>
      <c r="N16" s="246">
        <f>K16+K17</f>
        <v>0</v>
      </c>
      <c r="O16" s="17" t="s">
        <v>4</v>
      </c>
      <c r="P16" s="17" t="s">
        <v>4</v>
      </c>
      <c r="Q16" s="13"/>
      <c r="R16" s="13"/>
      <c r="S16" s="17" t="s">
        <v>4</v>
      </c>
      <c r="T16" s="17" t="s">
        <v>4</v>
      </c>
      <c r="U16" s="17" t="s">
        <v>4</v>
      </c>
      <c r="V16" s="17" t="s">
        <v>4</v>
      </c>
      <c r="W16" s="17" t="s">
        <v>4</v>
      </c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93">
        <f t="shared" ref="AT16" si="3">COUNTIF(O16:AS16,"&gt;0")</f>
        <v>0</v>
      </c>
      <c r="AU16" s="293">
        <f t="shared" ref="AU16" si="4">SUM(O16:AS16)</f>
        <v>0</v>
      </c>
      <c r="AV16" s="17">
        <f>COUNTIF(O16:AS16,"=гр")</f>
        <v>0</v>
      </c>
      <c r="AW16" s="17"/>
      <c r="AX16" s="17"/>
      <c r="AY16" s="17"/>
      <c r="AZ16" s="17">
        <f>COUNTIF(AT16:AT16,"=пр")</f>
        <v>0</v>
      </c>
      <c r="BA16" s="17">
        <f>COUNTIF(O16:AS16,"=у")</f>
        <v>0</v>
      </c>
    </row>
    <row r="17" spans="1:89" ht="13.5">
      <c r="A17" s="328" t="s">
        <v>89</v>
      </c>
      <c r="B17" s="329">
        <v>50000</v>
      </c>
      <c r="C17" s="330">
        <v>30000</v>
      </c>
      <c r="D17" s="331" t="str">
        <f>AT17&amp;" дн / "&amp;AU17&amp;" ч "</f>
        <v xml:space="preserve">2 дн / 16 ч </v>
      </c>
      <c r="E17" s="332">
        <f t="shared" si="2"/>
        <v>284.09090909090907</v>
      </c>
      <c r="F17" s="332">
        <f>E17*AU17</f>
        <v>4545.454545454545</v>
      </c>
      <c r="G17" s="332"/>
      <c r="H17" s="333"/>
      <c r="I17" s="333"/>
      <c r="J17" s="332">
        <f>C17/$C$5</f>
        <v>170.45454545454547</v>
      </c>
      <c r="K17" s="332"/>
      <c r="L17" s="332"/>
      <c r="M17" s="333"/>
      <c r="N17" s="333"/>
      <c r="O17" s="324"/>
      <c r="P17" s="324"/>
      <c r="Q17" s="325"/>
      <c r="R17" s="325"/>
      <c r="S17" s="324">
        <v>8</v>
      </c>
      <c r="T17" s="324">
        <v>8</v>
      </c>
      <c r="U17" s="324" t="s">
        <v>75</v>
      </c>
      <c r="V17" s="324" t="s">
        <v>75</v>
      </c>
      <c r="W17" s="324" t="s">
        <v>75</v>
      </c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4"/>
      <c r="AS17" s="334"/>
      <c r="AT17" s="326">
        <f>COUNTIF(O17:AS17,"&gt;0")</f>
        <v>2</v>
      </c>
      <c r="AU17" s="326">
        <f>SUM(O17:AS17)</f>
        <v>16</v>
      </c>
      <c r="AV17" s="327">
        <f>COUNTIF(O17:AM17,"=гр")</f>
        <v>0</v>
      </c>
      <c r="AW17" s="327"/>
      <c r="AX17" s="327"/>
      <c r="AY17" s="327"/>
      <c r="AZ17" s="327">
        <f>COUNTIF(O17:AS17,"=Н")</f>
        <v>3</v>
      </c>
      <c r="BA17" s="327">
        <f>COUNTIF(O17:AM17,"=у")</f>
        <v>0</v>
      </c>
      <c r="BB17" s="65"/>
      <c r="BC17" s="65"/>
      <c r="BD17" s="65"/>
      <c r="BE17" s="65"/>
      <c r="BF17" s="65"/>
      <c r="BG17" s="65"/>
    </row>
    <row r="18" spans="1:89" ht="13.5" thickBot="1">
      <c r="A18" s="78" t="s">
        <v>73</v>
      </c>
      <c r="B18" s="299"/>
      <c r="C18" s="299"/>
      <c r="D18" s="299"/>
      <c r="E18" s="69"/>
      <c r="F18" s="206"/>
      <c r="G18" s="206"/>
      <c r="H18" s="69"/>
      <c r="I18" s="69"/>
      <c r="J18" s="69"/>
      <c r="K18" s="206"/>
      <c r="L18" s="206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70"/>
      <c r="BA18" s="70"/>
    </row>
    <row r="19" spans="1:89" s="18" customFormat="1" ht="13.5">
      <c r="A19" s="97" t="s">
        <v>90</v>
      </c>
      <c r="B19" s="42">
        <v>100000</v>
      </c>
      <c r="C19" s="41">
        <v>40000</v>
      </c>
      <c r="D19" s="63" t="str">
        <f t="shared" ref="D19:D26" si="5">AT19&amp;" дн / "&amp;AU19&amp;" ч "</f>
        <v xml:space="preserve">1 дн / 8 ч </v>
      </c>
      <c r="E19" s="53">
        <f t="shared" ref="E19:E31" si="6">B19/$C$5</f>
        <v>568.18181818181813</v>
      </c>
      <c r="F19" s="53">
        <f t="shared" ref="F19:F26" si="7">E19*AU19</f>
        <v>4545.454545454545</v>
      </c>
      <c r="G19" s="53"/>
      <c r="H19" s="54"/>
      <c r="I19" s="55">
        <f>F19+F20+F21</f>
        <v>84545.454545454544</v>
      </c>
      <c r="J19" s="53">
        <f t="shared" ref="J19:J26" si="8">C19/$C$5</f>
        <v>227.27272727272728</v>
      </c>
      <c r="K19" s="53">
        <f t="shared" ref="K19:K26" si="9">J19*AU19</f>
        <v>1818.1818181818182</v>
      </c>
      <c r="L19" s="53"/>
      <c r="M19" s="54"/>
      <c r="N19" s="55">
        <f>K19+K20+K21</f>
        <v>38181.818181818177</v>
      </c>
      <c r="O19" s="252" t="s">
        <v>4</v>
      </c>
      <c r="P19" s="252" t="s">
        <v>4</v>
      </c>
      <c r="Q19" s="142"/>
      <c r="R19" s="142"/>
      <c r="S19" s="252" t="s">
        <v>0</v>
      </c>
      <c r="T19" s="252" t="s">
        <v>0</v>
      </c>
      <c r="U19" s="252" t="s">
        <v>0</v>
      </c>
      <c r="V19" s="252" t="s">
        <v>0</v>
      </c>
      <c r="W19" s="252" t="s">
        <v>0</v>
      </c>
      <c r="X19" s="142"/>
      <c r="Y19" s="142"/>
      <c r="Z19" s="252" t="s">
        <v>4</v>
      </c>
      <c r="AA19" s="252" t="s">
        <v>4</v>
      </c>
      <c r="AB19" s="252" t="s">
        <v>4</v>
      </c>
      <c r="AC19" s="252" t="s">
        <v>4</v>
      </c>
      <c r="AD19" s="252" t="s">
        <v>4</v>
      </c>
      <c r="AE19" s="142"/>
      <c r="AF19" s="142"/>
      <c r="AG19" s="252" t="s">
        <v>4</v>
      </c>
      <c r="AH19" s="252" t="s">
        <v>4</v>
      </c>
      <c r="AI19" s="252" t="s">
        <v>4</v>
      </c>
      <c r="AJ19" s="252" t="s">
        <v>4</v>
      </c>
      <c r="AK19" s="252" t="s">
        <v>4</v>
      </c>
      <c r="AL19" s="142"/>
      <c r="AM19" s="142"/>
      <c r="AN19" s="252" t="s">
        <v>4</v>
      </c>
      <c r="AO19" s="252" t="s">
        <v>4</v>
      </c>
      <c r="AP19" s="252" t="s">
        <v>4</v>
      </c>
      <c r="AQ19" s="252" t="s">
        <v>4</v>
      </c>
      <c r="AR19" s="252">
        <v>8</v>
      </c>
      <c r="AS19" s="142"/>
      <c r="AT19" s="9">
        <f t="shared" ref="AT19:AT26" si="10">COUNTIF(O19:AS19,"&gt;0")</f>
        <v>1</v>
      </c>
      <c r="AU19" s="9">
        <f t="shared" ref="AU19:AU26" si="11">SUM(O19:AS19)</f>
        <v>8</v>
      </c>
      <c r="AV19" s="11">
        <f>COUNTIF(O19:AS19,"=гр")</f>
        <v>0</v>
      </c>
      <c r="AW19" s="10"/>
      <c r="AX19" s="10"/>
      <c r="AY19" s="10"/>
      <c r="AZ19" s="11">
        <f>COUNTIF(O19:AS19,"=Н")</f>
        <v>0</v>
      </c>
      <c r="BA19" s="11">
        <f>COUNTIF(O19:AS19,"=у")</f>
        <v>0</v>
      </c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</row>
    <row r="20" spans="1:89" s="18" customFormat="1" ht="13.5">
      <c r="A20" s="288" t="s">
        <v>21</v>
      </c>
      <c r="B20" s="255">
        <v>110000</v>
      </c>
      <c r="C20" s="256">
        <v>50000</v>
      </c>
      <c r="D20" s="257" t="str">
        <f t="shared" si="5"/>
        <v xml:space="preserve">16 дн / 128 ч </v>
      </c>
      <c r="E20" s="258">
        <f t="shared" si="6"/>
        <v>625</v>
      </c>
      <c r="F20" s="258">
        <f t="shared" si="7"/>
        <v>80000</v>
      </c>
      <c r="G20" s="258"/>
      <c r="H20" s="259"/>
      <c r="I20" s="259"/>
      <c r="J20" s="258">
        <f t="shared" si="8"/>
        <v>284.09090909090907</v>
      </c>
      <c r="K20" s="258">
        <f t="shared" si="9"/>
        <v>36363.63636363636</v>
      </c>
      <c r="L20" s="258"/>
      <c r="M20" s="259"/>
      <c r="N20" s="259"/>
      <c r="O20" s="262">
        <v>8</v>
      </c>
      <c r="P20" s="262">
        <v>8</v>
      </c>
      <c r="Q20" s="139"/>
      <c r="R20" s="139"/>
      <c r="S20" s="262"/>
      <c r="T20" s="254"/>
      <c r="U20" s="262"/>
      <c r="V20" s="262"/>
      <c r="W20" s="262"/>
      <c r="X20" s="139"/>
      <c r="Y20" s="139"/>
      <c r="Z20" s="262">
        <v>8</v>
      </c>
      <c r="AA20" s="262">
        <v>8</v>
      </c>
      <c r="AB20" s="262">
        <v>8</v>
      </c>
      <c r="AC20" s="262">
        <v>8</v>
      </c>
      <c r="AD20" s="262">
        <v>8</v>
      </c>
      <c r="AE20" s="139"/>
      <c r="AF20" s="139"/>
      <c r="AG20" s="262">
        <v>8</v>
      </c>
      <c r="AH20" s="262">
        <v>8</v>
      </c>
      <c r="AI20" s="262">
        <v>8</v>
      </c>
      <c r="AJ20" s="262">
        <v>8</v>
      </c>
      <c r="AK20" s="262">
        <v>8</v>
      </c>
      <c r="AL20" s="139"/>
      <c r="AM20" s="139"/>
      <c r="AN20" s="262">
        <v>8</v>
      </c>
      <c r="AO20" s="262">
        <v>8</v>
      </c>
      <c r="AP20" s="262">
        <v>8</v>
      </c>
      <c r="AQ20" s="262">
        <v>8</v>
      </c>
      <c r="AR20" s="262" t="s">
        <v>4</v>
      </c>
      <c r="AS20" s="139"/>
      <c r="AT20" s="19">
        <f t="shared" si="10"/>
        <v>16</v>
      </c>
      <c r="AU20" s="19">
        <f t="shared" si="11"/>
        <v>128</v>
      </c>
      <c r="AV20" s="17"/>
      <c r="AW20" s="17"/>
      <c r="AX20" s="113"/>
      <c r="AY20" s="113"/>
      <c r="AZ20" s="17"/>
      <c r="BA20" s="20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</row>
    <row r="21" spans="1:89" s="18" customFormat="1" ht="13.5">
      <c r="A21" s="279" t="s">
        <v>37</v>
      </c>
      <c r="B21" s="280">
        <v>110000</v>
      </c>
      <c r="C21" s="281">
        <v>40000</v>
      </c>
      <c r="D21" s="282" t="str">
        <f t="shared" si="5"/>
        <v xml:space="preserve">0 дн / 0 ч </v>
      </c>
      <c r="E21" s="283">
        <f t="shared" si="6"/>
        <v>625</v>
      </c>
      <c r="F21" s="283">
        <f t="shared" si="7"/>
        <v>0</v>
      </c>
      <c r="G21" s="283"/>
      <c r="H21" s="283"/>
      <c r="I21" s="284"/>
      <c r="J21" s="283">
        <f t="shared" si="8"/>
        <v>227.27272727272728</v>
      </c>
      <c r="K21" s="283">
        <f t="shared" si="9"/>
        <v>0</v>
      </c>
      <c r="L21" s="283"/>
      <c r="M21" s="283"/>
      <c r="N21" s="284"/>
      <c r="O21" s="285"/>
      <c r="P21" s="285"/>
      <c r="Q21" s="271"/>
      <c r="R21" s="271"/>
      <c r="S21" s="285"/>
      <c r="T21" s="285"/>
      <c r="U21" s="285"/>
      <c r="V21" s="285"/>
      <c r="W21" s="285"/>
      <c r="X21" s="271"/>
      <c r="Y21" s="271"/>
      <c r="Z21" s="285"/>
      <c r="AA21" s="285"/>
      <c r="AB21" s="285"/>
      <c r="AC21" s="285"/>
      <c r="AD21" s="285"/>
      <c r="AE21" s="271"/>
      <c r="AF21" s="271"/>
      <c r="AG21" s="285"/>
      <c r="AH21" s="285"/>
      <c r="AI21" s="285"/>
      <c r="AJ21" s="285"/>
      <c r="AK21" s="285"/>
      <c r="AL21" s="271"/>
      <c r="AM21" s="271"/>
      <c r="AN21" s="285"/>
      <c r="AO21" s="285"/>
      <c r="AP21" s="285"/>
      <c r="AQ21" s="285"/>
      <c r="AR21" s="285"/>
      <c r="AS21" s="271"/>
      <c r="AT21" s="19">
        <f t="shared" si="10"/>
        <v>0</v>
      </c>
      <c r="AU21" s="19">
        <f t="shared" si="11"/>
        <v>0</v>
      </c>
      <c r="AV21" s="276"/>
      <c r="AW21" s="276"/>
      <c r="AX21" s="286"/>
      <c r="AY21" s="286"/>
      <c r="AZ21" s="276"/>
      <c r="BA21" s="287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</row>
    <row r="22" spans="1:89" s="18" customFormat="1" ht="13.5">
      <c r="A22" s="253" t="s">
        <v>91</v>
      </c>
      <c r="B22" s="42">
        <v>50000</v>
      </c>
      <c r="C22" s="41">
        <v>20000</v>
      </c>
      <c r="D22" s="63" t="str">
        <f t="shared" si="5"/>
        <v xml:space="preserve">0 дн / 0 ч </v>
      </c>
      <c r="E22" s="39">
        <f t="shared" si="6"/>
        <v>284.09090909090907</v>
      </c>
      <c r="F22" s="39">
        <f t="shared" si="7"/>
        <v>0</v>
      </c>
      <c r="G22" s="39"/>
      <c r="H22" s="43"/>
      <c r="I22" s="45">
        <f>F22+F23+F24</f>
        <v>57272.727272727279</v>
      </c>
      <c r="J22" s="39">
        <f t="shared" si="8"/>
        <v>113.63636363636364</v>
      </c>
      <c r="K22" s="39">
        <f t="shared" si="9"/>
        <v>0</v>
      </c>
      <c r="L22" s="39"/>
      <c r="M22" s="43"/>
      <c r="N22" s="45">
        <f>K22+K23+K24+L23</f>
        <v>38318.181818181816</v>
      </c>
      <c r="O22" s="140" t="s">
        <v>4</v>
      </c>
      <c r="P22" s="140" t="s">
        <v>4</v>
      </c>
      <c r="Q22" s="139"/>
      <c r="R22" s="139"/>
      <c r="S22" s="140" t="s">
        <v>4</v>
      </c>
      <c r="T22" s="308" t="s">
        <v>4</v>
      </c>
      <c r="U22" s="140" t="s">
        <v>4</v>
      </c>
      <c r="V22" s="140" t="s">
        <v>4</v>
      </c>
      <c r="W22" s="140" t="s">
        <v>4</v>
      </c>
      <c r="X22" s="139"/>
      <c r="Y22" s="139"/>
      <c r="Z22" s="140" t="s">
        <v>4</v>
      </c>
      <c r="AA22" s="140" t="s">
        <v>4</v>
      </c>
      <c r="AB22" s="140" t="s">
        <v>4</v>
      </c>
      <c r="AC22" s="140" t="s">
        <v>4</v>
      </c>
      <c r="AD22" s="140" t="s">
        <v>4</v>
      </c>
      <c r="AE22" s="139"/>
      <c r="AF22" s="139"/>
      <c r="AG22" s="140" t="s">
        <v>4</v>
      </c>
      <c r="AH22" s="140" t="s">
        <v>4</v>
      </c>
      <c r="AI22" s="140" t="s">
        <v>4</v>
      </c>
      <c r="AJ22" s="140" t="s">
        <v>4</v>
      </c>
      <c r="AK22" s="140" t="s">
        <v>4</v>
      </c>
      <c r="AL22" s="139"/>
      <c r="AM22" s="139"/>
      <c r="AN22" s="140" t="s">
        <v>4</v>
      </c>
      <c r="AO22" s="140" t="s">
        <v>4</v>
      </c>
      <c r="AP22" s="140" t="s">
        <v>4</v>
      </c>
      <c r="AQ22" s="140" t="s">
        <v>4</v>
      </c>
      <c r="AR22" s="140"/>
      <c r="AS22" s="139"/>
      <c r="AT22" s="19">
        <f t="shared" si="10"/>
        <v>0</v>
      </c>
      <c r="AU22" s="19">
        <f t="shared" si="11"/>
        <v>0</v>
      </c>
      <c r="AV22" s="17">
        <f>COUNTIF(O22:AS22,"=гр")</f>
        <v>0</v>
      </c>
      <c r="AW22" s="15"/>
      <c r="AX22" s="15"/>
      <c r="AY22" s="15"/>
      <c r="AZ22" s="17">
        <f>COUNTIF(O22:AS22,"=Н")</f>
        <v>0</v>
      </c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</row>
    <row r="23" spans="1:89" s="18" customFormat="1" ht="13.5">
      <c r="A23" s="288" t="s">
        <v>21</v>
      </c>
      <c r="B23" s="255">
        <v>60000</v>
      </c>
      <c r="C23" s="256">
        <v>40000</v>
      </c>
      <c r="D23" s="257" t="str">
        <f t="shared" si="5"/>
        <v xml:space="preserve">18 дн / 144 ч </v>
      </c>
      <c r="E23" s="258">
        <f t="shared" si="6"/>
        <v>340.90909090909093</v>
      </c>
      <c r="F23" s="258">
        <f t="shared" si="7"/>
        <v>49090.909090909096</v>
      </c>
      <c r="G23" s="258"/>
      <c r="H23" s="259"/>
      <c r="I23" s="259"/>
      <c r="J23" s="258">
        <f t="shared" si="8"/>
        <v>227.27272727272728</v>
      </c>
      <c r="K23" s="258">
        <f t="shared" si="9"/>
        <v>32727.272727272728</v>
      </c>
      <c r="L23" s="258">
        <v>1500</v>
      </c>
      <c r="M23" s="259"/>
      <c r="N23" s="259"/>
      <c r="O23" s="308">
        <v>8</v>
      </c>
      <c r="P23" s="312">
        <v>8</v>
      </c>
      <c r="Q23" s="95"/>
      <c r="R23" s="95"/>
      <c r="S23" s="314">
        <v>8</v>
      </c>
      <c r="T23" s="140" t="s">
        <v>4</v>
      </c>
      <c r="U23" s="308">
        <v>8</v>
      </c>
      <c r="V23" s="308" t="s">
        <v>4</v>
      </c>
      <c r="W23" s="320" t="s">
        <v>4</v>
      </c>
      <c r="X23" s="95"/>
      <c r="Y23" s="95"/>
      <c r="Z23" s="335">
        <v>8</v>
      </c>
      <c r="AA23" s="335">
        <v>8</v>
      </c>
      <c r="AB23" s="335">
        <v>8</v>
      </c>
      <c r="AC23" s="336">
        <v>8</v>
      </c>
      <c r="AD23" s="337">
        <v>8</v>
      </c>
      <c r="AE23" s="95"/>
      <c r="AF23" s="95"/>
      <c r="AG23" s="338">
        <v>8</v>
      </c>
      <c r="AH23" s="340">
        <v>8</v>
      </c>
      <c r="AI23" s="341">
        <v>8</v>
      </c>
      <c r="AJ23" s="342">
        <v>8</v>
      </c>
      <c r="AK23" s="343">
        <v>8</v>
      </c>
      <c r="AL23" s="95"/>
      <c r="AM23" s="95"/>
      <c r="AN23" s="345">
        <v>8</v>
      </c>
      <c r="AO23" s="345">
        <v>8</v>
      </c>
      <c r="AP23" s="346">
        <v>8</v>
      </c>
      <c r="AQ23" s="347">
        <v>8</v>
      </c>
      <c r="AR23" s="17" t="s">
        <v>75</v>
      </c>
      <c r="AS23" s="95"/>
      <c r="AT23" s="19">
        <f t="shared" si="10"/>
        <v>18</v>
      </c>
      <c r="AU23" s="19">
        <f t="shared" si="11"/>
        <v>144</v>
      </c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</row>
    <row r="24" spans="1:89" ht="14.25" thickBot="1">
      <c r="A24" s="251" t="s">
        <v>69</v>
      </c>
      <c r="B24" s="46">
        <v>60000</v>
      </c>
      <c r="C24" s="47">
        <v>30000</v>
      </c>
      <c r="D24" s="59" t="str">
        <f t="shared" si="5"/>
        <v xml:space="preserve">3 дн / 24 ч </v>
      </c>
      <c r="E24" s="48">
        <f t="shared" si="6"/>
        <v>340.90909090909093</v>
      </c>
      <c r="F24" s="48">
        <f t="shared" si="7"/>
        <v>8181.818181818182</v>
      </c>
      <c r="G24" s="48"/>
      <c r="H24" s="49"/>
      <c r="I24" s="50"/>
      <c r="J24" s="48">
        <f t="shared" si="8"/>
        <v>170.45454545454547</v>
      </c>
      <c r="K24" s="48">
        <f t="shared" si="9"/>
        <v>4090.909090909091</v>
      </c>
      <c r="L24" s="48"/>
      <c r="M24" s="49"/>
      <c r="N24" s="50"/>
      <c r="O24" s="144"/>
      <c r="P24" s="144"/>
      <c r="Q24" s="134"/>
      <c r="R24" s="134"/>
      <c r="S24" s="144" t="s">
        <v>4</v>
      </c>
      <c r="T24" s="144">
        <v>8</v>
      </c>
      <c r="U24" s="144" t="s">
        <v>4</v>
      </c>
      <c r="V24" s="144">
        <v>8</v>
      </c>
      <c r="W24" s="144">
        <v>8</v>
      </c>
      <c r="X24" s="134"/>
      <c r="Y24" s="134"/>
      <c r="Z24" s="144"/>
      <c r="AA24" s="144"/>
      <c r="AB24" s="144"/>
      <c r="AC24" s="144"/>
      <c r="AD24" s="144"/>
      <c r="AE24" s="134"/>
      <c r="AF24" s="134"/>
      <c r="AG24" s="144"/>
      <c r="AH24" s="144"/>
      <c r="AI24" s="144"/>
      <c r="AJ24" s="144"/>
      <c r="AK24" s="144"/>
      <c r="AL24" s="134"/>
      <c r="AM24" s="134"/>
      <c r="AN24" s="144"/>
      <c r="AO24" s="144"/>
      <c r="AP24" s="144"/>
      <c r="AQ24" s="144"/>
      <c r="AR24" s="144"/>
      <c r="AS24" s="134"/>
      <c r="AT24" s="26">
        <f t="shared" si="10"/>
        <v>3</v>
      </c>
      <c r="AU24" s="26">
        <f t="shared" si="11"/>
        <v>24</v>
      </c>
      <c r="AV24" s="62"/>
      <c r="AW24" s="62"/>
      <c r="AX24" s="62"/>
      <c r="AY24" s="62"/>
      <c r="AZ24" s="62"/>
      <c r="BA24" s="62"/>
    </row>
    <row r="25" spans="1:89" ht="13.5">
      <c r="A25" s="28" t="s">
        <v>92</v>
      </c>
      <c r="B25" s="42">
        <v>100000</v>
      </c>
      <c r="C25" s="41">
        <v>40000</v>
      </c>
      <c r="D25" s="63" t="str">
        <f t="shared" si="5"/>
        <v xml:space="preserve">4 дн / 32 ч </v>
      </c>
      <c r="E25" s="39">
        <f t="shared" si="6"/>
        <v>568.18181818181813</v>
      </c>
      <c r="F25" s="39">
        <f t="shared" si="7"/>
        <v>18181.81818181818</v>
      </c>
      <c r="G25" s="39"/>
      <c r="H25" s="43"/>
      <c r="I25" s="45">
        <f>F25+F26+F28</f>
        <v>102272.72727272726</v>
      </c>
      <c r="J25" s="39">
        <f t="shared" si="8"/>
        <v>227.27272727272728</v>
      </c>
      <c r="K25" s="39">
        <f t="shared" si="9"/>
        <v>7272.727272727273</v>
      </c>
      <c r="L25" s="39"/>
      <c r="M25" s="43"/>
      <c r="N25" s="45">
        <f>K25+K26+L27</f>
        <v>44363.63636363636</v>
      </c>
      <c r="O25" s="14">
        <v>8</v>
      </c>
      <c r="P25" s="14" t="s">
        <v>4</v>
      </c>
      <c r="Q25" s="139"/>
      <c r="R25" s="139"/>
      <c r="S25" s="14" t="s">
        <v>4</v>
      </c>
      <c r="T25" s="14" t="s">
        <v>4</v>
      </c>
      <c r="U25" s="14" t="s">
        <v>4</v>
      </c>
      <c r="V25" s="14" t="s">
        <v>4</v>
      </c>
      <c r="W25" s="14" t="s">
        <v>4</v>
      </c>
      <c r="X25" s="139"/>
      <c r="Y25" s="139"/>
      <c r="Z25" s="14" t="s">
        <v>4</v>
      </c>
      <c r="AA25" s="14" t="s">
        <v>4</v>
      </c>
      <c r="AB25" s="14" t="s">
        <v>4</v>
      </c>
      <c r="AC25" s="14" t="s">
        <v>4</v>
      </c>
      <c r="AD25" s="14" t="s">
        <v>4</v>
      </c>
      <c r="AE25" s="139"/>
      <c r="AF25" s="139"/>
      <c r="AG25" s="14">
        <v>8</v>
      </c>
      <c r="AH25" s="14" t="s">
        <v>4</v>
      </c>
      <c r="AI25" s="14" t="s">
        <v>4</v>
      </c>
      <c r="AJ25" s="14" t="s">
        <v>4</v>
      </c>
      <c r="AK25" s="14">
        <v>8</v>
      </c>
      <c r="AL25" s="139"/>
      <c r="AM25" s="139"/>
      <c r="AN25" s="14" t="s">
        <v>4</v>
      </c>
      <c r="AO25" s="14" t="s">
        <v>4</v>
      </c>
      <c r="AP25" s="140" t="s">
        <v>4</v>
      </c>
      <c r="AQ25" s="14">
        <v>8</v>
      </c>
      <c r="AR25" s="14" t="s">
        <v>4</v>
      </c>
      <c r="AS25" s="139"/>
      <c r="AT25" s="22">
        <f t="shared" si="10"/>
        <v>4</v>
      </c>
      <c r="AU25" s="22">
        <f t="shared" si="11"/>
        <v>32</v>
      </c>
      <c r="AV25" s="17"/>
      <c r="AW25" s="17"/>
      <c r="AX25" s="17"/>
      <c r="AY25" s="17"/>
      <c r="AZ25" s="17"/>
      <c r="BA25" s="17"/>
    </row>
    <row r="26" spans="1:89" s="18" customFormat="1" ht="13.5">
      <c r="A26" s="288" t="s">
        <v>21</v>
      </c>
      <c r="B26" s="255">
        <v>110000</v>
      </c>
      <c r="C26" s="256">
        <v>50000</v>
      </c>
      <c r="D26" s="257" t="str">
        <f t="shared" si="5"/>
        <v xml:space="preserve">15 дн / 120 ч </v>
      </c>
      <c r="E26" s="258">
        <f t="shared" si="6"/>
        <v>625</v>
      </c>
      <c r="F26" s="258">
        <f t="shared" si="7"/>
        <v>75000</v>
      </c>
      <c r="G26" s="258"/>
      <c r="H26" s="259"/>
      <c r="I26" s="259"/>
      <c r="J26" s="258">
        <f t="shared" si="8"/>
        <v>284.09090909090907</v>
      </c>
      <c r="K26" s="258">
        <f t="shared" si="9"/>
        <v>34090.909090909088</v>
      </c>
      <c r="L26" s="258"/>
      <c r="M26" s="259"/>
      <c r="N26" s="259"/>
      <c r="O26" s="308" t="s">
        <v>4</v>
      </c>
      <c r="P26" s="308">
        <v>8</v>
      </c>
      <c r="Q26" s="139"/>
      <c r="R26" s="139"/>
      <c r="S26" s="314">
        <v>8</v>
      </c>
      <c r="T26" s="316">
        <v>8</v>
      </c>
      <c r="U26" s="316">
        <v>8</v>
      </c>
      <c r="V26" s="318">
        <v>8</v>
      </c>
      <c r="W26" s="320">
        <v>8</v>
      </c>
      <c r="X26" s="139"/>
      <c r="Y26" s="139"/>
      <c r="Z26" s="335">
        <v>8</v>
      </c>
      <c r="AA26" s="335">
        <v>8</v>
      </c>
      <c r="AB26" s="335">
        <v>8</v>
      </c>
      <c r="AC26" s="335" t="s">
        <v>4</v>
      </c>
      <c r="AD26" s="337" t="s">
        <v>4</v>
      </c>
      <c r="AE26" s="139"/>
      <c r="AF26" s="139"/>
      <c r="AG26" s="308" t="s">
        <v>4</v>
      </c>
      <c r="AH26" s="340">
        <v>8</v>
      </c>
      <c r="AI26" s="341">
        <v>8</v>
      </c>
      <c r="AJ26" s="342">
        <v>8</v>
      </c>
      <c r="AK26" s="308" t="s">
        <v>4</v>
      </c>
      <c r="AL26" s="139"/>
      <c r="AM26" s="139"/>
      <c r="AN26" s="345">
        <v>8</v>
      </c>
      <c r="AO26" s="345">
        <v>8</v>
      </c>
      <c r="AP26" s="346" t="s">
        <v>75</v>
      </c>
      <c r="AQ26" s="308" t="s">
        <v>4</v>
      </c>
      <c r="AR26" s="349">
        <v>8</v>
      </c>
      <c r="AS26" s="139"/>
      <c r="AT26" s="22">
        <f t="shared" si="10"/>
        <v>15</v>
      </c>
      <c r="AU26" s="22">
        <f t="shared" si="11"/>
        <v>120</v>
      </c>
      <c r="AV26" s="17"/>
      <c r="AW26" s="17"/>
      <c r="AX26" s="17"/>
      <c r="AY26" s="17"/>
      <c r="AZ26" s="17"/>
      <c r="BA26" s="17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</row>
    <row r="27" spans="1:89" ht="13.5">
      <c r="A27" s="98" t="s">
        <v>54</v>
      </c>
      <c r="B27" s="42">
        <v>3000</v>
      </c>
      <c r="C27" s="41"/>
      <c r="D27" s="17" t="str">
        <f>AV27&amp;" дн"</f>
        <v>1 дн</v>
      </c>
      <c r="E27" s="39">
        <f t="shared" si="6"/>
        <v>17.045454545454547</v>
      </c>
      <c r="F27" s="39"/>
      <c r="G27" s="39"/>
      <c r="H27" s="43"/>
      <c r="I27" s="45"/>
      <c r="J27" s="39"/>
      <c r="K27" s="268"/>
      <c r="L27" s="39">
        <f>B27*AV27</f>
        <v>3000</v>
      </c>
      <c r="M27" s="43"/>
      <c r="N27" s="45"/>
      <c r="O27" s="308" t="s">
        <v>3</v>
      </c>
      <c r="P27" s="308"/>
      <c r="Q27" s="139"/>
      <c r="R27" s="139"/>
      <c r="S27" s="308"/>
      <c r="T27" s="316"/>
      <c r="U27" s="316"/>
      <c r="V27" s="318"/>
      <c r="W27" s="320"/>
      <c r="X27" s="139"/>
      <c r="Y27" s="139"/>
      <c r="Z27" s="335"/>
      <c r="AA27" s="335"/>
      <c r="AB27" s="335"/>
      <c r="AC27" s="335"/>
      <c r="AD27" s="337"/>
      <c r="AE27" s="139"/>
      <c r="AF27" s="139"/>
      <c r="AG27" s="308"/>
      <c r="AH27" s="340"/>
      <c r="AI27" s="341"/>
      <c r="AJ27" s="342"/>
      <c r="AK27" s="308"/>
      <c r="AL27" s="139"/>
      <c r="AM27" s="139"/>
      <c r="AN27" s="345"/>
      <c r="AO27" s="345"/>
      <c r="AP27" s="308"/>
      <c r="AQ27" s="308"/>
      <c r="AR27" s="349"/>
      <c r="AS27" s="139"/>
      <c r="AT27" s="22"/>
      <c r="AU27" s="22"/>
      <c r="AV27" s="16">
        <f>COUNTIF(O27:AS27,"=гр")</f>
        <v>1</v>
      </c>
      <c r="AW27" s="17"/>
      <c r="AX27" s="17"/>
      <c r="AY27" s="17"/>
      <c r="AZ27" s="17"/>
      <c r="BA27" s="17"/>
    </row>
    <row r="28" spans="1:89" customFormat="1" ht="15.75" customHeight="1">
      <c r="A28" s="126" t="s">
        <v>27</v>
      </c>
      <c r="B28" s="127">
        <v>100000</v>
      </c>
      <c r="C28" s="117"/>
      <c r="D28" s="135" t="str">
        <f>BA28&amp;" дн"</f>
        <v>2 дн</v>
      </c>
      <c r="E28" s="119">
        <f t="shared" si="6"/>
        <v>568.18181818181813</v>
      </c>
      <c r="F28" s="119">
        <f>B28/B5*BA28</f>
        <v>9090.9090909090901</v>
      </c>
      <c r="G28" s="119"/>
      <c r="H28" s="120"/>
      <c r="I28" s="121"/>
      <c r="J28" s="119"/>
      <c r="K28" s="119"/>
      <c r="L28" s="119"/>
      <c r="M28" s="120"/>
      <c r="N28" s="121"/>
      <c r="O28" s="147"/>
      <c r="P28" s="147"/>
      <c r="Q28" s="146"/>
      <c r="R28" s="146"/>
      <c r="S28" s="147"/>
      <c r="T28" s="147"/>
      <c r="U28" s="147"/>
      <c r="V28" s="147"/>
      <c r="W28" s="147"/>
      <c r="X28" s="146"/>
      <c r="Y28" s="146"/>
      <c r="Z28" s="147"/>
      <c r="AA28" s="147"/>
      <c r="AB28" s="147"/>
      <c r="AC28" s="147" t="s">
        <v>1</v>
      </c>
      <c r="AD28" s="147" t="s">
        <v>1</v>
      </c>
      <c r="AE28" s="146"/>
      <c r="AF28" s="146"/>
      <c r="AG28" s="147"/>
      <c r="AH28" s="147"/>
      <c r="AI28" s="147"/>
      <c r="AJ28" s="147"/>
      <c r="AK28" s="147"/>
      <c r="AL28" s="146"/>
      <c r="AM28" s="146"/>
      <c r="AN28" s="147"/>
      <c r="AO28" s="147"/>
      <c r="AP28" s="147"/>
      <c r="AQ28" s="147"/>
      <c r="AR28" s="147"/>
      <c r="AS28" s="146"/>
      <c r="AT28" s="22"/>
      <c r="AU28" s="22"/>
      <c r="AV28" s="128">
        <f>COUNTIF(O28:AS28,"=гр")</f>
        <v>0</v>
      </c>
      <c r="AW28" s="125"/>
      <c r="AX28" s="125"/>
      <c r="AY28" s="125"/>
      <c r="AZ28" s="125"/>
      <c r="BA28" s="223">
        <f>COUNTIF(O28:AS28,"=р")</f>
        <v>2</v>
      </c>
      <c r="BB28" s="64"/>
      <c r="BC28" s="64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</row>
    <row r="29" spans="1:89" s="18" customFormat="1" ht="13.5">
      <c r="A29" s="315" t="s">
        <v>93</v>
      </c>
      <c r="B29" s="73">
        <v>50000</v>
      </c>
      <c r="C29" s="74">
        <v>20000</v>
      </c>
      <c r="D29" s="96" t="str">
        <f>AT29&amp;" дн / "&amp;AU29&amp;" ч "</f>
        <v xml:space="preserve">5 дн / 40 ч </v>
      </c>
      <c r="E29" s="75">
        <f t="shared" si="6"/>
        <v>284.09090909090907</v>
      </c>
      <c r="F29" s="75">
        <f>E29*AU29</f>
        <v>11363.636363636362</v>
      </c>
      <c r="G29" s="75"/>
      <c r="H29" s="76"/>
      <c r="I29" s="76">
        <f>F29+F30+F31+F32</f>
        <v>51363.63636363636</v>
      </c>
      <c r="J29" s="75">
        <f>C29/$C$5</f>
        <v>113.63636363636364</v>
      </c>
      <c r="K29" s="75">
        <f>J29*AU29</f>
        <v>4545.454545454546</v>
      </c>
      <c r="L29" s="75"/>
      <c r="M29" s="76"/>
      <c r="N29" s="76">
        <f>K29+K30+K31+K32</f>
        <v>30909.090909090912</v>
      </c>
      <c r="O29" s="140" t="s">
        <v>4</v>
      </c>
      <c r="P29" s="140" t="s">
        <v>4</v>
      </c>
      <c r="Q29" s="141"/>
      <c r="R29" s="141"/>
      <c r="S29" s="140">
        <v>8</v>
      </c>
      <c r="T29" s="140" t="s">
        <v>4</v>
      </c>
      <c r="U29" s="140" t="s">
        <v>4</v>
      </c>
      <c r="V29" s="140" t="s">
        <v>4</v>
      </c>
      <c r="W29" s="140" t="s">
        <v>4</v>
      </c>
      <c r="X29" s="141"/>
      <c r="Y29" s="141"/>
      <c r="Z29" s="140" t="s">
        <v>4</v>
      </c>
      <c r="AA29" s="140" t="s">
        <v>4</v>
      </c>
      <c r="AB29" s="140" t="s">
        <v>4</v>
      </c>
      <c r="AC29" s="140">
        <v>8</v>
      </c>
      <c r="AD29" s="140" t="s">
        <v>4</v>
      </c>
      <c r="AE29" s="141"/>
      <c r="AF29" s="141"/>
      <c r="AG29" s="140">
        <v>8</v>
      </c>
      <c r="AH29" s="140" t="s">
        <v>4</v>
      </c>
      <c r="AI29" s="140" t="s">
        <v>4</v>
      </c>
      <c r="AJ29" s="140" t="s">
        <v>4</v>
      </c>
      <c r="AK29" s="140">
        <v>8</v>
      </c>
      <c r="AL29" s="141"/>
      <c r="AM29" s="141"/>
      <c r="AN29" s="140" t="s">
        <v>4</v>
      </c>
      <c r="AO29" s="140" t="s">
        <v>4</v>
      </c>
      <c r="AP29" s="140" t="s">
        <v>4</v>
      </c>
      <c r="AQ29" s="140">
        <v>8</v>
      </c>
      <c r="AR29" s="140" t="s">
        <v>4</v>
      </c>
      <c r="AS29" s="141"/>
      <c r="AT29" s="273">
        <f>COUNTIF(O29:AS29,"&gt;0")</f>
        <v>5</v>
      </c>
      <c r="AU29" s="273">
        <f>SUM(O29:AS29)</f>
        <v>40</v>
      </c>
      <c r="AV29" s="17">
        <f>COUNTIF(O29:AS29,"=гр")</f>
        <v>0</v>
      </c>
      <c r="AW29" s="15"/>
      <c r="AX29" s="15"/>
      <c r="AY29" s="15"/>
      <c r="AZ29" s="17">
        <f>COUNTIF(O29:AS29,"=Н")</f>
        <v>0</v>
      </c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</row>
    <row r="30" spans="1:89" s="18" customFormat="1" ht="13.5">
      <c r="A30" s="221" t="s">
        <v>21</v>
      </c>
      <c r="B30" s="73">
        <v>60000</v>
      </c>
      <c r="C30" s="74">
        <v>40000</v>
      </c>
      <c r="D30" s="96" t="str">
        <f>AT30&amp;" дн / "&amp;AU30&amp;" ч "</f>
        <v xml:space="preserve">12 дн / 96 ч </v>
      </c>
      <c r="E30" s="75">
        <f t="shared" si="6"/>
        <v>340.90909090909093</v>
      </c>
      <c r="F30" s="75">
        <f>E30*AU30</f>
        <v>32727.272727272728</v>
      </c>
      <c r="G30" s="75"/>
      <c r="H30" s="76"/>
      <c r="I30" s="76"/>
      <c r="J30" s="75">
        <f>C30/$C$5</f>
        <v>227.27272727272728</v>
      </c>
      <c r="K30" s="75">
        <f>J30*AU30</f>
        <v>21818.18181818182</v>
      </c>
      <c r="L30" s="75"/>
      <c r="M30" s="76"/>
      <c r="N30" s="76"/>
      <c r="O30" s="308" t="s">
        <v>4</v>
      </c>
      <c r="P30" s="308">
        <v>8</v>
      </c>
      <c r="Q30" s="95"/>
      <c r="R30" s="95"/>
      <c r="S30" s="308"/>
      <c r="T30" s="316">
        <v>8</v>
      </c>
      <c r="U30" s="316">
        <v>8</v>
      </c>
      <c r="V30" s="318">
        <v>8</v>
      </c>
      <c r="W30" s="320">
        <v>8</v>
      </c>
      <c r="X30" s="95"/>
      <c r="Y30" s="95"/>
      <c r="Z30" s="335">
        <v>8</v>
      </c>
      <c r="AA30" s="335">
        <v>8</v>
      </c>
      <c r="AB30" s="335">
        <v>8</v>
      </c>
      <c r="AC30" s="335"/>
      <c r="AD30" s="140" t="s">
        <v>4</v>
      </c>
      <c r="AE30" s="95"/>
      <c r="AF30" s="95"/>
      <c r="AG30" s="308" t="s">
        <v>4</v>
      </c>
      <c r="AH30" s="340">
        <v>8</v>
      </c>
      <c r="AI30" s="308" t="s">
        <v>75</v>
      </c>
      <c r="AJ30" s="342">
        <v>8</v>
      </c>
      <c r="AK30" s="308" t="s">
        <v>4</v>
      </c>
      <c r="AL30" s="95"/>
      <c r="AM30" s="95"/>
      <c r="AN30" s="345">
        <v>8</v>
      </c>
      <c r="AO30" s="346" t="s">
        <v>75</v>
      </c>
      <c r="AP30" s="346" t="s">
        <v>75</v>
      </c>
      <c r="AQ30" s="308" t="s">
        <v>4</v>
      </c>
      <c r="AR30" s="349">
        <v>8</v>
      </c>
      <c r="AS30" s="95"/>
      <c r="AT30" s="19">
        <f>COUNTIF(O30:AS30,"&gt;0")</f>
        <v>12</v>
      </c>
      <c r="AU30" s="19">
        <f>SUM(O30:AS30)</f>
        <v>96</v>
      </c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</row>
    <row r="31" spans="1:89" ht="13.5">
      <c r="A31" s="350" t="s">
        <v>19</v>
      </c>
      <c r="B31" s="73">
        <v>50000</v>
      </c>
      <c r="C31" s="74">
        <v>50000</v>
      </c>
      <c r="D31" s="96" t="str">
        <f>AT31&amp;" дн / "&amp;AU31&amp;" ч "</f>
        <v xml:space="preserve">1 дн / 8 ч </v>
      </c>
      <c r="E31" s="75">
        <f t="shared" si="6"/>
        <v>284.09090909090907</v>
      </c>
      <c r="F31" s="75">
        <f>E31*AU31</f>
        <v>2272.7272727272725</v>
      </c>
      <c r="G31" s="75"/>
      <c r="H31" s="76"/>
      <c r="I31" s="76"/>
      <c r="J31" s="75">
        <f>C31/$C$5</f>
        <v>284.09090909090907</v>
      </c>
      <c r="K31" s="75">
        <f>J31*AU31</f>
        <v>2272.7272727272725</v>
      </c>
      <c r="L31" s="75"/>
      <c r="M31" s="76"/>
      <c r="N31" s="76"/>
      <c r="O31" s="140">
        <v>8</v>
      </c>
      <c r="P31" s="140"/>
      <c r="Q31" s="95"/>
      <c r="R31" s="95"/>
      <c r="S31" s="140"/>
      <c r="T31" s="140"/>
      <c r="U31" s="140"/>
      <c r="V31" s="140"/>
      <c r="W31" s="140"/>
      <c r="X31" s="95"/>
      <c r="Y31" s="95"/>
      <c r="Z31" s="140"/>
      <c r="AA31" s="140"/>
      <c r="AB31" s="140"/>
      <c r="AC31" s="140"/>
      <c r="AD31" s="140" t="s">
        <v>4</v>
      </c>
      <c r="AE31" s="95"/>
      <c r="AF31" s="95"/>
      <c r="AG31" s="140" t="s">
        <v>4</v>
      </c>
      <c r="AH31" s="140"/>
      <c r="AI31" s="140"/>
      <c r="AJ31" s="140"/>
      <c r="AK31" s="140"/>
      <c r="AL31" s="95"/>
      <c r="AM31" s="95"/>
      <c r="AN31" s="140"/>
      <c r="AO31" s="140"/>
      <c r="AP31" s="140"/>
      <c r="AQ31" s="140"/>
      <c r="AR31" s="140"/>
      <c r="AS31" s="95"/>
      <c r="AT31" s="19">
        <f>COUNTIF(O31:AS31,"&gt;0")</f>
        <v>1</v>
      </c>
      <c r="AU31" s="19">
        <f>SUM(O31:AS31)</f>
        <v>8</v>
      </c>
      <c r="AV31" s="18"/>
      <c r="AW31" s="18"/>
      <c r="AX31" s="18"/>
      <c r="AY31" s="18"/>
      <c r="AZ31" s="18"/>
      <c r="BA31" s="18"/>
    </row>
    <row r="32" spans="1:89" ht="13.5">
      <c r="A32" s="350" t="s">
        <v>80</v>
      </c>
      <c r="B32" s="73">
        <v>110000</v>
      </c>
      <c r="C32" s="74">
        <v>50000</v>
      </c>
      <c r="D32" s="96" t="str">
        <f>AT32&amp;" дн / "&amp;AU32&amp;" ч "</f>
        <v xml:space="preserve">1 дн / 8 ч </v>
      </c>
      <c r="E32" s="75">
        <f>B32/$C$5</f>
        <v>625</v>
      </c>
      <c r="F32" s="75">
        <f>E32*AU32</f>
        <v>5000</v>
      </c>
      <c r="G32" s="75"/>
      <c r="H32" s="76"/>
      <c r="I32" s="76"/>
      <c r="J32" s="75">
        <f>C32/$C$5</f>
        <v>284.09090909090907</v>
      </c>
      <c r="K32" s="75">
        <f>J32*AU32</f>
        <v>2272.7272727272725</v>
      </c>
      <c r="L32" s="75"/>
      <c r="M32" s="76"/>
      <c r="N32" s="76"/>
      <c r="P32" s="140"/>
      <c r="Q32" s="95"/>
      <c r="R32" s="95"/>
      <c r="T32" s="140"/>
      <c r="U32" s="140"/>
      <c r="V32" s="140"/>
      <c r="W32" s="140"/>
      <c r="X32" s="95"/>
      <c r="Y32" s="95"/>
      <c r="Z32" s="140"/>
      <c r="AA32" s="140"/>
      <c r="AB32" s="140"/>
      <c r="AC32" s="140"/>
      <c r="AD32" s="140">
        <v>8</v>
      </c>
      <c r="AE32" s="95"/>
      <c r="AF32" s="95"/>
      <c r="AG32" s="140" t="s">
        <v>4</v>
      </c>
      <c r="AH32" s="140"/>
      <c r="AI32" s="140"/>
      <c r="AJ32" s="140"/>
      <c r="AK32" s="140"/>
      <c r="AL32" s="95"/>
      <c r="AM32" s="95"/>
      <c r="AN32" s="140"/>
      <c r="AO32" s="140"/>
      <c r="AP32" s="140"/>
      <c r="AQ32" s="140"/>
      <c r="AR32" s="140"/>
      <c r="AS32" s="95"/>
      <c r="AT32" s="19">
        <f>COUNTIF(O32:AS32,"&gt;0")</f>
        <v>1</v>
      </c>
      <c r="AU32" s="19">
        <f>SUM(O32:AS32)</f>
        <v>8</v>
      </c>
      <c r="AV32" s="18"/>
      <c r="AW32" s="18"/>
      <c r="AX32" s="18"/>
      <c r="AY32" s="18"/>
      <c r="AZ32" s="18"/>
      <c r="BA32" s="18"/>
    </row>
    <row r="33" spans="1:89">
      <c r="A33" s="78" t="s">
        <v>33</v>
      </c>
      <c r="B33" s="69"/>
      <c r="C33" s="69"/>
      <c r="D33" s="69"/>
      <c r="E33" s="69"/>
      <c r="F33" s="206"/>
      <c r="G33" s="206"/>
      <c r="H33" s="69"/>
      <c r="I33" s="69"/>
      <c r="J33" s="69"/>
      <c r="K33" s="206"/>
      <c r="L33" s="206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70"/>
      <c r="BA33" s="70"/>
    </row>
    <row r="34" spans="1:89" s="18" customFormat="1" ht="13.5">
      <c r="A34" s="28" t="s">
        <v>94</v>
      </c>
      <c r="B34" s="42">
        <v>110000</v>
      </c>
      <c r="C34" s="41">
        <v>40000</v>
      </c>
      <c r="D34" s="63" t="str">
        <f>AT34&amp;" дн / "&amp;AU34&amp;" ч "</f>
        <v xml:space="preserve">22 дн / 176 ч </v>
      </c>
      <c r="E34" s="39">
        <f>B34/$C$5</f>
        <v>625</v>
      </c>
      <c r="F34" s="39">
        <f>E34*AU34</f>
        <v>110000</v>
      </c>
      <c r="G34" s="39"/>
      <c r="H34" s="43"/>
      <c r="I34" s="45">
        <f>F34</f>
        <v>110000</v>
      </c>
      <c r="J34" s="39">
        <f>C34/$C$5</f>
        <v>227.27272727272728</v>
      </c>
      <c r="K34" s="39">
        <f>J34*AU34</f>
        <v>40000</v>
      </c>
      <c r="L34" s="39"/>
      <c r="M34" s="43"/>
      <c r="N34" s="45">
        <f>K34</f>
        <v>40000</v>
      </c>
      <c r="O34" s="308">
        <v>8</v>
      </c>
      <c r="P34" s="312">
        <v>8</v>
      </c>
      <c r="Q34" s="139"/>
      <c r="R34" s="139"/>
      <c r="S34" s="314">
        <v>8</v>
      </c>
      <c r="T34" s="308">
        <v>8</v>
      </c>
      <c r="U34" s="308">
        <v>8</v>
      </c>
      <c r="V34" s="318">
        <v>8</v>
      </c>
      <c r="W34" s="320">
        <v>8</v>
      </c>
      <c r="X34" s="139"/>
      <c r="Y34" s="139"/>
      <c r="Z34" s="335">
        <v>8</v>
      </c>
      <c r="AA34" s="335">
        <v>8</v>
      </c>
      <c r="AB34" s="335">
        <v>8</v>
      </c>
      <c r="AC34" s="336">
        <v>8</v>
      </c>
      <c r="AD34" s="337">
        <v>8</v>
      </c>
      <c r="AE34" s="139"/>
      <c r="AF34" s="139"/>
      <c r="AG34" s="338">
        <v>8</v>
      </c>
      <c r="AH34" s="340">
        <v>8</v>
      </c>
      <c r="AI34" s="341">
        <v>8</v>
      </c>
      <c r="AJ34" s="342">
        <v>8</v>
      </c>
      <c r="AK34" s="343">
        <v>8</v>
      </c>
      <c r="AL34" s="139"/>
      <c r="AM34" s="139"/>
      <c r="AN34" s="345">
        <v>8</v>
      </c>
      <c r="AO34" s="345">
        <v>8</v>
      </c>
      <c r="AP34" s="346">
        <v>8</v>
      </c>
      <c r="AQ34" s="348">
        <v>8</v>
      </c>
      <c r="AR34" s="349">
        <v>8</v>
      </c>
      <c r="AS34" s="139"/>
      <c r="AT34" s="22">
        <f t="shared" ref="AT34:AT37" si="12">COUNTIF(O34:AS34,"&gt;0")</f>
        <v>22</v>
      </c>
      <c r="AU34" s="22">
        <f t="shared" ref="AU34:AU37" si="13">SUM(O34:AS34)</f>
        <v>176</v>
      </c>
      <c r="AV34" s="17">
        <f>COUNTIF(O34:AS34,"=гр")</f>
        <v>0</v>
      </c>
      <c r="AW34" s="17"/>
      <c r="AX34" s="17"/>
      <c r="AY34" s="17"/>
      <c r="AZ34" s="17">
        <f>COUNTIF(O34:AS34,"=Н")</f>
        <v>0</v>
      </c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</row>
    <row r="35" spans="1:89" ht="13.5">
      <c r="A35" s="279" t="s">
        <v>54</v>
      </c>
      <c r="B35" s="280">
        <v>3000</v>
      </c>
      <c r="C35" s="281"/>
      <c r="D35" s="276" t="str">
        <f>AV35&amp;" дн"</f>
        <v>0 дн</v>
      </c>
      <c r="E35" s="283"/>
      <c r="F35" s="283"/>
      <c r="G35" s="283"/>
      <c r="H35" s="297"/>
      <c r="I35" s="284"/>
      <c r="J35" s="283"/>
      <c r="K35" s="296"/>
      <c r="L35" s="283">
        <f>B35*AV35</f>
        <v>0</v>
      </c>
      <c r="M35" s="297"/>
      <c r="N35" s="284"/>
      <c r="O35" s="275"/>
      <c r="P35" s="275"/>
      <c r="Q35" s="271"/>
      <c r="R35" s="271"/>
      <c r="S35" s="275"/>
      <c r="T35" s="275"/>
      <c r="U35" s="275"/>
      <c r="V35" s="275"/>
      <c r="W35" s="275"/>
      <c r="X35" s="271"/>
      <c r="Y35" s="271"/>
      <c r="Z35" s="275"/>
      <c r="AA35" s="275"/>
      <c r="AB35" s="275"/>
      <c r="AC35" s="275"/>
      <c r="AD35" s="275"/>
      <c r="AE35" s="271"/>
      <c r="AF35" s="271"/>
      <c r="AG35" s="275"/>
      <c r="AH35" s="275"/>
      <c r="AI35" s="275"/>
      <c r="AJ35" s="275"/>
      <c r="AK35" s="275"/>
      <c r="AL35" s="271"/>
      <c r="AM35" s="271"/>
      <c r="AN35" s="275"/>
      <c r="AO35" s="275"/>
      <c r="AP35" s="275"/>
      <c r="AQ35" s="275"/>
      <c r="AR35" s="275"/>
      <c r="AS35" s="271"/>
      <c r="AT35" s="294">
        <f t="shared" si="12"/>
        <v>0</v>
      </c>
      <c r="AU35" s="294">
        <f t="shared" si="13"/>
        <v>0</v>
      </c>
      <c r="AV35" s="276">
        <f>COUNTIF(O35:AS35,"=гр")</f>
        <v>0</v>
      </c>
      <c r="AW35" s="276"/>
      <c r="AX35" s="276"/>
      <c r="AY35" s="276"/>
      <c r="AZ35" s="276"/>
      <c r="BA35" s="287">
        <f>COUNTIF(X35:AS35,"=р")</f>
        <v>0</v>
      </c>
    </row>
    <row r="36" spans="1:89" ht="13.5">
      <c r="A36" s="321" t="s">
        <v>95</v>
      </c>
      <c r="B36" s="179">
        <v>60000</v>
      </c>
      <c r="C36" s="180">
        <v>30000</v>
      </c>
      <c r="D36" s="181" t="str">
        <f>AT36&amp;" дн / "&amp;AU36&amp;" ч "</f>
        <v xml:space="preserve">20 дн / 160 ч </v>
      </c>
      <c r="E36" s="182">
        <f t="shared" ref="E36:E37" si="14">B36/$C$5</f>
        <v>340.90909090909093</v>
      </c>
      <c r="F36" s="182">
        <f>E36*AU36</f>
        <v>54545.454545454551</v>
      </c>
      <c r="G36" s="182"/>
      <c r="H36" s="183"/>
      <c r="I36" s="184">
        <f>F36+F37</f>
        <v>60000.000000000007</v>
      </c>
      <c r="J36" s="182">
        <f>C36/$C$5</f>
        <v>170.45454545454547</v>
      </c>
      <c r="K36" s="182">
        <f>J36*AU36</f>
        <v>27272.727272727276</v>
      </c>
      <c r="L36" s="182"/>
      <c r="M36" s="183"/>
      <c r="N36" s="184">
        <f>K36+K37</f>
        <v>31818.18181818182</v>
      </c>
      <c r="O36" s="189">
        <v>8</v>
      </c>
      <c r="P36" s="189">
        <v>8</v>
      </c>
      <c r="Q36" s="185"/>
      <c r="R36" s="322"/>
      <c r="S36" s="189">
        <v>8</v>
      </c>
      <c r="T36" s="189">
        <v>8</v>
      </c>
      <c r="U36" s="189">
        <v>8</v>
      </c>
      <c r="V36" s="189">
        <v>8</v>
      </c>
      <c r="W36" s="189" t="s">
        <v>4</v>
      </c>
      <c r="X36" s="185"/>
      <c r="Y36" s="322"/>
      <c r="Z36" s="189">
        <v>8</v>
      </c>
      <c r="AA36" s="189">
        <v>8</v>
      </c>
      <c r="AB36" s="189">
        <v>8</v>
      </c>
      <c r="AC36" s="189">
        <v>8</v>
      </c>
      <c r="AD36" s="189" t="s">
        <v>4</v>
      </c>
      <c r="AE36" s="185"/>
      <c r="AF36" s="322"/>
      <c r="AG36" s="189">
        <v>8</v>
      </c>
      <c r="AH36" s="189">
        <v>8</v>
      </c>
      <c r="AI36" s="189">
        <v>8</v>
      </c>
      <c r="AJ36" s="189">
        <v>8</v>
      </c>
      <c r="AK36" s="189">
        <v>8</v>
      </c>
      <c r="AL36" s="185"/>
      <c r="AM36" s="322"/>
      <c r="AN36" s="189">
        <v>8</v>
      </c>
      <c r="AO36" s="189">
        <v>8</v>
      </c>
      <c r="AP36" s="189">
        <v>8</v>
      </c>
      <c r="AQ36" s="189">
        <v>8</v>
      </c>
      <c r="AR36" s="189">
        <v>8</v>
      </c>
      <c r="AS36" s="185"/>
      <c r="AT36" s="293">
        <f t="shared" si="12"/>
        <v>20</v>
      </c>
      <c r="AU36" s="293">
        <f t="shared" si="13"/>
        <v>160</v>
      </c>
      <c r="AV36" s="274"/>
      <c r="AW36" s="274"/>
      <c r="AX36" s="274"/>
      <c r="AY36" s="274"/>
      <c r="AZ36" s="274"/>
      <c r="BA36" s="274"/>
    </row>
    <row r="37" spans="1:89" s="18" customFormat="1" ht="14.25" thickBot="1">
      <c r="A37" s="323" t="s">
        <v>79</v>
      </c>
      <c r="B37" s="46">
        <v>60000</v>
      </c>
      <c r="C37" s="47">
        <v>50000</v>
      </c>
      <c r="D37" s="59" t="str">
        <f>AT37&amp;" дн / "&amp;AU37&amp;" ч "</f>
        <v xml:space="preserve">2 дн / 16 ч </v>
      </c>
      <c r="E37" s="48">
        <f t="shared" si="14"/>
        <v>340.90909090909093</v>
      </c>
      <c r="F37" s="48">
        <f>E37*AU37</f>
        <v>5454.545454545455</v>
      </c>
      <c r="G37" s="48"/>
      <c r="H37" s="49"/>
      <c r="I37" s="50"/>
      <c r="J37" s="48">
        <f>C37/$C$5</f>
        <v>284.09090909090907</v>
      </c>
      <c r="K37" s="48">
        <f>J37*AU37</f>
        <v>4545.454545454545</v>
      </c>
      <c r="L37" s="48"/>
      <c r="M37" s="49"/>
      <c r="N37" s="50"/>
      <c r="O37" s="144" t="s">
        <v>4</v>
      </c>
      <c r="P37" s="144" t="s">
        <v>4</v>
      </c>
      <c r="Q37" s="144" t="s">
        <v>4</v>
      </c>
      <c r="R37" s="144" t="s">
        <v>4</v>
      </c>
      <c r="S37" s="144" t="s">
        <v>4</v>
      </c>
      <c r="T37" s="144" t="s">
        <v>4</v>
      </c>
      <c r="U37" s="144" t="s">
        <v>4</v>
      </c>
      <c r="V37" s="144" t="s">
        <v>4</v>
      </c>
      <c r="W37" s="144">
        <v>8</v>
      </c>
      <c r="X37" s="145"/>
      <c r="Y37" s="145"/>
      <c r="Z37" s="144"/>
      <c r="AA37" s="144"/>
      <c r="AB37" s="144"/>
      <c r="AC37" s="144"/>
      <c r="AD37" s="144">
        <v>8</v>
      </c>
      <c r="AE37" s="145"/>
      <c r="AF37" s="145"/>
      <c r="AG37" s="144"/>
      <c r="AH37" s="144"/>
      <c r="AI37" s="144"/>
      <c r="AJ37" s="144"/>
      <c r="AK37" s="144"/>
      <c r="AL37" s="145"/>
      <c r="AM37" s="145"/>
      <c r="AN37" s="144"/>
      <c r="AO37" s="144"/>
      <c r="AP37" s="144"/>
      <c r="AQ37" s="144"/>
      <c r="AR37" s="144"/>
      <c r="AS37" s="145"/>
      <c r="AT37" s="291">
        <f t="shared" si="12"/>
        <v>2</v>
      </c>
      <c r="AU37" s="291">
        <f t="shared" si="13"/>
        <v>16</v>
      </c>
      <c r="AV37" s="62"/>
      <c r="AW37" s="62"/>
      <c r="AX37" s="62"/>
      <c r="AY37" s="62"/>
      <c r="AZ37" s="62"/>
      <c r="BA37" s="62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1:89" ht="13.5" thickBot="1">
      <c r="A38" s="78" t="s">
        <v>35</v>
      </c>
      <c r="B38" s="69"/>
      <c r="C38" s="69"/>
      <c r="D38" s="69"/>
      <c r="E38" s="69"/>
      <c r="F38" s="206"/>
      <c r="G38" s="206"/>
      <c r="H38" s="69"/>
      <c r="I38" s="69"/>
      <c r="J38" s="69"/>
      <c r="K38" s="206"/>
      <c r="L38" s="206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70"/>
      <c r="AW38" s="70"/>
      <c r="AX38" s="70"/>
      <c r="AY38" s="70"/>
      <c r="AZ38" s="70"/>
      <c r="BA38" s="70"/>
    </row>
    <row r="39" spans="1:89" ht="13.5">
      <c r="A39" s="97" t="s">
        <v>96</v>
      </c>
      <c r="B39" s="51">
        <v>110000</v>
      </c>
      <c r="C39" s="52">
        <v>50000</v>
      </c>
      <c r="D39" s="58" t="str">
        <f>AT39&amp;" дн / "&amp;AU39&amp;" ч "</f>
        <v xml:space="preserve">22 дн / 176 ч </v>
      </c>
      <c r="E39" s="53">
        <f>B39/$C$5</f>
        <v>625</v>
      </c>
      <c r="F39" s="53">
        <f>E39*AU39</f>
        <v>110000</v>
      </c>
      <c r="G39" s="53"/>
      <c r="H39" s="54"/>
      <c r="I39" s="55">
        <f>F39+F41</f>
        <v>110000</v>
      </c>
      <c r="J39" s="53">
        <f>C39/$C$5</f>
        <v>284.09090909090907</v>
      </c>
      <c r="K39" s="53">
        <f>J39*AU39</f>
        <v>49999.999999999993</v>
      </c>
      <c r="L39" s="53"/>
      <c r="M39" s="54"/>
      <c r="N39" s="55">
        <f>K39+L40</f>
        <v>52999.999999999993</v>
      </c>
      <c r="O39" s="143">
        <v>8</v>
      </c>
      <c r="P39" s="143">
        <v>8</v>
      </c>
      <c r="Q39" s="142"/>
      <c r="R39" s="142"/>
      <c r="S39" s="143">
        <v>8</v>
      </c>
      <c r="T39" s="143">
        <v>8</v>
      </c>
      <c r="U39" s="143">
        <v>8</v>
      </c>
      <c r="V39" s="143">
        <v>8</v>
      </c>
      <c r="W39" s="143">
        <v>8</v>
      </c>
      <c r="X39" s="142"/>
      <c r="Y39" s="142"/>
      <c r="Z39" s="143">
        <v>8</v>
      </c>
      <c r="AA39" s="143">
        <v>8</v>
      </c>
      <c r="AB39" s="143">
        <v>8</v>
      </c>
      <c r="AC39" s="143">
        <v>8</v>
      </c>
      <c r="AD39" s="143">
        <v>8</v>
      </c>
      <c r="AE39" s="142"/>
      <c r="AF39" s="142"/>
      <c r="AG39" s="143">
        <v>8</v>
      </c>
      <c r="AH39" s="143">
        <v>8</v>
      </c>
      <c r="AI39" s="143">
        <v>8</v>
      </c>
      <c r="AJ39" s="143">
        <v>8</v>
      </c>
      <c r="AK39" s="143">
        <v>8</v>
      </c>
      <c r="AL39" s="142"/>
      <c r="AM39" s="142"/>
      <c r="AN39" s="143">
        <v>8</v>
      </c>
      <c r="AO39" s="143">
        <v>8</v>
      </c>
      <c r="AP39" s="143">
        <v>8</v>
      </c>
      <c r="AQ39" s="143">
        <v>8</v>
      </c>
      <c r="AR39" s="143">
        <v>8</v>
      </c>
      <c r="AS39" s="142"/>
      <c r="AT39" s="292">
        <f>COUNTIF(O39:AS39,"&gt;0")</f>
        <v>22</v>
      </c>
      <c r="AU39" s="292">
        <f>SUM(O39:AS39)</f>
        <v>176</v>
      </c>
      <c r="AV39" s="11">
        <f>COUNTIF(O39:AS39,"=гр")</f>
        <v>0</v>
      </c>
      <c r="AW39" s="11"/>
      <c r="AX39" s="11"/>
      <c r="AY39" s="11"/>
      <c r="AZ39" s="11">
        <f>COUNTIF(Q39:AT39,"=пр")</f>
        <v>0</v>
      </c>
      <c r="BA39" s="11">
        <f>COUNTIF(O39:AS39,"=у")</f>
        <v>0</v>
      </c>
    </row>
    <row r="40" spans="1:89" ht="13.5">
      <c r="A40" s="98" t="s">
        <v>54</v>
      </c>
      <c r="B40" s="42">
        <v>3000</v>
      </c>
      <c r="C40" s="41"/>
      <c r="D40" s="17" t="str">
        <f>AV40&amp;" дн"</f>
        <v>1 дн</v>
      </c>
      <c r="E40" s="39"/>
      <c r="F40" s="39"/>
      <c r="G40" s="39"/>
      <c r="H40" s="43"/>
      <c r="I40" s="45"/>
      <c r="J40" s="39"/>
      <c r="L40" s="39">
        <f>B40*AV40</f>
        <v>3000</v>
      </c>
      <c r="M40" s="43"/>
      <c r="N40" s="45"/>
      <c r="O40" s="17"/>
      <c r="P40" s="17"/>
      <c r="Q40" s="139"/>
      <c r="R40" s="139"/>
      <c r="S40" s="17"/>
      <c r="T40" s="17"/>
      <c r="U40" s="17" t="s">
        <v>3</v>
      </c>
      <c r="V40" s="17"/>
      <c r="W40" s="17"/>
      <c r="X40" s="139"/>
      <c r="Y40" s="139"/>
      <c r="Z40" s="17"/>
      <c r="AA40" s="17"/>
      <c r="AB40" s="17"/>
      <c r="AC40" s="17"/>
      <c r="AD40" s="17"/>
      <c r="AE40" s="139"/>
      <c r="AF40" s="139"/>
      <c r="AG40" s="17"/>
      <c r="AH40" s="17"/>
      <c r="AI40" s="17"/>
      <c r="AJ40" s="17"/>
      <c r="AK40" s="17"/>
      <c r="AL40" s="139"/>
      <c r="AM40" s="139"/>
      <c r="AN40" s="17"/>
      <c r="AO40" s="17"/>
      <c r="AP40" s="17"/>
      <c r="AQ40" s="17"/>
      <c r="AR40" s="17"/>
      <c r="AS40" s="139"/>
      <c r="AT40" s="22"/>
      <c r="AU40" s="22"/>
      <c r="AV40" s="16">
        <f>COUNTIF(O40:AS40,"=гр")</f>
        <v>1</v>
      </c>
      <c r="AW40" s="17"/>
      <c r="AX40" s="17"/>
      <c r="AY40" s="17"/>
      <c r="AZ40" s="17"/>
      <c r="BA40" s="21">
        <f>COUNTIF(J40:AK40,"=р")</f>
        <v>0</v>
      </c>
      <c r="BB40" s="90"/>
      <c r="BC40" s="90"/>
      <c r="BD40" s="90"/>
    </row>
    <row r="41" spans="1:89" s="154" customFormat="1" ht="13.5">
      <c r="A41" s="126" t="s">
        <v>27</v>
      </c>
      <c r="B41" s="127">
        <v>110000</v>
      </c>
      <c r="C41" s="267"/>
      <c r="D41" s="135" t="str">
        <f>BA41&amp;" дн"</f>
        <v>0 дн</v>
      </c>
      <c r="E41" s="119">
        <f>B41/$C$5</f>
        <v>625</v>
      </c>
      <c r="F41" s="119">
        <f>B41/B5*BA41</f>
        <v>0</v>
      </c>
      <c r="G41" s="119"/>
      <c r="H41" s="120"/>
      <c r="I41" s="121"/>
      <c r="J41" s="119"/>
      <c r="K41" s="119"/>
      <c r="L41" s="119"/>
      <c r="M41" s="120"/>
      <c r="N41" s="121"/>
      <c r="O41" s="270"/>
      <c r="P41" s="270"/>
      <c r="Q41" s="271"/>
      <c r="R41" s="271"/>
      <c r="S41" s="270"/>
      <c r="T41" s="270"/>
      <c r="U41" s="270"/>
      <c r="V41" s="270"/>
      <c r="W41" s="270"/>
      <c r="X41" s="271"/>
      <c r="Y41" s="271"/>
      <c r="Z41" s="270"/>
      <c r="AA41" s="270"/>
      <c r="AB41" s="270"/>
      <c r="AC41" s="270"/>
      <c r="AD41" s="270"/>
      <c r="AE41" s="271"/>
      <c r="AF41" s="271"/>
      <c r="AG41" s="270"/>
      <c r="AH41" s="270"/>
      <c r="AI41" s="270"/>
      <c r="AJ41" s="270"/>
      <c r="AK41" s="270"/>
      <c r="AL41" s="271"/>
      <c r="AM41" s="271"/>
      <c r="AN41" s="270"/>
      <c r="AO41" s="270"/>
      <c r="AP41" s="270"/>
      <c r="AQ41" s="270"/>
      <c r="AR41" s="270"/>
      <c r="AS41" s="271"/>
      <c r="AT41" s="290"/>
      <c r="AU41" s="290"/>
      <c r="AV41" s="128">
        <f>COUNTIF(X41:AS41,"=гр")</f>
        <v>0</v>
      </c>
      <c r="AW41" s="125"/>
      <c r="AX41" s="125"/>
      <c r="AY41" s="125"/>
      <c r="AZ41" s="125"/>
      <c r="BA41" s="133">
        <f>COUNTIF(J41:AK41,"=р")</f>
        <v>0</v>
      </c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</row>
    <row r="42" spans="1:89" ht="14.25" thickBot="1">
      <c r="A42" s="229" t="s">
        <v>97</v>
      </c>
      <c r="B42" s="230">
        <v>60000</v>
      </c>
      <c r="C42" s="231">
        <v>40000</v>
      </c>
      <c r="D42" s="232" t="str">
        <f>AT42&amp;" дн / "&amp;AU42&amp;" ч "</f>
        <v xml:space="preserve">21 дн / 168 ч </v>
      </c>
      <c r="E42" s="233">
        <f>B42/$C$5</f>
        <v>340.90909090909093</v>
      </c>
      <c r="F42" s="233">
        <f>E42*AU42</f>
        <v>57272.727272727279</v>
      </c>
      <c r="G42" s="233"/>
      <c r="H42" s="234"/>
      <c r="I42" s="234">
        <f>F42-H42</f>
        <v>57272.727272727279</v>
      </c>
      <c r="J42" s="233">
        <f>C42/$C$5</f>
        <v>227.27272727272728</v>
      </c>
      <c r="K42" s="233">
        <f>J42*AU42</f>
        <v>38181.818181818184</v>
      </c>
      <c r="L42" s="233"/>
      <c r="M42" s="234"/>
      <c r="N42" s="234">
        <f>K42</f>
        <v>38181.818181818184</v>
      </c>
      <c r="O42" s="144">
        <v>8</v>
      </c>
      <c r="P42" s="144">
        <v>8</v>
      </c>
      <c r="Q42" s="145"/>
      <c r="R42" s="145"/>
      <c r="S42" s="144">
        <v>8</v>
      </c>
      <c r="T42" s="144">
        <v>8</v>
      </c>
      <c r="U42" s="144" t="s">
        <v>75</v>
      </c>
      <c r="V42" s="144">
        <v>8</v>
      </c>
      <c r="W42" s="144">
        <v>8</v>
      </c>
      <c r="X42" s="145"/>
      <c r="Y42" s="145"/>
      <c r="Z42" s="144">
        <v>8</v>
      </c>
      <c r="AA42" s="144">
        <v>8</v>
      </c>
      <c r="AB42" s="144">
        <v>8</v>
      </c>
      <c r="AC42" s="144">
        <v>8</v>
      </c>
      <c r="AD42" s="144">
        <v>8</v>
      </c>
      <c r="AE42" s="145"/>
      <c r="AF42" s="145"/>
      <c r="AG42" s="144">
        <v>8</v>
      </c>
      <c r="AH42" s="144">
        <v>8</v>
      </c>
      <c r="AI42" s="144">
        <v>8</v>
      </c>
      <c r="AJ42" s="144">
        <v>8</v>
      </c>
      <c r="AK42" s="144">
        <v>8</v>
      </c>
      <c r="AL42" s="145"/>
      <c r="AM42" s="145"/>
      <c r="AN42" s="144">
        <v>8</v>
      </c>
      <c r="AO42" s="144">
        <v>8</v>
      </c>
      <c r="AP42" s="144">
        <v>8</v>
      </c>
      <c r="AQ42" s="144">
        <v>8</v>
      </c>
      <c r="AR42" s="144">
        <v>8</v>
      </c>
      <c r="AS42" s="145"/>
      <c r="AT42" s="291">
        <f>COUNTIF(O42:AS42,"&gt;0")</f>
        <v>21</v>
      </c>
      <c r="AU42" s="291">
        <f>SUM(O42:AS42)</f>
        <v>168</v>
      </c>
      <c r="AV42" s="62"/>
      <c r="AW42" s="114"/>
      <c r="AX42" s="114"/>
      <c r="AY42" s="114"/>
      <c r="AZ42" s="114"/>
      <c r="BA42" s="62"/>
    </row>
    <row r="43" spans="1:89" customFormat="1" ht="15.75" customHeight="1">
      <c r="A43" s="78" t="s">
        <v>24</v>
      </c>
      <c r="B43" s="69"/>
      <c r="C43" s="69"/>
      <c r="D43" s="69"/>
      <c r="E43" s="69"/>
      <c r="F43" s="206"/>
      <c r="G43" s="206"/>
      <c r="H43" s="69"/>
      <c r="I43" s="69"/>
      <c r="J43" s="69"/>
      <c r="K43" s="206"/>
      <c r="L43" s="206"/>
      <c r="M43" s="69"/>
      <c r="N43" s="69"/>
      <c r="O43" s="69"/>
      <c r="P43" s="69"/>
      <c r="Q43" s="69"/>
      <c r="R43" s="69"/>
      <c r="S43" s="69"/>
      <c r="T43" s="151"/>
      <c r="U43" s="151"/>
      <c r="V43" s="69"/>
      <c r="W43" s="69"/>
      <c r="X43" s="69"/>
      <c r="Y43" s="69"/>
      <c r="Z43" s="69"/>
      <c r="AA43" s="151"/>
      <c r="AB43" s="151"/>
      <c r="AC43" s="69"/>
      <c r="AD43" s="69"/>
      <c r="AE43" s="69"/>
      <c r="AF43" s="69"/>
      <c r="AG43" s="69"/>
      <c r="AH43" s="151"/>
      <c r="AI43" s="151"/>
      <c r="AJ43" s="69"/>
      <c r="AK43" s="69"/>
      <c r="AL43" s="69"/>
      <c r="AM43" s="69"/>
      <c r="AN43" s="69"/>
      <c r="AO43" s="151"/>
      <c r="AP43" s="151"/>
      <c r="AQ43" s="69"/>
      <c r="AR43" s="69"/>
      <c r="AS43" s="69"/>
      <c r="AT43" s="187"/>
      <c r="AU43" s="187"/>
      <c r="AV43" s="70"/>
      <c r="AW43" s="70"/>
      <c r="AX43" s="70"/>
      <c r="AY43" s="70"/>
      <c r="AZ43" s="70"/>
      <c r="BA43" s="70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</row>
    <row r="44" spans="1:89" ht="13.5">
      <c r="A44" s="28" t="s">
        <v>98</v>
      </c>
      <c r="B44" s="42">
        <v>50000</v>
      </c>
      <c r="C44" s="41">
        <v>50000</v>
      </c>
      <c r="D44" s="63" t="str">
        <f>AT44&amp;" дн / "&amp;AU44&amp;" ч "</f>
        <v xml:space="preserve">21 дн / 168 ч </v>
      </c>
      <c r="E44" s="39">
        <f>B44/$C$5</f>
        <v>284.09090909090907</v>
      </c>
      <c r="F44" s="39">
        <f>E44*AU44</f>
        <v>47727.272727272721</v>
      </c>
      <c r="G44" s="39"/>
      <c r="H44" s="43"/>
      <c r="I44" s="45">
        <f>F44</f>
        <v>47727.272727272721</v>
      </c>
      <c r="J44" s="39">
        <f>C44/$C$5</f>
        <v>284.09090909090907</v>
      </c>
      <c r="K44" s="39">
        <f>(J44*AU44)</f>
        <v>47727.272727272721</v>
      </c>
      <c r="L44" s="39"/>
      <c r="M44" s="43"/>
      <c r="N44" s="45">
        <f>K44+L45</f>
        <v>47727.272727272721</v>
      </c>
      <c r="O44" s="308">
        <v>8</v>
      </c>
      <c r="P44" s="308">
        <v>8</v>
      </c>
      <c r="Q44" s="139"/>
      <c r="R44" s="139"/>
      <c r="S44" s="308">
        <v>8</v>
      </c>
      <c r="T44" s="308">
        <v>8</v>
      </c>
      <c r="U44" s="308">
        <v>8</v>
      </c>
      <c r="V44" s="318">
        <v>8</v>
      </c>
      <c r="W44" s="320">
        <v>8</v>
      </c>
      <c r="X44" s="139"/>
      <c r="Y44" s="139"/>
      <c r="Z44" s="335" t="s">
        <v>75</v>
      </c>
      <c r="AA44" s="335">
        <v>8</v>
      </c>
      <c r="AB44" s="335">
        <v>8</v>
      </c>
      <c r="AC44" s="335">
        <v>8</v>
      </c>
      <c r="AD44" s="349">
        <v>8</v>
      </c>
      <c r="AE44" s="139"/>
      <c r="AF44" s="139"/>
      <c r="AG44" s="308">
        <v>8</v>
      </c>
      <c r="AH44" s="308">
        <v>8</v>
      </c>
      <c r="AI44" s="349">
        <v>8</v>
      </c>
      <c r="AJ44" s="349">
        <v>8</v>
      </c>
      <c r="AK44" s="349">
        <v>8</v>
      </c>
      <c r="AL44" s="139"/>
      <c r="AM44" s="139"/>
      <c r="AN44" s="308">
        <v>8</v>
      </c>
      <c r="AO44" s="345">
        <v>8</v>
      </c>
      <c r="AP44" s="349">
        <v>8</v>
      </c>
      <c r="AQ44" s="349">
        <v>8</v>
      </c>
      <c r="AR44" s="349">
        <v>8</v>
      </c>
      <c r="AS44" s="139"/>
      <c r="AT44" s="19">
        <f>COUNTIF(O44:AS44,"&gt;0")</f>
        <v>21</v>
      </c>
      <c r="AU44" s="19">
        <f>SUM(O44:AS44)</f>
        <v>168</v>
      </c>
      <c r="AV44" s="17">
        <f>COUNTIF(O44:AU44,"=от")</f>
        <v>0</v>
      </c>
      <c r="AW44" s="17">
        <f>COUNTIF(X44:AU44,"=от")</f>
        <v>0</v>
      </c>
      <c r="AX44" s="17"/>
      <c r="AY44" s="17"/>
      <c r="AZ44" s="17">
        <f>COUNTIF(AT44:AT44,"=пр")</f>
        <v>0</v>
      </c>
      <c r="BA44" s="17">
        <f>COUNTIF(O44:AS44,"=у")</f>
        <v>0</v>
      </c>
    </row>
    <row r="45" spans="1:89" s="24" customFormat="1" ht="13.5">
      <c r="A45" s="98" t="s">
        <v>65</v>
      </c>
      <c r="B45" s="40"/>
      <c r="C45" s="41"/>
      <c r="D45" s="138" t="str">
        <f xml:space="preserve"> AW45&amp;" ДН"</f>
        <v>0 ДН</v>
      </c>
      <c r="E45" s="39"/>
      <c r="H45" s="43"/>
      <c r="I45" s="45"/>
      <c r="J45" s="39"/>
      <c r="K45" s="39"/>
      <c r="L45" s="39">
        <f>B45/B5*AW45</f>
        <v>0</v>
      </c>
      <c r="M45" s="43"/>
      <c r="N45" s="45"/>
      <c r="O45" s="5"/>
      <c r="P45" s="5"/>
      <c r="Q45" s="139"/>
      <c r="R45" s="139"/>
      <c r="S45" s="5"/>
      <c r="T45" s="289"/>
      <c r="U45" s="5"/>
      <c r="V45" s="5"/>
      <c r="W45" s="5"/>
      <c r="X45" s="139"/>
      <c r="Y45" s="139"/>
      <c r="Z45" s="5"/>
      <c r="AA45" s="289"/>
      <c r="AB45" s="5"/>
      <c r="AC45" s="5"/>
      <c r="AD45" s="5"/>
      <c r="AE45" s="139"/>
      <c r="AF45" s="139"/>
      <c r="AG45" s="5"/>
      <c r="AH45" s="289"/>
      <c r="AI45" s="5"/>
      <c r="AJ45" s="5"/>
      <c r="AK45" s="5"/>
      <c r="AL45" s="139"/>
      <c r="AM45" s="139"/>
      <c r="AN45" s="5"/>
      <c r="AO45" s="5"/>
      <c r="AP45" s="5"/>
      <c r="AQ45" s="5"/>
      <c r="AR45" s="5"/>
      <c r="AS45" s="139"/>
      <c r="AT45" s="19"/>
      <c r="AU45" s="19"/>
      <c r="AW45" s="17">
        <f>COUNTIF(O45:AS45,"=кл")</f>
        <v>0</v>
      </c>
      <c r="AX45" s="17"/>
      <c r="AY45" s="17"/>
      <c r="AZ45" s="81">
        <f>COUNTIF(O45:AN45,"=ин")</f>
        <v>0</v>
      </c>
      <c r="BA45" s="17"/>
      <c r="BB45" s="17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</row>
    <row r="46" spans="1:89" s="24" customFormat="1" ht="13.5">
      <c r="A46" s="98" t="s">
        <v>54</v>
      </c>
      <c r="B46" s="40"/>
      <c r="C46" s="41"/>
      <c r="D46" s="138" t="str">
        <f xml:space="preserve"> AV46&amp;" ДН"</f>
        <v>0 ДН</v>
      </c>
      <c r="E46" s="39"/>
      <c r="F46" s="39"/>
      <c r="G46" s="215"/>
      <c r="H46" s="43"/>
      <c r="I46" s="45"/>
      <c r="J46" s="39"/>
      <c r="K46" s="39"/>
      <c r="L46" s="39">
        <f>SUM(X46:AS46)</f>
        <v>0</v>
      </c>
      <c r="M46" s="43"/>
      <c r="N46" s="45"/>
      <c r="O46" s="17"/>
      <c r="P46" s="17"/>
      <c r="Q46" s="139"/>
      <c r="R46" s="139"/>
      <c r="S46" s="17"/>
      <c r="T46" s="17"/>
      <c r="U46" s="17"/>
      <c r="V46" s="17"/>
      <c r="W46" s="17"/>
      <c r="X46" s="139"/>
      <c r="Y46" s="139"/>
      <c r="Z46" s="17"/>
      <c r="AA46" s="17"/>
      <c r="AB46" s="17"/>
      <c r="AC46" s="17"/>
      <c r="AD46" s="17"/>
      <c r="AE46" s="139"/>
      <c r="AF46" s="139"/>
      <c r="AG46" s="17"/>
      <c r="AH46" s="17"/>
      <c r="AI46" s="17"/>
      <c r="AJ46" s="17"/>
      <c r="AK46" s="17"/>
      <c r="AL46" s="139"/>
      <c r="AM46" s="139"/>
      <c r="AN46" s="17"/>
      <c r="AO46" s="17"/>
      <c r="AP46" s="17"/>
      <c r="AQ46" s="17"/>
      <c r="AR46" s="17"/>
      <c r="AS46" s="139"/>
      <c r="AT46" s="19"/>
      <c r="AU46" s="19"/>
      <c r="AV46" s="225">
        <f>COUNT(O46:AS46)</f>
        <v>0</v>
      </c>
      <c r="AW46" s="17"/>
      <c r="AX46" s="17"/>
      <c r="AY46" s="17"/>
      <c r="AZ46" s="17"/>
      <c r="BA46" s="17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</row>
    <row r="47" spans="1:89" ht="13.5">
      <c r="A47" s="28" t="s">
        <v>64</v>
      </c>
      <c r="B47" s="42"/>
      <c r="C47" s="41"/>
      <c r="D47" s="63"/>
      <c r="E47" s="39"/>
      <c r="F47" s="39"/>
      <c r="G47" s="39"/>
      <c r="H47" s="43"/>
      <c r="I47" s="45"/>
      <c r="J47" s="39"/>
      <c r="L47" s="39"/>
      <c r="M47" s="208"/>
      <c r="N47" s="45"/>
      <c r="O47" s="310"/>
      <c r="P47" s="308"/>
      <c r="Q47" s="139"/>
      <c r="R47" s="139"/>
      <c r="S47" s="308"/>
      <c r="T47" s="308"/>
      <c r="U47" s="308"/>
      <c r="V47" s="308"/>
      <c r="W47" s="308"/>
      <c r="X47" s="139"/>
      <c r="Y47" s="139"/>
      <c r="Z47" s="335"/>
      <c r="AA47" s="335"/>
      <c r="AB47" s="335"/>
      <c r="AC47" s="335"/>
      <c r="AD47" s="335"/>
      <c r="AE47" s="139"/>
      <c r="AF47" s="139"/>
      <c r="AG47" s="308"/>
      <c r="AH47" s="308"/>
      <c r="AI47" s="308"/>
      <c r="AJ47" s="308"/>
      <c r="AK47" s="308"/>
      <c r="AL47" s="139"/>
      <c r="AM47" s="139"/>
      <c r="AN47" s="308"/>
      <c r="AO47" s="345"/>
      <c r="AP47" s="308"/>
      <c r="AQ47" s="308"/>
      <c r="AR47" s="308"/>
      <c r="AS47" s="139"/>
      <c r="AT47" s="19"/>
      <c r="AU47" s="19"/>
      <c r="AV47" s="17"/>
      <c r="AW47" s="15"/>
      <c r="AX47" s="15"/>
      <c r="AY47" s="15"/>
      <c r="AZ47" s="17"/>
      <c r="BA47" s="17"/>
    </row>
    <row r="48" spans="1:89" customFormat="1" ht="15.75" customHeight="1" thickBot="1">
      <c r="A48" s="78" t="s">
        <v>72</v>
      </c>
      <c r="B48" s="69"/>
      <c r="C48" s="69"/>
      <c r="D48" s="69"/>
      <c r="E48" s="69"/>
      <c r="F48" s="206"/>
      <c r="G48" s="206"/>
      <c r="H48" s="69"/>
      <c r="I48" s="69"/>
      <c r="J48" s="69"/>
      <c r="K48" s="206"/>
      <c r="L48" s="206"/>
      <c r="M48" s="69"/>
      <c r="N48" s="69"/>
      <c r="O48" s="69"/>
      <c r="P48" s="69"/>
      <c r="Q48" s="151"/>
      <c r="R48" s="151"/>
      <c r="S48" s="69"/>
      <c r="T48" s="69"/>
      <c r="U48" s="69"/>
      <c r="V48" s="69"/>
      <c r="W48" s="69"/>
      <c r="X48" s="151"/>
      <c r="Y48" s="151"/>
      <c r="Z48" s="69"/>
      <c r="AA48" s="69"/>
      <c r="AB48" s="69"/>
      <c r="AC48" s="69"/>
      <c r="AD48" s="69"/>
      <c r="AE48" s="151"/>
      <c r="AF48" s="151"/>
      <c r="AG48" s="69"/>
      <c r="AH48" s="69"/>
      <c r="AI48" s="69"/>
      <c r="AJ48" s="69"/>
      <c r="AK48" s="69"/>
      <c r="AL48" s="151"/>
      <c r="AM48" s="151"/>
      <c r="AN48" s="69"/>
      <c r="AO48" s="69"/>
      <c r="AP48" s="69"/>
      <c r="AQ48" s="69"/>
      <c r="AR48" s="69"/>
      <c r="AS48" s="151"/>
      <c r="AT48" s="187"/>
      <c r="AU48" s="187"/>
      <c r="AV48" s="30"/>
      <c r="AW48" s="30"/>
      <c r="AX48" s="30"/>
      <c r="AY48" s="30"/>
      <c r="AZ48" s="30"/>
      <c r="BA48" s="30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71"/>
      <c r="CJ48" s="71"/>
      <c r="CK48" s="71"/>
    </row>
    <row r="49" spans="1:89" ht="13.5">
      <c r="A49" s="109" t="s">
        <v>99</v>
      </c>
      <c r="B49" s="51">
        <v>50000</v>
      </c>
      <c r="C49" s="52">
        <v>30000</v>
      </c>
      <c r="D49" s="63" t="str">
        <f>AT49&amp;" дн / "&amp;AU49&amp;" ч "</f>
        <v xml:space="preserve">22 дн / 176 ч </v>
      </c>
      <c r="E49" s="53">
        <f>B49/$C$5</f>
        <v>284.09090909090907</v>
      </c>
      <c r="F49" s="53">
        <f>E49*AU49</f>
        <v>49999.999999999993</v>
      </c>
      <c r="G49" s="53"/>
      <c r="H49" s="54"/>
      <c r="I49" s="55">
        <f>F49+G51</f>
        <v>49999.999999999993</v>
      </c>
      <c r="J49" s="53">
        <f>C49/$C$5</f>
        <v>170.45454545454547</v>
      </c>
      <c r="K49" s="53">
        <f>(J49*AU49)</f>
        <v>30000.000000000004</v>
      </c>
      <c r="L49" s="53"/>
      <c r="M49" s="54"/>
      <c r="N49" s="55">
        <f>K49+L50+L52</f>
        <v>36135.272727272728</v>
      </c>
      <c r="O49" s="143">
        <v>8</v>
      </c>
      <c r="P49" s="143">
        <v>8</v>
      </c>
      <c r="Q49" s="142"/>
      <c r="R49" s="142"/>
      <c r="S49" s="143">
        <v>8</v>
      </c>
      <c r="T49" s="143">
        <v>8</v>
      </c>
      <c r="U49" s="143">
        <v>8</v>
      </c>
      <c r="V49" s="143">
        <v>8</v>
      </c>
      <c r="W49" s="143">
        <v>8</v>
      </c>
      <c r="X49" s="142"/>
      <c r="Y49" s="142"/>
      <c r="Z49" s="143">
        <v>8</v>
      </c>
      <c r="AA49" s="143">
        <v>8</v>
      </c>
      <c r="AB49" s="143">
        <v>8</v>
      </c>
      <c r="AC49" s="143">
        <v>8</v>
      </c>
      <c r="AD49" s="143">
        <v>8</v>
      </c>
      <c r="AE49" s="142"/>
      <c r="AF49" s="142"/>
      <c r="AG49" s="143" t="s">
        <v>75</v>
      </c>
      <c r="AH49" s="143">
        <v>8</v>
      </c>
      <c r="AI49" s="143">
        <v>8</v>
      </c>
      <c r="AJ49" s="143">
        <v>8</v>
      </c>
      <c r="AK49" s="143">
        <v>8</v>
      </c>
      <c r="AL49" s="142"/>
      <c r="AM49" s="142"/>
      <c r="AN49" s="143">
        <v>8</v>
      </c>
      <c r="AO49" s="143">
        <v>8</v>
      </c>
      <c r="AP49" s="143">
        <v>8</v>
      </c>
      <c r="AQ49" s="143">
        <v>8</v>
      </c>
      <c r="AR49" s="143">
        <v>8</v>
      </c>
      <c r="AS49" s="143">
        <v>8</v>
      </c>
      <c r="AT49" s="9">
        <f>COUNTIF(O49:AS49,"&gt;0")</f>
        <v>22</v>
      </c>
      <c r="AU49" s="9">
        <f>SUM(O49:AS49)</f>
        <v>176</v>
      </c>
      <c r="AV49" s="11">
        <f>COUNTIF(O49:AS49,"=гр")</f>
        <v>0</v>
      </c>
      <c r="AW49" s="11"/>
      <c r="AX49" s="11"/>
      <c r="AY49" s="11"/>
      <c r="AZ49" s="11">
        <f>COUNTIF(O49:AS49,"=Н")</f>
        <v>1</v>
      </c>
      <c r="BA49" s="11" t="e">
        <f>COUNTIF(#REF!,"=у")</f>
        <v>#REF!</v>
      </c>
    </row>
    <row r="50" spans="1:89" ht="13.5">
      <c r="A50" s="28" t="s">
        <v>66</v>
      </c>
      <c r="D50" s="138" t="str">
        <f xml:space="preserve"> AV50&amp;" ДН"</f>
        <v>3 ДН</v>
      </c>
      <c r="E50" s="39"/>
      <c r="F50" s="39"/>
      <c r="G50" s="277"/>
      <c r="H50" s="43"/>
      <c r="I50" s="45"/>
      <c r="J50" s="39"/>
      <c r="K50" s="39"/>
      <c r="L50" s="39">
        <f>SUM(O50:AS50)</f>
        <v>3408</v>
      </c>
      <c r="M50" s="65"/>
      <c r="N50" s="45"/>
      <c r="O50" s="308"/>
      <c r="P50" s="312"/>
      <c r="Q50" s="139"/>
      <c r="R50" s="139"/>
      <c r="S50" s="308">
        <v>1136</v>
      </c>
      <c r="T50" s="308"/>
      <c r="U50" s="308"/>
      <c r="V50" s="308"/>
      <c r="W50" s="308"/>
      <c r="X50" s="139"/>
      <c r="Y50" s="139"/>
      <c r="Z50" s="335"/>
      <c r="AA50" s="335"/>
      <c r="AB50" s="335"/>
      <c r="AC50" s="349">
        <v>1136</v>
      </c>
      <c r="AD50" s="335"/>
      <c r="AE50" s="139"/>
      <c r="AF50" s="139"/>
      <c r="AG50" s="308"/>
      <c r="AH50" s="308"/>
      <c r="AI50" s="342"/>
      <c r="AJ50" s="342"/>
      <c r="AK50" s="349"/>
      <c r="AL50" s="139"/>
      <c r="AM50" s="139"/>
      <c r="AN50" s="308"/>
      <c r="AO50" s="349">
        <v>1136</v>
      </c>
      <c r="AP50" s="346"/>
      <c r="AQ50" s="349"/>
      <c r="AR50" s="349"/>
      <c r="AS50" s="139"/>
      <c r="AT50" s="19"/>
      <c r="AU50" s="19"/>
      <c r="AV50" s="225">
        <f>COUNT(O50:AS50)</f>
        <v>3</v>
      </c>
      <c r="AW50" s="17"/>
      <c r="AX50" s="17"/>
      <c r="AY50" s="17"/>
      <c r="AZ50" s="17"/>
      <c r="BA50" s="17"/>
    </row>
    <row r="51" spans="1:89" ht="13.5">
      <c r="A51" s="28" t="s">
        <v>31</v>
      </c>
      <c r="B51" s="88"/>
      <c r="C51" s="41"/>
      <c r="D51" s="138"/>
      <c r="E51" s="39"/>
      <c r="F51" s="39"/>
      <c r="G51" s="39"/>
      <c r="H51" s="43"/>
      <c r="I51" s="45"/>
      <c r="J51" s="39"/>
      <c r="L51" s="39"/>
      <c r="M51" s="43"/>
      <c r="N51" s="45"/>
      <c r="O51" s="308"/>
      <c r="P51" s="312"/>
      <c r="Q51" s="139"/>
      <c r="R51" s="139"/>
      <c r="S51" s="308"/>
      <c r="T51" s="308"/>
      <c r="U51" s="308"/>
      <c r="V51" s="308"/>
      <c r="W51" s="308"/>
      <c r="X51" s="139"/>
      <c r="Y51" s="139"/>
      <c r="Z51" s="335"/>
      <c r="AA51" s="335"/>
      <c r="AB51" s="335"/>
      <c r="AC51" s="349"/>
      <c r="AD51" s="335"/>
      <c r="AE51" s="139"/>
      <c r="AF51" s="139"/>
      <c r="AG51" s="308"/>
      <c r="AH51" s="308"/>
      <c r="AI51" s="342"/>
      <c r="AJ51" s="342"/>
      <c r="AK51" s="349"/>
      <c r="AL51" s="139"/>
      <c r="AM51" s="139"/>
      <c r="AN51" s="308"/>
      <c r="AO51" s="345"/>
      <c r="AP51" s="346"/>
      <c r="AQ51" s="349"/>
      <c r="AR51" s="349"/>
      <c r="AS51" s="139"/>
      <c r="AT51" s="19"/>
      <c r="AU51" s="19"/>
      <c r="AV51" s="64"/>
      <c r="AW51" s="64"/>
      <c r="AX51" s="64"/>
      <c r="AY51" s="64"/>
      <c r="AZ51" s="17"/>
      <c r="BA51" s="18"/>
    </row>
    <row r="52" spans="1:89" ht="13.5">
      <c r="A52" s="298" t="s">
        <v>74</v>
      </c>
      <c r="B52" s="34">
        <v>20000</v>
      </c>
      <c r="D52" s="138" t="str">
        <f xml:space="preserve"> AY52&amp;" ДН"</f>
        <v>3 ДН</v>
      </c>
      <c r="E52" s="39"/>
      <c r="H52" s="43"/>
      <c r="I52" s="295"/>
      <c r="J52" s="39"/>
      <c r="K52" s="39"/>
      <c r="L52" s="277">
        <f>B52/B5*AY52</f>
        <v>2727.2727272727275</v>
      </c>
      <c r="M52" s="65"/>
      <c r="N52" s="45"/>
      <c r="O52" s="349"/>
      <c r="P52" s="152" t="s">
        <v>60</v>
      </c>
      <c r="Q52" s="139"/>
      <c r="R52" s="139"/>
      <c r="S52" s="349"/>
      <c r="T52" s="349"/>
      <c r="U52" s="349"/>
      <c r="V52" s="349"/>
      <c r="W52" s="349"/>
      <c r="X52" s="139"/>
      <c r="Y52" s="139"/>
      <c r="Z52" s="349"/>
      <c r="AA52" s="349"/>
      <c r="AB52" s="349"/>
      <c r="AC52" s="349"/>
      <c r="AD52" s="349"/>
      <c r="AE52" s="139"/>
      <c r="AF52" s="139"/>
      <c r="AG52" s="349"/>
      <c r="AH52" s="152" t="s">
        <v>60</v>
      </c>
      <c r="AI52" s="349"/>
      <c r="AJ52" s="349"/>
      <c r="AK52" s="349"/>
      <c r="AL52" s="139"/>
      <c r="AM52" s="139"/>
      <c r="AN52" s="349"/>
      <c r="AO52" s="152" t="s">
        <v>60</v>
      </c>
      <c r="AP52" s="349"/>
      <c r="AQ52" s="349"/>
      <c r="AR52" s="349"/>
      <c r="AS52" s="139"/>
      <c r="AT52" s="19"/>
      <c r="AU52" s="19"/>
      <c r="AV52" s="311"/>
      <c r="AW52" s="17"/>
      <c r="AX52" s="17"/>
      <c r="AY52" s="153">
        <f>COUNTIF(O52:AS52,"=М")</f>
        <v>3</v>
      </c>
      <c r="AZ52" s="17"/>
      <c r="BA52" s="17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</row>
    <row r="53" spans="1:89" ht="13.5">
      <c r="A53" s="98"/>
      <c r="B53" s="88"/>
      <c r="C53" s="41"/>
      <c r="D53" s="138"/>
      <c r="E53" s="39"/>
      <c r="F53" s="39"/>
      <c r="G53" s="39"/>
      <c r="H53" s="43"/>
      <c r="I53" s="45"/>
      <c r="J53" s="39"/>
      <c r="L53" s="39"/>
      <c r="M53" s="43"/>
      <c r="N53" s="45"/>
      <c r="O53" s="308"/>
      <c r="P53" s="312"/>
      <c r="Q53" s="139"/>
      <c r="R53" s="139"/>
      <c r="S53" s="308"/>
      <c r="T53" s="308"/>
      <c r="U53" s="308"/>
      <c r="V53" s="308"/>
      <c r="W53" s="308"/>
      <c r="X53" s="139"/>
      <c r="Y53" s="139"/>
      <c r="Z53" s="335"/>
      <c r="AA53" s="335"/>
      <c r="AB53" s="335"/>
      <c r="AC53" s="349"/>
      <c r="AD53" s="335"/>
      <c r="AE53" s="139"/>
      <c r="AF53" s="139"/>
      <c r="AG53" s="308"/>
      <c r="AH53" s="308"/>
      <c r="AI53" s="342"/>
      <c r="AJ53" s="342"/>
      <c r="AK53" s="349"/>
      <c r="AL53" s="139"/>
      <c r="AM53" s="139"/>
      <c r="AN53" s="308"/>
      <c r="AO53" s="345"/>
      <c r="AP53" s="346"/>
      <c r="AQ53" s="349"/>
      <c r="AR53" s="349"/>
      <c r="AS53" s="139"/>
      <c r="AT53" s="19"/>
      <c r="AU53" s="19"/>
      <c r="AV53" s="64"/>
      <c r="AW53" s="64"/>
      <c r="AX53" s="64"/>
      <c r="AY53" s="64"/>
      <c r="AZ53" s="17"/>
      <c r="BA53" s="18"/>
    </row>
    <row r="54" spans="1:89" customFormat="1" ht="15.75" customHeight="1">
      <c r="A54" s="78" t="s">
        <v>100</v>
      </c>
      <c r="B54" s="241"/>
      <c r="C54" s="186"/>
      <c r="D54" s="69" t="s">
        <v>30</v>
      </c>
      <c r="E54" s="224">
        <f>50000/B5</f>
        <v>2272.7272727272725</v>
      </c>
      <c r="F54" s="206"/>
      <c r="G54" s="206"/>
      <c r="H54" s="209" t="s">
        <v>63</v>
      </c>
      <c r="I54" s="248"/>
      <c r="J54" s="177"/>
      <c r="K54" s="206"/>
      <c r="L54" s="206"/>
      <c r="M54" s="206"/>
      <c r="N54" s="177"/>
      <c r="O54" s="178">
        <v>5</v>
      </c>
      <c r="P54" s="178">
        <v>5</v>
      </c>
      <c r="Q54" s="178"/>
      <c r="R54" s="178"/>
      <c r="S54" s="178"/>
      <c r="T54" s="178"/>
      <c r="U54" s="178">
        <v>5</v>
      </c>
      <c r="V54" s="178"/>
      <c r="W54" s="178"/>
      <c r="X54" s="178"/>
      <c r="Y54" s="178"/>
      <c r="Z54" s="178"/>
      <c r="AA54" s="178"/>
      <c r="AB54" s="178"/>
      <c r="AC54" s="178"/>
      <c r="AD54" s="263">
        <v>4</v>
      </c>
      <c r="AE54" s="178"/>
      <c r="AF54" s="178"/>
      <c r="AG54" s="178">
        <v>5</v>
      </c>
      <c r="AH54" s="178">
        <v>5</v>
      </c>
      <c r="AI54" s="263">
        <v>4</v>
      </c>
      <c r="AJ54" s="263">
        <v>4</v>
      </c>
      <c r="AK54" s="263">
        <v>4</v>
      </c>
      <c r="AL54" s="178"/>
      <c r="AM54" s="178"/>
      <c r="AN54" s="178"/>
      <c r="AO54" s="178"/>
      <c r="AP54" s="178"/>
      <c r="AQ54" s="178"/>
      <c r="AR54" s="178"/>
      <c r="AS54" s="178"/>
      <c r="AT54" s="69"/>
      <c r="AU54" s="69"/>
      <c r="AV54" s="69"/>
      <c r="AW54" s="70"/>
      <c r="AX54" s="70"/>
      <c r="AY54" s="70"/>
      <c r="AZ54" s="70"/>
      <c r="BA54" s="70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</row>
    <row r="55" spans="1:89" customFormat="1" ht="15.75" customHeight="1">
      <c r="A55" s="78"/>
      <c r="B55" s="69"/>
      <c r="C55" s="69"/>
      <c r="D55" s="69"/>
      <c r="E55" s="69"/>
      <c r="F55" s="206"/>
      <c r="G55" s="206"/>
      <c r="H55" s="209" t="s">
        <v>53</v>
      </c>
      <c r="I55" s="248"/>
      <c r="J55" s="177"/>
      <c r="K55" s="206"/>
      <c r="L55" s="206"/>
      <c r="M55" s="206"/>
      <c r="N55" s="177"/>
      <c r="O55" s="178">
        <v>1</v>
      </c>
      <c r="P55" s="178">
        <v>1</v>
      </c>
      <c r="Q55" s="178"/>
      <c r="R55" s="178"/>
      <c r="S55" s="178"/>
      <c r="T55" s="178"/>
      <c r="U55" s="178">
        <v>1</v>
      </c>
      <c r="V55" s="178"/>
      <c r="W55" s="178"/>
      <c r="X55" s="178"/>
      <c r="Y55" s="178"/>
      <c r="Z55" s="178"/>
      <c r="AA55" s="178"/>
      <c r="AB55" s="178"/>
      <c r="AC55" s="178"/>
      <c r="AD55" s="263">
        <v>2</v>
      </c>
      <c r="AE55" s="178"/>
      <c r="AF55" s="178"/>
      <c r="AG55" s="178">
        <v>1</v>
      </c>
      <c r="AH55" s="178">
        <v>1</v>
      </c>
      <c r="AI55" s="263">
        <v>2</v>
      </c>
      <c r="AJ55" s="263">
        <v>2</v>
      </c>
      <c r="AK55" s="263">
        <v>2</v>
      </c>
      <c r="AL55" s="178"/>
      <c r="AM55" s="178"/>
      <c r="AN55" s="178"/>
      <c r="AO55" s="178"/>
      <c r="AP55" s="178"/>
      <c r="AQ55" s="178"/>
      <c r="AR55" s="178"/>
      <c r="AS55" s="178"/>
      <c r="AT55" s="69"/>
      <c r="AU55" s="69"/>
      <c r="AV55" s="69"/>
      <c r="AW55" s="70"/>
      <c r="AX55" s="70"/>
      <c r="AY55" s="70"/>
      <c r="AZ55" s="70"/>
      <c r="BA55" s="70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</row>
    <row r="56" spans="1:89" customFormat="1" ht="15.75" customHeight="1">
      <c r="A56" s="78"/>
      <c r="B56" s="69"/>
      <c r="C56" s="69"/>
      <c r="D56" s="69"/>
      <c r="E56" s="69"/>
      <c r="F56" s="206"/>
      <c r="G56" s="206"/>
      <c r="H56" s="205" t="s">
        <v>62</v>
      </c>
      <c r="I56" s="248"/>
      <c r="J56" s="205">
        <f>SUM(O56:AS56)</f>
        <v>29545.45454545454</v>
      </c>
      <c r="K56" s="206"/>
      <c r="L56" s="206"/>
      <c r="M56" s="206"/>
      <c r="N56" s="177"/>
      <c r="O56" s="249">
        <f>E54*O55</f>
        <v>2272.7272727272725</v>
      </c>
      <c r="P56" s="249">
        <f>E54*P55</f>
        <v>2272.7272727272725</v>
      </c>
      <c r="Q56" s="249"/>
      <c r="R56" s="249"/>
      <c r="S56" s="249"/>
      <c r="T56" s="249"/>
      <c r="U56" s="249">
        <f>E54*U55</f>
        <v>2272.7272727272725</v>
      </c>
      <c r="V56" s="249"/>
      <c r="W56" s="249"/>
      <c r="X56" s="249"/>
      <c r="Y56" s="249"/>
      <c r="Z56" s="249"/>
      <c r="AA56" s="249"/>
      <c r="AB56" s="249"/>
      <c r="AC56" s="249"/>
      <c r="AD56" s="339">
        <f>E54*AD55</f>
        <v>4545.454545454545</v>
      </c>
      <c r="AE56" s="249"/>
      <c r="AF56" s="249"/>
      <c r="AG56" s="249">
        <f>E54*AG55</f>
        <v>2272.7272727272725</v>
      </c>
      <c r="AH56" s="249">
        <f>E54*AH55</f>
        <v>2272.7272727272725</v>
      </c>
      <c r="AI56" s="339">
        <f>E54*AI55</f>
        <v>4545.454545454545</v>
      </c>
      <c r="AJ56" s="339">
        <f>E54*AJ55</f>
        <v>4545.454545454545</v>
      </c>
      <c r="AK56" s="339">
        <f>E54*AK55</f>
        <v>4545.454545454545</v>
      </c>
      <c r="AL56" s="249"/>
      <c r="AM56" s="249"/>
      <c r="AN56" s="249"/>
      <c r="AO56" s="249"/>
      <c r="AP56" s="249"/>
      <c r="AQ56" s="249"/>
      <c r="AR56" s="249"/>
      <c r="AS56" s="249"/>
      <c r="AT56" s="69"/>
      <c r="AU56" s="69"/>
      <c r="AV56" s="69"/>
      <c r="AW56" s="70"/>
      <c r="AX56" s="70"/>
      <c r="AY56" s="70"/>
      <c r="AZ56" s="70"/>
      <c r="BA56" s="70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</row>
    <row r="57" spans="1:89">
      <c r="A57" s="78"/>
      <c r="B57" s="69"/>
      <c r="C57" s="69"/>
      <c r="D57" s="69"/>
      <c r="E57" s="69"/>
      <c r="F57" s="206"/>
      <c r="G57" s="206"/>
      <c r="H57" s="69"/>
      <c r="I57" s="69"/>
      <c r="J57" s="205" t="e">
        <f>SUM(O57:AS57)</f>
        <v>#REF!</v>
      </c>
      <c r="K57" s="206"/>
      <c r="L57" s="205"/>
      <c r="M57" s="177"/>
      <c r="N57" s="177"/>
      <c r="O57" s="250" t="e">
        <f>#REF!+#REF!+#REF!+#REF!+#REF!</f>
        <v>#REF!</v>
      </c>
      <c r="P57" s="250" t="e">
        <f>#REF!+P59+#REF!+#REF!+#REF!</f>
        <v>#REF!</v>
      </c>
      <c r="Q57" s="250"/>
      <c r="R57" s="250"/>
      <c r="S57" s="250"/>
      <c r="T57" s="250"/>
      <c r="U57" s="250" t="e">
        <f>#REF!+U59+#REF!+#REF!+#REF!</f>
        <v>#REF!</v>
      </c>
      <c r="V57" s="250"/>
      <c r="W57" s="250"/>
      <c r="X57" s="250"/>
      <c r="Y57" s="250"/>
      <c r="Z57" s="250"/>
      <c r="AA57" s="250"/>
      <c r="AB57" s="250"/>
      <c r="AC57" s="250"/>
      <c r="AD57" s="339" t="e">
        <f>#REF!+#REF!+#REF!+#REF!+#REF!</f>
        <v>#REF!</v>
      </c>
      <c r="AE57" s="250"/>
      <c r="AF57" s="250"/>
      <c r="AG57" s="250" t="e">
        <f>#REF!+#REF!+#REF!+#REF!+#REF!</f>
        <v>#REF!</v>
      </c>
      <c r="AH57" s="250" t="e">
        <f>#REF!+#REF!+#REF!+#REF!+#REF!</f>
        <v>#REF!</v>
      </c>
      <c r="AI57" s="339" t="e">
        <f>#REF!+#REF!+#REF!+#REF!+#REF!</f>
        <v>#REF!</v>
      </c>
      <c r="AJ57" s="339" t="e">
        <f>#REF!+#REF!+#REF!+#REF!+#REF!</f>
        <v>#REF!</v>
      </c>
      <c r="AK57" s="339" t="e">
        <f>#REF!+#REF!+#REF!+#REF!+#REF!</f>
        <v>#REF!</v>
      </c>
      <c r="AL57" s="250"/>
      <c r="AM57" s="250"/>
      <c r="AN57" s="250"/>
      <c r="AO57" s="250"/>
      <c r="AP57" s="250"/>
      <c r="AQ57" s="250"/>
      <c r="AR57" s="250"/>
      <c r="AS57" s="250"/>
      <c r="AT57" s="69"/>
      <c r="AU57" s="69"/>
      <c r="AV57" s="69"/>
      <c r="AW57" s="70"/>
      <c r="AX57" s="70"/>
      <c r="AY57" s="70"/>
      <c r="AZ57" s="70"/>
      <c r="BA57" s="70"/>
    </row>
    <row r="58" spans="1:89" ht="13.5">
      <c r="A58" s="103" t="s">
        <v>101</v>
      </c>
      <c r="B58" s="35">
        <v>50000</v>
      </c>
      <c r="C58" s="35">
        <v>40000</v>
      </c>
      <c r="D58" s="63" t="str">
        <f>AT58&amp;" дн / "&amp;AU58&amp;" ч "</f>
        <v xml:space="preserve">4 дн / 32 ч </v>
      </c>
      <c r="E58" s="39">
        <f>B58/$C$5</f>
        <v>284.09090909090907</v>
      </c>
      <c r="F58" s="39">
        <f>E58*AU58</f>
        <v>9090.9090909090901</v>
      </c>
      <c r="G58" s="39"/>
      <c r="H58" s="43"/>
      <c r="I58" s="45">
        <f>F58+F61+F62</f>
        <v>51363.636363636368</v>
      </c>
      <c r="J58" s="75">
        <f>C58/$C$5</f>
        <v>227.27272727272728</v>
      </c>
      <c r="K58" s="75">
        <f>J58*AU58</f>
        <v>7272.727272727273</v>
      </c>
      <c r="L58" s="75"/>
      <c r="M58" s="76"/>
      <c r="N58" s="76">
        <f>K58+L59+K61+K62+L60</f>
        <v>29772.727272727276</v>
      </c>
      <c r="O58" s="313" t="s">
        <v>4</v>
      </c>
      <c r="P58" s="17">
        <v>8</v>
      </c>
      <c r="Q58" s="139"/>
      <c r="R58" s="139"/>
      <c r="S58" s="314">
        <v>8</v>
      </c>
      <c r="T58" s="316">
        <v>8</v>
      </c>
      <c r="U58" s="316">
        <v>8</v>
      </c>
      <c r="V58" s="318" t="s">
        <v>4</v>
      </c>
      <c r="W58" s="320" t="s">
        <v>4</v>
      </c>
      <c r="X58" s="139"/>
      <c r="Y58" s="139"/>
      <c r="Z58" s="335" t="s">
        <v>4</v>
      </c>
      <c r="AA58" s="335" t="s">
        <v>4</v>
      </c>
      <c r="AB58" s="335" t="s">
        <v>4</v>
      </c>
      <c r="AC58" s="336" t="s">
        <v>4</v>
      </c>
      <c r="AD58" s="337" t="s">
        <v>4</v>
      </c>
      <c r="AE58" s="139"/>
      <c r="AF58" s="139"/>
      <c r="AG58" s="338" t="s">
        <v>4</v>
      </c>
      <c r="AH58" s="340" t="s">
        <v>4</v>
      </c>
      <c r="AI58" s="341" t="s">
        <v>4</v>
      </c>
      <c r="AJ58" s="342" t="s">
        <v>4</v>
      </c>
      <c r="AK58" s="344" t="s">
        <v>4</v>
      </c>
      <c r="AL58" s="139"/>
      <c r="AM58" s="139"/>
      <c r="AN58" s="314"/>
      <c r="AO58" s="314"/>
      <c r="AP58" s="346"/>
      <c r="AQ58" s="314"/>
      <c r="AR58" s="314"/>
      <c r="AS58" s="139"/>
      <c r="AT58" s="22">
        <f>COUNTIF(O58:AS58,"&gt;0")</f>
        <v>4</v>
      </c>
      <c r="AU58" s="22">
        <f>SUM(O58:AS58)</f>
        <v>32</v>
      </c>
      <c r="AV58" s="6"/>
      <c r="AW58" s="6"/>
      <c r="AX58" s="6"/>
      <c r="AY58" s="6"/>
      <c r="AZ58" s="6"/>
      <c r="BA58" s="6"/>
    </row>
    <row r="59" spans="1:89" ht="13.5">
      <c r="A59" s="98" t="s">
        <v>59</v>
      </c>
      <c r="B59" s="42"/>
      <c r="C59" s="41"/>
      <c r="D59" s="226" t="str">
        <f>AV59&amp;" дн"</f>
        <v>2 дн</v>
      </c>
      <c r="E59" s="39"/>
      <c r="F59" s="39"/>
      <c r="H59" s="43"/>
      <c r="I59" s="45"/>
      <c r="J59" s="75"/>
      <c r="K59" s="75"/>
      <c r="L59" s="75">
        <f>SUM(O59:AS59)</f>
        <v>909.09090909090901</v>
      </c>
      <c r="M59" s="76"/>
      <c r="N59" s="76"/>
      <c r="O59" s="314"/>
      <c r="P59" s="316">
        <f>$P$56/$P$54</f>
        <v>454.5454545454545</v>
      </c>
      <c r="Q59" s="139"/>
      <c r="R59" s="139"/>
      <c r="S59" s="314"/>
      <c r="T59" s="316"/>
      <c r="U59" s="349">
        <f>$U$56/$U$54</f>
        <v>454.5454545454545</v>
      </c>
      <c r="V59" s="314"/>
      <c r="W59" s="314"/>
      <c r="X59" s="139"/>
      <c r="Y59" s="139"/>
      <c r="Z59" s="335"/>
      <c r="AA59" s="335"/>
      <c r="AB59" s="335"/>
      <c r="AC59" s="336"/>
      <c r="AD59" s="335"/>
      <c r="AE59" s="139"/>
      <c r="AF59" s="139"/>
      <c r="AG59" s="338"/>
      <c r="AH59" s="340"/>
      <c r="AI59" s="341"/>
      <c r="AJ59" s="342"/>
      <c r="AK59" s="314"/>
      <c r="AL59" s="139"/>
      <c r="AM59" s="139"/>
      <c r="AN59" s="314"/>
      <c r="AO59" s="314"/>
      <c r="AP59" s="346"/>
      <c r="AQ59" s="314"/>
      <c r="AR59" s="314"/>
      <c r="AS59" s="139"/>
      <c r="AT59" s="19"/>
      <c r="AU59" s="19"/>
      <c r="AV59" s="225">
        <f>COUNT(O59:AS59)</f>
        <v>2</v>
      </c>
      <c r="AW59" s="15"/>
      <c r="AX59" s="15"/>
      <c r="AY59" s="15"/>
      <c r="AZ59" s="17"/>
      <c r="BA59" s="17"/>
    </row>
    <row r="60" spans="1:89" ht="13.5">
      <c r="A60" s="98" t="s">
        <v>31</v>
      </c>
      <c r="B60" s="42"/>
      <c r="C60" s="41"/>
      <c r="D60" s="226" t="str">
        <f>AV60&amp;" час"</f>
        <v>4 час</v>
      </c>
      <c r="E60" s="39"/>
      <c r="F60" s="39"/>
      <c r="H60" s="43"/>
      <c r="I60" s="45"/>
      <c r="J60" s="75"/>
      <c r="K60" s="75"/>
      <c r="L60" s="75">
        <f>AV60*E58</f>
        <v>1136.3636363636363</v>
      </c>
      <c r="M60" s="76"/>
      <c r="N60" s="76"/>
      <c r="O60" s="264"/>
      <c r="P60" s="264">
        <v>1</v>
      </c>
      <c r="Q60" s="139"/>
      <c r="R60" s="139"/>
      <c r="S60" s="264">
        <v>1</v>
      </c>
      <c r="T60" s="264">
        <v>1</v>
      </c>
      <c r="U60" s="264">
        <v>1</v>
      </c>
      <c r="V60" s="264"/>
      <c r="W60" s="264"/>
      <c r="X60" s="139"/>
      <c r="Y60" s="139"/>
      <c r="Z60" s="264"/>
      <c r="AA60" s="264"/>
      <c r="AB60" s="264"/>
      <c r="AC60" s="264"/>
      <c r="AD60" s="264"/>
      <c r="AE60" s="139"/>
      <c r="AF60" s="139"/>
      <c r="AG60" s="264"/>
      <c r="AH60" s="264"/>
      <c r="AI60" s="264"/>
      <c r="AJ60" s="264"/>
      <c r="AK60" s="264"/>
      <c r="AL60" s="139"/>
      <c r="AM60" s="139"/>
      <c r="AN60" s="264"/>
      <c r="AO60" s="264"/>
      <c r="AP60" s="264"/>
      <c r="AQ60" s="264"/>
      <c r="AR60" s="264"/>
      <c r="AS60" s="139"/>
      <c r="AT60" s="19"/>
      <c r="AU60" s="19"/>
      <c r="AV60" s="260">
        <f>SUM(O60:AS60)</f>
        <v>4</v>
      </c>
      <c r="AW60" s="81"/>
      <c r="AX60" s="17"/>
      <c r="AY60" s="17"/>
      <c r="AZ60" s="64"/>
      <c r="BA60" s="64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</row>
    <row r="61" spans="1:89" ht="13.5">
      <c r="A61" s="98" t="s">
        <v>20</v>
      </c>
      <c r="B61" s="42">
        <v>50000</v>
      </c>
      <c r="C61" s="41">
        <v>20000</v>
      </c>
      <c r="D61" s="63" t="str">
        <f>AT61&amp;" дн / "&amp;AU61&amp;" ч "</f>
        <v xml:space="preserve">3 дн / 24 ч </v>
      </c>
      <c r="E61" s="39">
        <f>B61/$C$5</f>
        <v>284.09090909090907</v>
      </c>
      <c r="F61" s="39">
        <f>E61*AU61</f>
        <v>6818.181818181818</v>
      </c>
      <c r="G61" s="39"/>
      <c r="H61" s="43"/>
      <c r="I61" s="45"/>
      <c r="J61" s="75">
        <f>C61/$C$5</f>
        <v>113.63636363636364</v>
      </c>
      <c r="K61" s="75">
        <f>J61*AU61</f>
        <v>2727.2727272727275</v>
      </c>
      <c r="L61" s="75"/>
      <c r="M61" s="76"/>
      <c r="N61" s="76"/>
      <c r="O61" s="320"/>
      <c r="P61" s="320"/>
      <c r="Q61" s="13"/>
      <c r="R61" s="13"/>
      <c r="S61" s="320"/>
      <c r="T61" s="320"/>
      <c r="U61" s="320"/>
      <c r="V61" s="320">
        <v>8</v>
      </c>
      <c r="W61" s="320" t="s">
        <v>4</v>
      </c>
      <c r="X61" s="139"/>
      <c r="Y61" s="13"/>
      <c r="Z61" s="335" t="s">
        <v>4</v>
      </c>
      <c r="AA61" s="335" t="s">
        <v>4</v>
      </c>
      <c r="AB61" s="335" t="s">
        <v>4</v>
      </c>
      <c r="AC61" s="336" t="s">
        <v>4</v>
      </c>
      <c r="AD61" s="337" t="s">
        <v>4</v>
      </c>
      <c r="AE61" s="139"/>
      <c r="AF61" s="13"/>
      <c r="AG61" s="338" t="s">
        <v>4</v>
      </c>
      <c r="AH61" s="340" t="s">
        <v>4</v>
      </c>
      <c r="AI61" s="341" t="s">
        <v>4</v>
      </c>
      <c r="AJ61" s="342" t="s">
        <v>4</v>
      </c>
      <c r="AK61" s="320"/>
      <c r="AL61" s="139"/>
      <c r="AM61" s="13"/>
      <c r="AN61" s="320"/>
      <c r="AO61" s="320"/>
      <c r="AP61" s="346"/>
      <c r="AQ61" s="320">
        <v>8</v>
      </c>
      <c r="AR61" s="349">
        <v>8</v>
      </c>
      <c r="AS61" s="139"/>
      <c r="AT61" s="19">
        <f>COUNTIF(O61:AS61,"&gt;0")</f>
        <v>3</v>
      </c>
      <c r="AU61" s="19">
        <f>SUM(O61:AS61)</f>
        <v>24</v>
      </c>
      <c r="AV61" s="17"/>
      <c r="AW61" s="15"/>
      <c r="AX61" s="17"/>
      <c r="AY61" s="17"/>
      <c r="AZ61" s="18"/>
      <c r="BA61" s="18"/>
      <c r="BK61" s="18"/>
      <c r="BL61" s="18"/>
      <c r="BM61" s="18"/>
    </row>
    <row r="62" spans="1:89" ht="14.25" thickBot="1">
      <c r="A62" s="126" t="s">
        <v>37</v>
      </c>
      <c r="B62" s="127">
        <v>60000</v>
      </c>
      <c r="C62" s="117">
        <v>30000</v>
      </c>
      <c r="D62" s="118" t="str">
        <f>AT62&amp;" дн / "&amp;AU62&amp;" ч "</f>
        <v xml:space="preserve">13 дн / 104 ч </v>
      </c>
      <c r="E62" s="119">
        <f>B62/$C$5</f>
        <v>340.90909090909093</v>
      </c>
      <c r="F62" s="119">
        <f>E62*AU62</f>
        <v>35454.545454545456</v>
      </c>
      <c r="G62" s="119"/>
      <c r="H62" s="120"/>
      <c r="I62" s="121"/>
      <c r="J62" s="265">
        <f>C62/$C$5</f>
        <v>170.45454545454547</v>
      </c>
      <c r="K62" s="265">
        <f>J62*AU62</f>
        <v>17727.272727272728</v>
      </c>
      <c r="L62" s="265"/>
      <c r="M62" s="266"/>
      <c r="N62" s="266"/>
      <c r="O62" s="147"/>
      <c r="P62" s="147"/>
      <c r="Q62" s="272"/>
      <c r="R62" s="272"/>
      <c r="S62" s="147"/>
      <c r="T62" s="147"/>
      <c r="U62" s="147"/>
      <c r="V62" s="147" t="s">
        <v>4</v>
      </c>
      <c r="W62" s="144">
        <v>8</v>
      </c>
      <c r="X62" s="146"/>
      <c r="Y62" s="272"/>
      <c r="Z62" s="147">
        <v>8</v>
      </c>
      <c r="AA62" s="147">
        <v>8</v>
      </c>
      <c r="AB62" s="147">
        <v>8</v>
      </c>
      <c r="AC62" s="147">
        <v>8</v>
      </c>
      <c r="AD62" s="147">
        <v>8</v>
      </c>
      <c r="AE62" s="146"/>
      <c r="AF62" s="272"/>
      <c r="AG62" s="147">
        <v>8</v>
      </c>
      <c r="AH62" s="147">
        <v>8</v>
      </c>
      <c r="AI62" s="147">
        <v>8</v>
      </c>
      <c r="AJ62" s="147">
        <v>8</v>
      </c>
      <c r="AK62" s="147" t="s">
        <v>75</v>
      </c>
      <c r="AL62" s="146"/>
      <c r="AM62" s="272"/>
      <c r="AN62" s="147">
        <v>8</v>
      </c>
      <c r="AO62" s="147">
        <v>8</v>
      </c>
      <c r="AP62" s="147">
        <v>8</v>
      </c>
      <c r="AQ62" s="147" t="s">
        <v>4</v>
      </c>
      <c r="AR62" s="147"/>
      <c r="AS62" s="146"/>
      <c r="AT62" s="123">
        <f>COUNTIF(O62:AS62,"&gt;0")</f>
        <v>13</v>
      </c>
      <c r="AU62" s="123">
        <f>SUM(O62:AS62)</f>
        <v>104</v>
      </c>
      <c r="AV62" s="125"/>
      <c r="AW62" s="124"/>
      <c r="AX62" s="125"/>
      <c r="AY62" s="125"/>
      <c r="AZ62" s="122"/>
      <c r="BA62" s="122"/>
      <c r="BK62" s="18"/>
      <c r="BL62" s="18"/>
      <c r="BM62" s="18"/>
    </row>
    <row r="63" spans="1:89">
      <c r="A63" s="103"/>
      <c r="D63" s="72"/>
      <c r="E63" s="6"/>
      <c r="F63" s="72" t="e">
        <f>SUM(F7:F62)-#REF!-#REF!-#REF!-#REF!-F17-#REF!-#REF!-#REF!-#REF!-#REF!-#REF!-#REF!-#REF!</f>
        <v>#REF!</v>
      </c>
      <c r="G63" s="72">
        <f>SUM(G7:G62)</f>
        <v>0</v>
      </c>
      <c r="H63" s="72" t="e">
        <f>SUM(H7:H62)-#REF!-#REF!-#REF!-#REF!-H17-#REF!-#REF!-#REF!-#REF!-#REF!-#REF!-#REF!-#REF!</f>
        <v>#REF!</v>
      </c>
      <c r="I63" s="72" t="e">
        <f>SUM(I7:I62)-#REF!-#REF!-#REF!-I16-#REF!-#REF!-#REF!-#REF!-#REF!-#REF!</f>
        <v>#REF!</v>
      </c>
      <c r="J63" s="6"/>
      <c r="K63" s="72" t="e">
        <f>SUM(K7:K62)-#REF!-#REF!-#REF!-#REF!-#REF!-#REF!-#REF!-K42-K29-K30-K31-K32-K58-K61-K62-#REF!-#REF!-#REF!-#REF!-#REF!</f>
        <v>#REF!</v>
      </c>
      <c r="L63" s="72" t="e">
        <f>SUM(L7:L62)-#REF!-#REF!-#REF!-#REF!-#REF!-#REF!-#REF!-L59-L60-#REF!-#REF!-#REF!-#REF!</f>
        <v>#REF!</v>
      </c>
      <c r="M63" s="72">
        <f>SUM(M7:M42)</f>
        <v>0</v>
      </c>
      <c r="N63" s="72" t="e">
        <f>SUM(N7:N62)-#REF!-#REF!-#REF!-#REF!-#REF!-N58-#REF!-#REF!-N42-#REF!-N29-#REF!-#REF!</f>
        <v>#REF!</v>
      </c>
      <c r="O63" s="6"/>
      <c r="P63" s="6"/>
      <c r="Q63" s="6"/>
      <c r="R63" s="6"/>
      <c r="S63" s="6"/>
      <c r="T63" s="6"/>
      <c r="U63" s="6"/>
      <c r="V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spans="1:89">
      <c r="A64" s="103"/>
      <c r="D64" s="72"/>
      <c r="E64" s="6"/>
      <c r="F64" s="72" t="e">
        <f>F63+G63</f>
        <v>#REF!</v>
      </c>
      <c r="G64" s="72"/>
      <c r="H64" s="72"/>
      <c r="I64" s="72"/>
      <c r="J64" s="6"/>
      <c r="K64" s="72"/>
      <c r="L64" s="72"/>
      <c r="M64" s="72"/>
      <c r="N64" s="72"/>
      <c r="O64" s="6"/>
      <c r="P64" s="6"/>
      <c r="Q64" s="6"/>
      <c r="R64" s="6"/>
      <c r="S64" s="6"/>
      <c r="T64" s="6"/>
      <c r="U64" s="6"/>
      <c r="V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spans="1:89" s="24" customFormat="1" ht="13.5">
      <c r="A65" s="99"/>
      <c r="B65" s="34"/>
      <c r="C65" s="34"/>
      <c r="D65" s="72"/>
      <c r="E65" s="36"/>
      <c r="F65" s="36" t="s">
        <v>52</v>
      </c>
      <c r="G65" s="36"/>
      <c r="H65" s="36"/>
      <c r="I65" s="36"/>
      <c r="J65" s="433" t="e">
        <f>I63+N63</f>
        <v>#REF!</v>
      </c>
      <c r="K65" s="433"/>
      <c r="L65" s="36"/>
      <c r="M65" s="36"/>
      <c r="N65" s="3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17"/>
      <c r="AW65" s="17"/>
      <c r="AX65" s="17"/>
      <c r="AY65" s="17"/>
      <c r="AZ65" s="17"/>
      <c r="BA65" s="17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</row>
    <row r="66" spans="1:89" s="24" customFormat="1" ht="13.5">
      <c r="B66" s="34"/>
      <c r="C66" s="34"/>
      <c r="D66" s="72"/>
      <c r="F66" s="216"/>
      <c r="G66" s="210"/>
      <c r="H66" s="33"/>
      <c r="I66" s="33"/>
      <c r="J66" s="33"/>
      <c r="K66" s="210"/>
      <c r="L66" s="210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</row>
    <row r="67" spans="1:89" s="24" customFormat="1" ht="13.5">
      <c r="A67" s="108"/>
      <c r="B67" s="34"/>
      <c r="C67" s="79"/>
      <c r="D67" s="80"/>
      <c r="E67" s="33"/>
      <c r="F67" s="210"/>
      <c r="G67" s="210"/>
      <c r="H67" s="33"/>
      <c r="I67" s="33"/>
      <c r="K67" s="216"/>
      <c r="L67" s="210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</row>
    <row r="68" spans="1:89" s="33" customFormat="1" ht="13.5">
      <c r="A68" s="103"/>
      <c r="B68" s="24"/>
      <c r="C68" s="24"/>
      <c r="D68" s="24"/>
      <c r="F68" s="210"/>
      <c r="G68" s="210"/>
      <c r="I68" s="72">
        <f>SUM(I7:I62)</f>
        <v>1190909.0909090911</v>
      </c>
      <c r="K68" s="210"/>
      <c r="L68" s="210"/>
      <c r="N68" s="72">
        <f>SUM(N7:N62)</f>
        <v>520589.81818181812</v>
      </c>
      <c r="AV68" s="17"/>
      <c r="AW68" s="17"/>
      <c r="AX68" s="17"/>
      <c r="AY68" s="17"/>
      <c r="AZ68" s="17"/>
      <c r="BA68" s="17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</row>
    <row r="69" spans="1:89" s="32" customFormat="1" ht="13.5">
      <c r="A69" s="98"/>
      <c r="B69" s="42"/>
      <c r="C69" s="41"/>
      <c r="D69" s="63"/>
      <c r="E69" s="39"/>
      <c r="F69" s="39" t="s">
        <v>51</v>
      </c>
      <c r="G69" s="39"/>
      <c r="H69" s="43"/>
      <c r="I69" s="43"/>
      <c r="J69" s="434">
        <f>I68+N68</f>
        <v>1711498.9090909092</v>
      </c>
      <c r="K69" s="435"/>
      <c r="L69" s="39"/>
      <c r="M69" s="43"/>
      <c r="N69" s="43"/>
      <c r="O69" s="17"/>
      <c r="P69" s="17"/>
      <c r="Q69" s="14"/>
      <c r="R69" s="14"/>
      <c r="S69" s="14"/>
      <c r="T69" s="14"/>
      <c r="U69" s="14"/>
      <c r="V69" s="14"/>
      <c r="W69" s="14"/>
      <c r="X69" s="14"/>
      <c r="Y69" s="17"/>
      <c r="Z69" s="17"/>
      <c r="AA69" s="14"/>
      <c r="AB69" s="64"/>
      <c r="AC69" s="64"/>
      <c r="AD69" s="60"/>
      <c r="AE69" s="60"/>
      <c r="AF69" s="17"/>
      <c r="AG69" s="17"/>
      <c r="AH69" s="60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</row>
    <row r="70" spans="1:89" s="32" customFormat="1" ht="13.5">
      <c r="A70" s="156"/>
      <c r="B70" s="157"/>
      <c r="C70" s="158"/>
      <c r="D70" s="159"/>
      <c r="E70" s="160"/>
      <c r="F70" s="160"/>
      <c r="G70" s="160"/>
      <c r="H70" s="161"/>
      <c r="I70" s="161"/>
      <c r="J70" s="191"/>
      <c r="K70" s="219"/>
      <c r="L70" s="160"/>
      <c r="M70" s="161"/>
      <c r="N70" s="161"/>
      <c r="O70" s="162"/>
      <c r="P70" s="162"/>
      <c r="Q70" s="94"/>
      <c r="R70" s="94"/>
      <c r="S70" s="94"/>
      <c r="T70" s="94"/>
      <c r="U70" s="94"/>
      <c r="V70" s="94"/>
      <c r="W70" s="94"/>
      <c r="X70" s="94"/>
      <c r="Y70" s="162"/>
      <c r="Z70" s="162"/>
      <c r="AA70" s="94"/>
      <c r="AB70" s="155"/>
      <c r="AC70" s="155"/>
      <c r="AD70" s="163"/>
      <c r="AE70" s="163"/>
      <c r="AF70" s="162"/>
      <c r="AG70" s="162"/>
      <c r="AH70" s="163"/>
      <c r="AI70" s="162"/>
      <c r="AJ70" s="162"/>
      <c r="AK70" s="162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</row>
    <row r="71" spans="1:89" s="32" customFormat="1" ht="16.5">
      <c r="A71" s="196"/>
      <c r="B71" s="110"/>
      <c r="C71" s="110"/>
      <c r="D71" s="236">
        <v>6380000</v>
      </c>
      <c r="E71" s="111"/>
      <c r="F71" s="111"/>
      <c r="G71" s="111"/>
      <c r="H71" s="111"/>
      <c r="I71" s="111" t="s">
        <v>68</v>
      </c>
      <c r="J71" s="436">
        <f>D73-J69</f>
        <v>4668501.0909090908</v>
      </c>
      <c r="K71" s="436"/>
      <c r="L71" s="111"/>
      <c r="M71" s="111"/>
      <c r="N71" s="111"/>
      <c r="O71" s="196"/>
      <c r="P71" s="196"/>
      <c r="Q71" s="196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94"/>
      <c r="AC71" s="94"/>
      <c r="AD71" s="94"/>
      <c r="AE71" s="94"/>
      <c r="AF71" s="162"/>
      <c r="AG71" s="162"/>
      <c r="AH71" s="94"/>
      <c r="AI71" s="162"/>
      <c r="AJ71" s="162"/>
      <c r="AK71" s="162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</row>
    <row r="72" spans="1:89" s="32" customFormat="1" ht="16.5">
      <c r="A72" s="107">
        <v>43678</v>
      </c>
      <c r="B72" s="34"/>
      <c r="C72" s="34"/>
      <c r="D72" s="237"/>
      <c r="F72" s="217"/>
      <c r="G72" s="211"/>
      <c r="H72" s="166"/>
      <c r="I72" s="166"/>
      <c r="J72" s="166"/>
      <c r="K72" s="211"/>
      <c r="L72" s="211"/>
      <c r="M72" s="166"/>
      <c r="N72" s="305"/>
      <c r="O72" s="437"/>
      <c r="P72" s="437"/>
      <c r="Q72" s="305"/>
      <c r="R72" s="155"/>
      <c r="S72" s="192"/>
      <c r="T72" s="192"/>
      <c r="U72" s="192"/>
      <c r="V72" s="438"/>
      <c r="W72" s="438"/>
      <c r="X72" s="155"/>
      <c r="Y72" s="155"/>
      <c r="Z72" s="167"/>
      <c r="AA72" s="155"/>
      <c r="AB72" s="155"/>
      <c r="AC72" s="164"/>
      <c r="AD72" s="155"/>
      <c r="AE72" s="162"/>
      <c r="AF72" s="162"/>
      <c r="AG72" s="162"/>
      <c r="AH72" s="162"/>
      <c r="AI72" s="162"/>
      <c r="AJ72" s="162"/>
      <c r="AK72" s="162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</row>
    <row r="73" spans="1:89" s="32" customFormat="1" ht="16.5">
      <c r="A73" s="107">
        <v>43708</v>
      </c>
      <c r="B73" s="228">
        <f>D71/B5</f>
        <v>290000</v>
      </c>
      <c r="C73" s="227">
        <v>22</v>
      </c>
      <c r="D73" s="238">
        <f>B73*C73</f>
        <v>6380000</v>
      </c>
      <c r="E73" s="301"/>
      <c r="F73" s="309"/>
      <c r="G73" s="309"/>
      <c r="H73" s="301"/>
      <c r="I73" s="301"/>
      <c r="J73" s="301"/>
      <c r="K73" s="211"/>
      <c r="L73" s="211"/>
      <c r="M73" s="302"/>
      <c r="N73" s="302"/>
      <c r="O73" s="431"/>
      <c r="P73" s="431"/>
      <c r="Q73" s="431"/>
      <c r="R73" s="431"/>
      <c r="S73" s="192"/>
      <c r="T73" s="192"/>
      <c r="U73" s="192"/>
      <c r="V73" s="427"/>
      <c r="W73" s="427"/>
      <c r="X73" s="169"/>
      <c r="Y73" s="169"/>
      <c r="Z73" s="197"/>
      <c r="AA73" s="195"/>
      <c r="AB73" s="195"/>
      <c r="AC73" s="168"/>
      <c r="AD73" s="169"/>
      <c r="AE73" s="162"/>
      <c r="AF73" s="162"/>
      <c r="AG73" s="162"/>
      <c r="AH73" s="162"/>
      <c r="AI73" s="162"/>
      <c r="AJ73" s="162"/>
      <c r="AK73" s="162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</row>
    <row r="74" spans="1:89" s="32" customFormat="1" ht="16.5">
      <c r="A74" s="103" t="s">
        <v>67</v>
      </c>
      <c r="B74" s="24"/>
      <c r="C74" s="24"/>
      <c r="D74" s="239"/>
      <c r="E74" s="302"/>
      <c r="F74" s="211"/>
      <c r="G74" s="211"/>
      <c r="H74" s="302"/>
      <c r="I74" s="302"/>
      <c r="J74" s="302"/>
      <c r="K74" s="309"/>
      <c r="L74" s="309"/>
      <c r="M74" s="301"/>
      <c r="N74" s="301"/>
      <c r="O74" s="431"/>
      <c r="P74" s="431"/>
      <c r="Q74" s="430"/>
      <c r="R74" s="430"/>
      <c r="S74" s="192"/>
      <c r="T74" s="192"/>
      <c r="U74" s="192"/>
      <c r="V74" s="427"/>
      <c r="W74" s="427"/>
      <c r="X74" s="169"/>
      <c r="Y74" s="169"/>
      <c r="Z74" s="197"/>
      <c r="AA74" s="195"/>
      <c r="AB74" s="195"/>
      <c r="AC74" s="168"/>
      <c r="AD74" s="169"/>
      <c r="AE74" s="162"/>
      <c r="AF74" s="162"/>
      <c r="AG74" s="162"/>
      <c r="AH74" s="162"/>
      <c r="AI74" s="162"/>
      <c r="AJ74" s="162"/>
      <c r="AK74" s="162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</row>
    <row r="75" spans="1:89" s="32" customFormat="1" ht="16.5">
      <c r="A75" s="193"/>
      <c r="B75" s="301"/>
      <c r="C75" s="301"/>
      <c r="D75" s="235"/>
      <c r="E75" s="301"/>
      <c r="F75" s="309"/>
      <c r="G75" s="309"/>
      <c r="H75" s="301"/>
      <c r="I75" s="302"/>
      <c r="J75" s="302"/>
      <c r="K75" s="211"/>
      <c r="L75" s="211"/>
      <c r="M75" s="302"/>
      <c r="N75" s="301"/>
      <c r="O75" s="430"/>
      <c r="P75" s="430"/>
      <c r="Q75" s="430"/>
      <c r="R75" s="430"/>
      <c r="S75" s="192"/>
      <c r="T75" s="192"/>
      <c r="U75" s="192"/>
      <c r="V75" s="427"/>
      <c r="W75" s="427"/>
      <c r="X75" s="169"/>
      <c r="Y75" s="169"/>
      <c r="Z75" s="197"/>
      <c r="AA75" s="195"/>
      <c r="AB75" s="195"/>
      <c r="AC75" s="168"/>
      <c r="AD75" s="169"/>
      <c r="AE75" s="162"/>
      <c r="AF75" s="162"/>
      <c r="AG75" s="162"/>
      <c r="AH75" s="162"/>
      <c r="AI75" s="162"/>
      <c r="AJ75" s="162"/>
      <c r="AK75" s="162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</row>
    <row r="76" spans="1:89" s="32" customFormat="1" ht="16.5">
      <c r="A76" s="193"/>
      <c r="B76" s="301"/>
      <c r="C76" s="301"/>
      <c r="D76" s="222"/>
      <c r="E76" s="301"/>
      <c r="F76" s="309"/>
      <c r="G76" s="211"/>
      <c r="H76" s="302"/>
      <c r="I76" s="302"/>
      <c r="J76" s="302"/>
      <c r="K76" s="211"/>
      <c r="L76" s="211"/>
      <c r="M76" s="302"/>
      <c r="N76" s="302"/>
      <c r="O76" s="431"/>
      <c r="P76" s="431"/>
      <c r="Q76" s="431"/>
      <c r="R76" s="431"/>
      <c r="S76" s="192"/>
      <c r="T76" s="192"/>
      <c r="U76" s="192"/>
      <c r="V76" s="427"/>
      <c r="W76" s="427"/>
      <c r="X76" s="169"/>
      <c r="Y76" s="169"/>
      <c r="Z76" s="197"/>
      <c r="AA76" s="195"/>
      <c r="AB76" s="195"/>
      <c r="AC76" s="168"/>
      <c r="AD76" s="169"/>
      <c r="AE76" s="162"/>
      <c r="AF76" s="162"/>
      <c r="AG76" s="162"/>
      <c r="AH76" s="162"/>
      <c r="AI76" s="162"/>
      <c r="AJ76" s="162"/>
      <c r="AK76" s="162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</row>
    <row r="77" spans="1:89" s="32" customFormat="1" ht="16.5">
      <c r="A77" s="193"/>
      <c r="B77" s="301"/>
      <c r="C77" s="301"/>
      <c r="D77" s="301"/>
      <c r="E77" s="301"/>
      <c r="F77" s="309"/>
      <c r="G77" s="309"/>
      <c r="H77" s="301"/>
      <c r="I77" s="301"/>
      <c r="J77" s="301"/>
      <c r="K77" s="309"/>
      <c r="L77" s="211"/>
      <c r="M77" s="302"/>
      <c r="N77" s="302"/>
      <c r="O77" s="432"/>
      <c r="P77" s="432"/>
      <c r="Q77" s="431"/>
      <c r="R77" s="431"/>
      <c r="S77" s="192"/>
      <c r="T77" s="192"/>
      <c r="U77" s="192"/>
      <c r="V77" s="427"/>
      <c r="W77" s="427"/>
      <c r="X77" s="169"/>
      <c r="Y77" s="169"/>
      <c r="Z77" s="197"/>
      <c r="AA77" s="195"/>
      <c r="AB77" s="195"/>
      <c r="AC77" s="168"/>
      <c r="AD77" s="169"/>
      <c r="AE77" s="162"/>
      <c r="AF77" s="162"/>
      <c r="AG77" s="162"/>
      <c r="AH77" s="162"/>
      <c r="AI77" s="162"/>
      <c r="AJ77" s="162"/>
      <c r="AK77" s="162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</row>
    <row r="78" spans="1:89" s="32" customFormat="1" ht="16.5">
      <c r="A78" s="193"/>
      <c r="B78" s="301"/>
      <c r="C78" s="301"/>
      <c r="D78" s="301"/>
      <c r="E78" s="301"/>
      <c r="F78" s="309"/>
      <c r="G78" s="309"/>
      <c r="H78" s="301"/>
      <c r="I78" s="301"/>
      <c r="J78" s="301"/>
      <c r="K78" s="309"/>
      <c r="L78" s="309"/>
      <c r="M78" s="301"/>
      <c r="N78" s="302"/>
      <c r="O78" s="430"/>
      <c r="P78" s="430"/>
      <c r="Q78" s="430"/>
      <c r="R78" s="430"/>
      <c r="S78" s="192"/>
      <c r="T78" s="192"/>
      <c r="U78" s="192"/>
      <c r="V78" s="427"/>
      <c r="W78" s="427"/>
      <c r="X78" s="169"/>
      <c r="Y78" s="169"/>
      <c r="Z78" s="197"/>
      <c r="AA78" s="195"/>
      <c r="AB78" s="195"/>
      <c r="AC78" s="168"/>
      <c r="AD78" s="169"/>
      <c r="AE78" s="162"/>
      <c r="AF78" s="162"/>
      <c r="AG78" s="162"/>
      <c r="AH78" s="162"/>
      <c r="AI78" s="162"/>
      <c r="AJ78" s="162"/>
      <c r="AK78" s="162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</row>
    <row r="79" spans="1:89" s="32" customFormat="1" ht="16.5">
      <c r="A79" s="193"/>
      <c r="B79" s="301"/>
      <c r="C79" s="301"/>
      <c r="D79" s="301"/>
      <c r="E79" s="301"/>
      <c r="F79" s="309"/>
      <c r="G79" s="309"/>
      <c r="H79" s="301"/>
      <c r="I79" s="301"/>
      <c r="J79" s="301"/>
      <c r="K79" s="309"/>
      <c r="L79" s="309"/>
      <c r="M79" s="301"/>
      <c r="N79" s="301"/>
      <c r="O79" s="430"/>
      <c r="P79" s="430"/>
      <c r="Q79" s="430"/>
      <c r="R79" s="430"/>
      <c r="S79" s="192"/>
      <c r="T79" s="192"/>
      <c r="U79" s="192"/>
      <c r="V79" s="427"/>
      <c r="W79" s="427"/>
      <c r="X79" s="169"/>
      <c r="Y79" s="169"/>
      <c r="Z79" s="197"/>
      <c r="AA79" s="195"/>
      <c r="AB79" s="195"/>
      <c r="AC79" s="168"/>
      <c r="AD79" s="169"/>
      <c r="AE79" s="162"/>
      <c r="AF79" s="162"/>
      <c r="AG79" s="162"/>
      <c r="AH79" s="162"/>
      <c r="AI79" s="162"/>
      <c r="AJ79" s="162"/>
      <c r="AK79" s="162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</row>
    <row r="80" spans="1:89" s="32" customFormat="1" ht="16.5">
      <c r="A80" s="193"/>
      <c r="B80" s="301"/>
      <c r="C80" s="301"/>
      <c r="D80" s="301"/>
      <c r="E80" s="301"/>
      <c r="F80" s="309"/>
      <c r="G80" s="309"/>
      <c r="H80" s="301"/>
      <c r="I80" s="301"/>
      <c r="J80" s="301"/>
      <c r="K80" s="309"/>
      <c r="L80" s="309"/>
      <c r="M80" s="301"/>
      <c r="N80" s="301"/>
      <c r="O80" s="430"/>
      <c r="P80" s="430"/>
      <c r="Q80" s="430"/>
      <c r="R80" s="430"/>
      <c r="S80" s="192"/>
      <c r="T80" s="192"/>
      <c r="U80" s="192"/>
      <c r="V80" s="427"/>
      <c r="W80" s="427"/>
      <c r="X80" s="169"/>
      <c r="Y80" s="169"/>
      <c r="Z80" s="197"/>
      <c r="AA80" s="195"/>
      <c r="AB80" s="195"/>
      <c r="AC80" s="168"/>
      <c r="AD80" s="169"/>
      <c r="AE80" s="162"/>
      <c r="AF80" s="162"/>
      <c r="AG80" s="162"/>
      <c r="AH80" s="162"/>
      <c r="AI80" s="162"/>
      <c r="AJ80" s="162"/>
      <c r="AK80" s="162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</row>
    <row r="81" spans="1:53" s="32" customFormat="1" ht="16.5">
      <c r="A81" s="193"/>
      <c r="B81" s="302"/>
      <c r="C81" s="302"/>
      <c r="D81" s="302"/>
      <c r="E81" s="302"/>
      <c r="F81" s="211"/>
      <c r="G81" s="211"/>
      <c r="H81" s="302"/>
      <c r="I81" s="302"/>
      <c r="J81" s="302"/>
      <c r="K81" s="211"/>
      <c r="L81" s="211"/>
      <c r="M81" s="302"/>
      <c r="N81" s="302"/>
      <c r="O81" s="430"/>
      <c r="P81" s="430"/>
      <c r="Q81" s="430"/>
      <c r="R81" s="430"/>
      <c r="S81" s="192"/>
      <c r="T81" s="192"/>
      <c r="U81" s="192"/>
      <c r="V81" s="427"/>
      <c r="W81" s="427"/>
      <c r="X81" s="169"/>
      <c r="Y81" s="169"/>
      <c r="Z81" s="197"/>
      <c r="AA81" s="195"/>
      <c r="AB81" s="195"/>
      <c r="AC81" s="168"/>
      <c r="AD81" s="169"/>
      <c r="AE81" s="162"/>
      <c r="AF81" s="162"/>
      <c r="AG81" s="162"/>
      <c r="AH81" s="162"/>
      <c r="AI81" s="162"/>
      <c r="AJ81" s="162"/>
      <c r="AK81" s="162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</row>
    <row r="82" spans="1:53" s="32" customFormat="1" ht="16.5">
      <c r="A82" s="193"/>
      <c r="B82" s="302"/>
      <c r="C82" s="302"/>
      <c r="D82" s="302"/>
      <c r="E82" s="302"/>
      <c r="F82" s="211"/>
      <c r="G82" s="211"/>
      <c r="H82" s="302"/>
      <c r="I82" s="302"/>
      <c r="J82" s="302"/>
      <c r="K82" s="211"/>
      <c r="L82" s="211"/>
      <c r="M82" s="302"/>
      <c r="N82" s="302"/>
      <c r="O82" s="430"/>
      <c r="P82" s="430"/>
      <c r="Q82" s="430"/>
      <c r="R82" s="430"/>
      <c r="S82" s="192"/>
      <c r="T82" s="192"/>
      <c r="U82" s="192"/>
      <c r="V82" s="427"/>
      <c r="W82" s="427"/>
      <c r="X82" s="169"/>
      <c r="Y82" s="169"/>
      <c r="Z82" s="197"/>
      <c r="AA82" s="195"/>
      <c r="AB82" s="195"/>
      <c r="AC82" s="168"/>
      <c r="AD82" s="155"/>
      <c r="AE82" s="162"/>
      <c r="AF82" s="162"/>
      <c r="AG82" s="162"/>
      <c r="AH82" s="162"/>
      <c r="AI82" s="162"/>
      <c r="AJ82" s="162"/>
      <c r="AK82" s="162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</row>
    <row r="83" spans="1:53" s="32" customFormat="1" ht="16.5">
      <c r="A83" s="193"/>
      <c r="B83" s="301"/>
      <c r="C83" s="301"/>
      <c r="D83" s="301"/>
      <c r="E83" s="301"/>
      <c r="F83" s="309"/>
      <c r="G83" s="309"/>
      <c r="H83" s="301"/>
      <c r="I83" s="301"/>
      <c r="J83" s="301"/>
      <c r="K83" s="309"/>
      <c r="L83" s="309"/>
      <c r="M83" s="301"/>
      <c r="N83" s="301"/>
      <c r="O83" s="431"/>
      <c r="P83" s="431"/>
      <c r="Q83" s="430"/>
      <c r="R83" s="430"/>
      <c r="S83" s="192"/>
      <c r="T83" s="192"/>
      <c r="U83" s="192"/>
      <c r="V83" s="427"/>
      <c r="W83" s="427"/>
      <c r="X83" s="169"/>
      <c r="Y83" s="169"/>
      <c r="Z83" s="197"/>
      <c r="AA83" s="195"/>
      <c r="AB83" s="195"/>
      <c r="AC83" s="168"/>
      <c r="AD83" s="155"/>
      <c r="AE83" s="162"/>
      <c r="AF83" s="162"/>
      <c r="AG83" s="162"/>
      <c r="AH83" s="162"/>
      <c r="AI83" s="162"/>
      <c r="AJ83" s="162"/>
      <c r="AK83" s="162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</row>
    <row r="84" spans="1:53" s="32" customFormat="1" ht="15">
      <c r="A84" s="169"/>
      <c r="B84" s="307"/>
      <c r="C84" s="307"/>
      <c r="D84" s="307"/>
      <c r="E84" s="307"/>
      <c r="F84" s="214"/>
      <c r="G84" s="214"/>
      <c r="H84" s="307"/>
      <c r="I84" s="303"/>
      <c r="J84" s="303"/>
      <c r="K84" s="212"/>
      <c r="L84" s="212"/>
      <c r="M84" s="303"/>
      <c r="N84" s="303"/>
      <c r="O84" s="427"/>
      <c r="P84" s="427"/>
      <c r="Q84" s="427"/>
      <c r="R84" s="427"/>
      <c r="S84" s="428"/>
      <c r="T84" s="428"/>
      <c r="U84" s="192"/>
      <c r="V84" s="429"/>
      <c r="W84" s="429"/>
      <c r="X84" s="169"/>
      <c r="Y84" s="169"/>
      <c r="Z84" s="194"/>
      <c r="AA84" s="194"/>
      <c r="AB84" s="195"/>
      <c r="AC84" s="194"/>
      <c r="AD84" s="194"/>
      <c r="AE84" s="162"/>
      <c r="AF84" s="162"/>
      <c r="AG84" s="162"/>
      <c r="AH84" s="162"/>
      <c r="AI84" s="162"/>
      <c r="AJ84" s="162"/>
      <c r="AK84" s="162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</row>
    <row r="85" spans="1:53" s="32" customFormat="1" ht="15">
      <c r="A85" s="169"/>
      <c r="B85" s="307"/>
      <c r="C85" s="198"/>
      <c r="D85" s="198"/>
      <c r="E85" s="198"/>
      <c r="F85" s="214"/>
      <c r="G85" s="214"/>
      <c r="H85" s="198"/>
      <c r="I85" s="306"/>
      <c r="J85" s="306"/>
      <c r="K85" s="212"/>
      <c r="L85" s="212"/>
      <c r="M85" s="306"/>
      <c r="N85" s="306"/>
      <c r="O85" s="306"/>
      <c r="P85" s="192"/>
      <c r="Q85" s="306"/>
      <c r="R85" s="198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2"/>
      <c r="AF85" s="162"/>
      <c r="AG85" s="162"/>
      <c r="AH85" s="162"/>
      <c r="AI85" s="162"/>
      <c r="AJ85" s="162"/>
      <c r="AK85" s="162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</row>
    <row r="86" spans="1:53" s="32" customFormat="1" ht="16.5">
      <c r="A86" s="110"/>
      <c r="B86" s="164"/>
      <c r="C86" s="165"/>
      <c r="D86" s="165"/>
      <c r="E86" s="165"/>
      <c r="F86" s="211"/>
      <c r="G86" s="214"/>
      <c r="H86" s="198"/>
      <c r="I86" s="306"/>
      <c r="J86" s="306"/>
      <c r="K86" s="212"/>
      <c r="L86" s="212"/>
      <c r="M86" s="306"/>
      <c r="N86" s="306"/>
      <c r="O86" s="306"/>
      <c r="P86" s="192"/>
      <c r="Q86" s="306"/>
      <c r="R86" s="198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2"/>
      <c r="AF86" s="162"/>
      <c r="AG86" s="162"/>
      <c r="AH86" s="162"/>
      <c r="AI86" s="162"/>
      <c r="AJ86" s="162"/>
      <c r="AK86" s="162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</row>
    <row r="87" spans="1:53" s="32" customFormat="1" ht="16.5">
      <c r="A87" s="110"/>
      <c r="B87" s="170"/>
      <c r="C87" s="112"/>
      <c r="D87" s="112"/>
      <c r="E87" s="112"/>
      <c r="F87" s="211"/>
      <c r="G87" s="214"/>
      <c r="H87" s="198"/>
      <c r="I87" s="306"/>
      <c r="J87" s="306"/>
      <c r="K87" s="212"/>
      <c r="L87" s="212"/>
      <c r="M87" s="306"/>
      <c r="N87" s="306"/>
      <c r="O87" s="306"/>
      <c r="P87" s="192"/>
      <c r="Q87" s="306"/>
      <c r="R87" s="198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2"/>
      <c r="AF87" s="162"/>
      <c r="AG87" s="162"/>
      <c r="AH87" s="162"/>
      <c r="AI87" s="162"/>
      <c r="AJ87" s="162"/>
      <c r="AK87" s="162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</row>
    <row r="88" spans="1:53" s="32" customFormat="1" ht="16.5">
      <c r="A88" s="110"/>
      <c r="B88" s="164"/>
      <c r="C88" s="165"/>
      <c r="D88" s="165"/>
      <c r="E88" s="165"/>
      <c r="F88" s="211"/>
      <c r="G88" s="214"/>
      <c r="H88" s="198"/>
      <c r="I88" s="306"/>
      <c r="J88" s="306"/>
      <c r="K88" s="212"/>
      <c r="L88" s="212"/>
      <c r="M88" s="306"/>
      <c r="N88" s="306"/>
      <c r="O88" s="306"/>
      <c r="P88" s="192"/>
      <c r="Q88" s="306"/>
      <c r="R88" s="198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2"/>
      <c r="AF88" s="162"/>
      <c r="AG88" s="162"/>
      <c r="AH88" s="162"/>
      <c r="AI88" s="162"/>
      <c r="AJ88" s="162"/>
      <c r="AK88" s="162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</row>
    <row r="89" spans="1:53" s="32" customFormat="1" ht="16.5">
      <c r="A89" s="196"/>
      <c r="B89" s="170"/>
      <c r="C89" s="170"/>
      <c r="D89" s="170"/>
      <c r="E89" s="170"/>
      <c r="F89" s="309"/>
      <c r="G89" s="214"/>
      <c r="H89" s="198"/>
      <c r="I89" s="170"/>
      <c r="J89" s="170"/>
      <c r="K89" s="309"/>
      <c r="L89" s="309"/>
      <c r="M89" s="170"/>
      <c r="N89" s="170"/>
      <c r="O89" s="170"/>
      <c r="P89" s="192"/>
      <c r="Q89" s="170"/>
      <c r="R89" s="306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  <c r="AD89" s="169"/>
      <c r="AE89" s="162"/>
      <c r="AF89" s="162"/>
      <c r="AG89" s="162"/>
      <c r="AH89" s="162"/>
      <c r="AI89" s="162"/>
      <c r="AJ89" s="162"/>
      <c r="AK89" s="162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</row>
    <row r="90" spans="1:53" s="32" customFormat="1" ht="16.5">
      <c r="A90" s="170"/>
      <c r="B90" s="170"/>
      <c r="C90" s="112"/>
      <c r="D90" s="112"/>
      <c r="E90" s="112"/>
      <c r="F90" s="309"/>
      <c r="G90" s="309"/>
      <c r="H90" s="112"/>
      <c r="I90" s="112"/>
      <c r="J90" s="112"/>
      <c r="K90" s="309"/>
      <c r="L90" s="309"/>
      <c r="M90" s="112"/>
      <c r="N90" s="112"/>
      <c r="O90" s="112"/>
      <c r="P90" s="192"/>
      <c r="Q90" s="112"/>
      <c r="R90" s="306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2"/>
      <c r="AF90" s="162"/>
      <c r="AG90" s="162"/>
      <c r="AH90" s="162"/>
      <c r="AI90" s="162"/>
      <c r="AJ90" s="162"/>
      <c r="AK90" s="162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</row>
    <row r="91" spans="1:53" s="32" customFormat="1" ht="13.5">
      <c r="A91" s="156"/>
      <c r="B91" s="157"/>
      <c r="C91" s="158"/>
      <c r="D91" s="171"/>
      <c r="E91" s="172"/>
      <c r="F91" s="172"/>
      <c r="G91" s="172"/>
      <c r="H91" s="173"/>
      <c r="I91" s="173"/>
      <c r="J91" s="191"/>
      <c r="K91" s="219"/>
      <c r="L91" s="172"/>
      <c r="M91" s="173"/>
      <c r="N91" s="162"/>
      <c r="O91" s="94"/>
      <c r="P91" s="94"/>
      <c r="Q91" s="94"/>
      <c r="R91" s="94"/>
      <c r="S91" s="94"/>
      <c r="T91" s="94"/>
      <c r="U91" s="94"/>
      <c r="V91" s="94"/>
      <c r="W91" s="162"/>
      <c r="X91" s="162"/>
      <c r="Y91" s="94"/>
      <c r="Z91" s="155"/>
      <c r="AA91" s="155"/>
      <c r="AB91" s="163"/>
      <c r="AC91" s="163"/>
      <c r="AD91" s="162"/>
      <c r="AE91" s="162"/>
      <c r="AF91" s="163"/>
      <c r="AG91" s="162"/>
      <c r="AH91" s="162"/>
      <c r="AI91" s="162"/>
      <c r="AJ91" s="162"/>
      <c r="AK91" s="162"/>
      <c r="AL91" s="17"/>
      <c r="AM91" s="17"/>
      <c r="AN91" s="17"/>
      <c r="AO91" s="17"/>
      <c r="AP91" s="17"/>
      <c r="AQ91" s="17"/>
      <c r="AR91" s="17"/>
      <c r="AS91" s="17"/>
      <c r="AT91" s="61"/>
      <c r="AU91" s="61"/>
      <c r="AV91" s="17"/>
      <c r="AW91" s="17"/>
      <c r="AX91" s="17"/>
      <c r="AY91" s="17"/>
    </row>
    <row r="92" spans="1:53" s="32" customFormat="1" ht="13.5">
      <c r="A92" s="199"/>
      <c r="B92" s="92"/>
      <c r="C92" s="92"/>
      <c r="D92" s="195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19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Z92" s="17"/>
    </row>
    <row r="93" spans="1:53" s="64" customFormat="1" ht="16.5">
      <c r="A93" s="196"/>
      <c r="B93" s="110"/>
      <c r="C93" s="110"/>
      <c r="D93" s="196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96"/>
      <c r="P93" s="196"/>
      <c r="Q93" s="196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94"/>
      <c r="AC93" s="94"/>
      <c r="AD93" s="94"/>
      <c r="AE93" s="94"/>
      <c r="AF93" s="162"/>
      <c r="AG93" s="162"/>
      <c r="AH93" s="94"/>
      <c r="AI93" s="94"/>
      <c r="AJ93" s="163"/>
      <c r="AK93" s="163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32"/>
      <c r="AW93" s="32"/>
      <c r="AX93" s="32"/>
      <c r="AY93" s="32"/>
      <c r="AZ93" s="17"/>
      <c r="BA93" s="32"/>
    </row>
    <row r="94" spans="1:53" s="64" customFormat="1" ht="16.5">
      <c r="A94" s="164"/>
      <c r="B94" s="164"/>
      <c r="C94" s="165"/>
      <c r="D94" s="165"/>
      <c r="E94" s="165"/>
      <c r="F94" s="211"/>
      <c r="G94" s="211"/>
      <c r="H94" s="166"/>
      <c r="I94" s="166"/>
      <c r="J94" s="166"/>
      <c r="K94" s="211"/>
      <c r="L94" s="211"/>
      <c r="M94" s="166"/>
      <c r="N94" s="174"/>
      <c r="O94" s="305"/>
      <c r="P94" s="305"/>
      <c r="Q94" s="305"/>
      <c r="R94" s="305"/>
      <c r="S94" s="305"/>
      <c r="T94" s="305"/>
      <c r="U94" s="155"/>
      <c r="V94" s="155"/>
      <c r="W94" s="155"/>
      <c r="X94" s="155"/>
      <c r="Y94" s="155"/>
      <c r="Z94" s="155"/>
      <c r="AA94" s="155"/>
      <c r="AB94" s="155"/>
      <c r="AC94" s="155"/>
      <c r="AD94" s="167"/>
      <c r="AE94" s="155"/>
      <c r="AF94" s="155"/>
      <c r="AG94" s="164"/>
      <c r="AH94" s="155"/>
      <c r="AI94" s="155"/>
      <c r="AJ94" s="155"/>
      <c r="AK94" s="155"/>
    </row>
    <row r="95" spans="1:53" s="64" customFormat="1" ht="16.5">
      <c r="A95" s="110"/>
      <c r="B95" s="302"/>
      <c r="C95" s="302"/>
      <c r="D95" s="302"/>
      <c r="E95" s="302"/>
      <c r="F95" s="309"/>
      <c r="G95" s="309"/>
      <c r="H95" s="301"/>
      <c r="I95" s="301"/>
      <c r="J95" s="301"/>
      <c r="K95" s="309"/>
      <c r="L95" s="309"/>
      <c r="M95" s="301"/>
      <c r="N95" s="301"/>
      <c r="O95" s="301"/>
      <c r="P95" s="301"/>
      <c r="Q95" s="301"/>
      <c r="R95" s="301"/>
      <c r="S95" s="301"/>
      <c r="T95" s="301"/>
      <c r="U95" s="155"/>
      <c r="V95" s="155"/>
      <c r="W95" s="155"/>
      <c r="X95" s="155"/>
      <c r="Y95" s="155"/>
      <c r="Z95" s="155"/>
      <c r="AA95" s="155"/>
      <c r="AB95" s="155"/>
      <c r="AC95" s="155"/>
      <c r="AD95" s="175"/>
      <c r="AE95" s="155"/>
      <c r="AF95" s="155"/>
      <c r="AG95" s="200"/>
      <c r="AH95" s="155"/>
      <c r="AI95" s="155"/>
      <c r="AJ95" s="155"/>
      <c r="AK95" s="155"/>
    </row>
    <row r="96" spans="1:53" s="64" customFormat="1" ht="16.5">
      <c r="A96" s="110"/>
      <c r="B96" s="301"/>
      <c r="C96" s="301"/>
      <c r="D96" s="302"/>
      <c r="E96" s="302"/>
      <c r="F96" s="211"/>
      <c r="G96" s="309"/>
      <c r="H96" s="301"/>
      <c r="I96" s="301"/>
      <c r="J96" s="301"/>
      <c r="K96" s="309"/>
      <c r="L96" s="309"/>
      <c r="M96" s="301"/>
      <c r="N96" s="301"/>
      <c r="O96" s="301"/>
      <c r="P96" s="301"/>
      <c r="Q96" s="301"/>
      <c r="R96" s="301"/>
      <c r="S96" s="301"/>
      <c r="T96" s="301"/>
      <c r="U96" s="155"/>
      <c r="V96" s="155"/>
      <c r="W96" s="155"/>
      <c r="X96" s="155"/>
      <c r="Y96" s="155"/>
      <c r="Z96" s="155"/>
      <c r="AA96" s="155"/>
      <c r="AB96" s="155"/>
      <c r="AC96" s="155"/>
      <c r="AD96" s="201"/>
      <c r="AE96" s="155"/>
      <c r="AF96" s="155"/>
      <c r="AG96" s="200"/>
      <c r="AH96" s="155"/>
      <c r="AI96" s="155"/>
      <c r="AJ96" s="155"/>
      <c r="AK96" s="155"/>
    </row>
    <row r="97" spans="1:53" s="64" customFormat="1" ht="16.5">
      <c r="A97" s="196"/>
      <c r="B97" s="302"/>
      <c r="C97" s="302"/>
      <c r="D97" s="302"/>
      <c r="E97" s="302"/>
      <c r="F97" s="211"/>
      <c r="G97" s="211"/>
      <c r="H97" s="302"/>
      <c r="I97" s="302"/>
      <c r="J97" s="301"/>
      <c r="K97" s="220"/>
      <c r="L97" s="309"/>
      <c r="M97" s="301"/>
      <c r="N97" s="155"/>
      <c r="O97" s="155"/>
      <c r="P97" s="155"/>
      <c r="Q97" s="301"/>
      <c r="R97" s="301"/>
      <c r="S97" s="301"/>
      <c r="T97" s="301"/>
      <c r="U97" s="155"/>
      <c r="V97" s="155"/>
      <c r="W97" s="155"/>
      <c r="X97" s="155"/>
      <c r="Y97" s="155"/>
      <c r="Z97" s="155"/>
      <c r="AA97" s="155"/>
      <c r="AB97" s="155"/>
      <c r="AC97" s="155"/>
      <c r="AD97" s="201"/>
      <c r="AE97" s="155"/>
      <c r="AF97" s="155"/>
      <c r="AG97" s="200"/>
      <c r="AH97" s="155"/>
      <c r="AI97" s="155"/>
      <c r="AJ97" s="155"/>
      <c r="AK97" s="155"/>
    </row>
    <row r="98" spans="1:53" s="64" customFormat="1" ht="16.5">
      <c r="A98" s="196"/>
      <c r="B98" s="301"/>
      <c r="C98" s="302"/>
      <c r="D98" s="302"/>
      <c r="E98" s="302"/>
      <c r="F98" s="309"/>
      <c r="G98" s="309"/>
      <c r="H98" s="301"/>
      <c r="I98" s="301"/>
      <c r="J98" s="301"/>
      <c r="K98" s="309"/>
      <c r="L98" s="309"/>
      <c r="M98" s="301"/>
      <c r="N98" s="301"/>
      <c r="O98" s="301"/>
      <c r="P98" s="301"/>
      <c r="Q98" s="301"/>
      <c r="R98" s="301"/>
      <c r="S98" s="301"/>
      <c r="T98" s="301"/>
      <c r="U98" s="155"/>
      <c r="V98" s="155"/>
      <c r="W98" s="155"/>
      <c r="X98" s="155"/>
      <c r="Y98" s="155"/>
      <c r="Z98" s="155"/>
      <c r="AA98" s="155"/>
      <c r="AB98" s="155"/>
      <c r="AC98" s="155"/>
      <c r="AD98" s="201"/>
      <c r="AE98" s="155"/>
      <c r="AF98" s="155"/>
      <c r="AG98" s="200"/>
      <c r="AH98" s="155"/>
      <c r="AI98" s="155"/>
      <c r="AJ98" s="155"/>
      <c r="AK98" s="155"/>
    </row>
    <row r="99" spans="1:53" s="64" customFormat="1" ht="16.5">
      <c r="A99" s="196"/>
      <c r="B99" s="302"/>
      <c r="C99" s="302"/>
      <c r="D99" s="301"/>
      <c r="E99" s="301"/>
      <c r="F99" s="309"/>
      <c r="G99" s="309"/>
      <c r="H99" s="301"/>
      <c r="I99" s="301"/>
      <c r="J99" s="301"/>
      <c r="K99" s="309"/>
      <c r="L99" s="309"/>
      <c r="M99" s="301"/>
      <c r="N99" s="301"/>
      <c r="O99" s="301"/>
      <c r="P99" s="301"/>
      <c r="Q99" s="301"/>
      <c r="R99" s="301"/>
      <c r="S99" s="301"/>
      <c r="T99" s="301"/>
      <c r="U99" s="155"/>
      <c r="V99" s="155"/>
      <c r="W99" s="155"/>
      <c r="X99" s="155"/>
      <c r="Y99" s="155"/>
      <c r="Z99" s="155"/>
      <c r="AA99" s="155"/>
      <c r="AB99" s="155"/>
      <c r="AC99" s="155"/>
      <c r="AD99" s="201"/>
      <c r="AE99" s="155"/>
      <c r="AF99" s="155"/>
      <c r="AG99" s="200"/>
      <c r="AH99" s="155"/>
      <c r="AI99" s="155"/>
      <c r="AJ99" s="155"/>
      <c r="AK99" s="155"/>
    </row>
    <row r="100" spans="1:53" s="91" customFormat="1" ht="16.5">
      <c r="A100" s="196"/>
      <c r="B100" s="302"/>
      <c r="C100" s="302"/>
      <c r="D100" s="301"/>
      <c r="E100" s="301"/>
      <c r="F100" s="309"/>
      <c r="G100" s="309"/>
      <c r="H100" s="301"/>
      <c r="I100" s="301"/>
      <c r="J100" s="301"/>
      <c r="K100" s="309"/>
      <c r="L100" s="309"/>
      <c r="M100" s="301"/>
      <c r="N100" s="301"/>
      <c r="O100" s="301"/>
      <c r="P100" s="301"/>
      <c r="Q100" s="301"/>
      <c r="R100" s="301"/>
      <c r="S100" s="301"/>
      <c r="T100" s="301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201"/>
      <c r="AE100" s="155"/>
      <c r="AF100" s="155"/>
      <c r="AG100" s="200"/>
      <c r="AH100" s="155"/>
      <c r="AI100" s="155"/>
      <c r="AJ100" s="155"/>
      <c r="AK100" s="155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</row>
    <row r="101" spans="1:53" s="91" customFormat="1" ht="16.5">
      <c r="A101" s="196"/>
      <c r="B101" s="301"/>
      <c r="C101" s="301"/>
      <c r="D101" s="301"/>
      <c r="E101" s="301"/>
      <c r="F101" s="211"/>
      <c r="G101" s="211"/>
      <c r="H101" s="302"/>
      <c r="I101" s="302"/>
      <c r="J101" s="302"/>
      <c r="K101" s="309"/>
      <c r="L101" s="309"/>
      <c r="M101" s="301"/>
      <c r="N101" s="301"/>
      <c r="O101" s="301"/>
      <c r="P101" s="301"/>
      <c r="Q101" s="301"/>
      <c r="R101" s="301"/>
      <c r="S101" s="301"/>
      <c r="T101" s="301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201"/>
      <c r="AE101" s="169"/>
      <c r="AF101" s="169"/>
      <c r="AG101" s="200"/>
      <c r="AH101" s="169"/>
      <c r="AI101" s="169"/>
      <c r="AJ101" s="169"/>
      <c r="AK101" s="169"/>
    </row>
    <row r="102" spans="1:53" s="91" customFormat="1" ht="16.5">
      <c r="A102" s="196"/>
      <c r="B102" s="301"/>
      <c r="C102" s="301"/>
      <c r="D102" s="301"/>
      <c r="E102" s="301"/>
      <c r="F102" s="309"/>
      <c r="G102" s="309"/>
      <c r="H102" s="301"/>
      <c r="I102" s="301"/>
      <c r="J102" s="301"/>
      <c r="K102" s="309"/>
      <c r="L102" s="309"/>
      <c r="M102" s="301"/>
      <c r="N102" s="301"/>
      <c r="O102" s="301"/>
      <c r="P102" s="301"/>
      <c r="Q102" s="301"/>
      <c r="R102" s="301"/>
      <c r="S102" s="301"/>
      <c r="T102" s="301"/>
      <c r="U102" s="169"/>
      <c r="V102" s="169"/>
      <c r="W102" s="169"/>
      <c r="X102" s="169"/>
      <c r="Y102" s="169"/>
      <c r="Z102" s="169"/>
      <c r="AA102" s="169"/>
      <c r="AB102" s="169"/>
      <c r="AC102" s="169"/>
      <c r="AD102" s="201"/>
      <c r="AE102" s="169"/>
      <c r="AF102" s="169"/>
      <c r="AG102" s="200"/>
      <c r="AH102" s="169"/>
      <c r="AI102" s="169"/>
      <c r="AJ102" s="169"/>
      <c r="AK102" s="169"/>
    </row>
    <row r="103" spans="1:53" s="91" customFormat="1" ht="16.5">
      <c r="A103" s="196"/>
      <c r="B103" s="301"/>
      <c r="C103" s="301"/>
      <c r="D103" s="301"/>
      <c r="E103" s="302"/>
      <c r="F103" s="211"/>
      <c r="G103" s="211"/>
      <c r="H103" s="302"/>
      <c r="I103" s="302"/>
      <c r="J103" s="302"/>
      <c r="K103" s="309"/>
      <c r="L103" s="309"/>
      <c r="M103" s="301"/>
      <c r="N103" s="301"/>
      <c r="O103" s="301"/>
      <c r="P103" s="301"/>
      <c r="Q103" s="301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69"/>
      <c r="AD103" s="201"/>
      <c r="AE103" s="169"/>
      <c r="AF103" s="169"/>
      <c r="AG103" s="200"/>
      <c r="AH103" s="169"/>
      <c r="AI103" s="169"/>
      <c r="AJ103" s="169"/>
      <c r="AK103" s="169"/>
    </row>
    <row r="104" spans="1:53" s="91" customFormat="1" ht="16.5">
      <c r="A104" s="196"/>
      <c r="B104" s="301"/>
      <c r="C104" s="301"/>
      <c r="D104" s="301"/>
      <c r="E104" s="301"/>
      <c r="F104" s="309"/>
      <c r="G104" s="309"/>
      <c r="H104" s="301"/>
      <c r="I104" s="302"/>
      <c r="J104" s="302"/>
      <c r="K104" s="213"/>
      <c r="L104" s="309"/>
      <c r="M104" s="301"/>
      <c r="N104" s="169"/>
      <c r="O104" s="169"/>
      <c r="P104" s="301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201"/>
      <c r="AE104" s="169"/>
      <c r="AF104" s="169"/>
      <c r="AG104" s="200"/>
      <c r="AH104" s="169"/>
      <c r="AI104" s="169"/>
      <c r="AJ104" s="169"/>
      <c r="AK104" s="169"/>
    </row>
    <row r="105" spans="1:53" s="91" customFormat="1" ht="16.5">
      <c r="A105" s="196"/>
      <c r="B105" s="301"/>
      <c r="C105" s="301"/>
      <c r="D105" s="301"/>
      <c r="E105" s="301"/>
      <c r="F105" s="309"/>
      <c r="G105" s="309"/>
      <c r="H105" s="301"/>
      <c r="I105" s="302"/>
      <c r="J105" s="302"/>
      <c r="K105" s="213"/>
      <c r="L105" s="309"/>
      <c r="M105" s="301"/>
      <c r="N105" s="169"/>
      <c r="O105" s="169"/>
      <c r="P105" s="169"/>
      <c r="Q105" s="301"/>
      <c r="R105" s="301"/>
      <c r="S105" s="301"/>
      <c r="T105" s="301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201"/>
      <c r="AE105" s="169"/>
      <c r="AF105" s="169"/>
      <c r="AG105" s="200"/>
      <c r="AH105" s="169"/>
      <c r="AI105" s="169"/>
      <c r="AJ105" s="169"/>
      <c r="AK105" s="169"/>
    </row>
    <row r="106" spans="1:53" s="91" customFormat="1" ht="16.5">
      <c r="A106" s="196"/>
      <c r="B106" s="301"/>
      <c r="C106" s="301"/>
      <c r="D106" s="301"/>
      <c r="E106" s="301"/>
      <c r="F106" s="309"/>
      <c r="G106" s="309"/>
      <c r="H106" s="301"/>
      <c r="I106" s="301"/>
      <c r="J106" s="301"/>
      <c r="K106" s="309"/>
      <c r="L106" s="309"/>
      <c r="M106" s="301"/>
      <c r="N106" s="301"/>
      <c r="O106" s="301"/>
      <c r="P106" s="301"/>
      <c r="Q106" s="301"/>
      <c r="R106" s="301"/>
      <c r="S106" s="301"/>
      <c r="T106" s="301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201"/>
      <c r="AE106" s="169"/>
      <c r="AF106" s="169"/>
      <c r="AG106" s="200"/>
      <c r="AH106" s="169"/>
      <c r="AI106" s="169"/>
      <c r="AJ106" s="169"/>
      <c r="AK106" s="169"/>
    </row>
    <row r="107" spans="1:53" s="91" customFormat="1" ht="16.5">
      <c r="A107" s="196"/>
      <c r="B107" s="301"/>
      <c r="C107" s="301"/>
      <c r="D107" s="301"/>
      <c r="E107" s="301"/>
      <c r="F107" s="309"/>
      <c r="G107" s="309"/>
      <c r="H107" s="301"/>
      <c r="I107" s="301"/>
      <c r="J107" s="301"/>
      <c r="K107" s="309"/>
      <c r="L107" s="309"/>
      <c r="M107" s="301"/>
      <c r="N107" s="301"/>
      <c r="O107" s="301"/>
      <c r="P107" s="301"/>
      <c r="Q107" s="169"/>
      <c r="R107" s="169"/>
      <c r="S107" s="169"/>
      <c r="T107" s="301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201"/>
      <c r="AE107" s="169"/>
      <c r="AF107" s="169"/>
      <c r="AG107" s="200"/>
      <c r="AH107" s="169"/>
      <c r="AI107" s="169"/>
      <c r="AJ107" s="169"/>
      <c r="AK107" s="169"/>
    </row>
    <row r="108" spans="1:53" s="91" customFormat="1" ht="16.5">
      <c r="A108" s="196"/>
      <c r="B108" s="301"/>
      <c r="C108" s="301"/>
      <c r="D108" s="301"/>
      <c r="E108" s="301"/>
      <c r="F108" s="309"/>
      <c r="G108" s="309"/>
      <c r="H108" s="301"/>
      <c r="I108" s="301"/>
      <c r="J108" s="301"/>
      <c r="K108" s="309"/>
      <c r="L108" s="309"/>
      <c r="M108" s="301"/>
      <c r="N108" s="301"/>
      <c r="O108" s="301"/>
      <c r="P108" s="301"/>
      <c r="Q108" s="169"/>
      <c r="R108" s="169"/>
      <c r="S108" s="169"/>
      <c r="T108" s="301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201"/>
      <c r="AE108" s="169"/>
      <c r="AF108" s="169"/>
      <c r="AG108" s="200"/>
      <c r="AH108" s="169"/>
      <c r="AI108" s="169"/>
      <c r="AJ108" s="169"/>
      <c r="AK108" s="169"/>
    </row>
    <row r="109" spans="1:53" s="91" customFormat="1" ht="16.5">
      <c r="A109" s="196"/>
      <c r="B109" s="302"/>
      <c r="C109" s="302"/>
      <c r="D109" s="302"/>
      <c r="E109" s="302"/>
      <c r="F109" s="211"/>
      <c r="G109" s="211"/>
      <c r="H109" s="302"/>
      <c r="I109" s="302"/>
      <c r="J109" s="302"/>
      <c r="K109" s="213"/>
      <c r="L109" s="211"/>
      <c r="M109" s="302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201"/>
      <c r="AE109" s="169"/>
      <c r="AF109" s="169"/>
      <c r="AG109" s="200"/>
      <c r="AH109" s="169"/>
      <c r="AI109" s="169"/>
      <c r="AJ109" s="169"/>
      <c r="AK109" s="169"/>
    </row>
    <row r="110" spans="1:53" s="91" customFormat="1" ht="16.5">
      <c r="A110" s="196"/>
      <c r="B110" s="302"/>
      <c r="C110" s="302"/>
      <c r="D110" s="302"/>
      <c r="E110" s="302"/>
      <c r="F110" s="211"/>
      <c r="G110" s="211"/>
      <c r="H110" s="302"/>
      <c r="I110" s="302"/>
      <c r="J110" s="302"/>
      <c r="K110" s="220"/>
      <c r="L110" s="211"/>
      <c r="M110" s="302"/>
      <c r="N110" s="169"/>
      <c r="O110" s="169"/>
      <c r="P110" s="169"/>
      <c r="Q110" s="169"/>
      <c r="R110" s="169"/>
      <c r="S110" s="169"/>
      <c r="T110" s="301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201"/>
      <c r="AE110" s="155"/>
      <c r="AF110" s="155"/>
      <c r="AG110" s="200"/>
      <c r="AH110" s="155"/>
      <c r="AI110" s="155"/>
      <c r="AJ110" s="169"/>
      <c r="AK110" s="169"/>
    </row>
    <row r="111" spans="1:53" s="91" customFormat="1" ht="16.5">
      <c r="A111" s="196"/>
      <c r="B111" s="301"/>
      <c r="C111" s="301"/>
      <c r="D111" s="301"/>
      <c r="E111" s="301"/>
      <c r="F111" s="309"/>
      <c r="G111" s="309"/>
      <c r="H111" s="301"/>
      <c r="I111" s="301"/>
      <c r="J111" s="301"/>
      <c r="K111" s="220"/>
      <c r="L111" s="211"/>
      <c r="M111" s="302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201"/>
      <c r="AE111" s="155"/>
      <c r="AF111" s="155"/>
      <c r="AG111" s="200"/>
      <c r="AH111" s="155"/>
      <c r="AI111" s="155"/>
      <c r="AJ111" s="169"/>
      <c r="AK111" s="169"/>
    </row>
    <row r="112" spans="1:53" s="91" customFormat="1" ht="14.25">
      <c r="A112" s="169"/>
      <c r="B112" s="202"/>
      <c r="C112" s="202"/>
      <c r="D112" s="202"/>
      <c r="E112" s="202"/>
      <c r="F112" s="213"/>
      <c r="G112" s="213"/>
      <c r="H112" s="202"/>
      <c r="I112" s="203"/>
      <c r="J112" s="303"/>
      <c r="K112" s="220"/>
      <c r="L112" s="213"/>
      <c r="M112" s="202"/>
      <c r="N112" s="169"/>
      <c r="O112" s="169"/>
      <c r="P112" s="169"/>
      <c r="Q112" s="169"/>
      <c r="R112" s="169"/>
      <c r="S112" s="169"/>
      <c r="T112" s="155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204"/>
      <c r="AE112" s="155"/>
      <c r="AF112" s="155"/>
      <c r="AG112" s="204"/>
      <c r="AH112" s="155"/>
      <c r="AI112" s="155"/>
      <c r="AJ112" s="169"/>
      <c r="AK112" s="169"/>
    </row>
    <row r="113" spans="1:68" s="91" customFormat="1" ht="14.25">
      <c r="A113" s="169"/>
      <c r="B113" s="202"/>
      <c r="C113" s="169"/>
      <c r="D113" s="169"/>
      <c r="E113" s="169"/>
      <c r="F113" s="213"/>
      <c r="G113" s="213"/>
      <c r="H113" s="169"/>
      <c r="I113" s="155"/>
      <c r="J113" s="155"/>
      <c r="K113" s="220"/>
      <c r="L113" s="213"/>
      <c r="M113" s="169"/>
      <c r="N113" s="169"/>
      <c r="O113" s="155"/>
      <c r="P113" s="155"/>
      <c r="Q113" s="204"/>
      <c r="R113" s="155"/>
      <c r="S113" s="155"/>
      <c r="T113" s="155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</row>
    <row r="114" spans="1:68" s="91" customFormat="1" ht="16.5">
      <c r="A114" s="110"/>
      <c r="B114" s="164"/>
      <c r="C114" s="165"/>
      <c r="D114" s="165"/>
      <c r="E114" s="165"/>
      <c r="F114" s="211"/>
      <c r="G114" s="214"/>
      <c r="H114" s="198"/>
      <c r="I114" s="306"/>
      <c r="J114" s="306"/>
      <c r="K114" s="220"/>
      <c r="L114" s="214"/>
      <c r="M114" s="198"/>
      <c r="N114" s="169"/>
      <c r="O114" s="155"/>
      <c r="P114" s="155"/>
      <c r="Q114" s="196"/>
      <c r="R114" s="155"/>
      <c r="S114" s="155"/>
      <c r="T114" s="155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</row>
    <row r="115" spans="1:68" s="91" customFormat="1" ht="16.5">
      <c r="A115" s="110"/>
      <c r="B115" s="110"/>
      <c r="C115" s="112"/>
      <c r="D115" s="112"/>
      <c r="E115" s="112"/>
      <c r="F115" s="211"/>
      <c r="G115" s="214"/>
      <c r="H115" s="198"/>
      <c r="I115" s="306"/>
      <c r="J115" s="306"/>
      <c r="K115" s="220"/>
      <c r="L115" s="214"/>
      <c r="M115" s="198"/>
      <c r="N115" s="169"/>
      <c r="O115" s="155"/>
      <c r="P115" s="155"/>
      <c r="Q115" s="196"/>
      <c r="R115" s="155"/>
      <c r="S115" s="155"/>
      <c r="T115" s="155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</row>
    <row r="116" spans="1:68" s="91" customFormat="1" ht="16.5">
      <c r="A116" s="110"/>
      <c r="B116" s="164"/>
      <c r="C116" s="165"/>
      <c r="D116" s="165"/>
      <c r="E116" s="165"/>
      <c r="F116" s="211"/>
      <c r="G116" s="214"/>
      <c r="H116" s="198"/>
      <c r="I116" s="306"/>
      <c r="J116" s="306"/>
      <c r="K116" s="220"/>
      <c r="L116" s="214"/>
      <c r="M116" s="198"/>
      <c r="N116" s="169"/>
      <c r="O116" s="155"/>
      <c r="P116" s="155"/>
      <c r="Q116" s="196"/>
      <c r="R116" s="155"/>
      <c r="S116" s="155"/>
      <c r="T116" s="155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69"/>
      <c r="AH116" s="169"/>
      <c r="AI116" s="169"/>
      <c r="AJ116" s="169"/>
      <c r="AK116" s="169"/>
    </row>
    <row r="117" spans="1:68" s="91" customFormat="1" ht="16.5">
      <c r="A117" s="196"/>
      <c r="B117" s="196"/>
      <c r="C117" s="196"/>
      <c r="D117" s="196"/>
      <c r="E117" s="196"/>
      <c r="F117" s="218"/>
      <c r="G117" s="213"/>
      <c r="H117" s="169"/>
      <c r="I117" s="196"/>
      <c r="J117" s="196"/>
      <c r="K117" s="220"/>
      <c r="L117" s="213"/>
      <c r="M117" s="169"/>
      <c r="N117" s="169"/>
      <c r="O117" s="155"/>
      <c r="P117" s="155"/>
      <c r="Q117" s="196"/>
      <c r="R117" s="155"/>
      <c r="S117" s="155"/>
      <c r="T117" s="155"/>
      <c r="U117" s="155"/>
      <c r="V117" s="155"/>
      <c r="W117" s="169"/>
      <c r="X117" s="169"/>
      <c r="Y117" s="169"/>
      <c r="Z117" s="169"/>
      <c r="AA117" s="169"/>
      <c r="AB117" s="169"/>
      <c r="AC117" s="169"/>
      <c r="AD117" s="169"/>
      <c r="AE117" s="169"/>
      <c r="AF117" s="169"/>
      <c r="AG117" s="169"/>
      <c r="AH117" s="169"/>
      <c r="AI117" s="169"/>
      <c r="AJ117" s="169"/>
      <c r="AK117" s="169"/>
    </row>
    <row r="118" spans="1:68" s="91" customFormat="1" ht="16.5">
      <c r="A118" s="170"/>
      <c r="B118" s="170"/>
      <c r="C118" s="112"/>
      <c r="D118" s="112"/>
      <c r="E118" s="112"/>
      <c r="F118" s="309"/>
      <c r="G118" s="309"/>
      <c r="H118" s="112"/>
      <c r="I118" s="112"/>
      <c r="J118" s="112"/>
      <c r="K118" s="220"/>
      <c r="L118" s="309"/>
      <c r="M118" s="112"/>
      <c r="N118" s="169"/>
      <c r="O118" s="155"/>
      <c r="P118" s="155"/>
      <c r="Q118" s="112"/>
      <c r="R118" s="155"/>
      <c r="S118" s="155"/>
      <c r="T118" s="155"/>
      <c r="U118" s="155"/>
      <c r="V118" s="155"/>
      <c r="W118" s="169"/>
      <c r="X118" s="169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69"/>
    </row>
    <row r="119" spans="1:68" s="64" customFormat="1" ht="16.5">
      <c r="A119" s="110"/>
      <c r="B119" s="110"/>
      <c r="C119" s="110"/>
      <c r="D119" s="196"/>
      <c r="E119" s="111"/>
      <c r="F119" s="111"/>
      <c r="G119" s="111"/>
      <c r="H119" s="111"/>
      <c r="I119" s="111"/>
      <c r="J119" s="155"/>
      <c r="K119" s="220"/>
      <c r="L119" s="111"/>
      <c r="M119" s="111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69"/>
      <c r="Z119" s="169"/>
      <c r="AA119" s="169"/>
      <c r="AB119" s="169"/>
      <c r="AC119" s="169"/>
      <c r="AD119" s="169"/>
      <c r="AE119" s="169"/>
      <c r="AF119" s="169"/>
      <c r="AG119" s="169"/>
      <c r="AH119" s="169"/>
      <c r="AI119" s="169"/>
      <c r="AJ119" s="169"/>
      <c r="AK119" s="169"/>
      <c r="AL119" s="91"/>
      <c r="AM119" s="91"/>
      <c r="AN119" s="91"/>
      <c r="AO119" s="91"/>
      <c r="AP119" s="91"/>
      <c r="AQ119" s="91"/>
      <c r="AR119" s="91"/>
      <c r="AS119" s="91"/>
      <c r="AT119" s="91"/>
      <c r="AU119" s="91"/>
      <c r="AV119" s="91"/>
      <c r="AW119" s="91"/>
      <c r="AX119" s="91"/>
      <c r="AY119" s="91"/>
      <c r="AZ119" s="91"/>
      <c r="BA119" s="91"/>
    </row>
    <row r="120" spans="1:68" s="64" customFormat="1">
      <c r="A120" s="199"/>
      <c r="B120" s="176"/>
      <c r="C120" s="176"/>
      <c r="D120" s="155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BN120" s="18"/>
      <c r="BO120" s="18"/>
      <c r="BP120" s="18"/>
    </row>
  </sheetData>
  <protectedRanges>
    <protectedRange sqref="O12:Y12 AE12:AS12" name="Диапазон1_1_2"/>
    <protectedRange sqref="B48:C48 AG48:AK48 J54:N57 E48:P48 S48:W48 B38:Y38 AJ7:AO7 B9:C9 B43:C43 B33:Y33 B55:C57 I57 B18:Y18 H56:H57 E43:Y43 B12:N12 AE38:AU38 AN48:AR48 AE9:AS9 B7:T7 V7:AH7 AH18:AY18 AT54:AV57 D54:G57 AQ7:AS7 E9:Y9 AE43:AS43 AE33:AY33 AE18:AF18" name="Диапазон1_1_6"/>
    <protectedRange sqref="X48:Y48 Q48:R48 AE48:AF48 AL48:AM48 AS48" name="Диапазон1_1_8"/>
    <protectedRange sqref="B34:B37 B19:B32 B49 B69:B70 B91 B47 B39:B42 B13:B17 B59" name="Диапазон1_1"/>
    <protectedRange sqref="C5" name="Диапазон1_1_9"/>
    <protectedRange sqref="D67 D69:D70 D91 D59 D28 D15 D41" name="Диапазон1_1_10"/>
    <protectedRange sqref="B44" name="Диапазон1_1_13"/>
    <protectedRange sqref="B61:B62" name="Диапазон1_1_7"/>
    <protectedRange sqref="D50 D46" name="Диапазон1_1_10_5"/>
    <protectedRange sqref="D73" name="Диапазон1_1_10_7"/>
    <protectedRange sqref="X54:Y57 Q54:R57 AE54:AF57 AL54:AM57 AS54:AS57" name="Диапазон1_1_6_1_1"/>
    <protectedRange sqref="B60" name="Диапазон1_1_1"/>
    <protectedRange sqref="D60" name="Диапазон1_1_10_9"/>
    <protectedRange sqref="D43 D48 D9" name="Диапазон1_1_6_2"/>
    <protectedRange sqref="D61:D62 D36:D37 D44 D58 D16:D17 D42 D39 D49 D13 D8 D47 D19:D26 D29:D32 D10 D34" name="Диапазон1_1_10_10"/>
    <protectedRange sqref="D51 D53" name="Диапазон1_1_10_6_1"/>
    <protectedRange sqref="D45 D11" name="Диапазон1_1_10_1"/>
    <protectedRange sqref="AO54:AR57 T54:T57 V54:W57" name="Диапазон1_1_6_1_1_1_1"/>
    <protectedRange sqref="S54:S57 AN54:AN57" name="Диапазон1_1_6_1_1_1_1_1"/>
    <protectedRange sqref="D52" name="Диапазон1_1_10_5_1"/>
    <protectedRange sqref="O54:P57 AD54:AD57 U54:U57 AG54:AK57" name="Диапазон1_1_6_1_1_1_1_1_1"/>
    <protectedRange sqref="Z12:AD12" name="Диапазон1_1_2_1"/>
    <protectedRange sqref="Z43:AD43 AG18 Z9:AD9 Z33:AD33 Z18:AD18 Z48:AD48 Z38:AD38" name="Диапазон1_1_6_1"/>
    <protectedRange sqref="AA54:AC57" name="Диапазон1_1_6_1_1_1_1_2"/>
    <protectedRange sqref="Z54:Z57" name="Диапазон1_1_6_1_1_1_1_1_2"/>
  </protectedRanges>
  <mergeCells count="48">
    <mergeCell ref="AV5:AW5"/>
    <mergeCell ref="AY5:AY6"/>
    <mergeCell ref="AZ5:AZ6"/>
    <mergeCell ref="BA5:BA6"/>
    <mergeCell ref="O73:P73"/>
    <mergeCell ref="Q73:R73"/>
    <mergeCell ref="V73:W73"/>
    <mergeCell ref="AT5:AT6"/>
    <mergeCell ref="AU5:AU6"/>
    <mergeCell ref="J65:K65"/>
    <mergeCell ref="J69:K69"/>
    <mergeCell ref="J71:K71"/>
    <mergeCell ref="O72:P72"/>
    <mergeCell ref="V72:W72"/>
    <mergeCell ref="O74:P74"/>
    <mergeCell ref="Q74:R74"/>
    <mergeCell ref="V74:W74"/>
    <mergeCell ref="O75:P75"/>
    <mergeCell ref="Q75:R75"/>
    <mergeCell ref="V75:W75"/>
    <mergeCell ref="O76:P76"/>
    <mergeCell ref="Q76:R76"/>
    <mergeCell ref="V76:W76"/>
    <mergeCell ref="O77:P77"/>
    <mergeCell ref="Q77:R77"/>
    <mergeCell ref="V77:W77"/>
    <mergeCell ref="O78:P78"/>
    <mergeCell ref="Q78:R78"/>
    <mergeCell ref="V78:W78"/>
    <mergeCell ref="O79:P79"/>
    <mergeCell ref="Q79:R79"/>
    <mergeCell ref="V79:W79"/>
    <mergeCell ref="O80:P80"/>
    <mergeCell ref="Q80:R80"/>
    <mergeCell ref="V80:W80"/>
    <mergeCell ref="O81:P81"/>
    <mergeCell ref="Q81:R81"/>
    <mergeCell ref="V81:W81"/>
    <mergeCell ref="O84:P84"/>
    <mergeCell ref="Q84:R84"/>
    <mergeCell ref="S84:T84"/>
    <mergeCell ref="V84:W84"/>
    <mergeCell ref="O82:P82"/>
    <mergeCell ref="Q82:R82"/>
    <mergeCell ref="V82:W82"/>
    <mergeCell ref="O83:P83"/>
    <mergeCell ref="Q83:R83"/>
    <mergeCell ref="V83:W83"/>
  </mergeCells>
  <conditionalFormatting sqref="O2">
    <cfRule type="containsText" dxfId="14" priority="2911" stopIfTrue="1" operator="containsText" text="от">
      <formula>NOT(ISERROR(SEARCH("от",O2)))</formula>
    </cfRule>
  </conditionalFormatting>
  <conditionalFormatting sqref="AZ92:AZ93 AW91:AY91 AT91:AU91 AV72:AW90 AZ68:BA71 AZ65:BA65 BB63:BB64 BB57:BB58 BE48:BH48 AV44:AW44 AZ44:BB44 AZ48 AZ49:BB50 AZ47:BB47 AZ51 BB51 BB53 AZ53 AZ59:BB59 BB39 AZ34:AZ35 AZ22 AZ25:BB27 AZ19:BA21 AZ13:BB14 BB12 AZ10:BB11 AZ8:BB8 AZ15:BA15 AZ16:BB16 AZ17:BA17 BA35 BA28 BB18:BB24 AZ28:AZ29 BB29:BB37 AZ39:BA41 BB42">
    <cfRule type="containsText" dxfId="13" priority="2910" stopIfTrue="1" operator="containsText" text="0">
      <formula>NOT(ISERROR(SEARCH("0",AT8)))</formula>
    </cfRule>
  </conditionalFormatting>
  <conditionalFormatting sqref="AT93:AU93 D67 D69:D70 D91 AT69:AU71 AW48:AY48 AT44:AU47 AT49:AU53 D44:D53 AT58:AU62 D58:D62 AT10:AU11 D10:D11 AT8:AU8 D8 AT13:AU17 D13:D17 AT19:AU32 D19:D32 AT34:AU37 D34:D37 D39:D42 AT39:AU42">
    <cfRule type="cellIs" dxfId="12" priority="2909" stopIfTrue="1" operator="equal">
      <formula>0</formula>
    </cfRule>
  </conditionalFormatting>
  <conditionalFormatting sqref="AV65 AV68:AV71 AT72:AT90 AV49 BA48 AV47 AV39 AV13 AV10:AV11 AV8 AV15:AV17 AV34:AV35 AV25:AV26 AV19:AV22 AV28:AV29 AV41">
    <cfRule type="containsText" dxfId="11" priority="2908" stopIfTrue="1" operator="containsText" text="0">
      <formula>NOT(ISERROR(SEARCH("0",AT8)))</formula>
    </cfRule>
  </conditionalFormatting>
  <conditionalFormatting sqref="Q54:T57 AE54:AF58 AL54:AS57 O53:AB53 AD53:AS53 O52 AI52:AN52 Q52:AB52 AD52:AG52 AP52:AS52 AC52:AC53 V54:AC57 O60:Y60 O59 Q59:T59 AG58:AO61 V59:Y59 AP58:AS62 Z59:AF60 P58:AD58 O61:AF61 O62:AO62 P32:R32 AE33:AS33 AH18:AS18 O8:AS17 O18:AD31 AE18:AG23 T32:Y32 AP31:AS32 O33:Y42 Z32:AD33 AE24:AM32 AH19:AM23 AP29:AQ30 AN29:AO32 AN19:AQ28 AR19:AS30 Z34:AS42 O43:AS51">
    <cfRule type="containsText" dxfId="10" priority="1602" operator="containsText" text="гр">
      <formula>NOT(ISERROR(SEARCH("гр",O8)))</formula>
    </cfRule>
    <cfRule type="containsText" dxfId="9" priority="1638" operator="containsText" text="р">
      <formula>NOT(ISERROR(SEARCH("р",O8)))</formula>
    </cfRule>
    <cfRule type="containsText" dxfId="8" priority="1639" operator="containsText" text="кл">
      <formula>NOT(ISERROR(SEARCH("кл",O8)))</formula>
    </cfRule>
    <cfRule type="containsText" dxfId="7" priority="1640" operator="containsText" text="от">
      <formula>NOT(ISERROR(SEARCH("от",O8)))</formula>
    </cfRule>
    <cfRule type="containsText" dxfId="6" priority="1641" operator="containsText" text="н">
      <formula>NOT(ISERROR(SEARCH("н",O8)))</formula>
    </cfRule>
    <cfRule type="containsText" dxfId="5" priority="2904" stopIfTrue="1" operator="containsText" text="8">
      <formula>NOT(ISERROR(SEARCH("8",O8)))</formula>
    </cfRule>
  </conditionalFormatting>
  <conditionalFormatting sqref="AB71:AH71">
    <cfRule type="containsText" dxfId="4" priority="2887" stopIfTrue="1" operator="containsText" text="8">
      <formula>NOT(ISERROR(SEARCH("8",AB71)))</formula>
    </cfRule>
  </conditionalFormatting>
  <conditionalFormatting sqref="D73">
    <cfRule type="cellIs" dxfId="3" priority="2809" stopIfTrue="1" operator="equal">
      <formula>0</formula>
    </cfRule>
  </conditionalFormatting>
  <conditionalFormatting sqref="AR93 AR69:AR91">
    <cfRule type="containsText" dxfId="2" priority="2719" stopIfTrue="1" operator="containsText" text="8">
      <formula>NOT(ISERROR(SEARCH("8",AR69)))</formula>
    </cfRule>
  </conditionalFormatting>
  <pageMargins left="0.31496062992125984" right="0.31496062992125984" top="0.35433070866141736" bottom="0.35433070866141736" header="0" footer="0"/>
  <pageSetup paperSize="9" fitToHeight="0" orientation="landscape" r:id="rId1"/>
  <legacyDrawing r:id="rId2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containsText" priority="2184" stopIfTrue="1" operator="containsText" text="0" id="{252189F3-4884-42E4-B0E4-1CE4BD274097}">
            <xm:f>NOT(ISERROR(SEARCH("0",#REF!)))</xm:f>
            <x14:dxf>
              <font>
                <strike val="0"/>
                <color theme="0"/>
              </font>
            </x14:dxf>
          </x14:cfRule>
          <xm:sqref>AZ52:BB52</xm:sqref>
        </x14:conditionalFormatting>
        <x14:conditionalFormatting xmlns:xm="http://schemas.microsoft.com/office/excel/2006/main">
          <x14:cfRule type="containsText" priority="2183" stopIfTrue="1" operator="containsText" text="8" id="{CDA843BD-0A57-4E6A-877E-F5DBCCBD5EBE}">
            <xm:f>NOT(ISERROR(SEARCH("8",#REF!)))</xm:f>
            <x14:dxf>
              <font>
                <strike val="0"/>
                <color auto="1"/>
              </font>
              <fill>
                <patternFill>
                  <bgColor theme="4" tint="0.39994506668294322"/>
                </patternFill>
              </fill>
            </x14:dxf>
          </x14:cfRule>
          <xm:sqref>AY52</xm:sqref>
        </x14:conditionalFormatting>
        <x14:conditionalFormatting xmlns:xm="http://schemas.microsoft.com/office/excel/2006/main">
          <x14:cfRule type="expression" priority="2185" stopIfTrue="1" id="{3BF74C50-CD3F-44D9-B37D-091C57A45E5C}">
            <xm:f>AND(DATE(,MONTH(TODAY()),DAY(TODAY()))&gt;=DATE(,MONTH(#REF!-#REF!),DAY(#REF!-#REF!)),DATE(,MONTH(TODAY()),DAY(TODAY()))&lt;=DATE(,MONTH(#REF!),DAY(#REF!)))</xm:f>
            <x14:dxf>
              <fill>
                <patternFill>
                  <bgColor theme="5" tint="0.39994506668294322"/>
                </patternFill>
              </fill>
            </x14:dxf>
          </x14:cfRule>
          <xm:sqref>#REF!</xm:sqref>
        </x14:conditionalFormatting>
        <x14:conditionalFormatting xmlns:xm="http://schemas.microsoft.com/office/excel/2006/main">
          <x14:cfRule type="expression" priority="2186" stopIfTrue="1" id="{5A271796-4565-4201-A7C1-2CAC39D2B668}">
            <xm:f>AND(DATE(,MONTH(TODAY()),DAY(TODAY()))&gt;=DATE(,MONTH(#REF!-#REF!),DAY(#REF!-#REF!)),DATE(,MONTH(TODAY()),DAY(TODAY()))&lt;=DATE(,MONTH(#REF!),DAY(#REF!)))</xm:f>
            <x14:dxf>
              <fill>
                <patternFill>
                  <bgColor theme="5" tint="0.59996337778862885"/>
                </patternFill>
              </fill>
            </x14:dxf>
          </x14:cfRule>
          <xm:sqref>#REF!</xm:sqref>
        </x14:conditionalFormatting>
        <x14:conditionalFormatting xmlns:xm="http://schemas.microsoft.com/office/excel/2006/main">
          <x14:cfRule type="expression" priority="2187" id="{71E12AE7-0BC6-495A-AB9E-E66E79E9B47E}">
            <xm:f>AND(DATE(,MONTH(TODAY()),DAY(TODAY()))&gt;=DATE(,MONTH(#REF!-#REF!),DAY(#REF!-#REF!)),DATE(,MONTH(TODAY()),DAY(TODAY()))&lt;=DATE(,MONTH(#REF!),DAY(#REF!)))</xm:f>
            <x14:dxf>
              <fill>
                <patternFill>
                  <bgColor theme="5" tint="0.39994506668294322"/>
                </patternFill>
              </fill>
            </x14:dxf>
          </x14:cfRule>
          <xm:sqref>#REF!</xm:sqref>
        </x14:conditionalFormatting>
        <x14:conditionalFormatting xmlns:xm="http://schemas.microsoft.com/office/excel/2006/main">
          <x14:cfRule type="containsText" priority="1608" stopIfTrue="1" operator="containsText" text="0" id="{6795F147-8E30-4458-A959-9CE6A51999C8}">
            <xm:f>NOT(ISERROR(SEARCH("0",#REF!)))</xm:f>
            <x14:dxf>
              <font>
                <strike val="0"/>
                <color theme="0"/>
              </font>
            </x14:dxf>
          </x14:cfRule>
          <xm:sqref>#REF!</xm:sqref>
        </x14:conditionalFormatting>
        <x14:conditionalFormatting xmlns:xm="http://schemas.microsoft.com/office/excel/2006/main">
          <x14:cfRule type="expression" priority="1609" stopIfTrue="1" id="{31480521-9C70-4FCB-8AFC-2024A55C7128}">
            <xm:f>AND(DATE(,MONTH(TODAY()),DAY(TODAY()))&gt;=DATE(,MONTH(#REF!-#REF!),DAY(#REF!-#REF!)),DATE(,MONTH(TODAY()),DAY(TODAY()))&lt;=DATE(,MONTH(#REF!),DAY(#REF!)))</xm:f>
            <x14:dxf>
              <fill>
                <patternFill>
                  <bgColor theme="5" tint="0.39994506668294322"/>
                </patternFill>
              </fill>
            </x14:dxf>
          </x14:cfRule>
          <xm:sqref>#REF!</xm:sqref>
        </x14:conditionalFormatting>
        <x14:conditionalFormatting xmlns:xm="http://schemas.microsoft.com/office/excel/2006/main">
          <x14:cfRule type="expression" priority="1610" id="{F7D0A67D-AE84-4CBF-912C-B6D28B88FD2C}">
            <xm:f>AND(DATE(,MONTH(TODAY()),DAY(TODAY()))&gt;=DATE(,MONTH(#REF!-#REF!),DAY(#REF!-#REF!)),DATE(,MONTH(TODAY()),DAY(TODAY()))&lt;=DATE(,MONTH(#REF!),DAY(#REF!)))</xm:f>
            <x14:dxf>
              <fill>
                <patternFill>
                  <bgColor theme="5" tint="0.39994506668294322"/>
                </patternFill>
              </fill>
            </x14:dxf>
          </x14:cfRule>
          <xm:sqref>#REF!</xm:sqref>
        </x14:conditionalFormatting>
        <x14:conditionalFormatting xmlns:xm="http://schemas.microsoft.com/office/excel/2006/main">
          <x14:cfRule type="containsText" priority="1380" stopIfTrue="1" operator="containsText" text="0" id="{877BB78F-3B96-4F6D-8506-2013479B6E57}">
            <xm:f>NOT(ISERROR(SEARCH("0",#REF!)))</xm:f>
            <x14:dxf>
              <font>
                <strike val="0"/>
                <color theme="0"/>
              </font>
            </x14:dxf>
          </x14:cfRule>
          <xm:sqref>#REF!</xm:sqref>
        </x14:conditionalFormatting>
        <x14:conditionalFormatting xmlns:xm="http://schemas.microsoft.com/office/excel/2006/main">
          <x14:cfRule type="expression" priority="1381" stopIfTrue="1" id="{F962E8C7-1975-459D-8DD5-EB24D34D3560}">
            <xm:f>AND(DATE(,MONTH(TODAY()),DAY(TODAY()))&gt;=DATE(,MONTH(#REF!-#REF!),DAY(#REF!-#REF!)),DATE(,MONTH(TODAY()),DAY(TODAY()))&lt;=DATE(,MONTH(#REF!),DAY(#REF!)))</xm:f>
            <x14:dxf>
              <fill>
                <patternFill>
                  <bgColor theme="5" tint="0.39994506668294322"/>
                </patternFill>
              </fill>
            </x14:dxf>
          </x14:cfRule>
          <xm:sqref>#REF!</xm:sqref>
        </x14:conditionalFormatting>
        <x14:conditionalFormatting xmlns:xm="http://schemas.microsoft.com/office/excel/2006/main">
          <x14:cfRule type="expression" priority="1382" id="{104C1D0F-46B1-4D4D-834E-11A2BA5BA4D8}">
            <xm:f>AND(DATE(,MONTH(TODAY()),DAY(TODAY()))&gt;=DATE(,MONTH(#REF!-#REF!),DAY(#REF!-#REF!)),DATE(,MONTH(TODAY()),DAY(TODAY()))&lt;=DATE(,MONTH(#REF!),DAY(#REF!)))</xm:f>
            <x14:dxf>
              <fill>
                <patternFill>
                  <bgColor theme="5" tint="0.39994506668294322"/>
                </patternFill>
              </fill>
            </x14:dxf>
          </x14:cfRule>
          <xm:sqref>#REF!</xm:sqref>
        </x14:conditionalFormatting>
        <x14:conditionalFormatting xmlns:xm="http://schemas.microsoft.com/office/excel/2006/main">
          <x14:cfRule type="containsText" priority="24" stopIfTrue="1" operator="containsText" text="0" id="{F34B8C48-A11D-4D47-AAE0-E0D5F6B27D92}">
            <xm:f>NOT(ISERROR(SEARCH("0",#REF!)))</xm:f>
            <x14:dxf>
              <font>
                <strike val="0"/>
                <color theme="0"/>
              </font>
            </x14:dxf>
          </x14:cfRule>
          <xm:sqref>#REF!</xm:sqref>
        </x14:conditionalFormatting>
        <x14:conditionalFormatting xmlns:xm="http://schemas.microsoft.com/office/excel/2006/main">
          <x14:cfRule type="containsText" priority="20" stopIfTrue="1" operator="containsText" text="8" id="{ED501C89-8F73-4C2E-8F35-9CA8A998DE46}">
            <xm:f>NOT(ISERROR(SEARCH("8",#REF!)))</xm:f>
            <x14:dxf>
              <font>
                <strike val="0"/>
                <color auto="1"/>
              </font>
              <fill>
                <patternFill>
                  <bgColor theme="4" tint="0.39994506668294322"/>
                </patternFill>
              </fill>
            </x14:dxf>
          </x14:cfRule>
          <xm:sqref>#REF!</xm:sqref>
        </x14:conditionalFormatting>
        <x14:conditionalFormatting xmlns:xm="http://schemas.microsoft.com/office/excel/2006/main">
          <x14:cfRule type="expression" priority="25" stopIfTrue="1" id="{B8308F4A-B8F2-4025-A4EC-517AA5AC1B5F}">
            <xm:f>AND(DATE(,MONTH(TODAY()),DAY(TODAY()))&gt;=DATE(,MONTH(#REF!-#REF!),DAY(#REF!-#REF!)),DATE(,MONTH(TODAY()),DAY(TODAY()))&lt;=DATE(,MONTH(#REF!),DAY(#REF!)))</xm:f>
            <x14:dxf>
              <fill>
                <patternFill>
                  <bgColor theme="5" tint="0.39994506668294322"/>
                </patternFill>
              </fill>
            </x14:dxf>
          </x14:cfRule>
          <xm:sqref>#REF!</xm:sqref>
        </x14:conditionalFormatting>
        <x14:conditionalFormatting xmlns:xm="http://schemas.microsoft.com/office/excel/2006/main">
          <x14:cfRule type="expression" priority="26" id="{759175EE-03A9-4E39-8CBC-1EDA5B322BDB}">
            <xm:f>AND(DATE(,MONTH(TODAY()),DAY(TODAY()))&gt;=DATE(,MONTH(#REF!-#REF!),DAY(#REF!-#REF!)),DATE(,MONTH(TODAY()),DAY(TODAY()))&lt;=DATE(,MONTH(#REF!),DAY(#REF!)))</xm:f>
            <x14:dxf>
              <fill>
                <patternFill>
                  <bgColor theme="5" tint="0.39994506668294322"/>
                </patternFill>
              </fill>
            </x14:dxf>
          </x14:cfRule>
          <xm:sqref>#REF!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R69"/>
  <sheetViews>
    <sheetView tabSelected="1" workbookViewId="0">
      <pane ySplit="4" topLeftCell="A25" activePane="bottomLeft" state="frozen"/>
      <selection pane="bottomLeft" activeCell="A34" sqref="A34:XFD72"/>
    </sheetView>
  </sheetViews>
  <sheetFormatPr defaultRowHeight="14.45" customHeight="1"/>
  <cols>
    <col min="1" max="1" width="31.7109375" style="357" customWidth="1"/>
    <col min="2" max="2" width="13" style="357" customWidth="1"/>
    <col min="3" max="3" width="12.42578125" style="357" customWidth="1"/>
    <col min="4" max="4" width="10" style="357" bestFit="1" customWidth="1"/>
    <col min="5" max="7" width="9.28515625" style="357" bestFit="1" customWidth="1"/>
    <col min="8" max="8" width="9.85546875" style="357" customWidth="1"/>
    <col min="9" max="9" width="11.5703125" style="357" customWidth="1"/>
    <col min="10" max="10" width="9.85546875" style="357" customWidth="1"/>
    <col min="11" max="11" width="31.7109375" style="357" customWidth="1"/>
    <col min="12" max="13" width="9.28515625" style="357" bestFit="1" customWidth="1"/>
    <col min="14" max="16384" width="9.140625" style="357"/>
  </cols>
  <sheetData>
    <row r="1" spans="1:18" ht="14.45" customHeight="1">
      <c r="A1" s="351"/>
      <c r="B1" s="352"/>
      <c r="C1" s="353" t="s">
        <v>102</v>
      </c>
      <c r="D1" s="354"/>
      <c r="E1" s="354"/>
      <c r="F1" s="354"/>
      <c r="G1" s="354"/>
      <c r="H1" s="355"/>
      <c r="I1" s="352"/>
      <c r="J1" s="356"/>
    </row>
    <row r="2" spans="1:18" ht="14.45" customHeight="1">
      <c r="A2" s="351"/>
      <c r="B2" s="352"/>
      <c r="C2" s="353"/>
      <c r="D2" s="354"/>
      <c r="E2" s="354"/>
      <c r="F2" s="354"/>
      <c r="G2" s="354"/>
      <c r="H2" s="355"/>
      <c r="I2" s="352"/>
      <c r="J2" s="356"/>
    </row>
    <row r="3" spans="1:18" ht="14.45" customHeight="1">
      <c r="A3" s="446" t="s">
        <v>103</v>
      </c>
      <c r="B3" s="448" t="s">
        <v>104</v>
      </c>
      <c r="C3" s="450" t="s">
        <v>105</v>
      </c>
      <c r="D3" s="358" t="s">
        <v>106</v>
      </c>
      <c r="E3" s="452" t="s">
        <v>61</v>
      </c>
      <c r="F3" s="453"/>
      <c r="G3" s="453"/>
      <c r="H3" s="359" t="s">
        <v>107</v>
      </c>
      <c r="I3" s="360" t="s">
        <v>108</v>
      </c>
    </row>
    <row r="4" spans="1:18" ht="27" customHeight="1">
      <c r="A4" s="447"/>
      <c r="B4" s="449"/>
      <c r="C4" s="451"/>
      <c r="D4" s="361" t="s">
        <v>109</v>
      </c>
      <c r="E4" s="362" t="s">
        <v>110</v>
      </c>
      <c r="F4" s="363" t="s">
        <v>111</v>
      </c>
      <c r="G4" s="363" t="s">
        <v>112</v>
      </c>
      <c r="H4" s="364"/>
      <c r="I4" s="365"/>
    </row>
    <row r="5" spans="1:18" ht="14.45" customHeight="1">
      <c r="A5" s="366" t="s">
        <v>22</v>
      </c>
      <c r="B5" s="367"/>
      <c r="C5" s="367"/>
      <c r="D5" s="368"/>
      <c r="E5" s="368"/>
      <c r="F5" s="367"/>
      <c r="G5" s="367"/>
      <c r="H5" s="367"/>
      <c r="I5" s="368"/>
      <c r="J5" s="369"/>
      <c r="K5" s="370"/>
      <c r="L5" s="370"/>
      <c r="M5" s="371"/>
      <c r="N5" s="356"/>
      <c r="O5" s="356"/>
      <c r="P5" s="356"/>
      <c r="Q5" s="356"/>
      <c r="R5" s="356"/>
    </row>
    <row r="6" spans="1:18" ht="14.45" customHeight="1">
      <c r="A6" s="28" t="s">
        <v>86</v>
      </c>
      <c r="B6" s="372">
        <v>200000</v>
      </c>
      <c r="C6" s="373" t="s">
        <v>82</v>
      </c>
      <c r="D6" s="374">
        <v>199999.99999999997</v>
      </c>
      <c r="E6" s="375"/>
      <c r="F6" s="376">
        <v>3000</v>
      </c>
      <c r="G6" s="375"/>
      <c r="H6" s="376">
        <f>D6-E6-F6-G6</f>
        <v>196999.99999999997</v>
      </c>
      <c r="I6" s="377"/>
      <c r="J6" s="101"/>
      <c r="K6" s="375"/>
      <c r="L6" s="376"/>
      <c r="M6" s="377"/>
      <c r="N6" s="356"/>
      <c r="O6" s="356"/>
      <c r="P6" s="356"/>
      <c r="Q6" s="356"/>
      <c r="R6" s="356"/>
    </row>
    <row r="7" spans="1:18" ht="14.45" customHeight="1">
      <c r="A7" s="366" t="s">
        <v>23</v>
      </c>
      <c r="B7" s="367"/>
      <c r="C7" s="367"/>
      <c r="D7" s="368"/>
      <c r="E7" s="368"/>
      <c r="F7" s="367"/>
      <c r="G7" s="367"/>
      <c r="H7" s="367"/>
      <c r="I7" s="368"/>
      <c r="J7" s="369"/>
      <c r="K7" s="370"/>
      <c r="L7" s="370"/>
      <c r="M7" s="371"/>
      <c r="N7" s="356"/>
      <c r="O7" s="356"/>
      <c r="P7" s="356"/>
      <c r="Q7" s="356"/>
      <c r="R7" s="356"/>
    </row>
    <row r="8" spans="1:18" ht="14.45" customHeight="1">
      <c r="A8" s="28" t="s">
        <v>87</v>
      </c>
      <c r="B8" s="372">
        <v>100000</v>
      </c>
      <c r="C8" s="373" t="s">
        <v>113</v>
      </c>
      <c r="D8" s="374">
        <v>104545.45454545453</v>
      </c>
      <c r="E8" s="375">
        <v>6226.25</v>
      </c>
      <c r="F8" s="376">
        <v>10000</v>
      </c>
      <c r="G8" s="375"/>
      <c r="H8" s="376">
        <f>D8-E8-F8-G8</f>
        <v>88319.20454545453</v>
      </c>
      <c r="I8" s="377"/>
      <c r="J8" s="101"/>
      <c r="K8" s="375"/>
      <c r="L8" s="376"/>
      <c r="M8" s="377"/>
      <c r="N8" s="356"/>
      <c r="O8" s="356"/>
      <c r="P8" s="356"/>
      <c r="Q8" s="356"/>
      <c r="R8" s="356"/>
    </row>
    <row r="9" spans="1:18" ht="14.45" customHeight="1" thickBot="1">
      <c r="A9" s="366" t="s">
        <v>34</v>
      </c>
      <c r="B9" s="367"/>
      <c r="C9" s="367"/>
      <c r="D9" s="367"/>
      <c r="E9" s="368"/>
      <c r="F9" s="386"/>
      <c r="G9" s="367"/>
      <c r="H9" s="367"/>
      <c r="I9" s="368"/>
      <c r="J9" s="356"/>
      <c r="K9" s="356"/>
      <c r="L9" s="356"/>
      <c r="M9" s="356"/>
      <c r="N9" s="356"/>
      <c r="O9" s="356"/>
      <c r="P9" s="356"/>
      <c r="Q9" s="356"/>
      <c r="R9" s="356"/>
    </row>
    <row r="10" spans="1:18" ht="14.45" customHeight="1">
      <c r="A10" s="101" t="s">
        <v>88</v>
      </c>
      <c r="B10" s="396">
        <v>100000</v>
      </c>
      <c r="C10" s="397" t="s">
        <v>116</v>
      </c>
      <c r="D10" s="398">
        <v>95454.545454545441</v>
      </c>
      <c r="E10" s="399"/>
      <c r="F10" s="396">
        <v>10000</v>
      </c>
      <c r="G10" s="399"/>
      <c r="H10" s="396">
        <f>D10+D11-E10-F10-G10</f>
        <v>89999.999999999985</v>
      </c>
      <c r="I10" s="400"/>
      <c r="J10" s="356"/>
      <c r="K10" s="356"/>
      <c r="L10" s="356"/>
      <c r="M10" s="356"/>
      <c r="N10" s="356"/>
      <c r="O10" s="356"/>
      <c r="P10" s="356"/>
      <c r="Q10" s="356"/>
      <c r="R10" s="356"/>
    </row>
    <row r="11" spans="1:18" ht="14.45" customHeight="1" thickBot="1">
      <c r="A11" s="401" t="s">
        <v>27</v>
      </c>
      <c r="B11" s="402">
        <v>100000</v>
      </c>
      <c r="C11" s="403" t="s">
        <v>117</v>
      </c>
      <c r="D11" s="404">
        <v>4545.454545454545</v>
      </c>
      <c r="E11" s="405"/>
      <c r="F11" s="402"/>
      <c r="G11" s="405"/>
      <c r="H11" s="402"/>
      <c r="I11" s="406"/>
    </row>
    <row r="12" spans="1:18" s="394" customFormat="1" ht="14.45" customHeight="1">
      <c r="A12" s="115" t="s">
        <v>76</v>
      </c>
      <c r="B12" s="376">
        <v>50000</v>
      </c>
      <c r="C12" s="424" t="str">
        <f>VLOOKUP(A12,[7]август!$B$8:$I$296,4,FALSE)</f>
        <v xml:space="preserve">0 дн / 0 ч </v>
      </c>
      <c r="D12" s="393">
        <f>VLOOKUP(A12,[7]август!$B:$G,6,FALSE)</f>
        <v>0</v>
      </c>
      <c r="E12" s="375"/>
      <c r="F12" s="376"/>
      <c r="G12" s="375"/>
      <c r="H12" s="376"/>
      <c r="I12" s="377"/>
      <c r="J12" s="357"/>
      <c r="K12" s="357"/>
      <c r="L12" s="357"/>
      <c r="M12" s="357"/>
    </row>
    <row r="13" spans="1:18" s="394" customFormat="1" ht="14.45" customHeight="1">
      <c r="A13" s="425" t="s">
        <v>89</v>
      </c>
      <c r="B13" s="376">
        <v>50000</v>
      </c>
      <c r="C13" s="426" t="str">
        <f>август!D17</f>
        <v xml:space="preserve">2 дн / 16 ч </v>
      </c>
      <c r="D13" s="374">
        <f>август!F17</f>
        <v>4545.454545454545</v>
      </c>
      <c r="E13" s="375"/>
      <c r="F13" s="376"/>
      <c r="G13" s="375"/>
      <c r="H13" s="376"/>
      <c r="I13" s="377"/>
      <c r="J13" s="357"/>
      <c r="K13" s="357"/>
      <c r="L13" s="357"/>
      <c r="M13" s="357"/>
    </row>
    <row r="14" spans="1:18" ht="14.45" customHeight="1" thickBot="1">
      <c r="A14" s="366" t="s">
        <v>73</v>
      </c>
      <c r="B14" s="367"/>
      <c r="C14" s="367"/>
      <c r="D14" s="367"/>
      <c r="E14" s="368"/>
      <c r="F14" s="386"/>
      <c r="G14" s="367"/>
      <c r="H14" s="367"/>
      <c r="I14" s="368"/>
      <c r="J14" s="394"/>
      <c r="K14" s="394"/>
      <c r="L14" s="394"/>
      <c r="M14" s="394"/>
    </row>
    <row r="15" spans="1:18" ht="14.45" customHeight="1">
      <c r="A15" s="97" t="s">
        <v>90</v>
      </c>
      <c r="B15" s="396">
        <v>100000</v>
      </c>
      <c r="C15" s="397" t="s">
        <v>115</v>
      </c>
      <c r="D15" s="398">
        <v>4545.454545454545</v>
      </c>
      <c r="E15" s="399">
        <v>11672.63</v>
      </c>
      <c r="F15" s="396">
        <v>5000</v>
      </c>
      <c r="G15" s="399"/>
      <c r="H15" s="396">
        <f>D15+D16-E15-F15-G15</f>
        <v>67872.824545454539</v>
      </c>
      <c r="I15" s="400"/>
      <c r="J15" s="356"/>
      <c r="K15" s="356"/>
      <c r="L15" s="356"/>
      <c r="M15" s="356"/>
      <c r="N15" s="356"/>
      <c r="O15" s="356"/>
      <c r="P15" s="356"/>
      <c r="Q15" s="356"/>
      <c r="R15" s="356"/>
    </row>
    <row r="16" spans="1:18" ht="14.45" customHeight="1" thickBot="1">
      <c r="A16" s="378" t="s">
        <v>21</v>
      </c>
      <c r="B16" s="382">
        <v>110000</v>
      </c>
      <c r="C16" s="373" t="s">
        <v>114</v>
      </c>
      <c r="D16" s="374">
        <v>80000</v>
      </c>
      <c r="E16" s="375"/>
      <c r="F16" s="376"/>
      <c r="G16" s="375"/>
      <c r="H16" s="376"/>
      <c r="I16" s="377"/>
      <c r="J16" s="356"/>
      <c r="K16" s="356"/>
      <c r="L16" s="356"/>
      <c r="M16" s="356"/>
      <c r="N16" s="356"/>
      <c r="O16" s="356"/>
      <c r="P16" s="356"/>
      <c r="Q16" s="356"/>
      <c r="R16" s="356"/>
    </row>
    <row r="17" spans="1:18" ht="14.45" customHeight="1">
      <c r="A17" s="97" t="s">
        <v>91</v>
      </c>
      <c r="B17" s="376">
        <v>50000</v>
      </c>
      <c r="C17" s="413" t="s">
        <v>120</v>
      </c>
      <c r="D17" s="414">
        <v>0</v>
      </c>
      <c r="E17" s="415"/>
      <c r="F17" s="385">
        <v>5730</v>
      </c>
      <c r="G17" s="415"/>
      <c r="H17" s="385">
        <f>D17+D18+D19-E17-F17-G17</f>
        <v>51542.727272727279</v>
      </c>
      <c r="I17" s="407"/>
      <c r="J17" s="356"/>
      <c r="K17" s="356"/>
      <c r="L17" s="356"/>
      <c r="M17" s="356"/>
      <c r="N17" s="356"/>
      <c r="O17" s="356"/>
      <c r="P17" s="356"/>
      <c r="Q17" s="356"/>
      <c r="R17" s="356"/>
    </row>
    <row r="18" spans="1:18" ht="14.45" customHeight="1">
      <c r="A18" s="384" t="s">
        <v>21</v>
      </c>
      <c r="B18" s="376">
        <v>60000</v>
      </c>
      <c r="C18" s="373" t="s">
        <v>121</v>
      </c>
      <c r="D18" s="374">
        <v>49090.909090909096</v>
      </c>
      <c r="E18" s="375"/>
      <c r="F18" s="376"/>
      <c r="G18" s="375"/>
      <c r="H18" s="376"/>
      <c r="I18" s="377"/>
      <c r="J18" s="356"/>
      <c r="K18" s="356"/>
      <c r="L18" s="356"/>
      <c r="M18" s="356"/>
      <c r="N18" s="356"/>
      <c r="O18" s="356"/>
      <c r="P18" s="356"/>
      <c r="Q18" s="356"/>
      <c r="R18" s="356"/>
    </row>
    <row r="19" spans="1:18" ht="14.45" customHeight="1" thickBot="1">
      <c r="A19" s="384" t="s">
        <v>37</v>
      </c>
      <c r="B19" s="376">
        <v>60000</v>
      </c>
      <c r="C19" s="373" t="s">
        <v>122</v>
      </c>
      <c r="D19" s="374">
        <v>8181.818181818182</v>
      </c>
      <c r="E19" s="375"/>
      <c r="F19" s="376"/>
      <c r="G19" s="375"/>
      <c r="H19" s="376"/>
      <c r="I19" s="377"/>
      <c r="J19" s="356"/>
      <c r="K19" s="356"/>
      <c r="L19" s="356"/>
      <c r="M19" s="356"/>
      <c r="N19" s="356"/>
      <c r="O19" s="356"/>
      <c r="P19" s="356"/>
      <c r="Q19" s="356"/>
      <c r="R19" s="356"/>
    </row>
    <row r="20" spans="1:18" ht="14.45" customHeight="1">
      <c r="A20" s="408" t="s">
        <v>92</v>
      </c>
      <c r="B20" s="396">
        <v>100000</v>
      </c>
      <c r="C20" s="397" t="s">
        <v>123</v>
      </c>
      <c r="D20" s="398">
        <v>18181.81818181818</v>
      </c>
      <c r="E20" s="399">
        <v>1855.8</v>
      </c>
      <c r="F20" s="396">
        <v>11276</v>
      </c>
      <c r="G20" s="399"/>
      <c r="H20" s="396">
        <f>D20+D21+D22-E20-F20-G20</f>
        <v>89140.927272727262</v>
      </c>
      <c r="I20" s="400"/>
      <c r="K20" s="357" t="s">
        <v>126</v>
      </c>
    </row>
    <row r="21" spans="1:18" ht="14.45" customHeight="1">
      <c r="A21" s="384" t="s">
        <v>21</v>
      </c>
      <c r="B21" s="376">
        <v>110000</v>
      </c>
      <c r="C21" s="373" t="s">
        <v>124</v>
      </c>
      <c r="D21" s="374">
        <v>75000</v>
      </c>
      <c r="E21" s="375"/>
      <c r="F21" s="376"/>
      <c r="G21" s="375"/>
      <c r="H21" s="376"/>
      <c r="I21" s="377"/>
    </row>
    <row r="22" spans="1:18" ht="14.45" customHeight="1">
      <c r="A22" s="384" t="s">
        <v>27</v>
      </c>
      <c r="B22" s="376">
        <v>100000</v>
      </c>
      <c r="C22" s="373" t="s">
        <v>125</v>
      </c>
      <c r="D22" s="374">
        <v>9090.9090909090901</v>
      </c>
      <c r="E22" s="375"/>
      <c r="F22" s="376"/>
      <c r="G22" s="375"/>
      <c r="H22" s="376"/>
      <c r="I22" s="377"/>
    </row>
    <row r="23" spans="1:18" ht="14.45" customHeight="1">
      <c r="A23" s="366" t="s">
        <v>33</v>
      </c>
      <c r="B23" s="367"/>
      <c r="C23" s="367"/>
      <c r="D23" s="367"/>
      <c r="E23" s="367"/>
      <c r="F23" s="386"/>
      <c r="G23" s="367"/>
      <c r="H23" s="367"/>
      <c r="I23" s="368"/>
      <c r="J23" s="394"/>
      <c r="K23" s="394"/>
      <c r="L23" s="394"/>
      <c r="M23" s="394"/>
    </row>
    <row r="24" spans="1:18" ht="15" customHeight="1">
      <c r="A24" s="409" t="s">
        <v>94</v>
      </c>
      <c r="B24" s="382">
        <v>110000</v>
      </c>
      <c r="C24" s="379" t="s">
        <v>82</v>
      </c>
      <c r="D24" s="380">
        <v>110000</v>
      </c>
      <c r="E24" s="381">
        <v>6296.85</v>
      </c>
      <c r="F24" s="382">
        <v>1000</v>
      </c>
      <c r="G24" s="381"/>
      <c r="H24" s="382">
        <f>D24-E24-F24-G24</f>
        <v>102703.15</v>
      </c>
      <c r="I24" s="383"/>
    </row>
    <row r="25" spans="1:18" ht="14.45" customHeight="1">
      <c r="A25" s="416" t="s">
        <v>95</v>
      </c>
      <c r="B25" s="376">
        <v>60000</v>
      </c>
      <c r="C25" s="373" t="s">
        <v>118</v>
      </c>
      <c r="D25" s="374">
        <v>54545.454545454551</v>
      </c>
      <c r="E25" s="375"/>
      <c r="F25" s="376">
        <v>1000</v>
      </c>
      <c r="G25" s="375"/>
      <c r="H25" s="376">
        <f>D25+D26-E25-F25-G25</f>
        <v>59000.000000000007</v>
      </c>
      <c r="I25" s="377"/>
    </row>
    <row r="26" spans="1:18" ht="14.45" customHeight="1">
      <c r="A26" s="378" t="s">
        <v>79</v>
      </c>
      <c r="B26" s="382">
        <v>60000</v>
      </c>
      <c r="C26" s="379" t="s">
        <v>119</v>
      </c>
      <c r="D26" s="380">
        <v>5454.545454545455</v>
      </c>
      <c r="E26" s="381"/>
      <c r="F26" s="382"/>
      <c r="G26" s="381"/>
      <c r="H26" s="382"/>
      <c r="I26" s="383"/>
      <c r="J26" s="356"/>
      <c r="K26" s="356"/>
      <c r="L26" s="356"/>
      <c r="M26" s="356"/>
      <c r="N26" s="356"/>
      <c r="O26" s="356"/>
      <c r="P26" s="356"/>
      <c r="Q26" s="356"/>
      <c r="R26" s="356"/>
    </row>
    <row r="27" spans="1:18" ht="14.45" customHeight="1" thickBot="1">
      <c r="A27" s="366" t="s">
        <v>35</v>
      </c>
      <c r="B27" s="367"/>
      <c r="C27" s="367"/>
      <c r="D27" s="367"/>
      <c r="E27" s="368"/>
      <c r="F27" s="386"/>
      <c r="G27" s="367"/>
      <c r="H27" s="367"/>
      <c r="I27" s="368"/>
    </row>
    <row r="28" spans="1:18" ht="14.45" customHeight="1">
      <c r="A28" s="408" t="s">
        <v>96</v>
      </c>
      <c r="B28" s="396">
        <v>110000</v>
      </c>
      <c r="C28" s="388" t="s">
        <v>82</v>
      </c>
      <c r="D28" s="389">
        <v>110000</v>
      </c>
      <c r="E28" s="390"/>
      <c r="F28" s="387"/>
      <c r="G28" s="390"/>
      <c r="H28" s="387">
        <f>D28-E28-F28-G28</f>
        <v>110000</v>
      </c>
      <c r="I28" s="391"/>
    </row>
    <row r="29" spans="1:18" ht="14.45" customHeight="1" thickBot="1">
      <c r="A29" s="410" t="s">
        <v>97</v>
      </c>
      <c r="B29" s="411">
        <v>60000</v>
      </c>
      <c r="C29" s="417" t="s">
        <v>116</v>
      </c>
      <c r="D29" s="418">
        <v>57272.727272727279</v>
      </c>
      <c r="E29" s="419">
        <v>4645.0200000000004</v>
      </c>
      <c r="F29" s="411">
        <v>1000</v>
      </c>
      <c r="G29" s="419"/>
      <c r="H29" s="411">
        <f>D29-E29-F29-G29</f>
        <v>51627.707272727275</v>
      </c>
      <c r="I29" s="412"/>
    </row>
    <row r="30" spans="1:18" ht="14.45" customHeight="1">
      <c r="A30" s="395"/>
      <c r="B30" s="102"/>
      <c r="C30" s="420"/>
      <c r="D30" s="421">
        <f>SUM(D6:D29)</f>
        <v>990454.54545454541</v>
      </c>
      <c r="E30" s="421">
        <f>SUM(E6:E29)</f>
        <v>30696.55</v>
      </c>
      <c r="F30" s="421">
        <f>SUM(F6:F29)</f>
        <v>48006</v>
      </c>
      <c r="G30" s="421">
        <f>SUM(G6:G29)</f>
        <v>0</v>
      </c>
      <c r="H30" s="421">
        <f>SUM(H6:H29)</f>
        <v>907206.54090909089</v>
      </c>
      <c r="I30" s="422"/>
    </row>
    <row r="31" spans="1:18" ht="14.45" customHeight="1">
      <c r="G31" s="354"/>
      <c r="H31" s="355"/>
      <c r="I31" s="352"/>
      <c r="J31" s="356"/>
    </row>
    <row r="32" spans="1:18" ht="14.45" customHeight="1">
      <c r="G32" s="354"/>
      <c r="H32" s="423"/>
      <c r="I32" s="352"/>
      <c r="J32" s="356"/>
    </row>
    <row r="33" spans="1:18" ht="14.45" customHeight="1">
      <c r="A33" s="352"/>
      <c r="B33" s="376"/>
      <c r="C33" s="373"/>
      <c r="D33" s="374"/>
      <c r="E33" s="375"/>
      <c r="F33" s="376"/>
      <c r="G33" s="375"/>
      <c r="H33" s="376"/>
      <c r="I33" s="377"/>
      <c r="J33" s="356"/>
      <c r="K33" s="356"/>
      <c r="L33" s="356"/>
      <c r="M33" s="356"/>
      <c r="N33" s="356"/>
      <c r="O33" s="356"/>
      <c r="P33" s="356"/>
      <c r="Q33" s="356"/>
      <c r="R33" s="356"/>
    </row>
    <row r="68" spans="1:10" ht="14.45" customHeight="1">
      <c r="A68" s="392" t="s">
        <v>36</v>
      </c>
      <c r="B68" s="376">
        <v>50000</v>
      </c>
      <c r="C68" s="413" t="str">
        <f>VLOOKUP(A68,[8]август!$B$8:$I$178,4,FALSE)</f>
        <v xml:space="preserve">2 дн / 16 ч </v>
      </c>
      <c r="D68" s="414">
        <f>VLOOKUP(A68,[8]август!$B$8:$I$178,6,FALSE)</f>
        <v>4545.454545454545</v>
      </c>
      <c r="E68" s="374"/>
      <c r="F68" s="375">
        <v>2830.25</v>
      </c>
      <c r="G68" s="376">
        <v>25000</v>
      </c>
      <c r="H68" s="375"/>
      <c r="I68" s="376">
        <f>D68+D69-F68-G68-H68</f>
        <v>2851.5681818181802</v>
      </c>
      <c r="J68" s="377"/>
    </row>
    <row r="69" spans="1:10" ht="14.45" customHeight="1" thickBot="1">
      <c r="A69" s="401" t="s">
        <v>18</v>
      </c>
      <c r="B69" s="402">
        <v>115000</v>
      </c>
      <c r="C69" s="403" t="str">
        <f>[9]май!$E$131</f>
        <v xml:space="preserve">5 дн / 40 ч </v>
      </c>
      <c r="D69" s="404">
        <f>[9]май!$G$131</f>
        <v>26136.363636363636</v>
      </c>
      <c r="E69" s="404"/>
      <c r="F69" s="405"/>
      <c r="G69" s="402"/>
      <c r="H69" s="405"/>
      <c r="I69" s="402"/>
      <c r="J69" s="406"/>
    </row>
  </sheetData>
  <protectedRanges>
    <protectedRange sqref="K7:M7 B27:I27 B7:I7 B9:I9 B5:I5 B23:I23 K5:M5" name="Диапазон1_1_6_3_1"/>
    <protectedRange sqref="B68:B69 B33 B28 B15:B22 B24:B26 B10:B13" name="Диапазон1_1_3_1"/>
    <protectedRange sqref="C68:C69 C33 C11" name="Диапазон1_1_10_11_1"/>
    <protectedRange sqref="B29" name="Диапазон1_1_7_3_1"/>
    <protectedRange sqref="C12:C13" name="Диапазон1_1_10_11_1_2_1"/>
  </protectedRanges>
  <mergeCells count="4">
    <mergeCell ref="A3:A4"/>
    <mergeCell ref="B3:B4"/>
    <mergeCell ref="C3:C4"/>
    <mergeCell ref="E3:G3"/>
  </mergeCells>
  <conditionalFormatting sqref="C33 C6 C8 C15:C22 C24:C26 C28:C29 C10:C13">
    <cfRule type="cellIs" dxfId="1" priority="60" stopIfTrue="1" operator="equal">
      <formula>0</formula>
    </cfRule>
  </conditionalFormatting>
  <conditionalFormatting sqref="C68:C69">
    <cfRule type="cellIs" dxfId="0" priority="58" stopIfTrue="1" operator="equal">
      <formula>0</formula>
    </cfRule>
  </conditionalFormatting>
  <pageMargins left="0.70866141732283472" right="0.70866141732283472" top="0.55118110236220474" bottom="0.5511811023622047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август</vt:lpstr>
      <vt:lpstr>оклад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2019-09-02T11:07:49Z</cp:lastPrinted>
  <dcterms:created xsi:type="dcterms:W3CDTF">2007-12-13T08:32:39Z</dcterms:created>
  <dcterms:modified xsi:type="dcterms:W3CDTF">2019-09-29T12:46:57Z</dcterms:modified>
</cp:coreProperties>
</file>