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_gabbasov\Desktop\"/>
    </mc:Choice>
  </mc:AlternateContent>
  <bookViews>
    <workbookView xWindow="0" yWindow="0" windowWidth="15570" windowHeight="8190" tabRatio="500" activeTab="3"/>
  </bookViews>
  <sheets>
    <sheet name="МОТИВАЦИЯ" sheetId="1" r:id="rId1"/>
    <sheet name="Справочник" sheetId="3" r:id="rId2"/>
    <sheet name="Лист2" sheetId="2" state="hidden" r:id="rId3"/>
    <sheet name="Расчет" sheetId="4" r:id="rId4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6" i="4" l="1"/>
  <c r="C6" i="4"/>
  <c r="D13" i="4" s="1"/>
  <c r="D15" i="4" l="1"/>
  <c r="D10" i="4"/>
  <c r="D11" i="4"/>
  <c r="T9" i="4"/>
  <c r="S9" i="4" s="1"/>
  <c r="N9" i="4"/>
  <c r="D14" i="4"/>
  <c r="D12" i="4"/>
  <c r="I9" i="4"/>
  <c r="H9" i="4" s="1"/>
  <c r="D9" i="4"/>
  <c r="H6" i="4"/>
  <c r="M6" i="4"/>
  <c r="S6" i="4"/>
  <c r="M9" i="4"/>
  <c r="E15" i="1"/>
  <c r="C8" i="4" l="1"/>
  <c r="E6" i="4" s="1"/>
  <c r="F15" i="1" s="1"/>
  <c r="I14" i="4"/>
  <c r="H14" i="4" s="1"/>
  <c r="I10" i="4"/>
  <c r="H10" i="4" s="1"/>
  <c r="I13" i="4"/>
  <c r="H13" i="4" s="1"/>
  <c r="I12" i="4"/>
  <c r="H12" i="4" s="1"/>
  <c r="I15" i="4"/>
  <c r="H15" i="4" s="1"/>
  <c r="I11" i="4"/>
  <c r="H11" i="4" s="1"/>
  <c r="S12" i="4"/>
  <c r="T12" i="4"/>
  <c r="T15" i="4"/>
  <c r="T11" i="4"/>
  <c r="S11" i="4" s="1"/>
  <c r="T14" i="4"/>
  <c r="S14" i="4" s="1"/>
  <c r="T10" i="4"/>
  <c r="S10" i="4" s="1"/>
  <c r="T13" i="4"/>
  <c r="N15" i="4"/>
  <c r="M15" i="4" s="1"/>
  <c r="N11" i="4"/>
  <c r="N14" i="4"/>
  <c r="M14" i="4" s="1"/>
  <c r="N10" i="4"/>
  <c r="M10" i="4" s="1"/>
  <c r="N13" i="4"/>
  <c r="N12" i="4"/>
  <c r="M12" i="4" s="1"/>
  <c r="S15" i="4"/>
  <c r="M13" i="4"/>
  <c r="M11" i="4"/>
  <c r="S13" i="4"/>
  <c r="F18" i="2"/>
  <c r="F17" i="2"/>
  <c r="F16" i="2"/>
  <c r="F15" i="2"/>
  <c r="F14" i="2"/>
  <c r="F13" i="2"/>
  <c r="F12" i="2"/>
  <c r="F11" i="2"/>
  <c r="F10" i="2"/>
  <c r="F9" i="2"/>
  <c r="F8" i="2"/>
  <c r="F7" i="2"/>
  <c r="B7" i="2"/>
  <c r="F6" i="2"/>
  <c r="B6" i="2"/>
  <c r="F5" i="2"/>
  <c r="B5" i="2"/>
  <c r="F4" i="2"/>
  <c r="B4" i="2"/>
  <c r="F3" i="2"/>
  <c r="B3" i="2"/>
  <c r="F2" i="2"/>
  <c r="B2" i="2"/>
  <c r="V15" i="1"/>
  <c r="T15" i="1"/>
  <c r="O15" i="1"/>
  <c r="J15" i="1"/>
  <c r="AB15" i="1" l="1"/>
  <c r="U15" i="1"/>
  <c r="H8" i="4"/>
  <c r="J6" i="4" s="1"/>
  <c r="K15" i="1" s="1"/>
  <c r="M8" i="4"/>
  <c r="O6" i="4" s="1"/>
  <c r="P15" i="1" s="1"/>
  <c r="W15" i="1"/>
  <c r="AC15" i="1" l="1"/>
  <c r="I2" i="2" s="1"/>
  <c r="L10" i="1"/>
</calcChain>
</file>

<file path=xl/sharedStrings.xml><?xml version="1.0" encoding="utf-8"?>
<sst xmlns="http://schemas.openxmlformats.org/spreadsheetml/2006/main" count="77" uniqueCount="47">
  <si>
    <t>Изменения вносить в ячейки, выделенные ОРАНЖЕВОЙ заливкой!</t>
  </si>
  <si>
    <t>Окладная часть (без учета премиальной составляющей):</t>
  </si>
  <si>
    <t>рублей</t>
  </si>
  <si>
    <t>Веса и плановые значения вносятся из РЕЙТИНГА</t>
  </si>
  <si>
    <t>ФИО</t>
  </si>
  <si>
    <t>MNP</t>
  </si>
  <si>
    <t>Итоговый вес целей</t>
  </si>
  <si>
    <t>Итого выполнение целей</t>
  </si>
  <si>
    <t>Вес задачи</t>
  </si>
  <si>
    <t>План продаж</t>
  </si>
  <si>
    <t>Факт продаж</t>
  </si>
  <si>
    <t>Выполнение</t>
  </si>
  <si>
    <t>План по охвату</t>
  </si>
  <si>
    <t>Факт по охвату</t>
  </si>
  <si>
    <t>Размер премии при набранных баллах:</t>
  </si>
  <si>
    <t>19-20</t>
  </si>
  <si>
    <t>17-18</t>
  </si>
  <si>
    <t>15-16</t>
  </si>
  <si>
    <t>13-14</t>
  </si>
  <si>
    <t>11-12</t>
  </si>
  <si>
    <t>менее 11</t>
  </si>
  <si>
    <t>План ЦПТП</t>
  </si>
  <si>
    <t>ТВ</t>
  </si>
  <si>
    <t>ПДК</t>
  </si>
  <si>
    <t>ЦПТП</t>
  </si>
  <si>
    <t>Итого результат</t>
  </si>
  <si>
    <t>Веса:</t>
  </si>
  <si>
    <t>ХМАО</t>
  </si>
  <si>
    <t>ЯНАО</t>
  </si>
  <si>
    <t>Свердловская область</t>
  </si>
  <si>
    <t>Курганская область</t>
  </si>
  <si>
    <t>Регион:</t>
  </si>
  <si>
    <t>Менее 80%</t>
  </si>
  <si>
    <t>95% - 99,99%</t>
  </si>
  <si>
    <t>90% – 94,99%</t>
  </si>
  <si>
    <t>80%-84,99%</t>
  </si>
  <si>
    <t>85%-89,99%</t>
  </si>
  <si>
    <t>100% - 104,99%</t>
  </si>
  <si>
    <t>Более 105%</t>
  </si>
  <si>
    <t>Индексы выполнения плана:</t>
  </si>
  <si>
    <t>РСС</t>
  </si>
  <si>
    <t>РН</t>
  </si>
  <si>
    <t>Директор магазина</t>
  </si>
  <si>
    <t>Старший специалист</t>
  </si>
  <si>
    <t>Специалист</t>
  </si>
  <si>
    <t>Расчетная ячейка</t>
  </si>
  <si>
    <t>Заработная плата с учетом премии (без индивидуальной мотивации):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</si>
</sst>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₽_-;\-* #,##0.00_₽_-;_-* \-??_₽_-;_-@_-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D0D0D"/>
      <name val="Arial"/>
      <family val="2"/>
      <charset val="204"/>
    </font>
    <font>
      <b/>
      <sz val="8"/>
      <color rgb="FF0D0D0D"/>
      <name val="Arial"/>
      <family val="2"/>
      <charset val="204"/>
    </font>
    <font>
      <sz val="10"/>
      <color rgb="FF0D0D0D"/>
      <name val="Arial"/>
      <family val="2"/>
      <charset val="204"/>
    </font>
    <font>
      <sz val="10"/>
      <color rgb="FFFFFFFF"/>
      <name val="Arial"/>
      <family val="2"/>
      <charset val="204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8" fillId="0" borderId="0" applyBorder="0" applyProtection="0"/>
    <xf numFmtId="164" fontId="8" fillId="0" borderId="0" applyBorder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9" fontId="4" fillId="2" borderId="9" xfId="1" applyFont="1" applyFill="1" applyBorder="1" applyAlignment="1" applyProtection="1">
      <alignment vertical="center" wrapText="1"/>
    </xf>
    <xf numFmtId="0" fontId="4" fillId="2" borderId="9" xfId="0" applyFont="1" applyFill="1" applyBorder="1" applyAlignment="1">
      <alignment vertical="center" wrapText="1"/>
    </xf>
    <xf numFmtId="1" fontId="4" fillId="2" borderId="9" xfId="0" applyNumberFormat="1" applyFont="1" applyFill="1" applyBorder="1" applyAlignment="1">
      <alignment vertical="center" wrapText="1"/>
    </xf>
    <xf numFmtId="9" fontId="6" fillId="0" borderId="9" xfId="1" applyFont="1" applyBorder="1" applyAlignment="1" applyProtection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9" fontId="6" fillId="0" borderId="9" xfId="1" applyFont="1" applyBorder="1" applyAlignment="1" applyProtection="1">
      <alignment horizontal="right" vertical="center" wrapText="1"/>
    </xf>
    <xf numFmtId="9" fontId="1" fillId="0" borderId="9" xfId="0" applyNumberFormat="1" applyFont="1" applyBorder="1" applyAlignment="1">
      <alignment vertical="center"/>
    </xf>
    <xf numFmtId="9" fontId="7" fillId="0" borderId="0" xfId="1" applyFont="1" applyBorder="1" applyAlignment="1" applyProtection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9" fontId="0" fillId="0" borderId="0" xfId="1" applyFont="1" applyBorder="1" applyAlignment="1" applyProtection="1"/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9" fontId="8" fillId="0" borderId="0" xfId="1"/>
    <xf numFmtId="9" fontId="0" fillId="0" borderId="0" xfId="1" applyFo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 applyBorder="1"/>
    <xf numFmtId="9" fontId="8" fillId="0" borderId="0" xfId="1" applyBorder="1"/>
    <xf numFmtId="9" fontId="0" fillId="0" borderId="0" xfId="0" applyNumberFormat="1"/>
    <xf numFmtId="0" fontId="0" fillId="0" borderId="7" xfId="0" applyBorder="1" applyAlignment="1">
      <alignment horizontal="left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6" borderId="0" xfId="0" applyFont="1" applyFill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7" borderId="7" xfId="0" applyFont="1" applyFill="1" applyBorder="1" applyAlignment="1"/>
    <xf numFmtId="0" fontId="0" fillId="7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vertical="center" wrapText="1"/>
    </xf>
    <xf numFmtId="9" fontId="0" fillId="7" borderId="7" xfId="0" applyNumberForma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vertical="center"/>
    </xf>
    <xf numFmtId="9" fontId="8" fillId="7" borderId="7" xfId="1" applyFill="1" applyBorder="1"/>
    <xf numFmtId="0" fontId="0" fillId="8" borderId="7" xfId="0" applyFill="1" applyBorder="1"/>
    <xf numFmtId="2" fontId="8" fillId="0" borderId="0" xfId="1" applyNumberFormat="1"/>
    <xf numFmtId="2" fontId="0" fillId="0" borderId="0" xfId="0" applyNumberFormat="1"/>
    <xf numFmtId="2" fontId="0" fillId="8" borderId="7" xfId="0" applyNumberFormat="1" applyFill="1" applyBorder="1"/>
    <xf numFmtId="9" fontId="1" fillId="0" borderId="10" xfId="1" applyFont="1" applyBorder="1" applyAlignment="1" applyProtection="1">
      <alignment vertical="center"/>
    </xf>
  </cellXfs>
  <cellStyles count="3">
    <cellStyle name="Обычный" xfId="0" builtinId="0"/>
    <cellStyle name="Пояснение" xfId="2" builtinId="53" customBuiltin="1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85725</xdr:rowOff>
    </xdr:from>
    <xdr:to>
      <xdr:col>4</xdr:col>
      <xdr:colOff>295275</xdr:colOff>
      <xdr:row>5</xdr:row>
      <xdr:rowOff>9525</xdr:rowOff>
    </xdr:to>
    <xdr:cxnSp macro="">
      <xdr:nvCxnSpPr>
        <xdr:cNvPr id="2" name="Прямая со стрелкой 1"/>
        <xdr:cNvCxnSpPr/>
      </xdr:nvCxnSpPr>
      <xdr:spPr>
        <a:xfrm>
          <a:off x="46386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</xdr:row>
      <xdr:rowOff>85725</xdr:rowOff>
    </xdr:from>
    <xdr:to>
      <xdr:col>9</xdr:col>
      <xdr:colOff>295275</xdr:colOff>
      <xdr:row>5</xdr:row>
      <xdr:rowOff>9525</xdr:rowOff>
    </xdr:to>
    <xdr:cxnSp macro="">
      <xdr:nvCxnSpPr>
        <xdr:cNvPr id="3" name="Прямая со стрелкой 2"/>
        <xdr:cNvCxnSpPr/>
      </xdr:nvCxnSpPr>
      <xdr:spPr>
        <a:xfrm>
          <a:off x="34194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</xdr:row>
      <xdr:rowOff>85725</xdr:rowOff>
    </xdr:from>
    <xdr:to>
      <xdr:col>14</xdr:col>
      <xdr:colOff>295275</xdr:colOff>
      <xdr:row>5</xdr:row>
      <xdr:rowOff>9525</xdr:rowOff>
    </xdr:to>
    <xdr:cxnSp macro="">
      <xdr:nvCxnSpPr>
        <xdr:cNvPr id="4" name="Прямая со стрелкой 3"/>
        <xdr:cNvCxnSpPr/>
      </xdr:nvCxnSpPr>
      <xdr:spPr>
        <a:xfrm>
          <a:off x="34194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295275</xdr:colOff>
      <xdr:row>1</xdr:row>
      <xdr:rowOff>85725</xdr:rowOff>
    </xdr:from>
    <xdr:to>
      <xdr:col>20</xdr:col>
      <xdr:colOff>295275</xdr:colOff>
      <xdr:row>5</xdr:row>
      <xdr:rowOff>9525</xdr:rowOff>
    </xdr:to>
    <xdr:cxnSp macro="">
      <xdr:nvCxnSpPr>
        <xdr:cNvPr id="6" name="Прямая со стрелкой 5"/>
        <xdr:cNvCxnSpPr/>
      </xdr:nvCxnSpPr>
      <xdr:spPr>
        <a:xfrm>
          <a:off x="3419475" y="466725"/>
          <a:ext cx="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22"/>
  <sheetViews>
    <sheetView zoomScale="85" zoomScaleNormal="85" workbookViewId="0">
      <selection activeCell="T18" sqref="T18"/>
    </sheetView>
  </sheetViews>
  <sheetFormatPr defaultRowHeight="15" x14ac:dyDescent="0.25"/>
  <cols>
    <col min="1" max="1" width="19.5703125" style="1" customWidth="1"/>
    <col min="2" max="8" width="8" style="1" customWidth="1"/>
    <col min="9" max="9" width="9.7109375" style="1" customWidth="1"/>
    <col min="10" max="21" width="8" style="1" customWidth="1"/>
    <col min="22" max="22" width="9.28515625" style="1" customWidth="1"/>
    <col min="23" max="23" width="10.28515625" style="1" customWidth="1"/>
    <col min="24" max="1027" width="9.140625" style="1" customWidth="1"/>
  </cols>
  <sheetData>
    <row r="1" spans="1:29" ht="15" customHeight="1" x14ac:dyDescent="0.25">
      <c r="A1" s="41" t="s">
        <v>31</v>
      </c>
      <c r="B1" s="42" t="s">
        <v>29</v>
      </c>
      <c r="C1" s="42"/>
      <c r="D1" s="42"/>
      <c r="E1" s="40" t="s">
        <v>26</v>
      </c>
      <c r="F1" s="40"/>
      <c r="G1" s="40"/>
      <c r="H1" s="40"/>
      <c r="N1" s="40" t="s">
        <v>39</v>
      </c>
      <c r="O1" s="40"/>
      <c r="P1" s="40"/>
      <c r="Q1" s="40"/>
      <c r="R1" s="40"/>
      <c r="S1" s="40"/>
      <c r="T1" s="40"/>
      <c r="U1" s="40"/>
    </row>
    <row r="2" spans="1:29" ht="45" x14ac:dyDescent="0.25">
      <c r="D2" s="45"/>
      <c r="E2" s="49" t="s">
        <v>23</v>
      </c>
      <c r="F2" s="49" t="s">
        <v>24</v>
      </c>
      <c r="G2" s="49" t="s">
        <v>22</v>
      </c>
      <c r="H2" s="49" t="s">
        <v>5</v>
      </c>
      <c r="N2" s="45"/>
      <c r="O2" s="46" t="s">
        <v>32</v>
      </c>
      <c r="P2" s="46" t="s">
        <v>35</v>
      </c>
      <c r="Q2" s="46" t="s">
        <v>36</v>
      </c>
      <c r="R2" s="46" t="s">
        <v>34</v>
      </c>
      <c r="S2" s="46" t="s">
        <v>33</v>
      </c>
      <c r="T2" s="46" t="s">
        <v>37</v>
      </c>
      <c r="U2" s="46" t="s">
        <v>38</v>
      </c>
    </row>
    <row r="3" spans="1:29" ht="60" customHeight="1" x14ac:dyDescent="0.25">
      <c r="D3" s="50" t="s">
        <v>29</v>
      </c>
      <c r="E3" s="51">
        <v>0.2</v>
      </c>
      <c r="F3" s="51">
        <v>0.4</v>
      </c>
      <c r="G3" s="51">
        <v>0.3</v>
      </c>
      <c r="H3" s="51">
        <v>0.1</v>
      </c>
      <c r="N3" s="47" t="s">
        <v>29</v>
      </c>
      <c r="O3" s="48">
        <v>0</v>
      </c>
      <c r="P3" s="48">
        <v>0.2</v>
      </c>
      <c r="Q3" s="48">
        <v>0.3</v>
      </c>
      <c r="R3" s="48">
        <v>0.4</v>
      </c>
      <c r="S3" s="48">
        <v>0.6</v>
      </c>
      <c r="T3" s="48">
        <v>0.8</v>
      </c>
      <c r="U3" s="48">
        <v>0.9</v>
      </c>
    </row>
    <row r="4" spans="1:29" ht="60" customHeight="1" x14ac:dyDescent="0.25">
      <c r="D4" s="50" t="s">
        <v>30</v>
      </c>
      <c r="E4" s="51">
        <v>0.4</v>
      </c>
      <c r="F4" s="51">
        <v>0.2</v>
      </c>
      <c r="G4" s="51">
        <v>0.3</v>
      </c>
      <c r="H4" s="51">
        <v>0.1</v>
      </c>
      <c r="N4" s="47" t="s">
        <v>30</v>
      </c>
      <c r="O4" s="48">
        <v>0</v>
      </c>
      <c r="P4" s="48">
        <v>0.2</v>
      </c>
      <c r="Q4" s="48">
        <v>0.3</v>
      </c>
      <c r="R4" s="48">
        <v>0.4</v>
      </c>
      <c r="S4" s="48">
        <v>0.6</v>
      </c>
      <c r="T4" s="48">
        <v>0.8</v>
      </c>
      <c r="U4" s="48">
        <v>0.9</v>
      </c>
    </row>
    <row r="5" spans="1:29" x14ac:dyDescent="0.25">
      <c r="D5" s="50" t="s">
        <v>27</v>
      </c>
      <c r="E5" s="51">
        <v>0.4</v>
      </c>
      <c r="F5" s="51">
        <v>0.2</v>
      </c>
      <c r="G5" s="51">
        <v>0.3</v>
      </c>
      <c r="H5" s="51">
        <v>0.1</v>
      </c>
      <c r="N5" s="47" t="s">
        <v>27</v>
      </c>
      <c r="O5" s="48">
        <v>0</v>
      </c>
      <c r="P5" s="48">
        <v>0.2</v>
      </c>
      <c r="Q5" s="48">
        <v>0.3</v>
      </c>
      <c r="R5" s="48">
        <v>0.4</v>
      </c>
      <c r="S5" s="48">
        <v>0.6</v>
      </c>
      <c r="T5" s="48">
        <v>0.8</v>
      </c>
      <c r="U5" s="48">
        <v>0.9</v>
      </c>
    </row>
    <row r="6" spans="1:29" x14ac:dyDescent="0.25">
      <c r="D6" s="50" t="s">
        <v>28</v>
      </c>
      <c r="E6" s="51">
        <v>0.4</v>
      </c>
      <c r="F6" s="51">
        <v>0.2</v>
      </c>
      <c r="G6" s="51">
        <v>0.3</v>
      </c>
      <c r="H6" s="51">
        <v>0.1</v>
      </c>
      <c r="N6" s="47" t="s">
        <v>28</v>
      </c>
      <c r="O6" s="48">
        <v>0</v>
      </c>
      <c r="P6" s="48">
        <v>0.2</v>
      </c>
      <c r="Q6" s="48">
        <v>0.3</v>
      </c>
      <c r="R6" s="48">
        <v>0.4</v>
      </c>
      <c r="S6" s="48">
        <v>0.6</v>
      </c>
      <c r="T6" s="48">
        <v>0.8</v>
      </c>
      <c r="U6" s="48">
        <v>0.9</v>
      </c>
    </row>
    <row r="7" spans="1:29" ht="15.75" thickBot="1" x14ac:dyDescent="0.3">
      <c r="B7" s="36"/>
      <c r="C7" s="37"/>
      <c r="D7" s="37"/>
      <c r="E7" s="37"/>
      <c r="F7" s="37"/>
    </row>
    <row r="8" spans="1:29" ht="35.25" customHeight="1" thickBot="1" x14ac:dyDescent="0.3">
      <c r="A8" s="26" t="s">
        <v>0</v>
      </c>
      <c r="B8" s="26"/>
      <c r="C8" s="26"/>
      <c r="D8" s="26"/>
      <c r="E8" s="26"/>
      <c r="F8" s="26"/>
      <c r="G8" s="26"/>
      <c r="H8" s="26"/>
    </row>
    <row r="9" spans="1:29" ht="15.75" thickBot="1" x14ac:dyDescent="0.3"/>
    <row r="10" spans="1:29" ht="38.25" customHeight="1" thickBot="1" x14ac:dyDescent="0.3">
      <c r="A10" s="21" t="s">
        <v>1</v>
      </c>
      <c r="B10" s="21"/>
      <c r="C10" s="27">
        <v>5000</v>
      </c>
      <c r="D10" s="27"/>
      <c r="E10" s="2" t="s">
        <v>2</v>
      </c>
      <c r="F10" s="2"/>
      <c r="H10" s="21" t="s">
        <v>46</v>
      </c>
      <c r="I10" s="21"/>
      <c r="J10" s="21"/>
      <c r="K10" s="28"/>
      <c r="L10" s="22">
        <f>C10+(C10*W15)</f>
        <v>9950</v>
      </c>
      <c r="M10" s="22"/>
      <c r="N10" s="2" t="s">
        <v>2</v>
      </c>
    </row>
    <row r="12" spans="1:29" ht="16.5" thickBot="1" x14ac:dyDescent="0.3">
      <c r="A12" s="23" t="s">
        <v>3</v>
      </c>
      <c r="B12" s="23"/>
      <c r="C12" s="23"/>
      <c r="D12" s="23"/>
      <c r="E12" s="23"/>
      <c r="F12" s="23"/>
      <c r="G12" s="23"/>
      <c r="H12" s="23"/>
    </row>
    <row r="13" spans="1:29" ht="19.5" customHeight="1" thickBot="1" x14ac:dyDescent="0.3">
      <c r="A13" s="24" t="s">
        <v>4</v>
      </c>
      <c r="B13" s="32" t="s">
        <v>9</v>
      </c>
      <c r="C13" s="33"/>
      <c r="D13" s="33"/>
      <c r="E13" s="33"/>
      <c r="F13" s="34"/>
      <c r="G13" s="32" t="s">
        <v>21</v>
      </c>
      <c r="H13" s="33"/>
      <c r="I13" s="33"/>
      <c r="J13" s="33"/>
      <c r="K13" s="34"/>
      <c r="L13" s="32" t="s">
        <v>22</v>
      </c>
      <c r="M13" s="33"/>
      <c r="N13" s="33"/>
      <c r="O13" s="33"/>
      <c r="P13" s="34"/>
      <c r="Q13" s="25" t="s">
        <v>5</v>
      </c>
      <c r="R13" s="43"/>
      <c r="S13" s="43"/>
      <c r="T13" s="43"/>
      <c r="U13" s="44"/>
      <c r="V13" s="19" t="s">
        <v>6</v>
      </c>
      <c r="W13" s="20" t="s">
        <v>7</v>
      </c>
    </row>
    <row r="14" spans="1:29" ht="35.25" customHeight="1" x14ac:dyDescent="0.25">
      <c r="A14" s="24"/>
      <c r="B14" s="3" t="s">
        <v>8</v>
      </c>
      <c r="C14" s="3" t="s">
        <v>9</v>
      </c>
      <c r="D14" s="3" t="s">
        <v>10</v>
      </c>
      <c r="E14" s="3" t="s">
        <v>11</v>
      </c>
      <c r="F14" s="3" t="s">
        <v>25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25</v>
      </c>
      <c r="L14" s="3" t="s">
        <v>8</v>
      </c>
      <c r="M14" s="3" t="s">
        <v>12</v>
      </c>
      <c r="N14" s="3" t="s">
        <v>13</v>
      </c>
      <c r="O14" s="3" t="s">
        <v>11</v>
      </c>
      <c r="P14" s="3" t="s">
        <v>25</v>
      </c>
      <c r="Q14" s="3" t="s">
        <v>8</v>
      </c>
      <c r="R14" s="3" t="s">
        <v>12</v>
      </c>
      <c r="S14" s="3" t="s">
        <v>13</v>
      </c>
      <c r="T14" s="3" t="s">
        <v>11</v>
      </c>
      <c r="U14" s="3" t="s">
        <v>25</v>
      </c>
      <c r="V14" s="19"/>
      <c r="W14" s="20"/>
    </row>
    <row r="15" spans="1:29" ht="44.25" customHeight="1" thickBot="1" x14ac:dyDescent="0.3">
      <c r="A15" s="4" t="s">
        <v>44</v>
      </c>
      <c r="B15" s="5">
        <v>0.2</v>
      </c>
      <c r="C15" s="6">
        <v>100</v>
      </c>
      <c r="D15" s="7">
        <v>95</v>
      </c>
      <c r="E15" s="8">
        <f>D15/C15</f>
        <v>0.95</v>
      </c>
      <c r="F15" s="8">
        <f>E15*Расчет!E6</f>
        <v>0</v>
      </c>
      <c r="G15" s="5">
        <v>0.4</v>
      </c>
      <c r="H15" s="6">
        <v>90</v>
      </c>
      <c r="I15" s="7">
        <v>90</v>
      </c>
      <c r="J15" s="8">
        <f>I15/H15</f>
        <v>1</v>
      </c>
      <c r="K15" s="8">
        <f>J15*Расчет!J6</f>
        <v>0</v>
      </c>
      <c r="L15" s="5">
        <v>0.3</v>
      </c>
      <c r="M15" s="9">
        <v>45</v>
      </c>
      <c r="N15" s="9">
        <v>45</v>
      </c>
      <c r="O15" s="10">
        <f>N15/M15</f>
        <v>1</v>
      </c>
      <c r="P15" s="10">
        <f>O15*Расчет!O6</f>
        <v>0</v>
      </c>
      <c r="Q15" s="5">
        <v>0.1</v>
      </c>
      <c r="R15" s="9">
        <v>45</v>
      </c>
      <c r="S15" s="9">
        <v>45</v>
      </c>
      <c r="T15" s="10">
        <f>S15/R15</f>
        <v>1</v>
      </c>
      <c r="U15" s="10">
        <f>T15*Расчет!U6</f>
        <v>0</v>
      </c>
      <c r="V15" s="11">
        <f>B15+G15+L15+Q15</f>
        <v>1.0000000000000002</v>
      </c>
      <c r="W15" s="56">
        <f>(L15*O15)+(B15*E15)+(G15*J15)+(Q15*AB15)</f>
        <v>0.99</v>
      </c>
      <c r="Y15" s="2"/>
      <c r="AB15" s="12">
        <f>IF(T15&gt;110%,110%,T15)</f>
        <v>1</v>
      </c>
      <c r="AC15" s="13" t="e">
        <f>$W$15*#REF!</f>
        <v>#REF!</v>
      </c>
    </row>
    <row r="22" spans="1:27" ht="35.25" customHeight="1" x14ac:dyDescent="0.25">
      <c r="A22" s="15"/>
      <c r="B22" s="15"/>
      <c r="D22" s="14"/>
      <c r="E22" s="14"/>
      <c r="F22" s="14"/>
      <c r="H22" s="15"/>
      <c r="I22" s="14"/>
      <c r="J22" s="15"/>
      <c r="K22" s="15"/>
      <c r="Z22" s="12">
        <v>0</v>
      </c>
      <c r="AA22" s="13"/>
    </row>
  </sheetData>
  <mergeCells count="16">
    <mergeCell ref="B1:D1"/>
    <mergeCell ref="G13:K13"/>
    <mergeCell ref="L13:P13"/>
    <mergeCell ref="Q13:U13"/>
    <mergeCell ref="E1:H1"/>
    <mergeCell ref="N1:U1"/>
    <mergeCell ref="H10:K10"/>
    <mergeCell ref="A8:H8"/>
    <mergeCell ref="A10:B10"/>
    <mergeCell ref="C10:D10"/>
    <mergeCell ref="L10:M10"/>
    <mergeCell ref="A12:H12"/>
    <mergeCell ref="A13:A14"/>
    <mergeCell ref="V13:V14"/>
    <mergeCell ref="W13:W14"/>
    <mergeCell ref="B13:F13"/>
  </mergeCells>
  <pageMargins left="0.7" right="0.7" top="0.75" bottom="0.75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Справочник!$A$2:$A$5</xm:f>
          </x14:formula1>
          <xm:sqref>B1</xm:sqref>
        </x14:dataValidation>
        <x14:dataValidation type="list" allowBlank="1" showInputMessage="1" showErrorMessage="1">
          <x14:formula1>
            <xm:f>Справочник!$C$2:$C$6</xm:f>
          </x14:formula1>
          <xm:sqref>A15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F9" sqref="F9"/>
    </sheetView>
  </sheetViews>
  <sheetFormatPr defaultRowHeight="15" x14ac:dyDescent="0.25"/>
  <cols>
    <col min="1" max="1" width="24" customWidth="1"/>
    <col min="3" max="3" width="22.7109375" customWidth="1"/>
  </cols>
  <sheetData>
    <row r="2" spans="1:3" x14ac:dyDescent="0.25">
      <c r="A2" s="39" t="s">
        <v>29</v>
      </c>
      <c r="C2" s="35" t="s">
        <v>40</v>
      </c>
    </row>
    <row r="3" spans="1:3" x14ac:dyDescent="0.25">
      <c r="A3" s="39" t="s">
        <v>30</v>
      </c>
      <c r="C3" s="35" t="s">
        <v>41</v>
      </c>
    </row>
    <row r="4" spans="1:3" x14ac:dyDescent="0.25">
      <c r="A4" s="39" t="s">
        <v>27</v>
      </c>
      <c r="C4" s="35" t="s">
        <v>42</v>
      </c>
    </row>
    <row r="5" spans="1:3" x14ac:dyDescent="0.25">
      <c r="A5" s="39" t="s">
        <v>28</v>
      </c>
      <c r="C5" s="35" t="s">
        <v>43</v>
      </c>
    </row>
    <row r="6" spans="1:3" x14ac:dyDescent="0.25">
      <c r="C6" s="3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I2" sqref="I2"/>
    </sheetView>
  </sheetViews>
  <sheetFormatPr defaultRowHeight="15" x14ac:dyDescent="0.25"/>
  <cols>
    <col min="1" max="1025" width="8.7109375" customWidth="1"/>
  </cols>
  <sheetData>
    <row r="1" spans="1:9" ht="49.5" customHeight="1" x14ac:dyDescent="0.25">
      <c r="A1" s="29" t="s">
        <v>14</v>
      </c>
      <c r="B1" s="29"/>
    </row>
    <row r="2" spans="1:9" x14ac:dyDescent="0.25">
      <c r="A2" s="16" t="s">
        <v>15</v>
      </c>
      <c r="B2" s="17">
        <f t="shared" ref="B2:B7" si="0">$C$3*Y2</f>
        <v>0</v>
      </c>
      <c r="D2">
        <v>20</v>
      </c>
      <c r="E2" s="18">
        <v>0.5</v>
      </c>
      <c r="F2">
        <f>МОТИВАЦИЯ!$C$10*Лист2!E2</f>
        <v>2500</v>
      </c>
      <c r="I2" s="2" t="e">
        <f>VLOOKUP(МОТИВАЦИЯ!#REF!,D:F,3,0)</f>
        <v>#REF!</v>
      </c>
    </row>
    <row r="3" spans="1:9" x14ac:dyDescent="0.25">
      <c r="A3" s="16" t="s">
        <v>16</v>
      </c>
      <c r="B3" s="17">
        <f t="shared" si="0"/>
        <v>0</v>
      </c>
      <c r="D3">
        <v>19</v>
      </c>
      <c r="E3" s="18">
        <v>0.5</v>
      </c>
      <c r="F3">
        <f>МОТИВАЦИЯ!$C$10*Лист2!E3</f>
        <v>2500</v>
      </c>
    </row>
    <row r="4" spans="1:9" x14ac:dyDescent="0.25">
      <c r="A4" s="16" t="s">
        <v>17</v>
      </c>
      <c r="B4" s="17">
        <f t="shared" si="0"/>
        <v>0</v>
      </c>
      <c r="D4">
        <v>18</v>
      </c>
      <c r="E4" s="18">
        <v>0.45</v>
      </c>
      <c r="F4">
        <f>МОТИВАЦИЯ!$C$10*Лист2!E4</f>
        <v>2250</v>
      </c>
    </row>
    <row r="5" spans="1:9" x14ac:dyDescent="0.25">
      <c r="A5" s="16" t="s">
        <v>18</v>
      </c>
      <c r="B5" s="17">
        <f t="shared" si="0"/>
        <v>0</v>
      </c>
      <c r="D5">
        <v>17</v>
      </c>
      <c r="E5" s="18">
        <v>0.45</v>
      </c>
      <c r="F5">
        <f>МОТИВАЦИЯ!$C$10*Лист2!E5</f>
        <v>2250</v>
      </c>
    </row>
    <row r="6" spans="1:9" x14ac:dyDescent="0.25">
      <c r="A6" s="16" t="s">
        <v>19</v>
      </c>
      <c r="B6" s="17">
        <f t="shared" si="0"/>
        <v>0</v>
      </c>
      <c r="D6">
        <v>16</v>
      </c>
      <c r="E6" s="18">
        <v>0.4</v>
      </c>
      <c r="F6">
        <f>МОТИВАЦИЯ!$C$10*Лист2!E6</f>
        <v>2000</v>
      </c>
    </row>
    <row r="7" spans="1:9" x14ac:dyDescent="0.25">
      <c r="A7" s="16" t="s">
        <v>20</v>
      </c>
      <c r="B7" s="17">
        <f t="shared" si="0"/>
        <v>0</v>
      </c>
      <c r="D7">
        <v>15</v>
      </c>
      <c r="E7" s="18">
        <v>0.4</v>
      </c>
      <c r="F7">
        <f>МОТИВАЦИЯ!$C$10*Лист2!E7</f>
        <v>2000</v>
      </c>
    </row>
    <row r="8" spans="1:9" x14ac:dyDescent="0.25">
      <c r="D8">
        <v>14</v>
      </c>
      <c r="E8" s="18">
        <v>0.35</v>
      </c>
      <c r="F8">
        <f>МОТИВАЦИЯ!$C$10*Лист2!E8</f>
        <v>1750</v>
      </c>
    </row>
    <row r="9" spans="1:9" x14ac:dyDescent="0.25">
      <c r="D9">
        <v>13</v>
      </c>
      <c r="E9" s="18">
        <v>0.35</v>
      </c>
      <c r="F9">
        <f>МОТИВАЦИЯ!$C$10*Лист2!E9</f>
        <v>1750</v>
      </c>
    </row>
    <row r="10" spans="1:9" x14ac:dyDescent="0.25">
      <c r="D10">
        <v>12</v>
      </c>
      <c r="E10" s="18">
        <v>0.3</v>
      </c>
      <c r="F10">
        <f>МОТИВАЦИЯ!$C$10*Лист2!E10</f>
        <v>1500</v>
      </c>
    </row>
    <row r="11" spans="1:9" x14ac:dyDescent="0.25">
      <c r="D11">
        <v>11</v>
      </c>
      <c r="E11" s="18">
        <v>0.3</v>
      </c>
      <c r="F11">
        <f>МОТИВАЦИЯ!$C$10*Лист2!E11</f>
        <v>1500</v>
      </c>
    </row>
    <row r="12" spans="1:9" x14ac:dyDescent="0.25">
      <c r="D12">
        <v>10</v>
      </c>
      <c r="E12" s="18">
        <v>0</v>
      </c>
      <c r="F12">
        <f>МОТИВАЦИЯ!$C$10*Лист2!E12</f>
        <v>0</v>
      </c>
    </row>
    <row r="13" spans="1:9" x14ac:dyDescent="0.25">
      <c r="D13">
        <v>9</v>
      </c>
      <c r="E13" s="18">
        <v>0</v>
      </c>
      <c r="F13">
        <f>МОТИВАЦИЯ!$C$10*Лист2!E13</f>
        <v>0</v>
      </c>
    </row>
    <row r="14" spans="1:9" x14ac:dyDescent="0.25">
      <c r="D14">
        <v>8</v>
      </c>
      <c r="E14" s="18">
        <v>0</v>
      </c>
      <c r="F14">
        <f>МОТИВАЦИЯ!$C$10*Лист2!E14</f>
        <v>0</v>
      </c>
    </row>
    <row r="15" spans="1:9" x14ac:dyDescent="0.25">
      <c r="D15">
        <v>7</v>
      </c>
      <c r="E15" s="18">
        <v>0</v>
      </c>
      <c r="F15">
        <f>МОТИВАЦИЯ!$C$10*Лист2!E15</f>
        <v>0</v>
      </c>
    </row>
    <row r="16" spans="1:9" x14ac:dyDescent="0.25">
      <c r="D16">
        <v>6</v>
      </c>
      <c r="E16" s="18">
        <v>0</v>
      </c>
      <c r="F16">
        <f>МОТИВАЦИЯ!$C$10*Лист2!E16</f>
        <v>0</v>
      </c>
    </row>
    <row r="17" spans="4:6" x14ac:dyDescent="0.25">
      <c r="D17">
        <v>5</v>
      </c>
      <c r="E17" s="18">
        <v>0</v>
      </c>
      <c r="F17">
        <f>МОТИВАЦИЯ!$C$10*Лист2!E17</f>
        <v>0</v>
      </c>
    </row>
    <row r="18" spans="4:6" x14ac:dyDescent="0.25">
      <c r="D18">
        <v>4</v>
      </c>
      <c r="E18" s="18">
        <v>0</v>
      </c>
      <c r="F18">
        <f>МОТИВАЦИЯ!$C$10*Лист2!E18</f>
        <v>0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H20" sqref="H20"/>
    </sheetView>
  </sheetViews>
  <sheetFormatPr defaultRowHeight="15" x14ac:dyDescent="0.25"/>
  <cols>
    <col min="1" max="22" width="7.5703125" customWidth="1"/>
  </cols>
  <sheetData>
    <row r="1" spans="1:21" x14ac:dyDescent="0.25">
      <c r="E1" t="s">
        <v>45</v>
      </c>
      <c r="J1" t="s">
        <v>45</v>
      </c>
      <c r="O1" t="s">
        <v>45</v>
      </c>
      <c r="U1" t="s">
        <v>45</v>
      </c>
    </row>
    <row r="6" spans="1:21" x14ac:dyDescent="0.25">
      <c r="C6" t="str">
        <f>МОТИВАЦИЯ!B1</f>
        <v>Свердловская область</v>
      </c>
      <c r="E6" s="55" t="b">
        <f>IF(AND(C8&lt;A10),C9,IF(AND(C8&lt;B10,C8&gt;A10),C10,IF(AND(C8&lt;B11,C8&gt;A11),C11,IF(AND(C8&lt;B14,C8&gt;A14),C14,IF(AND(C8&lt;B12,C8&gt;A12),C12,IF(AND(C8&lt;B13,C8&gt;A13),C13,IF(C8&gt;B15,C15,AND(C8&lt;B15,C8&gt;A15))))))))</f>
        <v>0</v>
      </c>
      <c r="H6" t="str">
        <f>C6</f>
        <v>Свердловская область</v>
      </c>
      <c r="J6" s="52" t="b">
        <f>IF(AND(H8&lt;F9),H9,IF(AND(H8&lt;G10,H8&gt;F10),H10,IF(AND(H8&lt;G11,H8&gt;F11),H11,IF(AND(H8&lt;G12,H8&gt;F12),H12,IF(AND(H8&lt;G13,H8&gt;F13),H13,IF(H8&gt;G15,H15,AND(H8&lt;G15,H8&gt;F15)))))))</f>
        <v>0</v>
      </c>
      <c r="M6" t="str">
        <f>C6</f>
        <v>Свердловская область</v>
      </c>
      <c r="O6" s="52" t="b">
        <f>IF(AND(M8&lt;K9),M9,IF(AND(M8&lt;L10,M8&gt;K10),M10,IF(AND(M8&lt;L11,M8&gt;K11),M11,IF(AND(M8&lt;L12,M8&gt;K12),M12,IF(AND(M8&lt;L13,M8&gt;K13),M13,IF(M8&gt;L15,M15,AND(M8&lt;L15,M8&gt;K15)))))))</f>
        <v>0</v>
      </c>
      <c r="S6" t="str">
        <f>C6</f>
        <v>Свердловская область</v>
      </c>
      <c r="U6" s="52" t="b">
        <f>IF(AND(S8&lt;Q9),S9,IF(AND(S8&lt;R10,S8&gt;Q10),S10,IF(AND(S8&lt;R11,S8&gt;Q11),S11,IF(AND(S8&lt;R12,S8&gt;Q12),S12,IF(AND(S8&lt;R13,S8&gt;Q13),S13,IF(S8&gt;R15,S15,AND(S8&lt;R15,S8&gt;Q15)))))))</f>
        <v>0</v>
      </c>
    </row>
    <row r="8" spans="1:21" x14ac:dyDescent="0.25">
      <c r="C8" s="30">
        <f>МОТИВАЦИЯ!E15</f>
        <v>0.95</v>
      </c>
      <c r="H8" s="38">
        <f>МОТИВАЦИЯ!J15</f>
        <v>1</v>
      </c>
      <c r="M8" s="38">
        <f>МОТИВАЦИЯ!O15</f>
        <v>1</v>
      </c>
      <c r="S8" s="38">
        <v>0.9</v>
      </c>
    </row>
    <row r="9" spans="1:21" x14ac:dyDescent="0.25">
      <c r="A9" s="31">
        <v>0.79900000000000004</v>
      </c>
      <c r="B9" s="31"/>
      <c r="C9" s="53">
        <v>0</v>
      </c>
      <c r="D9" s="54">
        <f>VLOOKUP($C$6,МОТИВАЦИЯ!$N$3:$U$6,2,0)</f>
        <v>0</v>
      </c>
      <c r="F9" s="31">
        <v>0.79900000000000004</v>
      </c>
      <c r="G9" s="31"/>
      <c r="H9">
        <f>I9</f>
        <v>0</v>
      </c>
      <c r="I9">
        <f>VLOOKUP($C$6,МОТИВАЦИЯ!$N$3:$U$6,2,0)</f>
        <v>0</v>
      </c>
      <c r="K9" s="31">
        <v>0.79900000000000004</v>
      </c>
      <c r="L9" s="31"/>
      <c r="M9">
        <f>N9</f>
        <v>0</v>
      </c>
      <c r="N9">
        <f>VLOOKUP($C$6,МОТИВАЦИЯ!$N$3:$U$6,2,0)</f>
        <v>0</v>
      </c>
      <c r="Q9" s="31">
        <v>0.79900000000000004</v>
      </c>
      <c r="R9" s="31"/>
      <c r="S9">
        <f>T9</f>
        <v>0</v>
      </c>
      <c r="T9">
        <f>VLOOKUP($C$6,МОТИВАЦИЯ!$N$3:$U$6,2,0)</f>
        <v>0</v>
      </c>
    </row>
    <row r="10" spans="1:21" x14ac:dyDescent="0.25">
      <c r="A10" s="31">
        <v>0.80010000000000003</v>
      </c>
      <c r="B10" s="31">
        <v>0.84989999999999999</v>
      </c>
      <c r="C10" s="53">
        <v>0.2</v>
      </c>
      <c r="D10" s="54">
        <f>VLOOKUP(C6,МОТИВАЦИЯ!$N$3:$U$6,3,0)</f>
        <v>0.2</v>
      </c>
      <c r="F10" s="31">
        <v>0.8</v>
      </c>
      <c r="G10" s="31">
        <v>0.84989999999999999</v>
      </c>
      <c r="H10">
        <f t="shared" ref="H10:H15" si="0">I10</f>
        <v>0.2</v>
      </c>
      <c r="I10">
        <f>VLOOKUP(H6,МОТИВАЦИЯ!$N$3:$U$6,3,0)</f>
        <v>0.2</v>
      </c>
      <c r="K10" s="31">
        <v>0.8</v>
      </c>
      <c r="L10" s="31">
        <v>0.84989999999999999</v>
      </c>
      <c r="M10">
        <f t="shared" ref="M10:M15" si="1">N10</f>
        <v>0.2</v>
      </c>
      <c r="N10">
        <f>VLOOKUP(M6,МОТИВАЦИЯ!$N$3:$U$6,3,0)</f>
        <v>0.2</v>
      </c>
      <c r="Q10" s="31">
        <v>0.8</v>
      </c>
      <c r="R10" s="31">
        <v>0.84989999999999999</v>
      </c>
      <c r="S10">
        <f t="shared" ref="S10:S15" si="2">T10</f>
        <v>0.2</v>
      </c>
      <c r="T10">
        <f>VLOOKUP(S6,МОТИВАЦИЯ!$N$3:$U$6,3,0)</f>
        <v>0.2</v>
      </c>
    </row>
    <row r="11" spans="1:21" x14ac:dyDescent="0.25">
      <c r="A11" s="31">
        <v>0.85</v>
      </c>
      <c r="B11" s="31">
        <v>0.89990000000000003</v>
      </c>
      <c r="C11" s="53">
        <v>0.3</v>
      </c>
      <c r="D11" s="54">
        <f>VLOOKUP(C6,МОТИВАЦИЯ!$N$3:$U$6,4,0)</f>
        <v>0.3</v>
      </c>
      <c r="F11" s="31">
        <v>0.85</v>
      </c>
      <c r="G11" s="31">
        <v>0.89990000000000003</v>
      </c>
      <c r="H11">
        <f t="shared" si="0"/>
        <v>0.3</v>
      </c>
      <c r="I11">
        <f>VLOOKUP(H6,МОТИВАЦИЯ!$N$3:$U$6,4,0)</f>
        <v>0.3</v>
      </c>
      <c r="K11" s="31">
        <v>0.85</v>
      </c>
      <c r="L11" s="31">
        <v>0.89990000000000003</v>
      </c>
      <c r="M11">
        <f t="shared" si="1"/>
        <v>0.3</v>
      </c>
      <c r="N11">
        <f>VLOOKUP(M6,МОТИВАЦИЯ!$N$3:$U$6,4,0)</f>
        <v>0.3</v>
      </c>
      <c r="Q11" s="31">
        <v>0.85</v>
      </c>
      <c r="R11" s="31">
        <v>0.89990000000000003</v>
      </c>
      <c r="S11">
        <f t="shared" si="2"/>
        <v>0.3</v>
      </c>
      <c r="T11">
        <f>VLOOKUP(S6,МОТИВАЦИЯ!$N$3:$U$6,4,0)</f>
        <v>0.3</v>
      </c>
    </row>
    <row r="12" spans="1:21" x14ac:dyDescent="0.25">
      <c r="A12" s="31">
        <v>0.90100000000000002</v>
      </c>
      <c r="B12" s="31">
        <v>0.94989999999999997</v>
      </c>
      <c r="C12" s="53">
        <v>0.4</v>
      </c>
      <c r="D12" s="54">
        <f>VLOOKUP(C6,МОТИВАЦИЯ!$N$3:$U$6,5,0)</f>
        <v>0.4</v>
      </c>
      <c r="F12" s="31">
        <v>0.9</v>
      </c>
      <c r="G12" s="31">
        <v>0.94989999999999997</v>
      </c>
      <c r="H12">
        <f t="shared" si="0"/>
        <v>0.4</v>
      </c>
      <c r="I12">
        <f>VLOOKUP(H6,МОТИВАЦИЯ!$N$3:$U$6,5,0)</f>
        <v>0.4</v>
      </c>
      <c r="K12" s="31">
        <v>0.9</v>
      </c>
      <c r="L12" s="31">
        <v>0.94989999999999997</v>
      </c>
      <c r="M12">
        <f t="shared" si="1"/>
        <v>0.4</v>
      </c>
      <c r="N12">
        <f>VLOOKUP(M6,МОТИВАЦИЯ!$N$3:$U$6,5,0)</f>
        <v>0.4</v>
      </c>
      <c r="Q12" s="31">
        <v>0.9</v>
      </c>
      <c r="R12" s="31">
        <v>0.94989999999999997</v>
      </c>
      <c r="S12">
        <f t="shared" si="2"/>
        <v>0.4</v>
      </c>
      <c r="T12">
        <f>VLOOKUP(S6,МОТИВАЦИЯ!$N$3:$U$6,5,0)</f>
        <v>0.4</v>
      </c>
    </row>
    <row r="13" spans="1:21" x14ac:dyDescent="0.25">
      <c r="A13" s="31">
        <v>0.95</v>
      </c>
      <c r="B13" s="31">
        <v>0.99990000000000001</v>
      </c>
      <c r="C13" s="53">
        <v>0.6</v>
      </c>
      <c r="D13" s="54">
        <f>VLOOKUP(C6,МОТИВАЦИЯ!$N$3:$U$6,6,0)</f>
        <v>0.6</v>
      </c>
      <c r="F13" s="31">
        <v>0.95</v>
      </c>
      <c r="G13" s="31">
        <v>0.99990000000000001</v>
      </c>
      <c r="H13">
        <f t="shared" si="0"/>
        <v>0.6</v>
      </c>
      <c r="I13">
        <f>VLOOKUP(H6,МОТИВАЦИЯ!$N$3:$U$6,6,0)</f>
        <v>0.6</v>
      </c>
      <c r="K13" s="31">
        <v>0.95</v>
      </c>
      <c r="L13" s="31">
        <v>0.99990000000000001</v>
      </c>
      <c r="M13">
        <f t="shared" si="1"/>
        <v>0.6</v>
      </c>
      <c r="N13">
        <f>VLOOKUP(M6,МОТИВАЦИЯ!$N$3:$U$6,6,0)</f>
        <v>0.6</v>
      </c>
      <c r="Q13" s="31">
        <v>0.95</v>
      </c>
      <c r="R13" s="31">
        <v>0.99990000000000001</v>
      </c>
      <c r="S13">
        <f t="shared" si="2"/>
        <v>0.6</v>
      </c>
      <c r="T13">
        <f>VLOOKUP(S6,МОТИВАЦИЯ!$N$3:$U$6,6,0)</f>
        <v>0.6</v>
      </c>
    </row>
    <row r="14" spans="1:21" x14ac:dyDescent="0.25">
      <c r="A14" s="31">
        <v>1</v>
      </c>
      <c r="B14" s="31">
        <v>1.0499000000000001</v>
      </c>
      <c r="C14" s="53">
        <v>0.8</v>
      </c>
      <c r="D14" s="54">
        <f>VLOOKUP(C6,МОТИВАЦИЯ!$N$3:$U$6,7,0)</f>
        <v>0.8</v>
      </c>
      <c r="F14" s="31">
        <v>1</v>
      </c>
      <c r="G14" s="31">
        <v>1.0499000000000001</v>
      </c>
      <c r="H14">
        <f t="shared" si="0"/>
        <v>0.8</v>
      </c>
      <c r="I14">
        <f>VLOOKUP(H6,МОТИВАЦИЯ!$N$3:$U$6,7,0)</f>
        <v>0.8</v>
      </c>
      <c r="K14" s="31">
        <v>1</v>
      </c>
      <c r="L14" s="31">
        <v>1.0499000000000001</v>
      </c>
      <c r="M14">
        <f t="shared" si="1"/>
        <v>0.8</v>
      </c>
      <c r="N14">
        <f>VLOOKUP(M6,МОТИВАЦИЯ!$N$3:$U$6,7,0)</f>
        <v>0.8</v>
      </c>
      <c r="Q14" s="31">
        <v>1</v>
      </c>
      <c r="R14" s="31">
        <v>1.0499000000000001</v>
      </c>
      <c r="S14">
        <f t="shared" si="2"/>
        <v>0.8</v>
      </c>
      <c r="T14">
        <f>VLOOKUP(S6,МОТИВАЦИЯ!$N$3:$U$6,7,0)</f>
        <v>0.8</v>
      </c>
    </row>
    <row r="15" spans="1:21" x14ac:dyDescent="0.25">
      <c r="A15" s="31">
        <v>1.05</v>
      </c>
      <c r="B15" s="31">
        <v>1.2</v>
      </c>
      <c r="C15" s="53">
        <v>0.9</v>
      </c>
      <c r="D15" s="54">
        <f>VLOOKUP(C6,МОТИВАЦИЯ!$N$3:$U$6,8,0)</f>
        <v>0.9</v>
      </c>
      <c r="F15" s="31">
        <v>1.05</v>
      </c>
      <c r="G15" s="31">
        <v>1.2</v>
      </c>
      <c r="H15">
        <f t="shared" si="0"/>
        <v>0.9</v>
      </c>
      <c r="I15">
        <f>VLOOKUP(H6,МОТИВАЦИЯ!$N$3:$U$6,8,0)</f>
        <v>0.9</v>
      </c>
      <c r="K15" s="31">
        <v>1.05</v>
      </c>
      <c r="L15" s="31">
        <v>1.2</v>
      </c>
      <c r="M15">
        <f t="shared" si="1"/>
        <v>0.9</v>
      </c>
      <c r="N15">
        <f>VLOOKUP(M6,МОТИВАЦИЯ!$N$3:$U$6,8,0)</f>
        <v>0.9</v>
      </c>
      <c r="Q15" s="31">
        <v>1.05</v>
      </c>
      <c r="R15" s="31">
        <v>1.2</v>
      </c>
      <c r="S15">
        <f t="shared" si="2"/>
        <v>0.9</v>
      </c>
      <c r="T15">
        <f>VLOOKUP(S6,МОТИВАЦИЯ!$N$3:$U$6,8,0)</f>
        <v>0.9</v>
      </c>
    </row>
    <row r="16" spans="1:21" x14ac:dyDescent="0.25">
      <c r="A16" s="31"/>
      <c r="B16" s="3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МОТИВАЦИЯ</vt:lpstr>
      <vt:lpstr>Справочник</vt:lpstr>
      <vt:lpstr>Лист2</vt:lpstr>
      <vt:lpstr>Расчет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Вахрушев Виталий Николаевич</dc:creator>
  <cp:lastModifiedBy>Габбасов Евгений Викторович</cp:lastModifiedBy>
  <cp:revision>0</cp:revision>
  <dcterms:created xsi:type="dcterms:W3CDTF">2006-09-16T00:00:00Z</dcterms:created>
  <dcterms:modified xsi:type="dcterms:W3CDTF">2019-11-29T06:29:16Z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