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водная таблица" sheetId="1" r:id="rId1"/>
    <sheet name="Контрагенты" sheetId="5" r:id="rId2"/>
    <sheet name="ФирмаИРуководители" sheetId="2" r:id="rId3"/>
    <sheet name="Водители" sheetId="3" r:id="rId4"/>
    <sheet name="Поставщики" sheetId="6" r:id="rId5"/>
    <sheet name="ТС" sheetId="4" r:id="rId6"/>
  </sheets>
  <definedNames>
    <definedName name="Прицепы">Таблица33[Прицепы]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2" i="5" l="1"/>
  <c r="AH12" i="5"/>
  <c r="AA12" i="5"/>
  <c r="F12" i="6" l="1"/>
  <c r="E12" i="6"/>
  <c r="T11" i="6"/>
  <c r="S11" i="6"/>
  <c r="M11" i="6"/>
  <c r="L11" i="6"/>
  <c r="T12" i="6" l="1"/>
  <c r="F13" i="6"/>
  <c r="M12" i="6"/>
  <c r="F12" i="5"/>
  <c r="E12" i="5"/>
  <c r="F13" i="5" s="1"/>
  <c r="AO11" i="5"/>
  <c r="AN11" i="5"/>
  <c r="AH11" i="5"/>
  <c r="AG11" i="5"/>
  <c r="AA11" i="5"/>
  <c r="Z11" i="5"/>
  <c r="T11" i="5"/>
  <c r="S11" i="5"/>
  <c r="T12" i="5" s="1"/>
  <c r="M11" i="5"/>
  <c r="L11" i="5"/>
  <c r="M12" i="5" s="1"/>
  <c r="AO11" i="2"/>
  <c r="AN11" i="2"/>
  <c r="AO12" i="2" s="1"/>
  <c r="AH11" i="2"/>
  <c r="AG11" i="2"/>
  <c r="AA11" i="2"/>
  <c r="Z11" i="2"/>
  <c r="AH6" i="4"/>
  <c r="AA6" i="4"/>
  <c r="T6" i="4"/>
  <c r="M6" i="4"/>
  <c r="T11" i="2"/>
  <c r="S11" i="2"/>
  <c r="M11" i="2"/>
  <c r="L11" i="2"/>
  <c r="M12" i="2" l="1"/>
  <c r="AA12" i="2"/>
  <c r="AH12" i="2"/>
  <c r="T12" i="2"/>
  <c r="F6" i="4"/>
  <c r="AH4" i="3"/>
  <c r="AG4" i="3"/>
  <c r="AH5" i="3" s="1"/>
  <c r="AA4" i="3"/>
  <c r="Z4" i="3"/>
  <c r="AA5" i="3" s="1"/>
  <c r="T4" i="3"/>
  <c r="S4" i="3"/>
  <c r="T5" i="3" s="1"/>
  <c r="M6" i="3"/>
  <c r="L6" i="3"/>
  <c r="E6" i="3"/>
  <c r="F6" i="3"/>
  <c r="E13" i="2"/>
  <c r="F13" i="2"/>
  <c r="F7" i="3" l="1"/>
  <c r="F14" i="2"/>
  <c r="M7" i="3"/>
</calcChain>
</file>

<file path=xl/sharedStrings.xml><?xml version="1.0" encoding="utf-8"?>
<sst xmlns="http://schemas.openxmlformats.org/spreadsheetml/2006/main" count="441" uniqueCount="84">
  <si>
    <t>Дата</t>
  </si>
  <si>
    <t>Платильщик</t>
  </si>
  <si>
    <t>Наименование (назначение)</t>
  </si>
  <si>
    <t>Получатель</t>
  </si>
  <si>
    <t>ТС</t>
  </si>
  <si>
    <t>Сумма</t>
  </si>
  <si>
    <t>КОНТРАГЕНТЫ</t>
  </si>
  <si>
    <t>ООО "Металлопрокат"</t>
  </si>
  <si>
    <t>ТД "Кирпич"</t>
  </si>
  <si>
    <t>ИП "Древесина"</t>
  </si>
  <si>
    <t>АО "Песок"</t>
  </si>
  <si>
    <t>ФЛ "Щебень"</t>
  </si>
  <si>
    <t>ЗАО "Грунт"</t>
  </si>
  <si>
    <t>ФИРМЫ</t>
  </si>
  <si>
    <t>РУКОВОДИТЕЛИ</t>
  </si>
  <si>
    <t>Иванов И.И.</t>
  </si>
  <si>
    <t>Петров П.П.</t>
  </si>
  <si>
    <t>Сидоров С.С.</t>
  </si>
  <si>
    <t>ВОДИТЕЛИ</t>
  </si>
  <si>
    <t>Работягин Р.Р.</t>
  </si>
  <si>
    <t>Лентяйкин Л.Л.</t>
  </si>
  <si>
    <t>Трудоголиков Т.Т.</t>
  </si>
  <si>
    <t>Чайников Ч.Ч.</t>
  </si>
  <si>
    <t>Дпсов Д.Д.</t>
  </si>
  <si>
    <t>ПОСТАВЩИКИ</t>
  </si>
  <si>
    <t>Топливо</t>
  </si>
  <si>
    <t>Запчасти</t>
  </si>
  <si>
    <t>Сервис</t>
  </si>
  <si>
    <t>ТС:</t>
  </si>
  <si>
    <t>Ваз</t>
  </si>
  <si>
    <t>Заз</t>
  </si>
  <si>
    <t>Уаз</t>
  </si>
  <si>
    <t>Маз</t>
  </si>
  <si>
    <t>Камаз</t>
  </si>
  <si>
    <t>Перевод с ИП на расходы</t>
  </si>
  <si>
    <t>На расходы</t>
  </si>
  <si>
    <t>Покупка сцепления</t>
  </si>
  <si>
    <t>замена сцепления</t>
  </si>
  <si>
    <t>щётки стеклоочистителя</t>
  </si>
  <si>
    <t>ЗП Работягшин</t>
  </si>
  <si>
    <t>ЗП Петров П.П.</t>
  </si>
  <si>
    <t>ЗП Сидоров С.С.</t>
  </si>
  <si>
    <t>на текущией расходы</t>
  </si>
  <si>
    <t>лампочки</t>
  </si>
  <si>
    <t>автозапчасти</t>
  </si>
  <si>
    <t>Кредит</t>
  </si>
  <si>
    <t>Отправитель</t>
  </si>
  <si>
    <t>Дебет</t>
  </si>
  <si>
    <t>Итог</t>
  </si>
  <si>
    <t>Наименование</t>
  </si>
  <si>
    <t>Поставщик</t>
  </si>
  <si>
    <t>ВАЗ</t>
  </si>
  <si>
    <t>ИП Иванов</t>
  </si>
  <si>
    <t>ИП Петров</t>
  </si>
  <si>
    <t>ИП Сидоров</t>
  </si>
  <si>
    <t>…</t>
  </si>
  <si>
    <t>ЗАЗ</t>
  </si>
  <si>
    <t>УАЗ</t>
  </si>
  <si>
    <t>МАЗ</t>
  </si>
  <si>
    <t>КАМАЗ</t>
  </si>
  <si>
    <t>Счёт № 2 от 10.12.19 за услуги грузоперевозок</t>
  </si>
  <si>
    <t>Оплата услуг по счёту № 1 …</t>
  </si>
  <si>
    <t>Оплата услуг по счёту № 2 …</t>
  </si>
  <si>
    <t>Счёт № 1 от 01.12.19</t>
  </si>
  <si>
    <t>Счёт на предоплату за топливо</t>
  </si>
  <si>
    <t>в ручную</t>
  </si>
  <si>
    <t>заказ наряд № …</t>
  </si>
  <si>
    <t>из формы маршрутов</t>
  </si>
  <si>
    <t xml:space="preserve">Счёт № 1 от 01.12.19 </t>
  </si>
  <si>
    <t>Кредит2</t>
  </si>
  <si>
    <t>Покупка песка по счёту №0000101 …</t>
  </si>
  <si>
    <t>Покупка кирпича по счёту …</t>
  </si>
  <si>
    <t>Счёт фактура №0000101 (поставка)</t>
  </si>
  <si>
    <t>Счёт фактура … (поставка)</t>
  </si>
  <si>
    <t>счёт фактура №… (поставка)</t>
  </si>
  <si>
    <t>Прицеп 1</t>
  </si>
  <si>
    <t>Прицепы</t>
  </si>
  <si>
    <t>Прицеп 2</t>
  </si>
  <si>
    <t>Прицеп 3</t>
  </si>
  <si>
    <t>Прицеп 4</t>
  </si>
  <si>
    <t>Прицеп 5</t>
  </si>
  <si>
    <t>Прицеп</t>
  </si>
  <si>
    <t>Поставка товара по счёту №0000101…</t>
  </si>
  <si>
    <t>Поставка товара по счёту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</si>
</sst>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14" fontId="0" fillId="0" borderId="0" xfId="0" applyNumberFormat="1"/>
    <xf numFmtId="4" fontId="0" fillId="0" borderId="0" xfId="0" applyNumberFormat="1"/>
    <xf numFmtId="14" fontId="1" fillId="3" borderId="1" xfId="0" applyNumberFormat="1" applyFont="1" applyFill="1" applyBorder="1"/>
    <xf numFmtId="0" fontId="1" fillId="3" borderId="2" xfId="0" applyFont="1" applyFill="1" applyBorder="1"/>
    <xf numFmtId="4" fontId="1" fillId="3" borderId="3" xfId="0" applyNumberFormat="1" applyFont="1" applyFill="1" applyBorder="1"/>
    <xf numFmtId="14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4" fontId="1" fillId="3" borderId="2" xfId="0" applyNumberFormat="1" applyFont="1" applyFill="1" applyBorder="1"/>
    <xf numFmtId="4" fontId="0" fillId="0" borderId="4" xfId="0" applyNumberFormat="1" applyBorder="1"/>
    <xf numFmtId="0" fontId="0" fillId="0" borderId="4" xfId="0" applyBorder="1"/>
    <xf numFmtId="164" fontId="0" fillId="0" borderId="4" xfId="0" applyNumberFormat="1" applyBorder="1"/>
    <xf numFmtId="164" fontId="0" fillId="0" borderId="0" xfId="0" applyNumberFormat="1"/>
    <xf numFmtId="14" fontId="0" fillId="0" borderId="0" xfId="0" applyNumberFormat="1" applyFill="1"/>
    <xf numFmtId="0" fontId="0" fillId="0" borderId="0" xfId="0" applyFill="1"/>
    <xf numFmtId="4" fontId="0" fillId="0" borderId="0" xfId="0" applyNumberFormat="1" applyFill="1"/>
    <xf numFmtId="0" fontId="4" fillId="0" borderId="0" xfId="0" applyFont="1"/>
    <xf numFmtId="0" fontId="0" fillId="0" borderId="0" xfId="0" applyFill="1" applyAlignment="1">
      <alignment horizontal="left" vertic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58"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dd/mm/yyyy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dd/mm/yyyy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dd/mm/yyyy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dd/mm/yyyy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dd/mm/yyyy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dd/mm/yyyy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dd/mm/yyyy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dd/mm/yyyy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dd/mm/yyyy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dd/mm/yyyy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dd/mm/yyyy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dd/mm/yyyy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dd/mm/yyyy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dd/mm/yyyy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dd/mm/yyyy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dd/mm/yyyy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dd/mm/yyyy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dd/mm/yyyy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dd/mm/yyyy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dd/mm/yyyy"/>
    </dxf>
    <dxf>
      <numFmt numFmtId="4" formatCode="#,##0.00"/>
    </dxf>
    <dxf>
      <numFmt numFmtId="19" formatCode="dd/mm/yyyy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421" displayName="Таблица1421" ref="H27:H32" totalsRowShown="0" headerRowDxfId="157" dataDxfId="156" tableBorderDxfId="155">
  <autoFilter ref="H27:H32"/>
  <tableColumns count="1">
    <tableColumn id="1" name="ТС:" dataDxfId="154"/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27" name="Таблица8171828" displayName="Таблица8171828" ref="O2:T11" totalsRowCount="1">
  <autoFilter ref="O2:T10"/>
  <tableColumns count="6">
    <tableColumn id="1" name="Дата" totalsRowLabel="Итог" dataDxfId="114"/>
    <tableColumn id="2" name="Отправитель"/>
    <tableColumn id="3" name="Получатель"/>
    <tableColumn id="4" name="Наименование (назначение)"/>
    <tableColumn id="5" name="Дебет" totalsRowFunction="sum" dataDxfId="113" totalsRowDxfId="112"/>
    <tableColumn id="6" name="Кредит2" totalsRowFunction="sum" dataDxfId="111" totalsRowDxfId="110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28" name="Таблица817182329" displayName="Таблица817182329" ref="V2:AA11" totalsRowCount="1">
  <autoFilter ref="V2:AA10"/>
  <tableColumns count="6">
    <tableColumn id="1" name="Дата" totalsRowLabel="Итог" dataDxfId="109"/>
    <tableColumn id="2" name="Отправитель"/>
    <tableColumn id="3" name="Получатель"/>
    <tableColumn id="4" name="Наименование (назначение)"/>
    <tableColumn id="5" name="Дебет" totalsRowFunction="sum" dataDxfId="108" totalsRowDxfId="107"/>
    <tableColumn id="6" name="Кредит2" totalsRowFunction="sum" dataDxfId="106" totalsRowDxfId="105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29" name="Таблица817182430" displayName="Таблица817182430" ref="AC2:AH11" totalsRowCount="1">
  <autoFilter ref="AC2:AH10"/>
  <tableColumns count="6">
    <tableColumn id="1" name="Дата" totalsRowLabel="Итог" dataDxfId="104"/>
    <tableColumn id="2" name="Отправитель"/>
    <tableColumn id="3" name="Получатель"/>
    <tableColumn id="4" name="Наименование (назначение)"/>
    <tableColumn id="5" name="Дебет" totalsRowFunction="sum" dataDxfId="103" totalsRowDxfId="102"/>
    <tableColumn id="6" name="Кредит2" totalsRowFunction="sum" dataDxfId="101" totalsRowDxfId="100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30" name="Таблица817182531" displayName="Таблица817182531" ref="AJ2:AO11" totalsRowCount="1">
  <autoFilter ref="AJ2:AO10"/>
  <tableColumns count="6">
    <tableColumn id="1" name="Дата" totalsRowLabel="Итог" dataDxfId="99"/>
    <tableColumn id="2" name="Отправитель"/>
    <tableColumn id="3" name="Получатель"/>
    <tableColumn id="4" name="Наименование (назначение)"/>
    <tableColumn id="5" name="Дебет" totalsRowFunction="sum" dataDxfId="98" totalsRowDxfId="97"/>
    <tableColumn id="6" name="Кредит2" totalsRowFunction="sum" dataDxfId="96" totalsRowDxfId="95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8" name="Таблица8" displayName="Таблица8" ref="A2:F13" totalsRowCount="1">
  <autoFilter ref="A2:F12"/>
  <tableColumns count="6">
    <tableColumn id="1" name="Дата" totalsRowLabel="Итог" dataDxfId="94"/>
    <tableColumn id="2" name="Отправитель"/>
    <tableColumn id="3" name="Получатель"/>
    <tableColumn id="4" name="Наименование (назначение)"/>
    <tableColumn id="5" name="Дебет" totalsRowFunction="sum" dataDxfId="93" totalsRowDxfId="92"/>
    <tableColumn id="6" name="Кредит" totalsRowFunction="sum" dataDxfId="91" totalsRowDxfId="90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16" name="Таблица817" displayName="Таблица817" ref="H2:M11" totalsRowCount="1">
  <autoFilter ref="H2:M10"/>
  <tableColumns count="6">
    <tableColumn id="1" name="Дата" totalsRowLabel="Итог" dataDxfId="89"/>
    <tableColumn id="2" name="Отправитель"/>
    <tableColumn id="3" name="Получатель"/>
    <tableColumn id="4" name="Наименование (назначение)"/>
    <tableColumn id="5" name="Дебет" totalsRowFunction="sum" dataDxfId="88" totalsRowDxfId="87"/>
    <tableColumn id="6" name="Кредит" totalsRowFunction="sum" dataDxfId="86" totalsRowDxfId="85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17" name="Таблица81718" displayName="Таблица81718" ref="O2:T11" totalsRowCount="1">
  <autoFilter ref="O2:T10"/>
  <tableColumns count="6">
    <tableColumn id="1" name="Дата" totalsRowLabel="Итог" dataDxfId="84"/>
    <tableColumn id="2" name="Отправитель"/>
    <tableColumn id="3" name="Получатель"/>
    <tableColumn id="4" name="Наименование (назначение)"/>
    <tableColumn id="5" name="Дебет" totalsRowFunction="sum" dataDxfId="83" totalsRowDxfId="82"/>
    <tableColumn id="6" name="Кредит" totalsRowFunction="sum" dataDxfId="81" totalsRowDxfId="80"/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22" name="Таблица8171823" displayName="Таблица8171823" ref="V2:AA11" totalsRowCount="1">
  <autoFilter ref="V2:AA10"/>
  <tableColumns count="6">
    <tableColumn id="1" name="Дата" totalsRowLabel="Итог" dataDxfId="79"/>
    <tableColumn id="2" name="Отправитель"/>
    <tableColumn id="3" name="Получатель"/>
    <tableColumn id="4" name="Наименование (назначение)"/>
    <tableColumn id="5" name="Дебет" totalsRowFunction="sum" dataDxfId="78" totalsRowDxfId="77"/>
    <tableColumn id="6" name="Кредит" totalsRowFunction="sum" dataDxfId="76" totalsRowDxfId="75"/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23" name="Таблица8171824" displayName="Таблица8171824" ref="AC2:AH11" totalsRowCount="1">
  <autoFilter ref="AC2:AH10"/>
  <tableColumns count="6">
    <tableColumn id="1" name="Дата" totalsRowLabel="Итог" dataDxfId="74"/>
    <tableColumn id="2" name="Отправитель"/>
    <tableColumn id="3" name="Получатель"/>
    <tableColumn id="4" name="Наименование (назначение)"/>
    <tableColumn id="5" name="Дебет" totalsRowFunction="sum" dataDxfId="73" totalsRowDxfId="72"/>
    <tableColumn id="6" name="Кредит" totalsRowFunction="sum" dataDxfId="71" totalsRowDxfId="70"/>
  </tableColumns>
  <tableStyleInfo name="TableStyleMedium9" showFirstColumn="0" showLastColumn="0" showRowStripes="1" showColumnStripes="0"/>
</table>
</file>

<file path=xl/tables/table19.xml><?xml version="1.0" encoding="utf-8"?>
<table xmlns="http://schemas.openxmlformats.org/spreadsheetml/2006/main" id="24" name="Таблица8171825" displayName="Таблица8171825" ref="AJ2:AO11" totalsRowCount="1">
  <autoFilter ref="AJ2:AO10"/>
  <tableColumns count="6">
    <tableColumn id="1" name="Дата" totalsRowLabel="Итог" dataDxfId="69"/>
    <tableColumn id="2" name="Отправитель"/>
    <tableColumn id="3" name="Получатель"/>
    <tableColumn id="4" name="Наименование (назначение)"/>
    <tableColumn id="5" name="Дебет" totalsRowFunction="sum" dataDxfId="68" totalsRowDxfId="67"/>
    <tableColumn id="6" name="Кредит" totalsRowFunction="sum" dataDxfId="66" totalsRowDxfId="6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Таблица1320" displayName="Таблица1320" ref="H23:H26" totalsRowShown="0" headerRowDxfId="153" dataDxfId="152" tableBorderDxfId="151">
  <autoFilter ref="H23:H26"/>
  <tableColumns count="1">
    <tableColumn id="1" name="ПОСТАВЩИКИ" dataDxfId="150"/>
  </tableColumns>
  <tableStyleInfo name="TableStyleMedium23" showFirstColumn="0" showLastColumn="0" showRowStripes="1" showColumnStripes="0"/>
</table>
</file>

<file path=xl/tables/table20.xml><?xml version="1.0" encoding="utf-8"?>
<table xmlns="http://schemas.openxmlformats.org/spreadsheetml/2006/main" id="9" name="Таблица9" displayName="Таблица9" ref="A2:F6" totalsRowCount="1" headerRowDxfId="64" headerRowBorderDxfId="63">
  <autoFilter ref="A2:F5"/>
  <tableColumns count="6">
    <tableColumn id="1" name="Дата" totalsRowLabel="Итог" dataDxfId="62"/>
    <tableColumn id="2" name="Отправитель"/>
    <tableColumn id="3" name="Получатель"/>
    <tableColumn id="4" name="Наименование (назначение)"/>
    <tableColumn id="5" name="Дебет" totalsRowFunction="sum" dataDxfId="61" totalsRowDxfId="60"/>
    <tableColumn id="6" name="Кредит" totalsRowFunction="sum" dataDxfId="59" totalsRowDxfId="58"/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id="10" name="Таблица911" displayName="Таблица911" ref="H2:M6" totalsRowCount="1" headerRowDxfId="57" headerRowBorderDxfId="56">
  <autoFilter ref="H2:M5"/>
  <tableColumns count="6">
    <tableColumn id="1" name="Дата" totalsRowLabel="Итог" dataDxfId="55"/>
    <tableColumn id="2" name="Отправитель"/>
    <tableColumn id="3" name="Получатель"/>
    <tableColumn id="4" name="Наименование (назначение)"/>
    <tableColumn id="5" name="Дебет" totalsRowFunction="sum" dataDxfId="54" totalsRowDxfId="53"/>
    <tableColumn id="6" name="Кредит" totalsRowFunction="sum" dataDxfId="52" totalsRowDxfId="51"/>
  </tableColumns>
  <tableStyleInfo name="TableStyleMedium9" showFirstColumn="0" showLastColumn="0" showRowStripes="1" showColumnStripes="0"/>
</table>
</file>

<file path=xl/tables/table22.xml><?xml version="1.0" encoding="utf-8"?>
<table xmlns="http://schemas.openxmlformats.org/spreadsheetml/2006/main" id="11" name="Таблица91112" displayName="Таблица91112" ref="O2:T4" insertRow="1" totalsRowCount="1" headerRowDxfId="50" headerRowBorderDxfId="49">
  <autoFilter ref="O2:T3"/>
  <tableColumns count="6">
    <tableColumn id="1" name="Дата" totalsRowLabel="Итог" dataDxfId="48"/>
    <tableColumn id="2" name="Отправитель"/>
    <tableColumn id="3" name="Получатель"/>
    <tableColumn id="4" name="Наименование (назначение)"/>
    <tableColumn id="5" name="Дебет" totalsRowFunction="sum" dataDxfId="47" totalsRowDxfId="46"/>
    <tableColumn id="6" name="Кредит" totalsRowFunction="sum" dataDxfId="45" totalsRowDxfId="44"/>
  </tableColumns>
  <tableStyleInfo name="TableStyleMedium9" showFirstColumn="0" showLastColumn="0" showRowStripes="1" showColumnStripes="0"/>
</table>
</file>

<file path=xl/tables/table23.xml><?xml version="1.0" encoding="utf-8"?>
<table xmlns="http://schemas.openxmlformats.org/spreadsheetml/2006/main" id="12" name="Таблица9111213" displayName="Таблица9111213" ref="V2:AA4" insertRow="1" totalsRowCount="1" headerRowDxfId="43" headerRowBorderDxfId="42">
  <autoFilter ref="V2:AA3"/>
  <tableColumns count="6">
    <tableColumn id="1" name="Дата" totalsRowLabel="Итог" dataDxfId="41"/>
    <tableColumn id="2" name="Отправитель"/>
    <tableColumn id="3" name="Получатель"/>
    <tableColumn id="4" name="Наименование (назначение)"/>
    <tableColumn id="5" name="Дебет" totalsRowFunction="sum" dataDxfId="40" totalsRowDxfId="39"/>
    <tableColumn id="6" name="Кредит" totalsRowFunction="sum" dataDxfId="38" totalsRowDxfId="37"/>
  </tableColumns>
  <tableStyleInfo name="TableStyleMedium9" showFirstColumn="0" showLastColumn="0" showRowStripes="1" showColumnStripes="0"/>
</table>
</file>

<file path=xl/tables/table24.xml><?xml version="1.0" encoding="utf-8"?>
<table xmlns="http://schemas.openxmlformats.org/spreadsheetml/2006/main" id="13" name="Таблица9111214" displayName="Таблица9111214" ref="AC2:AH4" totalsRowCount="1" headerRowDxfId="36" headerRowBorderDxfId="35">
  <autoFilter ref="AC2:AH3"/>
  <tableColumns count="6">
    <tableColumn id="1" name="Дата" totalsRowLabel="Итог" dataDxfId="34"/>
    <tableColumn id="2" name="Отправитель"/>
    <tableColumn id="3" name="Получатель"/>
    <tableColumn id="4" name="Наименование (назначение)"/>
    <tableColumn id="5" name="Дебет" totalsRowFunction="sum" dataDxfId="33" totalsRowDxfId="32"/>
    <tableColumn id="6" name="Кредит" totalsRowFunction="sum" dataDxfId="31" totalsRowDxfId="30"/>
  </tableColumns>
  <tableStyleInfo name="TableStyleMedium9" showFirstColumn="0" showLastColumn="0" showRowStripes="1" showColumnStripes="0"/>
</table>
</file>

<file path=xl/tables/table25.xml><?xml version="1.0" encoding="utf-8"?>
<table xmlns="http://schemas.openxmlformats.org/spreadsheetml/2006/main" id="15" name="Таблица82616" displayName="Таблица82616" ref="A2:F12" totalsRowCount="1">
  <autoFilter ref="A2:F11"/>
  <tableColumns count="6">
    <tableColumn id="1" name="Дата" totalsRowLabel="Итог" dataDxfId="29"/>
    <tableColumn id="2" name="Отправитель"/>
    <tableColumn id="3" name="Получатель"/>
    <tableColumn id="4" name="Наименование (назначение)"/>
    <tableColumn id="5" name="Дебет" totalsRowFunction="sum" dataDxfId="28" totalsRowDxfId="27"/>
    <tableColumn id="6" name="Кредит" totalsRowFunction="sum" dataDxfId="26" totalsRowDxfId="25"/>
  </tableColumns>
  <tableStyleInfo name="TableStyleMedium9" showFirstColumn="0" showLastColumn="0" showRowStripes="1" showColumnStripes="0"/>
</table>
</file>

<file path=xl/tables/table26.xml><?xml version="1.0" encoding="utf-8"?>
<table xmlns="http://schemas.openxmlformats.org/spreadsheetml/2006/main" id="31" name="Таблица8172732" displayName="Таблица8172732" ref="H2:M11" totalsRowCount="1">
  <autoFilter ref="H2:M10"/>
  <tableColumns count="6">
    <tableColumn id="1" name="Дата" totalsRowLabel="Итог" dataDxfId="24"/>
    <tableColumn id="2" name="Отправитель"/>
    <tableColumn id="3" name="Получатель"/>
    <tableColumn id="4" name="Наименование (назначение)"/>
    <tableColumn id="5" name="Дебет" totalsRowFunction="sum" dataDxfId="23" totalsRowDxfId="22"/>
    <tableColumn id="6" name="Кредит" totalsRowFunction="sum" dataDxfId="21" totalsRowDxfId="20"/>
  </tableColumns>
  <tableStyleInfo name="TableStyleMedium9" showFirstColumn="0" showLastColumn="0" showRowStripes="1" showColumnStripes="0"/>
</table>
</file>

<file path=xl/tables/table27.xml><?xml version="1.0" encoding="utf-8"?>
<table xmlns="http://schemas.openxmlformats.org/spreadsheetml/2006/main" id="32" name="Таблица817182833" displayName="Таблица817182833" ref="O2:T11" totalsRowCount="1">
  <autoFilter ref="O2:T10"/>
  <tableColumns count="6">
    <tableColumn id="1" name="Дата" totalsRowLabel="Итог" dataDxfId="19"/>
    <tableColumn id="2" name="Отправитель"/>
    <tableColumn id="3" name="Получатель"/>
    <tableColumn id="4" name="Наименование (назначение)"/>
    <tableColumn id="5" name="Дебет" totalsRowFunction="sum" dataDxfId="18" totalsRowDxfId="17"/>
    <tableColumn id="6" name="Кредит" totalsRowFunction="sum" dataDxfId="16" totalsRowDxfId="15"/>
  </tableColumns>
  <tableStyleInfo name="TableStyleMedium9" showFirstColumn="0" showLastColumn="0" showRowStripes="1" showColumnStripes="0"/>
</table>
</file>

<file path=xl/tables/table28.xml><?xml version="1.0" encoding="utf-8"?>
<table xmlns="http://schemas.openxmlformats.org/spreadsheetml/2006/main" id="14" name="Таблица14" displayName="Таблица14" ref="A2:F6" totalsRowCount="1">
  <autoFilter ref="A2:F5"/>
  <tableColumns count="6">
    <tableColumn id="1" name="Дата" totalsRowLabel="Итог" dataDxfId="14"/>
    <tableColumn id="2" name="Наименование"/>
    <tableColumn id="3" name="Платильщик"/>
    <tableColumn id="4" name="Поставщик"/>
    <tableColumn id="6" name="Прицеп"/>
    <tableColumn id="5" name="Сумма" totalsRowFunction="sum" dataDxfId="13" totalsRowDxfId="12"/>
  </tableColumns>
  <tableStyleInfo name="TableStyleMedium9" showFirstColumn="0" showLastColumn="0" showRowStripes="1" showColumnStripes="0"/>
</table>
</file>

<file path=xl/tables/table29.xml><?xml version="1.0" encoding="utf-8"?>
<table xmlns="http://schemas.openxmlformats.org/spreadsheetml/2006/main" id="18" name="Таблица1419" displayName="Таблица1419" ref="H2:M6" totalsRowCount="1">
  <autoFilter ref="H2:M5"/>
  <tableColumns count="6">
    <tableColumn id="1" name="Дата" totalsRowLabel="Итог" dataDxfId="11"/>
    <tableColumn id="2" name="Наименование"/>
    <tableColumn id="3" name="Платильщик"/>
    <tableColumn id="4" name="Поставщик"/>
    <tableColumn id="6" name="Прицеп"/>
    <tableColumn id="5" name="Сумма" totalsRowFunction="sum" dataDxfId="10" totalsRowDxfId="9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Таблица1219" displayName="Таблица1219" ref="H17:H22" totalsRowShown="0" headerRowDxfId="149" dataDxfId="147" headerRowBorderDxfId="148" tableBorderDxfId="146" totalsRowBorderDxfId="145">
  <autoFilter ref="H17:H22"/>
  <tableColumns count="1">
    <tableColumn id="1" name="ВОДИТЕЛИ" dataDxfId="144"/>
  </tableColumns>
  <tableStyleInfo name="TableStyleMedium23" showFirstColumn="0" showLastColumn="0" showRowStripes="1" showColumnStripes="0"/>
</table>
</file>

<file path=xl/tables/table30.xml><?xml version="1.0" encoding="utf-8"?>
<table xmlns="http://schemas.openxmlformats.org/spreadsheetml/2006/main" id="19" name="Таблица1420" displayName="Таблица1420" ref="O2:T6" totalsRowCount="1">
  <autoFilter ref="O2:T5"/>
  <tableColumns count="6">
    <tableColumn id="1" name="Дата" totalsRowLabel="Итог" dataDxfId="8"/>
    <tableColumn id="2" name="Наименование"/>
    <tableColumn id="3" name="Платильщик"/>
    <tableColumn id="4" name="Поставщик"/>
    <tableColumn id="6" name="Прицеп"/>
    <tableColumn id="5" name="Сумма" totalsRowFunction="sum" dataDxfId="7" totalsRowDxfId="6"/>
  </tableColumns>
  <tableStyleInfo name="TableStyleMedium9" showFirstColumn="0" showLastColumn="0" showRowStripes="1" showColumnStripes="0"/>
</table>
</file>

<file path=xl/tables/table31.xml><?xml version="1.0" encoding="utf-8"?>
<table xmlns="http://schemas.openxmlformats.org/spreadsheetml/2006/main" id="20" name="Таблица1422" displayName="Таблица1422" ref="V2:AA6" totalsRowCount="1">
  <autoFilter ref="V2:AA5"/>
  <tableColumns count="6">
    <tableColumn id="1" name="Дата" totalsRowLabel="Итог" dataDxfId="5"/>
    <tableColumn id="2" name="Наименование"/>
    <tableColumn id="3" name="Платильщик"/>
    <tableColumn id="4" name="Поставщик"/>
    <tableColumn id="6" name="Прицеп"/>
    <tableColumn id="5" name="Сумма" totalsRowFunction="sum" dataDxfId="4" totalsRowDxfId="3"/>
  </tableColumns>
  <tableStyleInfo name="TableStyleMedium9" showFirstColumn="0" showLastColumn="0" showRowStripes="1" showColumnStripes="0"/>
</table>
</file>

<file path=xl/tables/table32.xml><?xml version="1.0" encoding="utf-8"?>
<table xmlns="http://schemas.openxmlformats.org/spreadsheetml/2006/main" id="21" name="Таблица1423" displayName="Таблица1423" ref="AC2:AH6" totalsRowCount="1">
  <autoFilter ref="AC2:AH5"/>
  <tableColumns count="6">
    <tableColumn id="1" name="Дата" totalsRowLabel="Итог" dataDxfId="2"/>
    <tableColumn id="2" name="Наименование"/>
    <tableColumn id="3" name="Платильщик"/>
    <tableColumn id="4" name="Поставщик"/>
    <tableColumn id="6" name="Прицеп"/>
    <tableColumn id="5" name="Сумма" totalsRowFunction="sum" dataDxfId="1" totalsRowDxfId="0"/>
  </tableColumns>
  <tableStyleInfo name="TableStyleMedium9" showFirstColumn="0" showLastColumn="0" showRowStripes="1" showColumnStripes="0"/>
</table>
</file>

<file path=xl/tables/table33.xml><?xml version="1.0" encoding="utf-8"?>
<table xmlns="http://schemas.openxmlformats.org/spreadsheetml/2006/main" id="33" name="Таблица33" displayName="Таблица33" ref="AJ2:AJ7" totalsRowShown="0">
  <autoFilter ref="AJ2:AJ7"/>
  <tableColumns count="1">
    <tableColumn id="1" name="Прицепы"/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4" name="Таблица1118" displayName="Таблица1118" ref="H13:H16" totalsRowShown="0" headerRowDxfId="143" dataDxfId="141" headerRowBorderDxfId="142" tableBorderDxfId="140" totalsRowBorderDxfId="139">
  <autoFilter ref="H13:H16"/>
  <tableColumns count="1">
    <tableColumn id="1" name="РУКОВОДИТЕЛИ" dataDxfId="138"/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5" name="Таблица1017" displayName="Таблица1017" ref="H9:H12" totalsRowShown="0" headerRowDxfId="137" dataDxfId="135" headerRowBorderDxfId="136" tableBorderDxfId="134" totalsRowBorderDxfId="133">
  <autoFilter ref="H9:H12"/>
  <tableColumns count="1">
    <tableColumn id="1" name="ФИРМЫ" dataDxfId="132"/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6" name="Таблица916" displayName="Таблица916" ref="H2:H8" totalsRowShown="0" headerRowDxfId="131" dataDxfId="130" tableBorderDxfId="129">
  <autoFilter ref="H2:H8"/>
  <tableColumns count="1">
    <tableColumn id="1" name="КОНТРАГЕНТЫ" dataDxfId="128"/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7" name="Таблица7" displayName="Таблица7" ref="A1:F23" totalsRowShown="0" headerRowDxfId="127">
  <autoFilter ref="A1:F23"/>
  <tableColumns count="6">
    <tableColumn id="1" name="Дата" dataDxfId="126"/>
    <tableColumn id="2" name="Отправитель"/>
    <tableColumn id="3" name="Наименование (назначение)"/>
    <tableColumn id="4" name="Получатель"/>
    <tableColumn id="5" name="ТС"/>
    <tableColumn id="6" name="Сумма" dataDxfId="125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25" name="Таблица826" displayName="Таблица826" ref="A2:F12" totalsRowCount="1">
  <autoFilter ref="A2:F11"/>
  <tableColumns count="6">
    <tableColumn id="1" name="Дата" totalsRowLabel="Итог" dataDxfId="124"/>
    <tableColumn id="2" name="Отправитель"/>
    <tableColumn id="3" name="Получатель"/>
    <tableColumn id="4" name="Наименование (назначение)"/>
    <tableColumn id="5" name="Дебет" totalsRowFunction="sum" dataDxfId="123" totalsRowDxfId="122"/>
    <tableColumn id="6" name="Кредит2" totalsRowFunction="sum" dataDxfId="121" totalsRowDxfId="120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26" name="Таблица81727" displayName="Таблица81727" ref="H2:M11" totalsRowCount="1">
  <autoFilter ref="H2:M10"/>
  <tableColumns count="6">
    <tableColumn id="1" name="Дата" totalsRowLabel="Итог" dataDxfId="119"/>
    <tableColumn id="2" name="Отправитель"/>
    <tableColumn id="3" name="Получатель"/>
    <tableColumn id="4" name="Наименование (назначение)"/>
    <tableColumn id="5" name="Дебет" totalsRowFunction="sum" dataDxfId="118" totalsRowDxfId="117"/>
    <tableColumn id="6" name="Кредит2" totalsRowFunction="sum" dataDxfId="116" totalsRowDxfId="11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7" Type="http://schemas.openxmlformats.org/officeDocument/2006/relationships/table" Target="../tables/table13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7" Type="http://schemas.openxmlformats.org/officeDocument/2006/relationships/table" Target="../tables/table19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table" Target="../tables/table20.xml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table" Target="../tables/table28.xml"/><Relationship Id="rId6" Type="http://schemas.openxmlformats.org/officeDocument/2006/relationships/table" Target="../tables/table33.xml"/><Relationship Id="rId5" Type="http://schemas.openxmlformats.org/officeDocument/2006/relationships/table" Target="../tables/table32.xml"/><Relationship Id="rId4" Type="http://schemas.openxmlformats.org/officeDocument/2006/relationships/table" Target="../tables/table3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A18" sqref="A18"/>
    </sheetView>
  </sheetViews>
  <sheetFormatPr defaultRowHeight="15" x14ac:dyDescent="0.25"/>
  <cols>
    <col min="1" max="1" width="10.140625" style="4" bestFit="1" customWidth="1"/>
    <col min="2" max="2" width="22.28515625" bestFit="1" customWidth="1"/>
    <col min="3" max="3" width="58.140625" customWidth="1"/>
    <col min="4" max="4" width="20.28515625" bestFit="1" customWidth="1"/>
    <col min="5" max="5" width="7.85546875" customWidth="1"/>
    <col min="6" max="6" width="11.42578125" style="5" customWidth="1"/>
    <col min="8" max="8" width="22.28515625" bestFit="1" customWidth="1"/>
  </cols>
  <sheetData>
    <row r="1" spans="1:8" x14ac:dyDescent="0.25">
      <c r="A1" s="9" t="s">
        <v>0</v>
      </c>
      <c r="B1" s="10" t="s">
        <v>46</v>
      </c>
      <c r="C1" s="10" t="s">
        <v>2</v>
      </c>
      <c r="D1" s="10" t="s">
        <v>3</v>
      </c>
      <c r="E1" s="10" t="s">
        <v>4</v>
      </c>
      <c r="F1" s="11" t="s">
        <v>5</v>
      </c>
    </row>
    <row r="2" spans="1:8" x14ac:dyDescent="0.25">
      <c r="A2" s="4">
        <v>43800</v>
      </c>
      <c r="B2" t="s">
        <v>7</v>
      </c>
      <c r="C2" t="s">
        <v>61</v>
      </c>
      <c r="D2" t="s">
        <v>52</v>
      </c>
      <c r="F2" s="5">
        <v>50000</v>
      </c>
      <c r="H2" s="1" t="s">
        <v>6</v>
      </c>
    </row>
    <row r="3" spans="1:8" x14ac:dyDescent="0.25">
      <c r="A3" s="4">
        <v>43800</v>
      </c>
      <c r="B3" t="s">
        <v>52</v>
      </c>
      <c r="C3" t="s">
        <v>34</v>
      </c>
      <c r="D3" t="s">
        <v>15</v>
      </c>
      <c r="F3" s="5">
        <v>10000</v>
      </c>
      <c r="H3" s="2" t="s">
        <v>7</v>
      </c>
    </row>
    <row r="4" spans="1:8" x14ac:dyDescent="0.25">
      <c r="A4" s="17">
        <v>43800</v>
      </c>
      <c r="B4" s="18" t="s">
        <v>25</v>
      </c>
      <c r="C4" s="18" t="s">
        <v>64</v>
      </c>
      <c r="D4" s="18" t="s">
        <v>53</v>
      </c>
      <c r="E4" s="18"/>
      <c r="F4" s="19">
        <v>30000</v>
      </c>
      <c r="H4" s="2" t="s">
        <v>8</v>
      </c>
    </row>
    <row r="5" spans="1:8" x14ac:dyDescent="0.25">
      <c r="A5" s="4">
        <v>43800</v>
      </c>
      <c r="B5" t="s">
        <v>15</v>
      </c>
      <c r="C5" t="s">
        <v>42</v>
      </c>
      <c r="D5" t="s">
        <v>19</v>
      </c>
      <c r="F5" s="5">
        <v>1000</v>
      </c>
      <c r="H5" s="2" t="s">
        <v>9</v>
      </c>
    </row>
    <row r="6" spans="1:8" x14ac:dyDescent="0.25">
      <c r="A6" s="4">
        <v>43802</v>
      </c>
      <c r="B6" t="s">
        <v>53</v>
      </c>
      <c r="C6" t="s">
        <v>36</v>
      </c>
      <c r="D6" t="s">
        <v>26</v>
      </c>
      <c r="E6" t="s">
        <v>29</v>
      </c>
      <c r="F6" s="5">
        <v>5000</v>
      </c>
      <c r="H6" s="2" t="s">
        <v>10</v>
      </c>
    </row>
    <row r="7" spans="1:8" x14ac:dyDescent="0.25">
      <c r="A7" s="4">
        <v>43802</v>
      </c>
      <c r="B7" t="s">
        <v>53</v>
      </c>
      <c r="C7" t="s">
        <v>37</v>
      </c>
      <c r="D7" t="s">
        <v>27</v>
      </c>
      <c r="E7" t="s">
        <v>29</v>
      </c>
      <c r="F7" s="5">
        <v>100</v>
      </c>
      <c r="H7" s="2" t="s">
        <v>11</v>
      </c>
    </row>
    <row r="8" spans="1:8" x14ac:dyDescent="0.25">
      <c r="A8" s="4">
        <v>43803</v>
      </c>
      <c r="B8" t="s">
        <v>19</v>
      </c>
      <c r="C8" t="s">
        <v>38</v>
      </c>
      <c r="E8" t="s">
        <v>29</v>
      </c>
      <c r="F8" s="5">
        <v>1000</v>
      </c>
      <c r="H8" s="2" t="s">
        <v>12</v>
      </c>
    </row>
    <row r="9" spans="1:8" x14ac:dyDescent="0.25">
      <c r="A9" s="4">
        <v>43803</v>
      </c>
      <c r="B9" t="s">
        <v>53</v>
      </c>
      <c r="C9" t="s">
        <v>39</v>
      </c>
      <c r="F9" s="5">
        <v>2000</v>
      </c>
      <c r="H9" s="1" t="s">
        <v>13</v>
      </c>
    </row>
    <row r="10" spans="1:8" x14ac:dyDescent="0.25">
      <c r="A10" s="4">
        <v>43804</v>
      </c>
      <c r="B10" t="s">
        <v>8</v>
      </c>
      <c r="C10" t="s">
        <v>61</v>
      </c>
      <c r="D10" t="s">
        <v>53</v>
      </c>
      <c r="F10" s="5">
        <v>100000</v>
      </c>
      <c r="H10" s="2" t="s">
        <v>52</v>
      </c>
    </row>
    <row r="11" spans="1:8" x14ac:dyDescent="0.25">
      <c r="A11" s="4">
        <v>43805</v>
      </c>
      <c r="B11" t="s">
        <v>52</v>
      </c>
      <c r="C11" t="s">
        <v>40</v>
      </c>
      <c r="F11" s="5">
        <v>5000</v>
      </c>
      <c r="H11" s="2" t="s">
        <v>53</v>
      </c>
    </row>
    <row r="12" spans="1:8" x14ac:dyDescent="0.25">
      <c r="A12" s="4">
        <v>43805</v>
      </c>
      <c r="B12" t="s">
        <v>52</v>
      </c>
      <c r="C12" t="s">
        <v>41</v>
      </c>
      <c r="F12" s="5">
        <v>5000</v>
      </c>
      <c r="H12" s="2" t="s">
        <v>54</v>
      </c>
    </row>
    <row r="13" spans="1:8" x14ac:dyDescent="0.25">
      <c r="A13" s="4">
        <v>43811</v>
      </c>
      <c r="B13" t="s">
        <v>9</v>
      </c>
      <c r="C13" t="s">
        <v>62</v>
      </c>
      <c r="D13" t="s">
        <v>53</v>
      </c>
      <c r="F13" s="5">
        <v>50000</v>
      </c>
      <c r="H13" s="1" t="s">
        <v>14</v>
      </c>
    </row>
    <row r="14" spans="1:8" x14ac:dyDescent="0.25">
      <c r="A14" s="4">
        <v>43814</v>
      </c>
      <c r="B14" t="s">
        <v>52</v>
      </c>
      <c r="C14" t="s">
        <v>70</v>
      </c>
      <c r="D14" t="s">
        <v>10</v>
      </c>
      <c r="F14" s="5">
        <v>10000</v>
      </c>
      <c r="H14" s="2" t="s">
        <v>15</v>
      </c>
    </row>
    <row r="15" spans="1:8" x14ac:dyDescent="0.25">
      <c r="A15" s="4">
        <v>43814</v>
      </c>
      <c r="B15" t="s">
        <v>10</v>
      </c>
      <c r="C15" t="s">
        <v>82</v>
      </c>
      <c r="D15" t="s">
        <v>52</v>
      </c>
      <c r="F15" s="5">
        <v>10000</v>
      </c>
      <c r="H15" s="2" t="s">
        <v>16</v>
      </c>
    </row>
    <row r="16" spans="1:8" x14ac:dyDescent="0.25">
      <c r="A16" s="4">
        <v>43814</v>
      </c>
      <c r="B16" t="s">
        <v>52</v>
      </c>
      <c r="C16" t="s">
        <v>71</v>
      </c>
      <c r="D16" t="s">
        <v>8</v>
      </c>
      <c r="F16" s="5">
        <v>2000</v>
      </c>
      <c r="H16" s="2" t="s">
        <v>17</v>
      </c>
    </row>
    <row r="17" spans="1:8" x14ac:dyDescent="0.25">
      <c r="A17" s="4">
        <v>43814</v>
      </c>
      <c r="B17" t="s">
        <v>8</v>
      </c>
      <c r="C17" t="s">
        <v>83</v>
      </c>
      <c r="D17" t="s">
        <v>52</v>
      </c>
      <c r="F17" s="5">
        <v>2000</v>
      </c>
      <c r="H17" s="1" t="s">
        <v>18</v>
      </c>
    </row>
    <row r="18" spans="1:8" x14ac:dyDescent="0.25">
      <c r="A18" s="4">
        <v>43816</v>
      </c>
      <c r="B18" t="s">
        <v>52</v>
      </c>
      <c r="C18" t="s">
        <v>42</v>
      </c>
      <c r="D18" t="s">
        <v>20</v>
      </c>
      <c r="F18" s="5">
        <v>2000</v>
      </c>
      <c r="H18" s="3" t="s">
        <v>19</v>
      </c>
    </row>
    <row r="19" spans="1:8" x14ac:dyDescent="0.25">
      <c r="A19" s="4">
        <v>43816</v>
      </c>
      <c r="B19" t="s">
        <v>52</v>
      </c>
      <c r="C19" t="s">
        <v>42</v>
      </c>
      <c r="D19" t="s">
        <v>23</v>
      </c>
      <c r="F19" s="5">
        <v>2000</v>
      </c>
      <c r="H19" s="3" t="s">
        <v>20</v>
      </c>
    </row>
    <row r="20" spans="1:8" x14ac:dyDescent="0.25">
      <c r="A20" s="4">
        <v>43818</v>
      </c>
      <c r="B20" t="s">
        <v>20</v>
      </c>
      <c r="C20" t="s">
        <v>43</v>
      </c>
      <c r="E20" t="s">
        <v>30</v>
      </c>
      <c r="F20" s="5">
        <v>500</v>
      </c>
      <c r="H20" s="3" t="s">
        <v>21</v>
      </c>
    </row>
    <row r="21" spans="1:8" x14ac:dyDescent="0.25">
      <c r="A21" s="4">
        <v>43818</v>
      </c>
      <c r="B21" t="s">
        <v>20</v>
      </c>
      <c r="C21" t="s">
        <v>35</v>
      </c>
      <c r="D21" t="s">
        <v>19</v>
      </c>
      <c r="F21" s="5">
        <v>1500</v>
      </c>
      <c r="H21" s="3" t="s">
        <v>22</v>
      </c>
    </row>
    <row r="22" spans="1:8" x14ac:dyDescent="0.25">
      <c r="A22" s="4">
        <v>43824</v>
      </c>
      <c r="B22" t="s">
        <v>52</v>
      </c>
      <c r="C22" t="s">
        <v>44</v>
      </c>
      <c r="D22" t="s">
        <v>26</v>
      </c>
      <c r="E22" t="s">
        <v>30</v>
      </c>
      <c r="F22" s="5">
        <v>20000</v>
      </c>
      <c r="H22" s="3" t="s">
        <v>23</v>
      </c>
    </row>
    <row r="23" spans="1:8" x14ac:dyDescent="0.25">
      <c r="A23" s="4" t="s">
        <v>55</v>
      </c>
      <c r="H23" s="1" t="s">
        <v>24</v>
      </c>
    </row>
    <row r="24" spans="1:8" x14ac:dyDescent="0.25">
      <c r="H24" s="3" t="s">
        <v>25</v>
      </c>
    </row>
    <row r="25" spans="1:8" x14ac:dyDescent="0.25">
      <c r="H25" s="3" t="s">
        <v>26</v>
      </c>
    </row>
    <row r="26" spans="1:8" x14ac:dyDescent="0.25">
      <c r="H26" s="3" t="s">
        <v>27</v>
      </c>
    </row>
    <row r="27" spans="1:8" x14ac:dyDescent="0.25">
      <c r="H27" s="1" t="s">
        <v>28</v>
      </c>
    </row>
    <row r="28" spans="1:8" x14ac:dyDescent="0.25">
      <c r="H28" s="2" t="s">
        <v>29</v>
      </c>
    </row>
    <row r="29" spans="1:8" x14ac:dyDescent="0.25">
      <c r="H29" s="2" t="s">
        <v>30</v>
      </c>
    </row>
    <row r="30" spans="1:8" x14ac:dyDescent="0.25">
      <c r="H30" s="2" t="s">
        <v>31</v>
      </c>
    </row>
    <row r="31" spans="1:8" x14ac:dyDescent="0.25">
      <c r="H31" s="2" t="s">
        <v>32</v>
      </c>
    </row>
    <row r="32" spans="1:8" x14ac:dyDescent="0.25">
      <c r="H32" s="2" t="s">
        <v>33</v>
      </c>
    </row>
    <row r="33" spans="8:8" x14ac:dyDescent="0.25">
      <c r="H33" s="21"/>
    </row>
    <row r="34" spans="8:8" x14ac:dyDescent="0.25">
      <c r="H34" s="21"/>
    </row>
  </sheetData>
  <dataValidations count="3">
    <dataValidation type="list" allowBlank="1" showInputMessage="1" showErrorMessage="1" sqref="E2:E23">
      <formula1>$H$28:$H$32</formula1>
    </dataValidation>
    <dataValidation type="list" allowBlank="1" showInputMessage="1" showErrorMessage="1" sqref="B2:B23">
      <formula1>$H$2:$H$27</formula1>
    </dataValidation>
    <dataValidation type="list" allowBlank="1" showInputMessage="1" showErrorMessage="1" sqref="D2:D23">
      <formula1>$H$2:$H$26</formula1>
    </dataValidation>
  </dataValidations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"/>
  <sheetViews>
    <sheetView workbookViewId="0">
      <selection activeCell="N6" sqref="A6:N12"/>
    </sheetView>
  </sheetViews>
  <sheetFormatPr defaultRowHeight="15" x14ac:dyDescent="0.25"/>
  <cols>
    <col min="1" max="1" width="10.140625" style="4" bestFit="1" customWidth="1"/>
    <col min="2" max="3" width="22.28515625" bestFit="1" customWidth="1"/>
    <col min="4" max="4" width="29.42578125" customWidth="1"/>
    <col min="5" max="6" width="10" style="5" bestFit="1" customWidth="1"/>
    <col min="7" max="7" width="23" bestFit="1" customWidth="1"/>
    <col min="8" max="8" width="10.140625" style="4" bestFit="1" customWidth="1"/>
    <col min="9" max="9" width="15" customWidth="1"/>
    <col min="10" max="10" width="13.85546875" customWidth="1"/>
    <col min="11" max="11" width="29.42578125" customWidth="1"/>
    <col min="12" max="13" width="10" style="5" bestFit="1" customWidth="1"/>
    <col min="14" max="14" width="23" bestFit="1" customWidth="1"/>
    <col min="15" max="15" width="10.140625" style="4" bestFit="1" customWidth="1"/>
    <col min="16" max="17" width="16" bestFit="1" customWidth="1"/>
    <col min="18" max="18" width="29.42578125" customWidth="1"/>
    <col min="19" max="20" width="10" style="5" bestFit="1" customWidth="1"/>
    <col min="21" max="21" width="23" bestFit="1" customWidth="1"/>
    <col min="22" max="22" width="10.140625" style="4" bestFit="1" customWidth="1"/>
    <col min="23" max="23" width="15" customWidth="1"/>
    <col min="24" max="24" width="13.85546875" customWidth="1"/>
    <col min="25" max="25" width="29.42578125" customWidth="1"/>
    <col min="26" max="27" width="10" style="5" bestFit="1" customWidth="1"/>
    <col min="29" max="29" width="10.140625" style="4" bestFit="1" customWidth="1"/>
    <col min="30" max="30" width="15" customWidth="1"/>
    <col min="31" max="31" width="13.85546875" customWidth="1"/>
    <col min="32" max="32" width="29.42578125" customWidth="1"/>
    <col min="33" max="34" width="10" style="5" bestFit="1" customWidth="1"/>
    <col min="36" max="36" width="10.140625" style="4" bestFit="1" customWidth="1"/>
    <col min="37" max="37" width="15" customWidth="1"/>
    <col min="38" max="38" width="13.85546875" customWidth="1"/>
    <col min="39" max="39" width="29.42578125" customWidth="1"/>
    <col min="40" max="41" width="10" style="5" bestFit="1" customWidth="1"/>
  </cols>
  <sheetData>
    <row r="1" spans="1:41" ht="26.25" x14ac:dyDescent="0.4">
      <c r="A1" s="22" t="s">
        <v>7</v>
      </c>
      <c r="B1" s="22"/>
      <c r="C1" s="22"/>
      <c r="D1" s="22"/>
      <c r="E1" s="22"/>
      <c r="F1" s="22"/>
      <c r="H1" s="22" t="s">
        <v>8</v>
      </c>
      <c r="I1" s="22"/>
      <c r="J1" s="22"/>
      <c r="K1" s="22"/>
      <c r="L1" s="22"/>
      <c r="M1" s="22"/>
      <c r="O1" s="22" t="s">
        <v>9</v>
      </c>
      <c r="P1" s="22"/>
      <c r="Q1" s="22"/>
      <c r="R1" s="22"/>
      <c r="S1" s="22"/>
      <c r="T1" s="22"/>
      <c r="V1" s="22" t="s">
        <v>10</v>
      </c>
      <c r="W1" s="22"/>
      <c r="X1" s="22"/>
      <c r="Y1" s="22"/>
      <c r="Z1" s="22"/>
      <c r="AA1" s="22"/>
      <c r="AC1" s="22" t="s">
        <v>11</v>
      </c>
      <c r="AD1" s="22"/>
      <c r="AE1" s="22"/>
      <c r="AF1" s="22"/>
      <c r="AG1" s="22"/>
      <c r="AH1" s="22"/>
      <c r="AJ1" s="22" t="s">
        <v>12</v>
      </c>
      <c r="AK1" s="22"/>
      <c r="AL1" s="22"/>
      <c r="AM1" s="22"/>
      <c r="AN1" s="22"/>
      <c r="AO1" s="22"/>
    </row>
    <row r="2" spans="1:41" x14ac:dyDescent="0.25">
      <c r="A2" s="4" t="s">
        <v>0</v>
      </c>
      <c r="B2" t="s">
        <v>46</v>
      </c>
      <c r="C2" t="s">
        <v>3</v>
      </c>
      <c r="D2" t="s">
        <v>2</v>
      </c>
      <c r="E2" s="5" t="s">
        <v>47</v>
      </c>
      <c r="F2" s="5" t="s">
        <v>69</v>
      </c>
      <c r="H2" s="4" t="s">
        <v>0</v>
      </c>
      <c r="I2" t="s">
        <v>46</v>
      </c>
      <c r="J2" t="s">
        <v>3</v>
      </c>
      <c r="K2" t="s">
        <v>2</v>
      </c>
      <c r="L2" s="5" t="s">
        <v>47</v>
      </c>
      <c r="M2" s="5" t="s">
        <v>69</v>
      </c>
      <c r="O2" s="4" t="s">
        <v>0</v>
      </c>
      <c r="P2" t="s">
        <v>46</v>
      </c>
      <c r="Q2" t="s">
        <v>3</v>
      </c>
      <c r="R2" t="s">
        <v>2</v>
      </c>
      <c r="S2" s="5" t="s">
        <v>47</v>
      </c>
      <c r="T2" s="5" t="s">
        <v>69</v>
      </c>
      <c r="V2" s="4" t="s">
        <v>0</v>
      </c>
      <c r="W2" t="s">
        <v>46</v>
      </c>
      <c r="X2" t="s">
        <v>3</v>
      </c>
      <c r="Y2" t="s">
        <v>2</v>
      </c>
      <c r="Z2" s="5" t="s">
        <v>47</v>
      </c>
      <c r="AA2" s="5" t="s">
        <v>69</v>
      </c>
      <c r="AC2" s="4" t="s">
        <v>0</v>
      </c>
      <c r="AD2" t="s">
        <v>46</v>
      </c>
      <c r="AE2" t="s">
        <v>3</v>
      </c>
      <c r="AF2" t="s">
        <v>2</v>
      </c>
      <c r="AG2" s="5" t="s">
        <v>47</v>
      </c>
      <c r="AH2" s="5" t="s">
        <v>69</v>
      </c>
      <c r="AJ2" s="4" t="s">
        <v>0</v>
      </c>
      <c r="AK2" t="s">
        <v>46</v>
      </c>
      <c r="AL2" t="s">
        <v>3</v>
      </c>
      <c r="AM2" t="s">
        <v>2</v>
      </c>
      <c r="AN2" s="5" t="s">
        <v>47</v>
      </c>
      <c r="AO2" s="5" t="s">
        <v>69</v>
      </c>
    </row>
    <row r="3" spans="1:41" x14ac:dyDescent="0.25">
      <c r="A3" s="4">
        <v>43800</v>
      </c>
      <c r="B3" t="s">
        <v>52</v>
      </c>
      <c r="C3" t="s">
        <v>7</v>
      </c>
      <c r="D3" t="s">
        <v>63</v>
      </c>
      <c r="F3" s="5">
        <v>50000</v>
      </c>
      <c r="G3" s="20" t="s">
        <v>67</v>
      </c>
      <c r="H3" s="4">
        <v>43802</v>
      </c>
      <c r="I3" t="s">
        <v>53</v>
      </c>
      <c r="J3" t="s">
        <v>8</v>
      </c>
      <c r="K3" t="s">
        <v>68</v>
      </c>
      <c r="M3" s="5">
        <v>100000</v>
      </c>
      <c r="N3" s="20" t="s">
        <v>67</v>
      </c>
      <c r="O3" s="4">
        <v>43809</v>
      </c>
      <c r="P3" t="s">
        <v>53</v>
      </c>
      <c r="Q3" t="s">
        <v>9</v>
      </c>
      <c r="R3" t="s">
        <v>60</v>
      </c>
      <c r="T3" s="5">
        <v>50000</v>
      </c>
      <c r="U3" s="20" t="s">
        <v>67</v>
      </c>
      <c r="V3" s="4">
        <v>43814</v>
      </c>
      <c r="W3" t="s">
        <v>52</v>
      </c>
      <c r="X3" t="s">
        <v>10</v>
      </c>
      <c r="Y3" t="s">
        <v>70</v>
      </c>
      <c r="Z3" s="5">
        <v>10000</v>
      </c>
    </row>
    <row r="4" spans="1:41" x14ac:dyDescent="0.25">
      <c r="A4" s="4">
        <v>43800</v>
      </c>
      <c r="B4" t="s">
        <v>7</v>
      </c>
      <c r="C4" t="s">
        <v>52</v>
      </c>
      <c r="D4" t="s">
        <v>61</v>
      </c>
      <c r="E4" s="5">
        <v>50000</v>
      </c>
      <c r="H4" s="4">
        <v>43804</v>
      </c>
      <c r="I4" t="s">
        <v>8</v>
      </c>
      <c r="J4" t="s">
        <v>53</v>
      </c>
      <c r="K4" t="s">
        <v>61</v>
      </c>
      <c r="L4" s="5">
        <v>100000</v>
      </c>
      <c r="O4" s="4">
        <v>43811</v>
      </c>
      <c r="P4" t="s">
        <v>9</v>
      </c>
      <c r="Q4" t="s">
        <v>53</v>
      </c>
      <c r="R4" t="s">
        <v>62</v>
      </c>
      <c r="S4" s="5">
        <v>50000</v>
      </c>
      <c r="V4" s="4">
        <v>43814</v>
      </c>
      <c r="W4" t="s">
        <v>10</v>
      </c>
      <c r="X4" t="s">
        <v>52</v>
      </c>
      <c r="Y4" t="s">
        <v>72</v>
      </c>
      <c r="AA4" s="5">
        <v>10000</v>
      </c>
      <c r="AB4" s="20"/>
    </row>
    <row r="5" spans="1:41" x14ac:dyDescent="0.25">
      <c r="H5" s="4">
        <v>43814</v>
      </c>
      <c r="I5" t="s">
        <v>52</v>
      </c>
      <c r="J5" t="s">
        <v>8</v>
      </c>
      <c r="K5" t="s">
        <v>71</v>
      </c>
      <c r="L5" s="5">
        <v>2000</v>
      </c>
    </row>
    <row r="6" spans="1:41" x14ac:dyDescent="0.25">
      <c r="H6" s="4">
        <v>43814</v>
      </c>
      <c r="I6" t="s">
        <v>8</v>
      </c>
      <c r="J6" t="s">
        <v>52</v>
      </c>
      <c r="K6" t="s">
        <v>73</v>
      </c>
      <c r="M6" s="5">
        <v>2000</v>
      </c>
      <c r="N6" s="20"/>
    </row>
    <row r="11" spans="1:41" ht="15.75" thickBot="1" x14ac:dyDescent="0.3">
      <c r="H11" t="s">
        <v>48</v>
      </c>
      <c r="L11" s="5">
        <f>SUBTOTAL(109,Таблица81727[Дебет])</f>
        <v>102000</v>
      </c>
      <c r="M11" s="5">
        <f>SUBTOTAL(109,Таблица81727[Кредит2])</f>
        <v>102000</v>
      </c>
      <c r="O11" t="s">
        <v>48</v>
      </c>
      <c r="S11" s="5">
        <f>SUBTOTAL(109,Таблица8171828[Дебет])</f>
        <v>50000</v>
      </c>
      <c r="T11" s="5">
        <f>SUBTOTAL(109,Таблица8171828[Кредит2])</f>
        <v>50000</v>
      </c>
      <c r="V11" t="s">
        <v>48</v>
      </c>
      <c r="Z11" s="5">
        <f>SUBTOTAL(109,Таблица817182329[Дебет])</f>
        <v>10000</v>
      </c>
      <c r="AA11" s="5">
        <f>SUBTOTAL(109,Таблица817182329[Кредит2])</f>
        <v>10000</v>
      </c>
      <c r="AC11" t="s">
        <v>48</v>
      </c>
      <c r="AG11" s="5">
        <f>SUBTOTAL(109,Таблица817182430[Дебет])</f>
        <v>0</v>
      </c>
      <c r="AH11" s="5">
        <f>SUBTOTAL(109,Таблица817182430[Кредит2])</f>
        <v>0</v>
      </c>
      <c r="AJ11" t="s">
        <v>48</v>
      </c>
      <c r="AN11" s="5">
        <f>SUBTOTAL(109,Таблица817182531[Дебет])</f>
        <v>0</v>
      </c>
      <c r="AO11" s="5">
        <f>SUBTOTAL(109,Таблица817182531[Кредит2])</f>
        <v>0</v>
      </c>
    </row>
    <row r="12" spans="1:41" ht="15.75" thickBot="1" x14ac:dyDescent="0.3">
      <c r="A12" t="s">
        <v>48</v>
      </c>
      <c r="E12" s="5">
        <f>SUBTOTAL(109,Таблица826[Дебет])</f>
        <v>50000</v>
      </c>
      <c r="F12" s="5">
        <f>SUBTOTAL(109,Таблица826[Кредит2])</f>
        <v>50000</v>
      </c>
      <c r="M12" s="14">
        <f>Таблица81727[[#Totals],[Дебет]]-Таблица81727[[#Totals],[Кредит2]]</f>
        <v>0</v>
      </c>
      <c r="T12" s="14">
        <f>Таблица8171828[[#Totals],[Дебет]]-Таблица8171828[[#Totals],[Кредит2]]</f>
        <v>0</v>
      </c>
      <c r="AA12" s="14">
        <f>Таблица817182329[[#Totals],[Дебет]]-Таблица817182329[[#Totals],[Кредит2]]</f>
        <v>0</v>
      </c>
      <c r="AH12" s="14">
        <f>Таблица817182430[[#Totals],[Дебет]]-Таблица817182430[[#Totals],[Кредит2]]</f>
        <v>0</v>
      </c>
      <c r="AO12" s="14">
        <f>Таблица817182531[[#Totals],[Дебет]]-Таблица817182531[[#Totals],[Кредит2]]</f>
        <v>0</v>
      </c>
    </row>
    <row r="13" spans="1:41" ht="15.75" thickBot="1" x14ac:dyDescent="0.3">
      <c r="F13" s="14">
        <f>Таблица826[[#Totals],[Дебет]]-Таблица826[[#Totals],[Кредит2]]</f>
        <v>0</v>
      </c>
    </row>
  </sheetData>
  <mergeCells count="6">
    <mergeCell ref="AJ1:AO1"/>
    <mergeCell ref="A1:F1"/>
    <mergeCell ref="H1:M1"/>
    <mergeCell ref="O1:T1"/>
    <mergeCell ref="V1:AA1"/>
    <mergeCell ref="AC1:AH1"/>
  </mergeCells>
  <pageMargins left="0.7" right="0.7" top="0.75" bottom="0.75" header="0.3" footer="0.3"/>
  <pageSetup paperSize="9" orientation="portrait" horizontalDpi="4294967293" verticalDpi="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"/>
  <sheetViews>
    <sheetView workbookViewId="0">
      <selection activeCell="E3" sqref="E3"/>
    </sheetView>
  </sheetViews>
  <sheetFormatPr defaultRowHeight="15" x14ac:dyDescent="0.25"/>
  <cols>
    <col min="1" max="1" width="10.140625" style="4" bestFit="1" customWidth="1"/>
    <col min="2" max="3" width="22.28515625" bestFit="1" customWidth="1"/>
    <col min="4" max="4" width="29.42578125" customWidth="1"/>
    <col min="5" max="6" width="10" style="5" bestFit="1" customWidth="1"/>
    <col min="8" max="8" width="10.140625" style="4" bestFit="1" customWidth="1"/>
    <col min="9" max="9" width="15" customWidth="1"/>
    <col min="10" max="10" width="13.85546875" customWidth="1"/>
    <col min="11" max="11" width="29.42578125" customWidth="1"/>
    <col min="12" max="13" width="10" style="5" bestFit="1" customWidth="1"/>
    <col min="15" max="15" width="10.140625" style="4" bestFit="1" customWidth="1"/>
    <col min="16" max="16" width="15" customWidth="1"/>
    <col min="17" max="17" width="13.85546875" customWidth="1"/>
    <col min="18" max="18" width="29.42578125" customWidth="1"/>
    <col min="19" max="20" width="10" style="5" bestFit="1" customWidth="1"/>
    <col min="22" max="22" width="10.140625" style="4" bestFit="1" customWidth="1"/>
    <col min="23" max="23" width="15" customWidth="1"/>
    <col min="24" max="24" width="13.85546875" customWidth="1"/>
    <col min="25" max="25" width="29.42578125" customWidth="1"/>
    <col min="26" max="27" width="10" style="5" bestFit="1" customWidth="1"/>
    <col min="29" max="29" width="10.140625" style="4" bestFit="1" customWidth="1"/>
    <col min="30" max="30" width="15" customWidth="1"/>
    <col min="31" max="31" width="13.85546875" customWidth="1"/>
    <col min="32" max="32" width="29.42578125" customWidth="1"/>
    <col min="33" max="34" width="10" style="5" bestFit="1" customWidth="1"/>
    <col min="36" max="36" width="10.140625" style="4" bestFit="1" customWidth="1"/>
    <col min="37" max="37" width="15" customWidth="1"/>
    <col min="38" max="38" width="13.85546875" customWidth="1"/>
    <col min="39" max="39" width="29.42578125" customWidth="1"/>
    <col min="40" max="41" width="10" style="5" bestFit="1" customWidth="1"/>
  </cols>
  <sheetData>
    <row r="1" spans="1:41" ht="26.25" x14ac:dyDescent="0.4">
      <c r="A1" s="22" t="s">
        <v>52</v>
      </c>
      <c r="B1" s="22"/>
      <c r="C1" s="22"/>
      <c r="D1" s="22"/>
      <c r="E1" s="22"/>
      <c r="F1" s="22"/>
      <c r="H1" s="22" t="s">
        <v>15</v>
      </c>
      <c r="I1" s="22"/>
      <c r="J1" s="22"/>
      <c r="K1" s="22"/>
      <c r="L1" s="22"/>
      <c r="M1" s="22"/>
      <c r="O1" s="22" t="s">
        <v>53</v>
      </c>
      <c r="P1" s="22"/>
      <c r="Q1" s="22"/>
      <c r="R1" s="22"/>
      <c r="S1" s="22"/>
      <c r="T1" s="22"/>
      <c r="V1" s="22" t="s">
        <v>16</v>
      </c>
      <c r="W1" s="22"/>
      <c r="X1" s="22"/>
      <c r="Y1" s="22"/>
      <c r="Z1" s="22"/>
      <c r="AA1" s="22"/>
      <c r="AC1" s="22" t="s">
        <v>54</v>
      </c>
      <c r="AD1" s="22"/>
      <c r="AE1" s="22"/>
      <c r="AF1" s="22"/>
      <c r="AG1" s="22"/>
      <c r="AH1" s="22"/>
      <c r="AJ1" s="22" t="s">
        <v>17</v>
      </c>
      <c r="AK1" s="22"/>
      <c r="AL1" s="22"/>
      <c r="AM1" s="22"/>
      <c r="AN1" s="22"/>
      <c r="AO1" s="22"/>
    </row>
    <row r="2" spans="1:41" x14ac:dyDescent="0.25">
      <c r="A2" s="4" t="s">
        <v>0</v>
      </c>
      <c r="B2" t="s">
        <v>46</v>
      </c>
      <c r="C2" t="s">
        <v>3</v>
      </c>
      <c r="D2" t="s">
        <v>2</v>
      </c>
      <c r="E2" s="5" t="s">
        <v>47</v>
      </c>
      <c r="F2" s="5" t="s">
        <v>45</v>
      </c>
      <c r="H2" s="4" t="s">
        <v>0</v>
      </c>
      <c r="I2" t="s">
        <v>46</v>
      </c>
      <c r="J2" t="s">
        <v>3</v>
      </c>
      <c r="K2" t="s">
        <v>2</v>
      </c>
      <c r="L2" s="5" t="s">
        <v>47</v>
      </c>
      <c r="M2" s="5" t="s">
        <v>45</v>
      </c>
      <c r="O2" s="4" t="s">
        <v>0</v>
      </c>
      <c r="P2" t="s">
        <v>46</v>
      </c>
      <c r="Q2" t="s">
        <v>3</v>
      </c>
      <c r="R2" t="s">
        <v>2</v>
      </c>
      <c r="S2" s="5" t="s">
        <v>47</v>
      </c>
      <c r="T2" s="5" t="s">
        <v>45</v>
      </c>
      <c r="V2" s="4" t="s">
        <v>0</v>
      </c>
      <c r="W2" t="s">
        <v>46</v>
      </c>
      <c r="X2" t="s">
        <v>3</v>
      </c>
      <c r="Y2" t="s">
        <v>2</v>
      </c>
      <c r="Z2" s="5" t="s">
        <v>47</v>
      </c>
      <c r="AA2" s="5" t="s">
        <v>45</v>
      </c>
      <c r="AC2" s="4" t="s">
        <v>0</v>
      </c>
      <c r="AD2" t="s">
        <v>46</v>
      </c>
      <c r="AE2" t="s">
        <v>3</v>
      </c>
      <c r="AF2" t="s">
        <v>2</v>
      </c>
      <c r="AG2" s="5" t="s">
        <v>47</v>
      </c>
      <c r="AH2" s="5" t="s">
        <v>45</v>
      </c>
      <c r="AJ2" s="4" t="s">
        <v>0</v>
      </c>
      <c r="AK2" t="s">
        <v>46</v>
      </c>
      <c r="AL2" t="s">
        <v>3</v>
      </c>
      <c r="AM2" t="s">
        <v>2</v>
      </c>
      <c r="AN2" s="5" t="s">
        <v>47</v>
      </c>
      <c r="AO2" s="5" t="s">
        <v>45</v>
      </c>
    </row>
    <row r="3" spans="1:41" x14ac:dyDescent="0.25">
      <c r="A3" s="4">
        <v>43800</v>
      </c>
      <c r="B3" t="s">
        <v>7</v>
      </c>
      <c r="C3" t="s">
        <v>52</v>
      </c>
      <c r="D3" t="s">
        <v>61</v>
      </c>
      <c r="E3" s="5">
        <v>50000</v>
      </c>
      <c r="H3" s="4">
        <v>43800</v>
      </c>
      <c r="I3" t="s">
        <v>52</v>
      </c>
      <c r="J3" t="s">
        <v>15</v>
      </c>
      <c r="K3" t="s">
        <v>34</v>
      </c>
      <c r="L3" s="5">
        <v>10000</v>
      </c>
      <c r="O3" s="4">
        <v>43800</v>
      </c>
      <c r="P3" t="s">
        <v>53</v>
      </c>
      <c r="Q3" t="s">
        <v>25</v>
      </c>
      <c r="R3" t="s">
        <v>64</v>
      </c>
      <c r="T3" s="5">
        <v>30000</v>
      </c>
    </row>
    <row r="4" spans="1:41" x14ac:dyDescent="0.25">
      <c r="A4" s="4">
        <v>43800</v>
      </c>
      <c r="B4" t="s">
        <v>52</v>
      </c>
      <c r="C4" t="s">
        <v>15</v>
      </c>
      <c r="D4" t="s">
        <v>34</v>
      </c>
      <c r="F4" s="5">
        <v>10000</v>
      </c>
      <c r="H4" s="4">
        <v>43800</v>
      </c>
      <c r="I4" t="s">
        <v>15</v>
      </c>
      <c r="J4" t="s">
        <v>19</v>
      </c>
      <c r="K4" t="s">
        <v>42</v>
      </c>
      <c r="M4" s="5">
        <v>1000</v>
      </c>
      <c r="O4" s="4">
        <v>43802</v>
      </c>
      <c r="P4" t="s">
        <v>53</v>
      </c>
      <c r="Q4" t="s">
        <v>26</v>
      </c>
      <c r="R4" t="s">
        <v>36</v>
      </c>
      <c r="T4" s="5">
        <v>5000</v>
      </c>
    </row>
    <row r="5" spans="1:41" x14ac:dyDescent="0.25">
      <c r="A5" s="4">
        <v>43805</v>
      </c>
      <c r="B5" t="s">
        <v>52</v>
      </c>
      <c r="D5" t="s">
        <v>40</v>
      </c>
      <c r="F5">
        <v>5000</v>
      </c>
      <c r="O5" s="4">
        <v>43803</v>
      </c>
      <c r="P5" t="s">
        <v>53</v>
      </c>
      <c r="R5" t="s">
        <v>39</v>
      </c>
      <c r="T5" s="5">
        <v>2000</v>
      </c>
    </row>
    <row r="6" spans="1:41" x14ac:dyDescent="0.25">
      <c r="A6" s="4">
        <v>43805</v>
      </c>
      <c r="B6" t="s">
        <v>52</v>
      </c>
      <c r="D6" t="s">
        <v>41</v>
      </c>
      <c r="F6">
        <v>5000</v>
      </c>
      <c r="O6" s="4">
        <v>43804</v>
      </c>
      <c r="P6" t="s">
        <v>8</v>
      </c>
      <c r="Q6" t="s">
        <v>53</v>
      </c>
      <c r="R6" t="s">
        <v>61</v>
      </c>
      <c r="S6" s="5">
        <v>100000</v>
      </c>
    </row>
    <row r="7" spans="1:41" x14ac:dyDescent="0.25">
      <c r="A7" s="4">
        <v>43814</v>
      </c>
      <c r="B7" t="s">
        <v>52</v>
      </c>
      <c r="C7" t="s">
        <v>10</v>
      </c>
      <c r="D7" t="s">
        <v>70</v>
      </c>
      <c r="F7" s="5">
        <v>10000</v>
      </c>
      <c r="O7" s="4">
        <v>43811</v>
      </c>
      <c r="P7" t="s">
        <v>9</v>
      </c>
      <c r="Q7" t="s">
        <v>53</v>
      </c>
      <c r="R7" t="s">
        <v>62</v>
      </c>
      <c r="S7" s="5">
        <v>50000</v>
      </c>
    </row>
    <row r="8" spans="1:41" x14ac:dyDescent="0.25">
      <c r="A8" s="4">
        <v>43814</v>
      </c>
      <c r="B8" t="s">
        <v>52</v>
      </c>
      <c r="C8" t="s">
        <v>8</v>
      </c>
      <c r="D8" t="s">
        <v>71</v>
      </c>
      <c r="F8" s="5">
        <v>2000</v>
      </c>
    </row>
    <row r="9" spans="1:41" x14ac:dyDescent="0.25">
      <c r="A9" s="4">
        <v>43816</v>
      </c>
      <c r="B9" t="s">
        <v>52</v>
      </c>
      <c r="C9" t="s">
        <v>20</v>
      </c>
      <c r="D9" t="s">
        <v>42</v>
      </c>
      <c r="F9" s="5">
        <v>2000</v>
      </c>
    </row>
    <row r="10" spans="1:41" x14ac:dyDescent="0.25">
      <c r="A10" s="4">
        <v>43816</v>
      </c>
      <c r="B10" t="s">
        <v>52</v>
      </c>
      <c r="C10" t="s">
        <v>23</v>
      </c>
      <c r="D10" t="s">
        <v>42</v>
      </c>
      <c r="F10" s="5">
        <v>2000</v>
      </c>
    </row>
    <row r="11" spans="1:41" ht="15.75" thickBot="1" x14ac:dyDescent="0.3">
      <c r="A11" s="4">
        <v>43824</v>
      </c>
      <c r="B11" t="s">
        <v>52</v>
      </c>
      <c r="C11" t="s">
        <v>26</v>
      </c>
      <c r="D11" t="s">
        <v>44</v>
      </c>
      <c r="F11" s="5">
        <v>20000</v>
      </c>
      <c r="H11" t="s">
        <v>48</v>
      </c>
      <c r="L11" s="5">
        <f>SUBTOTAL(109,Таблица817[Дебет])</f>
        <v>10000</v>
      </c>
      <c r="M11" s="5">
        <f>SUBTOTAL(109,Таблица817[Кредит])</f>
        <v>1000</v>
      </c>
      <c r="O11" t="s">
        <v>48</v>
      </c>
      <c r="S11" s="5">
        <f>SUBTOTAL(109,Таблица81718[Дебет])</f>
        <v>150000</v>
      </c>
      <c r="T11" s="5">
        <f>SUBTOTAL(109,Таблица81718[Кредит])</f>
        <v>37000</v>
      </c>
      <c r="V11" t="s">
        <v>48</v>
      </c>
      <c r="Z11" s="5">
        <f>SUBTOTAL(109,Таблица8171823[Дебет])</f>
        <v>0</v>
      </c>
      <c r="AA11" s="5">
        <f>SUBTOTAL(109,Таблица8171823[Кредит])</f>
        <v>0</v>
      </c>
      <c r="AC11" t="s">
        <v>48</v>
      </c>
      <c r="AG11" s="5">
        <f>SUBTOTAL(109,Таблица8171824[Дебет])</f>
        <v>0</v>
      </c>
      <c r="AH11" s="5">
        <f>SUBTOTAL(109,Таблица8171824[Кредит])</f>
        <v>0</v>
      </c>
      <c r="AJ11" t="s">
        <v>48</v>
      </c>
      <c r="AN11" s="5">
        <f>SUBTOTAL(109,Таблица8171825[Дебет])</f>
        <v>0</v>
      </c>
      <c r="AO11" s="5">
        <f>SUBTOTAL(109,Таблица8171825[Кредит])</f>
        <v>0</v>
      </c>
    </row>
    <row r="12" spans="1:41" ht="15.75" thickBot="1" x14ac:dyDescent="0.3">
      <c r="M12" s="14">
        <f>Таблица817[[#Totals],[Дебет]]-Таблица817[[#Totals],[Кредит]]</f>
        <v>9000</v>
      </c>
      <c r="T12" s="14">
        <f>Таблица81718[[#Totals],[Дебет]]-Таблица81718[[#Totals],[Кредит]]</f>
        <v>113000</v>
      </c>
      <c r="AA12" s="14">
        <f>Таблица8171823[[#Totals],[Дебет]]-Таблица8171823[[#Totals],[Кредит]]</f>
        <v>0</v>
      </c>
      <c r="AH12" s="14">
        <f>Таблица8171824[[#Totals],[Дебет]]-Таблица8171824[[#Totals],[Кредит]]</f>
        <v>0</v>
      </c>
      <c r="AO12" s="14">
        <f>Таблица8171825[[#Totals],[Дебет]]-Таблица8171825[[#Totals],[Кредит]]</f>
        <v>0</v>
      </c>
    </row>
    <row r="13" spans="1:41" ht="15.75" thickBot="1" x14ac:dyDescent="0.3">
      <c r="A13" t="s">
        <v>48</v>
      </c>
      <c r="E13" s="5">
        <f>SUBTOTAL(109,Таблица8[Дебет])</f>
        <v>50000</v>
      </c>
      <c r="F13" s="5">
        <f>SUBTOTAL(109,Таблица8[Кредит])</f>
        <v>56000</v>
      </c>
    </row>
    <row r="14" spans="1:41" ht="15.75" thickBot="1" x14ac:dyDescent="0.3">
      <c r="F14" s="14">
        <f>Таблица8[[#Totals],[Дебет]]-Таблица8[[#Totals],[Кредит]]</f>
        <v>-6000</v>
      </c>
    </row>
  </sheetData>
  <mergeCells count="6">
    <mergeCell ref="AJ1:AO1"/>
    <mergeCell ref="A1:F1"/>
    <mergeCell ref="H1:M1"/>
    <mergeCell ref="O1:T1"/>
    <mergeCell ref="V1:AA1"/>
    <mergeCell ref="AC1:AH1"/>
  </mergeCells>
  <pageMargins left="0.7" right="0.7" top="0.75" bottom="0.75" header="0.3" footer="0.3"/>
  <pageSetup paperSize="9" orientation="portrait" horizontalDpi="4294967293" verticalDpi="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"/>
  <sheetViews>
    <sheetView workbookViewId="0">
      <selection activeCell="K16" sqref="A16:K16"/>
    </sheetView>
  </sheetViews>
  <sheetFormatPr defaultRowHeight="15" x14ac:dyDescent="0.25"/>
  <cols>
    <col min="1" max="1" width="10.140625" style="4" bestFit="1" customWidth="1"/>
    <col min="2" max="2" width="20.28515625" bestFit="1" customWidth="1"/>
    <col min="3" max="3" width="13.85546875" customWidth="1"/>
    <col min="4" max="4" width="29.5703125" customWidth="1"/>
    <col min="5" max="5" width="9.140625" style="5" customWidth="1"/>
    <col min="6" max="6" width="9.85546875" style="5" customWidth="1"/>
    <col min="8" max="8" width="10.140625" bestFit="1" customWidth="1"/>
    <col min="9" max="9" width="20.28515625" bestFit="1" customWidth="1"/>
    <col min="10" max="10" width="14.28515625" bestFit="1" customWidth="1"/>
    <col min="11" max="11" width="30.28515625" bestFit="1" customWidth="1"/>
    <col min="15" max="15" width="10.140625" bestFit="1" customWidth="1"/>
    <col min="16" max="16" width="20.28515625" bestFit="1" customWidth="1"/>
    <col min="17" max="17" width="14.28515625" bestFit="1" customWidth="1"/>
    <col min="18" max="18" width="30.28515625" bestFit="1" customWidth="1"/>
    <col min="22" max="22" width="10.140625" bestFit="1" customWidth="1"/>
    <col min="23" max="23" width="20.28515625" bestFit="1" customWidth="1"/>
    <col min="24" max="24" width="14.28515625" bestFit="1" customWidth="1"/>
    <col min="25" max="25" width="30.28515625" bestFit="1" customWidth="1"/>
    <col min="29" max="29" width="10.140625" bestFit="1" customWidth="1"/>
    <col min="30" max="30" width="20.28515625" bestFit="1" customWidth="1"/>
    <col min="31" max="31" width="14.28515625" bestFit="1" customWidth="1"/>
    <col min="32" max="32" width="30.28515625" bestFit="1" customWidth="1"/>
  </cols>
  <sheetData>
    <row r="1" spans="1:34" ht="26.25" x14ac:dyDescent="0.4">
      <c r="A1" s="23" t="s">
        <v>20</v>
      </c>
      <c r="B1" s="23"/>
      <c r="C1" s="23"/>
      <c r="D1" s="23"/>
      <c r="E1" s="23"/>
      <c r="F1" s="23"/>
      <c r="H1" s="23" t="s">
        <v>19</v>
      </c>
      <c r="I1" s="23"/>
      <c r="J1" s="23"/>
      <c r="K1" s="23"/>
      <c r="L1" s="23"/>
      <c r="M1" s="23"/>
      <c r="O1" s="23" t="s">
        <v>21</v>
      </c>
      <c r="P1" s="23"/>
      <c r="Q1" s="23"/>
      <c r="R1" s="23"/>
      <c r="S1" s="23"/>
      <c r="T1" s="23"/>
      <c r="V1" s="23" t="s">
        <v>22</v>
      </c>
      <c r="W1" s="23"/>
      <c r="X1" s="23"/>
      <c r="Y1" s="23"/>
      <c r="Z1" s="23"/>
      <c r="AA1" s="23"/>
      <c r="AC1" s="23" t="s">
        <v>23</v>
      </c>
      <c r="AD1" s="23"/>
      <c r="AE1" s="23"/>
      <c r="AF1" s="23"/>
      <c r="AG1" s="23"/>
      <c r="AH1" s="23"/>
    </row>
    <row r="2" spans="1:34" ht="15.75" thickBot="1" x14ac:dyDescent="0.3">
      <c r="A2" s="6" t="s">
        <v>0</v>
      </c>
      <c r="B2" s="7" t="s">
        <v>46</v>
      </c>
      <c r="C2" s="7" t="s">
        <v>3</v>
      </c>
      <c r="D2" s="7" t="s">
        <v>2</v>
      </c>
      <c r="E2" s="12" t="s">
        <v>47</v>
      </c>
      <c r="F2" s="8" t="s">
        <v>45</v>
      </c>
      <c r="H2" s="6" t="s">
        <v>0</v>
      </c>
      <c r="I2" s="7" t="s">
        <v>46</v>
      </c>
      <c r="J2" s="7" t="s">
        <v>3</v>
      </c>
      <c r="K2" s="7" t="s">
        <v>2</v>
      </c>
      <c r="L2" s="12" t="s">
        <v>47</v>
      </c>
      <c r="M2" s="8" t="s">
        <v>45</v>
      </c>
      <c r="O2" s="6" t="s">
        <v>0</v>
      </c>
      <c r="P2" s="7" t="s">
        <v>46</v>
      </c>
      <c r="Q2" s="7" t="s">
        <v>3</v>
      </c>
      <c r="R2" s="7" t="s">
        <v>2</v>
      </c>
      <c r="S2" s="12" t="s">
        <v>47</v>
      </c>
      <c r="T2" s="8" t="s">
        <v>45</v>
      </c>
      <c r="V2" s="6" t="s">
        <v>0</v>
      </c>
      <c r="W2" s="7" t="s">
        <v>46</v>
      </c>
      <c r="X2" s="7" t="s">
        <v>3</v>
      </c>
      <c r="Y2" s="7" t="s">
        <v>2</v>
      </c>
      <c r="Z2" s="12" t="s">
        <v>47</v>
      </c>
      <c r="AA2" s="8" t="s">
        <v>45</v>
      </c>
      <c r="AC2" s="6" t="s">
        <v>0</v>
      </c>
      <c r="AD2" s="7" t="s">
        <v>46</v>
      </c>
      <c r="AE2" s="7" t="s">
        <v>3</v>
      </c>
      <c r="AF2" s="7" t="s">
        <v>2</v>
      </c>
      <c r="AG2" s="12" t="s">
        <v>47</v>
      </c>
      <c r="AH2" s="8" t="s">
        <v>45</v>
      </c>
    </row>
    <row r="3" spans="1:34" ht="15.75" thickTop="1" x14ac:dyDescent="0.25">
      <c r="A3" s="4">
        <v>43816</v>
      </c>
      <c r="B3" t="s">
        <v>52</v>
      </c>
      <c r="C3" t="s">
        <v>20</v>
      </c>
      <c r="D3" t="s">
        <v>42</v>
      </c>
      <c r="E3" s="5">
        <v>2000</v>
      </c>
      <c r="H3" s="4">
        <v>43800</v>
      </c>
      <c r="I3" t="s">
        <v>15</v>
      </c>
      <c r="J3" t="s">
        <v>19</v>
      </c>
      <c r="K3" t="s">
        <v>42</v>
      </c>
      <c r="L3" s="5">
        <v>1000</v>
      </c>
      <c r="M3" s="5"/>
      <c r="O3" s="4"/>
      <c r="S3" s="5"/>
      <c r="T3" s="5"/>
      <c r="V3" s="4"/>
      <c r="Z3" s="5"/>
      <c r="AA3" s="5"/>
      <c r="AC3" s="4">
        <v>43816</v>
      </c>
      <c r="AD3" t="s">
        <v>52</v>
      </c>
      <c r="AE3" t="s">
        <v>23</v>
      </c>
      <c r="AF3" t="s">
        <v>42</v>
      </c>
      <c r="AG3" s="5">
        <v>2000</v>
      </c>
      <c r="AH3" s="5"/>
    </row>
    <row r="4" spans="1:34" ht="15.75" thickBot="1" x14ac:dyDescent="0.3">
      <c r="A4" s="4">
        <v>43818</v>
      </c>
      <c r="B4" t="s">
        <v>20</v>
      </c>
      <c r="D4" t="s">
        <v>43</v>
      </c>
      <c r="E4"/>
      <c r="F4">
        <v>500</v>
      </c>
      <c r="H4" s="4">
        <v>43803</v>
      </c>
      <c r="I4" t="s">
        <v>19</v>
      </c>
      <c r="K4" t="s">
        <v>38</v>
      </c>
      <c r="L4" s="5"/>
      <c r="M4" s="5">
        <v>1000</v>
      </c>
      <c r="O4" t="s">
        <v>48</v>
      </c>
      <c r="S4" s="5">
        <f>SUBTOTAL(109,Таблица91112[Дебет])</f>
        <v>0</v>
      </c>
      <c r="T4" s="5">
        <f>SUBTOTAL(109,Таблица91112[Кредит])</f>
        <v>0</v>
      </c>
      <c r="V4" t="s">
        <v>48</v>
      </c>
      <c r="Z4" s="5">
        <f>SUBTOTAL(109,Таблица9111213[Дебет])</f>
        <v>0</v>
      </c>
      <c r="AA4" s="5">
        <f>SUBTOTAL(109,Таблица9111213[Кредит])</f>
        <v>0</v>
      </c>
      <c r="AC4" t="s">
        <v>48</v>
      </c>
      <c r="AG4" s="5">
        <f>SUBTOTAL(109,Таблица9111214[Дебет])</f>
        <v>2000</v>
      </c>
      <c r="AH4" s="5">
        <f>SUBTOTAL(109,Таблица9111214[Кредит])</f>
        <v>0</v>
      </c>
    </row>
    <row r="5" spans="1:34" ht="15.75" thickBot="1" x14ac:dyDescent="0.3">
      <c r="A5" s="4">
        <v>43818</v>
      </c>
      <c r="B5" t="s">
        <v>20</v>
      </c>
      <c r="C5" t="s">
        <v>19</v>
      </c>
      <c r="D5" t="s">
        <v>35</v>
      </c>
      <c r="F5" s="5">
        <v>1500</v>
      </c>
      <c r="H5" s="4">
        <v>43818</v>
      </c>
      <c r="I5" t="s">
        <v>20</v>
      </c>
      <c r="J5" t="s">
        <v>19</v>
      </c>
      <c r="K5" t="s">
        <v>35</v>
      </c>
      <c r="L5" s="5">
        <v>1500</v>
      </c>
      <c r="M5" s="5"/>
      <c r="O5" s="4"/>
      <c r="S5" s="5"/>
      <c r="T5" s="13">
        <f>Таблица91112[[#Totals],[Дебет]]-Таблица91112[[#Totals],[Кредит]]</f>
        <v>0</v>
      </c>
      <c r="V5" s="4"/>
      <c r="Z5" s="5"/>
      <c r="AA5" s="13">
        <f>Таблица9111213[[#Totals],[Дебет]]-Таблица9111213[[#Totals],[Кредит]]</f>
        <v>0</v>
      </c>
      <c r="AC5" s="4"/>
      <c r="AG5" s="5"/>
      <c r="AH5" s="13">
        <f>Таблица9111214[[#Totals],[Дебет]]-Таблица9111214[[#Totals],[Кредит]]</f>
        <v>2000</v>
      </c>
    </row>
    <row r="6" spans="1:34" ht="15.75" thickBot="1" x14ac:dyDescent="0.3">
      <c r="A6" t="s">
        <v>48</v>
      </c>
      <c r="E6" s="5">
        <f>SUBTOTAL(109,Таблица9[Дебет])</f>
        <v>2000</v>
      </c>
      <c r="F6" s="5">
        <f>SUBTOTAL(109,Таблица9[Кредит])</f>
        <v>2000</v>
      </c>
      <c r="H6" t="s">
        <v>48</v>
      </c>
      <c r="L6" s="5">
        <f>SUBTOTAL(109,Таблица911[Дебет])</f>
        <v>2500</v>
      </c>
      <c r="M6" s="5">
        <f>SUBTOTAL(109,Таблица911[Кредит])</f>
        <v>1000</v>
      </c>
    </row>
    <row r="7" spans="1:34" ht="15.75" thickBot="1" x14ac:dyDescent="0.3">
      <c r="F7" s="13">
        <f>Таблица9[[#Totals],[Дебет]]-Таблица9[[#Totals],[Кредит]]</f>
        <v>0</v>
      </c>
      <c r="H7" s="4"/>
      <c r="L7" s="5"/>
      <c r="M7" s="15">
        <f>Таблица911[[#Totals],[Дебет]]-Таблица911[[#Totals],[Кредит]]</f>
        <v>1500</v>
      </c>
    </row>
  </sheetData>
  <mergeCells count="5">
    <mergeCell ref="A1:F1"/>
    <mergeCell ref="H1:M1"/>
    <mergeCell ref="O1:T1"/>
    <mergeCell ref="V1:AA1"/>
    <mergeCell ref="AC1:AH1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workbookViewId="0">
      <selection activeCell="K5" activeCellId="1" sqref="H5 K5"/>
    </sheetView>
  </sheetViews>
  <sheetFormatPr defaultRowHeight="15" x14ac:dyDescent="0.25"/>
  <cols>
    <col min="1" max="1" width="10.140625" style="4" bestFit="1" customWidth="1"/>
    <col min="2" max="2" width="15" customWidth="1"/>
    <col min="3" max="3" width="13.85546875" customWidth="1"/>
    <col min="4" max="4" width="29.42578125" customWidth="1"/>
    <col min="5" max="6" width="10" style="5" bestFit="1" customWidth="1"/>
    <col min="8" max="8" width="10.140625" style="4" bestFit="1" customWidth="1"/>
    <col min="9" max="9" width="15" customWidth="1"/>
    <col min="10" max="10" width="13.85546875" customWidth="1"/>
    <col min="11" max="11" width="29.42578125" customWidth="1"/>
    <col min="12" max="13" width="10" style="5" bestFit="1" customWidth="1"/>
    <col min="15" max="15" width="10.140625" style="4" bestFit="1" customWidth="1"/>
    <col min="16" max="16" width="15" customWidth="1"/>
    <col min="17" max="17" width="13.85546875" customWidth="1"/>
    <col min="18" max="18" width="29.42578125" customWidth="1"/>
    <col min="19" max="20" width="10" style="5" bestFit="1" customWidth="1"/>
  </cols>
  <sheetData>
    <row r="1" spans="1:21" ht="26.25" x14ac:dyDescent="0.4">
      <c r="A1" s="22" t="s">
        <v>25</v>
      </c>
      <c r="B1" s="22"/>
      <c r="C1" s="22"/>
      <c r="D1" s="22"/>
      <c r="E1" s="22"/>
      <c r="F1" s="22"/>
      <c r="H1" s="22" t="s">
        <v>26</v>
      </c>
      <c r="I1" s="22"/>
      <c r="J1" s="22"/>
      <c r="K1" s="22"/>
      <c r="L1" s="22"/>
      <c r="M1" s="22"/>
      <c r="O1" s="22" t="s">
        <v>27</v>
      </c>
      <c r="P1" s="22"/>
      <c r="Q1" s="22"/>
      <c r="R1" s="22"/>
      <c r="S1" s="22"/>
      <c r="T1" s="22"/>
    </row>
    <row r="2" spans="1:21" x14ac:dyDescent="0.25">
      <c r="A2" s="4" t="s">
        <v>0</v>
      </c>
      <c r="B2" t="s">
        <v>46</v>
      </c>
      <c r="C2" t="s">
        <v>3</v>
      </c>
      <c r="D2" t="s">
        <v>2</v>
      </c>
      <c r="E2" s="5" t="s">
        <v>47</v>
      </c>
      <c r="F2" s="5" t="s">
        <v>45</v>
      </c>
      <c r="H2" s="4" t="s">
        <v>0</v>
      </c>
      <c r="I2" t="s">
        <v>46</v>
      </c>
      <c r="J2" t="s">
        <v>3</v>
      </c>
      <c r="K2" t="s">
        <v>2</v>
      </c>
      <c r="L2" s="5" t="s">
        <v>47</v>
      </c>
      <c r="M2" s="5" t="s">
        <v>45</v>
      </c>
      <c r="O2" s="4" t="s">
        <v>0</v>
      </c>
      <c r="P2" t="s">
        <v>46</v>
      </c>
      <c r="Q2" t="s">
        <v>3</v>
      </c>
      <c r="R2" t="s">
        <v>2</v>
      </c>
      <c r="S2" s="5" t="s">
        <v>47</v>
      </c>
      <c r="T2" s="5" t="s">
        <v>45</v>
      </c>
    </row>
    <row r="3" spans="1:21" x14ac:dyDescent="0.25">
      <c r="A3" s="4">
        <v>43800</v>
      </c>
      <c r="B3" t="s">
        <v>25</v>
      </c>
      <c r="C3" t="s">
        <v>53</v>
      </c>
      <c r="D3" t="s">
        <v>64</v>
      </c>
      <c r="E3" s="5">
        <v>30000</v>
      </c>
      <c r="H3" s="4">
        <v>43437</v>
      </c>
      <c r="I3" t="s">
        <v>53</v>
      </c>
      <c r="J3" t="s">
        <v>26</v>
      </c>
      <c r="K3" t="s">
        <v>36</v>
      </c>
      <c r="L3" s="5">
        <v>5000</v>
      </c>
      <c r="O3" s="4">
        <v>43802</v>
      </c>
      <c r="P3" t="s">
        <v>53</v>
      </c>
      <c r="Q3" t="s">
        <v>27</v>
      </c>
      <c r="R3" t="s">
        <v>37</v>
      </c>
      <c r="S3" s="5">
        <v>100</v>
      </c>
    </row>
    <row r="4" spans="1:21" x14ac:dyDescent="0.25">
      <c r="H4" s="4">
        <v>43437</v>
      </c>
      <c r="I4" t="s">
        <v>26</v>
      </c>
      <c r="J4" t="s">
        <v>53</v>
      </c>
      <c r="K4" t="s">
        <v>74</v>
      </c>
      <c r="M4" s="5">
        <v>5000</v>
      </c>
      <c r="N4" s="20" t="s">
        <v>65</v>
      </c>
      <c r="O4" s="4">
        <v>43803</v>
      </c>
      <c r="P4" t="s">
        <v>27</v>
      </c>
      <c r="Q4" t="s">
        <v>53</v>
      </c>
      <c r="R4" t="s">
        <v>66</v>
      </c>
      <c r="T4" s="5">
        <v>100</v>
      </c>
      <c r="U4" s="20" t="s">
        <v>65</v>
      </c>
    </row>
    <row r="5" spans="1:21" x14ac:dyDescent="0.25">
      <c r="H5" s="4">
        <v>43824</v>
      </c>
      <c r="I5" t="s">
        <v>52</v>
      </c>
      <c r="J5" t="s">
        <v>26</v>
      </c>
      <c r="K5" t="s">
        <v>44</v>
      </c>
      <c r="L5" s="5">
        <v>20000</v>
      </c>
    </row>
    <row r="6" spans="1:21" x14ac:dyDescent="0.25">
      <c r="H6" s="4">
        <v>43824</v>
      </c>
      <c r="I6" t="s">
        <v>26</v>
      </c>
      <c r="J6" t="s">
        <v>52</v>
      </c>
      <c r="K6" t="s">
        <v>74</v>
      </c>
      <c r="N6" s="20" t="s">
        <v>65</v>
      </c>
    </row>
    <row r="11" spans="1:21" ht="15.75" thickBot="1" x14ac:dyDescent="0.3">
      <c r="H11" t="s">
        <v>48</v>
      </c>
      <c r="L11" s="5">
        <f>SUBTOTAL(109,Таблица8172732[Дебет])</f>
        <v>25000</v>
      </c>
      <c r="M11" s="5">
        <f>SUBTOTAL(109,Таблица8172732[Кредит])</f>
        <v>5000</v>
      </c>
      <c r="O11" t="s">
        <v>48</v>
      </c>
      <c r="S11" s="5">
        <f>SUBTOTAL(109,Таблица817182833[Дебет])</f>
        <v>100</v>
      </c>
      <c r="T11" s="5">
        <f>SUBTOTAL(109,Таблица817182833[Кредит])</f>
        <v>100</v>
      </c>
    </row>
    <row r="12" spans="1:21" ht="15.75" thickBot="1" x14ac:dyDescent="0.3">
      <c r="A12" t="s">
        <v>48</v>
      </c>
      <c r="E12" s="5">
        <f>SUBTOTAL(109,Таблица82616[Дебет])</f>
        <v>30000</v>
      </c>
      <c r="F12" s="5">
        <f>SUBTOTAL(109,Таблица82616[Кредит])</f>
        <v>0</v>
      </c>
      <c r="M12" s="14">
        <f>Таблица8172732[[#Totals],[Дебет]]-Таблица8172732[[#Totals],[Кредит]]</f>
        <v>20000</v>
      </c>
      <c r="T12" s="14">
        <f>Таблица817182833[[#Totals],[Дебет]]-Таблица817182833[[#Totals],[Кредит]]</f>
        <v>0</v>
      </c>
    </row>
    <row r="13" spans="1:21" ht="15.75" thickBot="1" x14ac:dyDescent="0.3">
      <c r="F13" s="14">
        <f>Таблица82616[[#Totals],[Дебет]]-Таблица82616[[#Totals],[Кредит]]</f>
        <v>30000</v>
      </c>
    </row>
  </sheetData>
  <mergeCells count="3">
    <mergeCell ref="A1:F1"/>
    <mergeCell ref="H1:M1"/>
    <mergeCell ref="O1:T1"/>
  </mergeCells>
  <pageMargins left="0.7" right="0.7" top="0.75" bottom="0.75" header="0.3" footer="0.3"/>
  <pageSetup paperSize="9" orientation="portrait" horizontalDpi="4294967293" verticalDpi="0" r:id="rId1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"/>
  <sheetViews>
    <sheetView workbookViewId="0">
      <selection sqref="A1:F1"/>
    </sheetView>
  </sheetViews>
  <sheetFormatPr defaultRowHeight="15" x14ac:dyDescent="0.25"/>
  <cols>
    <col min="1" max="1" width="10.140625" style="4" bestFit="1" customWidth="1"/>
    <col min="2" max="2" width="24" bestFit="1" customWidth="1"/>
    <col min="3" max="3" width="18.7109375" bestFit="1" customWidth="1"/>
    <col min="4" max="4" width="13.28515625" bestFit="1" customWidth="1"/>
    <col min="5" max="5" width="13.28515625" customWidth="1"/>
    <col min="6" max="6" width="9.140625" style="16"/>
    <col min="8" max="8" width="10.140625" style="4" bestFit="1" customWidth="1"/>
    <col min="9" max="9" width="24" bestFit="1" customWidth="1"/>
    <col min="10" max="10" width="18.7109375" bestFit="1" customWidth="1"/>
    <col min="11" max="11" width="13.28515625" bestFit="1" customWidth="1"/>
    <col min="12" max="12" width="13.28515625" customWidth="1"/>
    <col min="13" max="13" width="9.140625" style="16"/>
    <col min="15" max="15" width="10.140625" style="4" bestFit="1" customWidth="1"/>
    <col min="16" max="16" width="24" bestFit="1" customWidth="1"/>
    <col min="17" max="17" width="18.7109375" bestFit="1" customWidth="1"/>
    <col min="18" max="18" width="13.28515625" bestFit="1" customWidth="1"/>
    <col min="19" max="19" width="13.28515625" customWidth="1"/>
    <col min="20" max="20" width="9.140625" style="16"/>
    <col min="22" max="22" width="10.140625" style="4" bestFit="1" customWidth="1"/>
    <col min="23" max="23" width="24" bestFit="1" customWidth="1"/>
    <col min="24" max="24" width="18.7109375" bestFit="1" customWidth="1"/>
    <col min="25" max="25" width="13.28515625" bestFit="1" customWidth="1"/>
    <col min="26" max="26" width="13.28515625" customWidth="1"/>
    <col min="27" max="27" width="9.140625" style="16"/>
    <col min="29" max="29" width="10.140625" style="4" bestFit="1" customWidth="1"/>
    <col min="30" max="30" width="24" bestFit="1" customWidth="1"/>
    <col min="31" max="31" width="18.7109375" bestFit="1" customWidth="1"/>
    <col min="32" max="32" width="13.28515625" bestFit="1" customWidth="1"/>
    <col min="33" max="33" width="13.28515625" customWidth="1"/>
    <col min="34" max="34" width="9.140625" style="16"/>
    <col min="36" max="36" width="11.5703125" customWidth="1"/>
  </cols>
  <sheetData>
    <row r="1" spans="1:36" ht="26.25" x14ac:dyDescent="0.4">
      <c r="A1" s="23" t="s">
        <v>51</v>
      </c>
      <c r="B1" s="23"/>
      <c r="C1" s="23"/>
      <c r="D1" s="23"/>
      <c r="E1" s="23"/>
      <c r="F1" s="23"/>
      <c r="H1" s="23" t="s">
        <v>56</v>
      </c>
      <c r="I1" s="23"/>
      <c r="J1" s="23"/>
      <c r="K1" s="23"/>
      <c r="L1" s="23"/>
      <c r="M1" s="23"/>
      <c r="O1" s="23" t="s">
        <v>57</v>
      </c>
      <c r="P1" s="23"/>
      <c r="Q1" s="23"/>
      <c r="R1" s="23"/>
      <c r="S1" s="23"/>
      <c r="T1" s="23"/>
      <c r="V1" s="23" t="s">
        <v>58</v>
      </c>
      <c r="W1" s="23"/>
      <c r="X1" s="23"/>
      <c r="Y1" s="23"/>
      <c r="Z1" s="23"/>
      <c r="AA1" s="23"/>
      <c r="AC1" s="23" t="s">
        <v>59</v>
      </c>
      <c r="AD1" s="23"/>
      <c r="AE1" s="23"/>
      <c r="AF1" s="23"/>
      <c r="AG1" s="23"/>
      <c r="AH1" s="23"/>
    </row>
    <row r="2" spans="1:36" x14ac:dyDescent="0.25">
      <c r="A2" s="4" t="s">
        <v>0</v>
      </c>
      <c r="B2" t="s">
        <v>49</v>
      </c>
      <c r="C2" t="s">
        <v>1</v>
      </c>
      <c r="D2" t="s">
        <v>50</v>
      </c>
      <c r="E2" t="s">
        <v>81</v>
      </c>
      <c r="F2" s="16" t="s">
        <v>5</v>
      </c>
      <c r="H2" s="4" t="s">
        <v>0</v>
      </c>
      <c r="I2" t="s">
        <v>49</v>
      </c>
      <c r="J2" t="s">
        <v>1</v>
      </c>
      <c r="K2" t="s">
        <v>50</v>
      </c>
      <c r="L2" t="s">
        <v>81</v>
      </c>
      <c r="M2" s="16" t="s">
        <v>5</v>
      </c>
      <c r="O2" s="4" t="s">
        <v>0</v>
      </c>
      <c r="P2" t="s">
        <v>49</v>
      </c>
      <c r="Q2" t="s">
        <v>1</v>
      </c>
      <c r="R2" t="s">
        <v>50</v>
      </c>
      <c r="S2" t="s">
        <v>81</v>
      </c>
      <c r="T2" s="16" t="s">
        <v>5</v>
      </c>
      <c r="V2" s="4" t="s">
        <v>0</v>
      </c>
      <c r="W2" t="s">
        <v>49</v>
      </c>
      <c r="X2" t="s">
        <v>1</v>
      </c>
      <c r="Y2" t="s">
        <v>50</v>
      </c>
      <c r="Z2" t="s">
        <v>81</v>
      </c>
      <c r="AA2" s="16" t="s">
        <v>5</v>
      </c>
      <c r="AC2" s="4" t="s">
        <v>0</v>
      </c>
      <c r="AD2" t="s">
        <v>49</v>
      </c>
      <c r="AE2" t="s">
        <v>1</v>
      </c>
      <c r="AF2" t="s">
        <v>50</v>
      </c>
      <c r="AG2" t="s">
        <v>81</v>
      </c>
      <c r="AH2" s="16" t="s">
        <v>5</v>
      </c>
      <c r="AJ2" t="s">
        <v>76</v>
      </c>
    </row>
    <row r="3" spans="1:36" x14ac:dyDescent="0.25">
      <c r="A3" s="4">
        <v>43802</v>
      </c>
      <c r="B3" t="s">
        <v>36</v>
      </c>
      <c r="C3" t="s">
        <v>26</v>
      </c>
      <c r="D3" t="s">
        <v>53</v>
      </c>
      <c r="F3" s="16">
        <v>5000</v>
      </c>
      <c r="H3" s="4">
        <v>43818</v>
      </c>
      <c r="I3" t="s">
        <v>43</v>
      </c>
      <c r="J3" t="s">
        <v>20</v>
      </c>
      <c r="M3" s="16">
        <v>500</v>
      </c>
      <c r="AJ3" t="s">
        <v>75</v>
      </c>
    </row>
    <row r="4" spans="1:36" x14ac:dyDescent="0.25">
      <c r="A4" s="4">
        <v>43802</v>
      </c>
      <c r="B4" t="s">
        <v>37</v>
      </c>
      <c r="C4" t="s">
        <v>53</v>
      </c>
      <c r="D4" t="s">
        <v>27</v>
      </c>
      <c r="F4" s="16">
        <v>100</v>
      </c>
      <c r="H4" s="4">
        <v>43824</v>
      </c>
      <c r="I4" t="s">
        <v>44</v>
      </c>
      <c r="J4" t="s">
        <v>52</v>
      </c>
      <c r="K4" t="s">
        <v>26</v>
      </c>
      <c r="M4" s="16">
        <v>20000</v>
      </c>
      <c r="AJ4" t="s">
        <v>77</v>
      </c>
    </row>
    <row r="5" spans="1:36" x14ac:dyDescent="0.25">
      <c r="A5" s="4">
        <v>43803</v>
      </c>
      <c r="B5" t="s">
        <v>38</v>
      </c>
      <c r="C5" t="s">
        <v>19</v>
      </c>
      <c r="F5" s="16">
        <v>1000</v>
      </c>
      <c r="AJ5" t="s">
        <v>78</v>
      </c>
    </row>
    <row r="6" spans="1:36" x14ac:dyDescent="0.25">
      <c r="A6" t="s">
        <v>48</v>
      </c>
      <c r="F6" s="16">
        <f>SUBTOTAL(109,Таблица14[Сумма])</f>
        <v>6100</v>
      </c>
      <c r="H6" t="s">
        <v>48</v>
      </c>
      <c r="M6" s="16">
        <f>SUBTOTAL(109,Таблица1419[Сумма])</f>
        <v>20500</v>
      </c>
      <c r="O6" t="s">
        <v>48</v>
      </c>
      <c r="T6" s="16">
        <f>SUBTOTAL(109,Таблица1420[Сумма])</f>
        <v>0</v>
      </c>
      <c r="V6" t="s">
        <v>48</v>
      </c>
      <c r="AA6" s="16">
        <f>SUBTOTAL(109,Таблица1422[Сумма])</f>
        <v>0</v>
      </c>
      <c r="AC6" t="s">
        <v>48</v>
      </c>
      <c r="AH6" s="16">
        <f>SUBTOTAL(109,Таблица1423[Сумма])</f>
        <v>0</v>
      </c>
      <c r="AJ6" t="s">
        <v>79</v>
      </c>
    </row>
    <row r="7" spans="1:36" x14ac:dyDescent="0.25">
      <c r="AJ7" t="s">
        <v>80</v>
      </c>
    </row>
  </sheetData>
  <mergeCells count="5">
    <mergeCell ref="A1:F1"/>
    <mergeCell ref="H1:M1"/>
    <mergeCell ref="O1:T1"/>
    <mergeCell ref="V1:AA1"/>
    <mergeCell ref="AC1:AH1"/>
  </mergeCells>
  <dataValidations count="1">
    <dataValidation type="list" allowBlank="1" showInputMessage="1" showErrorMessage="1" sqref="E3:E5 L3:L5 S3:S5 Z3:Z5 AG3:AG5">
      <formula1>Прицепы</formula1>
    </dataValidation>
  </dataValidation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Сводная таблица</vt:lpstr>
      <vt:lpstr>Контрагенты</vt:lpstr>
      <vt:lpstr>ФирмаИРуководители</vt:lpstr>
      <vt:lpstr>Водители</vt:lpstr>
      <vt:lpstr>Поставщики</vt:lpstr>
      <vt:lpstr>ТС</vt:lpstr>
      <vt:lpstr>Прицепы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2019-12-16T13:20:17Z</dcterms:modified>
</cp:coreProperties>
</file>