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-120" yWindow="-120" windowWidth="19440" windowHeight="15600" activeTab="4"/>
  </bookViews>
  <sheets>
    <sheet name="Долги" sheetId="1" r:id="rId1"/>
    <sheet name="Расходы" sheetId="2" r:id="rId2"/>
    <sheet name="Доходы" sheetId="3" r:id="rId3"/>
    <sheet name="Общая статистика" sheetId="4" r:id="rId4"/>
    <sheet name="Январь" sheetId="5" r:id="rId5"/>
  </sheets>
  <definedNames>
    <definedName name="_xlnm._FilterDatabase" localSheetId="4" hidden="1">Январь!$A$1:$C$1</definedName>
    <definedName name="Доля">Январь!$G$2:$G$36</definedName>
    <definedName name="Категория_расхода">Январь!$E$2:$E$36</definedName>
    <definedName name="Сумма">Январь!$F$2:$F$36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5" i="5" l="1"/>
  <c r="B5" i="2" s="1"/>
  <c r="F2" i="5"/>
  <c r="B2" i="2" s="1"/>
  <c r="B10" i="3"/>
  <c r="F36" i="5"/>
  <c r="F35" i="5"/>
  <c r="B35" i="2" s="1"/>
  <c r="F34" i="5"/>
  <c r="F33" i="5"/>
  <c r="B33" i="2" s="1"/>
  <c r="F32" i="5"/>
  <c r="B32" i="2" s="1"/>
  <c r="F31" i="5"/>
  <c r="B31" i="2" s="1"/>
  <c r="F30" i="5"/>
  <c r="F29" i="5"/>
  <c r="B29" i="2" s="1"/>
  <c r="F28" i="5"/>
  <c r="B28" i="2" s="1"/>
  <c r="F27" i="5"/>
  <c r="B27" i="2" s="1"/>
  <c r="F26" i="5"/>
  <c r="F25" i="5"/>
  <c r="B25" i="2" s="1"/>
  <c r="F24" i="5"/>
  <c r="B24" i="2" s="1"/>
  <c r="F23" i="5"/>
  <c r="B23" i="2" s="1"/>
  <c r="F22" i="5"/>
  <c r="F21" i="5"/>
  <c r="B21" i="2" s="1"/>
  <c r="F20" i="5"/>
  <c r="B20" i="2" s="1"/>
  <c r="F19" i="5"/>
  <c r="B19" i="2" s="1"/>
  <c r="F18" i="5"/>
  <c r="F17" i="5"/>
  <c r="B17" i="2" s="1"/>
  <c r="F16" i="5"/>
  <c r="B16" i="2" s="1"/>
  <c r="F15" i="5"/>
  <c r="B15" i="2" s="1"/>
  <c r="F14" i="5"/>
  <c r="F13" i="5"/>
  <c r="B13" i="2" s="1"/>
  <c r="F12" i="5"/>
  <c r="B12" i="2" s="1"/>
  <c r="F11" i="5"/>
  <c r="B11" i="2" s="1"/>
  <c r="F10" i="5"/>
  <c r="F9" i="5"/>
  <c r="B9" i="2" s="1"/>
  <c r="F8" i="5"/>
  <c r="B8" i="2" s="1"/>
  <c r="F7" i="5"/>
  <c r="B7" i="2" s="1"/>
  <c r="F6" i="5"/>
  <c r="F4" i="5"/>
  <c r="B4" i="2" s="1"/>
  <c r="F3" i="5"/>
  <c r="B3" i="2" s="1"/>
  <c r="J2" i="5"/>
  <c r="B7" i="3"/>
  <c r="B2" i="4" s="1"/>
  <c r="B36" i="2" l="1"/>
  <c r="N36" i="2" s="1"/>
  <c r="G36" i="5"/>
  <c r="I2" i="5"/>
  <c r="B34" i="2"/>
  <c r="N34" i="2" s="1"/>
  <c r="B30" i="2"/>
  <c r="N30" i="2" s="1"/>
  <c r="B26" i="2"/>
  <c r="N26" i="2" s="1"/>
  <c r="B22" i="2"/>
  <c r="N22" i="2" s="1"/>
  <c r="B18" i="2"/>
  <c r="N18" i="2" s="1"/>
  <c r="B14" i="2"/>
  <c r="N14" i="2" s="1"/>
  <c r="B10" i="2"/>
  <c r="N10" i="2" s="1"/>
  <c r="B6" i="2"/>
  <c r="N6" i="2" s="1"/>
  <c r="N9" i="2"/>
  <c r="N13" i="2"/>
  <c r="N17" i="2"/>
  <c r="N21" i="2"/>
  <c r="N25" i="2"/>
  <c r="N29" i="2"/>
  <c r="N33" i="2"/>
  <c r="N8" i="2"/>
  <c r="N12" i="2"/>
  <c r="N16" i="2"/>
  <c r="N20" i="2"/>
  <c r="N24" i="2"/>
  <c r="N28" i="2"/>
  <c r="N32" i="2"/>
  <c r="N7" i="2"/>
  <c r="N11" i="2"/>
  <c r="N15" i="2"/>
  <c r="N19" i="2"/>
  <c r="N23" i="2"/>
  <c r="N27" i="2"/>
  <c r="N31" i="2"/>
  <c r="N35" i="2"/>
  <c r="N5" i="2"/>
  <c r="N3" i="2"/>
  <c r="N4" i="2"/>
  <c r="K2" i="5"/>
  <c r="G6" i="5"/>
  <c r="G9" i="5"/>
  <c r="G13" i="5"/>
  <c r="G17" i="5"/>
  <c r="G21" i="5"/>
  <c r="G25" i="5"/>
  <c r="G29" i="5"/>
  <c r="G33" i="5"/>
  <c r="G2" i="5"/>
  <c r="G5" i="5"/>
  <c r="G8" i="5"/>
  <c r="G12" i="5"/>
  <c r="G16" i="5"/>
  <c r="G20" i="5"/>
  <c r="G24" i="5"/>
  <c r="G28" i="5"/>
  <c r="G32" i="5"/>
  <c r="G34" i="5"/>
  <c r="G30" i="5"/>
  <c r="G26" i="5"/>
  <c r="G22" i="5"/>
  <c r="G18" i="5"/>
  <c r="G14" i="5"/>
  <c r="G10" i="5"/>
  <c r="G7" i="5"/>
  <c r="G3" i="5"/>
  <c r="G35" i="5"/>
  <c r="G31" i="5"/>
  <c r="G27" i="5"/>
  <c r="G23" i="5"/>
  <c r="G19" i="5"/>
  <c r="G15" i="5"/>
  <c r="G11" i="5"/>
  <c r="G4" i="5"/>
  <c r="D2" i="1"/>
  <c r="M9" i="5" l="1"/>
  <c r="M6" i="5"/>
  <c r="M3" i="5"/>
  <c r="M7" i="5"/>
  <c r="M5" i="5"/>
  <c r="M2" i="5"/>
  <c r="M4" i="5"/>
  <c r="M8" i="5"/>
  <c r="N2" i="2"/>
  <c r="B43" i="2" s="1"/>
  <c r="B40" i="2"/>
  <c r="B3" i="4" s="1"/>
  <c r="B4" i="4" s="1"/>
  <c r="O2" i="5" l="1"/>
  <c r="N2" i="5"/>
  <c r="O6" i="5"/>
  <c r="N6" i="5"/>
  <c r="O8" i="5"/>
  <c r="N8" i="5"/>
  <c r="O7" i="5"/>
  <c r="N7" i="5"/>
  <c r="O4" i="5"/>
  <c r="N4" i="5"/>
  <c r="O3" i="5"/>
  <c r="N3" i="5"/>
  <c r="O5" i="5"/>
  <c r="N5" i="5"/>
  <c r="O9" i="5"/>
  <c r="N9" i="5"/>
  <c r="N40" i="2"/>
  <c r="O2" i="2" s="1"/>
  <c r="O13" i="2" l="1"/>
  <c r="O21" i="2"/>
  <c r="O30" i="2"/>
  <c r="O26" i="2"/>
  <c r="O28" i="2"/>
  <c r="O7" i="2"/>
  <c r="O6" i="2"/>
  <c r="O22" i="2"/>
  <c r="O16" i="2"/>
  <c r="O32" i="2"/>
  <c r="O15" i="2"/>
  <c r="O10" i="2"/>
  <c r="O8" i="2"/>
  <c r="O9" i="2"/>
  <c r="O35" i="2"/>
  <c r="O27" i="2"/>
  <c r="O25" i="2"/>
  <c r="O14" i="2"/>
  <c r="O18" i="2"/>
  <c r="O36" i="2"/>
  <c r="O19" i="2"/>
  <c r="O34" i="2"/>
  <c r="O23" i="2"/>
  <c r="O17" i="2"/>
  <c r="O31" i="2"/>
  <c r="O12" i="2"/>
  <c r="O5" i="2"/>
  <c r="O4" i="2"/>
  <c r="O20" i="2"/>
  <c r="O33" i="2"/>
  <c r="O3" i="2"/>
  <c r="O11" i="2"/>
  <c r="O29" i="2"/>
  <c r="O24" i="2"/>
  <c r="C43" i="2" l="1"/>
</calcChain>
</file>

<file path=xl/sharedStrings.xml><?xml version="1.0" encoding="utf-8"?>
<sst xmlns="http://schemas.openxmlformats.org/spreadsheetml/2006/main" count="151" uniqueCount="69">
  <si>
    <t>Контрагент</t>
  </si>
  <si>
    <t>Дата</t>
  </si>
  <si>
    <t>Сумма</t>
  </si>
  <si>
    <t>Итого</t>
  </si>
  <si>
    <t>Категория расхода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</si>
  <si>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</si>
  <si>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</si>
  <si>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</si>
  <si>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</si>
  <si>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</si>
  <si>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</si>
  <si>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</si>
  <si>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</si>
  <si>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</si>
  <si>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</si>
  <si>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</si>
  <si>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</si>
  <si>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Аптека</t>
  </si>
  <si>
    <t>Бытовая химия</t>
  </si>
  <si>
    <t>Интернет</t>
  </si>
  <si>
    <t>Косметика</t>
  </si>
  <si>
    <t>Медицина - Услуги</t>
  </si>
  <si>
    <t>Одежда и обувь</t>
  </si>
  <si>
    <t>Парикмахерская</t>
  </si>
  <si>
    <t>Подарки</t>
  </si>
  <si>
    <t>Продукты - Алкоголь</t>
  </si>
  <si>
    <t>Продукты - Другие</t>
  </si>
  <si>
    <t>Продукты - Консервация</t>
  </si>
  <si>
    <t>Продукты - Крупы и макароны</t>
  </si>
  <si>
    <t>Продукты - Молочные</t>
  </si>
  <si>
    <t>Продукты - Мясо и птица</t>
  </si>
  <si>
    <t>Продукты - Овощи</t>
  </si>
  <si>
    <t>Продукты - Орехи и сухофрукты</t>
  </si>
  <si>
    <t>Продукты - Рыба</t>
  </si>
  <si>
    <t>Продукты - Сладости</t>
  </si>
  <si>
    <t>Продукты - Сыр</t>
  </si>
  <si>
    <t>Продукты - Фрукты</t>
  </si>
  <si>
    <t>Продукты - Чай, кофе, напитки</t>
  </si>
  <si>
    <t>Развлечения - Другое</t>
  </si>
  <si>
    <t>Развлечения - Кафе</t>
  </si>
  <si>
    <t>Развлечения - Кино</t>
  </si>
  <si>
    <t>Развлечения - Театр</t>
  </si>
  <si>
    <t>Сотовая связь</t>
  </si>
  <si>
    <t>Техника и электроника</t>
  </si>
  <si>
    <t>Товары для дома</t>
  </si>
  <si>
    <t>Транспорт - Не работа</t>
  </si>
  <si>
    <t>Транспорт - Работа</t>
  </si>
  <si>
    <t>Хобби</t>
  </si>
  <si>
    <t>Категория дохода</t>
  </si>
  <si>
    <t>Зарплата</t>
  </si>
  <si>
    <t>Кэшбэк</t>
  </si>
  <si>
    <t>Иной доход</t>
  </si>
  <si>
    <t>Категория</t>
  </si>
  <si>
    <t>%</t>
  </si>
  <si>
    <t>Доход</t>
  </si>
  <si>
    <t>Расходы</t>
  </si>
  <si>
    <t>Баланс</t>
  </si>
  <si>
    <t>Продажи</t>
  </si>
  <si>
    <t>ИТОГО</t>
  </si>
  <si>
    <t>Благотворительность</t>
  </si>
  <si>
    <t>Налоги и госуслуги</t>
  </si>
  <si>
    <t>Категория расхода общие</t>
  </si>
  <si>
    <t>Топ 5 категорий</t>
  </si>
  <si>
    <t>Месяц</t>
  </si>
  <si>
    <t>Доходы</t>
  </si>
  <si>
    <t>Средняя з/п, год</t>
  </si>
  <si>
    <t>Топ категорий</t>
  </si>
  <si>
    <t>ЖКХ - ЕРКЦ</t>
  </si>
  <si>
    <t>ЖКХ - УК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</si>
</sst>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\ mmm;@"/>
    <numFmt numFmtId="165" formatCode="#,##0.00_ ;[Red]\-#,##0.00\ "/>
  </numFmts>
  <fonts count="4" x14ac:knownFonts="1">
    <font>
      <sz val="11"/>
      <color theme="1"/>
      <name val="Calibri"/>
      <family val="2"/>
      <charset val="204"/>
      <scheme val="minor"/>
    </font>
    <font>
      <b/>
      <sz val="8"/>
      <color theme="1"/>
      <name val="Tahoma"/>
      <family val="2"/>
      <charset val="204"/>
    </font>
    <font>
      <sz val="8"/>
      <color theme="1"/>
      <name val="Tahoma"/>
      <family val="2"/>
      <charset val="204"/>
    </font>
    <font>
      <b/>
      <sz val="8"/>
      <color theme="0"/>
      <name val="Tahoma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68222"/>
        <bgColor indexed="64"/>
      </patternFill>
    </fill>
    <fill>
      <patternFill patternType="solid">
        <fgColor rgb="FFFEB0B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164" fontId="1" fillId="2" borderId="0" xfId="0" applyNumberFormat="1" applyFont="1" applyFill="1" applyAlignment="1">
      <alignment horizontal="center"/>
    </xf>
    <xf numFmtId="164" fontId="2" fillId="0" borderId="0" xfId="0" applyNumberFormat="1" applyFont="1" applyAlignment="1">
      <alignment horizontal="center"/>
    </xf>
    <xf numFmtId="165" fontId="1" fillId="2" borderId="0" xfId="0" applyNumberFormat="1" applyFont="1" applyFill="1" applyAlignment="1">
      <alignment horizontal="center"/>
    </xf>
    <xf numFmtId="165" fontId="2" fillId="0" borderId="0" xfId="0" applyNumberFormat="1" applyFont="1" applyAlignment="1">
      <alignment horizontal="center"/>
    </xf>
    <xf numFmtId="165" fontId="3" fillId="4" borderId="0" xfId="0" applyNumberFormat="1" applyFont="1" applyFill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center"/>
    </xf>
    <xf numFmtId="165" fontId="2" fillId="0" borderId="0" xfId="0" applyNumberFormat="1" applyFont="1"/>
    <xf numFmtId="49" fontId="2" fillId="0" borderId="0" xfId="0" applyNumberFormat="1" applyFont="1" applyAlignment="1">
      <alignment horizontal="center"/>
    </xf>
    <xf numFmtId="10" fontId="2" fillId="0" borderId="0" xfId="0" applyNumberFormat="1" applyFont="1" applyAlignment="1">
      <alignment horizontal="center"/>
    </xf>
    <xf numFmtId="165" fontId="1" fillId="5" borderId="0" xfId="0" applyNumberFormat="1" applyFont="1" applyFill="1" applyAlignment="1">
      <alignment horizontal="center" wrapText="1"/>
    </xf>
    <xf numFmtId="165" fontId="1" fillId="6" borderId="0" xfId="0" applyNumberFormat="1" applyFont="1" applyFill="1" applyAlignment="1">
      <alignment horizontal="center"/>
    </xf>
    <xf numFmtId="49" fontId="1" fillId="6" borderId="0" xfId="0" applyNumberFormat="1" applyFont="1" applyFill="1" applyAlignment="1">
      <alignment horizontal="center"/>
    </xf>
    <xf numFmtId="165" fontId="1" fillId="3" borderId="0" xfId="0" applyNumberFormat="1" applyFont="1" applyFill="1" applyAlignment="1">
      <alignment horizontal="center" wrapText="1"/>
    </xf>
    <xf numFmtId="165" fontId="1" fillId="7" borderId="0" xfId="0" applyNumberFormat="1" applyFont="1" applyFill="1" applyAlignment="1">
      <alignment horizontal="center"/>
    </xf>
    <xf numFmtId="10" fontId="1" fillId="7" borderId="0" xfId="0" applyNumberFormat="1" applyFont="1" applyFill="1" applyAlignment="1">
      <alignment horizontal="center"/>
    </xf>
    <xf numFmtId="0" fontId="1" fillId="8" borderId="0" xfId="0" applyFont="1" applyFill="1" applyAlignment="1">
      <alignment horizontal="center"/>
    </xf>
    <xf numFmtId="165" fontId="1" fillId="8" borderId="0" xfId="0" applyNumberFormat="1" applyFont="1" applyFill="1" applyAlignment="1">
      <alignment horizontal="center"/>
    </xf>
    <xf numFmtId="165" fontId="1" fillId="9" borderId="0" xfId="0" applyNumberFormat="1" applyFont="1" applyFill="1" applyAlignment="1">
      <alignment horizontal="center"/>
    </xf>
    <xf numFmtId="49" fontId="1" fillId="0" borderId="0" xfId="0" applyNumberFormat="1" applyFont="1" applyAlignment="1">
      <alignment horizontal="center"/>
    </xf>
    <xf numFmtId="0" fontId="1" fillId="6" borderId="0" xfId="0" applyFont="1" applyFill="1" applyAlignment="1">
      <alignment horizontal="center"/>
    </xf>
    <xf numFmtId="0" fontId="1" fillId="10" borderId="0" xfId="0" applyFont="1" applyFill="1" applyAlignment="1">
      <alignment horizontal="center"/>
    </xf>
    <xf numFmtId="0" fontId="2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</cellXfs>
  <cellStyles count="1">
    <cellStyle name="Обычный" xfId="0" builtinId="0"/>
  </cellStyles>
  <dxfs count="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colors>
    <mruColors>
      <color rgb="FF888EFC"/>
      <color rgb="FF00EA00"/>
      <color rgb="FFFEB0B0"/>
      <color rgb="FFFF5050"/>
      <color rgb="FFF6822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FFFF00"/>
  </sheetPr>
  <dimension ref="A1:D3"/>
  <sheetViews>
    <sheetView workbookViewId="0">
      <selection activeCell="D14" sqref="D14"/>
    </sheetView>
  </sheetViews>
  <sheetFormatPr defaultRowHeight="10.5" x14ac:dyDescent="0.15"/>
  <cols>
    <col min="1" max="1" width="11.7109375" style="2" customWidth="1"/>
    <col min="2" max="2" width="9.140625" style="4"/>
    <col min="3" max="3" width="9.28515625" style="6" bestFit="1" customWidth="1"/>
    <col min="4" max="4" width="15.7109375" style="6" customWidth="1"/>
    <col min="5" max="16384" width="9.140625" style="2"/>
  </cols>
  <sheetData>
    <row r="1" spans="1:4" x14ac:dyDescent="0.15">
      <c r="A1" s="1" t="s">
        <v>0</v>
      </c>
      <c r="B1" s="3" t="s">
        <v>1</v>
      </c>
      <c r="C1" s="5" t="s">
        <v>2</v>
      </c>
      <c r="D1" s="5" t="s">
        <v>3</v>
      </c>
    </row>
    <row r="2" spans="1:4" x14ac:dyDescent="0.15">
      <c r="A2" s="1"/>
      <c r="B2" s="3"/>
      <c r="C2" s="5"/>
      <c r="D2" s="7">
        <f>SUM(C3:C100)</f>
        <v>0</v>
      </c>
    </row>
    <row r="3" spans="1:4" x14ac:dyDescent="0.15">
      <c r="B3" s="4">
        <v>1.01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FF0000"/>
  </sheetPr>
  <dimension ref="A1:O54"/>
  <sheetViews>
    <sheetView workbookViewId="0">
      <selection activeCell="A25" sqref="A25"/>
    </sheetView>
  </sheetViews>
  <sheetFormatPr defaultRowHeight="10.5" x14ac:dyDescent="0.15"/>
  <cols>
    <col min="1" max="1" width="27.7109375" style="11" customWidth="1"/>
    <col min="2" max="13" width="10.7109375" style="10" customWidth="1"/>
    <col min="14" max="14" width="9.140625" style="6"/>
    <col min="15" max="15" width="8.7109375" style="12" customWidth="1"/>
    <col min="16" max="16384" width="9.140625" style="8"/>
  </cols>
  <sheetData>
    <row r="1" spans="1:15" s="9" customFormat="1" x14ac:dyDescent="0.15">
      <c r="A1" s="15" t="s">
        <v>4</v>
      </c>
      <c r="B1" s="13" t="s">
        <v>5</v>
      </c>
      <c r="C1" s="13" t="s">
        <v>6</v>
      </c>
      <c r="D1" s="13" t="s">
        <v>7</v>
      </c>
      <c r="E1" s="13" t="s">
        <v>8</v>
      </c>
      <c r="F1" s="13" t="s">
        <v>9</v>
      </c>
      <c r="G1" s="13" t="s">
        <v>10</v>
      </c>
      <c r="H1" s="13" t="s">
        <v>11</v>
      </c>
      <c r="I1" s="13" t="s">
        <v>12</v>
      </c>
      <c r="J1" s="13" t="s">
        <v>13</v>
      </c>
      <c r="K1" s="13" t="s">
        <v>14</v>
      </c>
      <c r="L1" s="13" t="s">
        <v>15</v>
      </c>
      <c r="M1" s="13" t="s">
        <v>16</v>
      </c>
      <c r="N1" s="14" t="s">
        <v>3</v>
      </c>
      <c r="O1" s="18" t="s">
        <v>53</v>
      </c>
    </row>
    <row r="2" spans="1:15" x14ac:dyDescent="0.15">
      <c r="A2" s="22" t="s">
        <v>17</v>
      </c>
      <c r="B2" s="6">
        <f>VLOOKUP(A2,Январь!$E$2:$F$36,2,0)</f>
        <v>100</v>
      </c>
      <c r="N2" s="6">
        <f>SUM(B2:M2)</f>
        <v>100</v>
      </c>
      <c r="O2" s="12">
        <f>(N2/$N$40)</f>
        <v>3.7453183520599252E-2</v>
      </c>
    </row>
    <row r="3" spans="1:15" x14ac:dyDescent="0.15">
      <c r="A3" s="22" t="s">
        <v>59</v>
      </c>
      <c r="B3" s="6">
        <f>VLOOKUP(A3,Январь!$E$2:$F$36,2,0)</f>
        <v>50</v>
      </c>
      <c r="N3" s="6">
        <f t="shared" ref="N3:N36" si="0">SUM(B3:M3)</f>
        <v>50</v>
      </c>
      <c r="O3" s="12">
        <f t="shared" ref="O3:O36" si="1">(N3/$N$40)</f>
        <v>1.8726591760299626E-2</v>
      </c>
    </row>
    <row r="4" spans="1:15" x14ac:dyDescent="0.15">
      <c r="A4" s="22" t="s">
        <v>18</v>
      </c>
      <c r="B4" s="6">
        <f>VLOOKUP(A4,Январь!$E$2:$F$36,2,0)</f>
        <v>20</v>
      </c>
      <c r="N4" s="6">
        <f t="shared" si="0"/>
        <v>20</v>
      </c>
      <c r="O4" s="12">
        <f t="shared" si="1"/>
        <v>7.4906367041198503E-3</v>
      </c>
    </row>
    <row r="5" spans="1:15" x14ac:dyDescent="0.15">
      <c r="A5" s="22" t="s">
        <v>67</v>
      </c>
      <c r="B5" s="6">
        <f>VLOOKUP(A5,Январь!$E$2:$F$36,2,0)</f>
        <v>1000</v>
      </c>
      <c r="N5" s="6">
        <f t="shared" si="0"/>
        <v>1000</v>
      </c>
      <c r="O5" s="12">
        <f t="shared" si="1"/>
        <v>0.37453183520599254</v>
      </c>
    </row>
    <row r="6" spans="1:15" x14ac:dyDescent="0.15">
      <c r="A6" s="22" t="s">
        <v>68</v>
      </c>
      <c r="B6" s="6">
        <f>VLOOKUP(A6,Январь!$E$2:$F$36,2,0)</f>
        <v>0</v>
      </c>
      <c r="N6" s="6">
        <f t="shared" si="0"/>
        <v>0</v>
      </c>
      <c r="O6" s="12">
        <f t="shared" si="1"/>
        <v>0</v>
      </c>
    </row>
    <row r="7" spans="1:15" x14ac:dyDescent="0.15">
      <c r="A7" s="22" t="s">
        <v>19</v>
      </c>
      <c r="B7" s="6">
        <f>VLOOKUP(A7,Январь!$E$2:$F$36,2,0)</f>
        <v>1500</v>
      </c>
      <c r="N7" s="6">
        <f t="shared" si="0"/>
        <v>1500</v>
      </c>
      <c r="O7" s="12">
        <f t="shared" si="1"/>
        <v>0.5617977528089888</v>
      </c>
    </row>
    <row r="8" spans="1:15" x14ac:dyDescent="0.15">
      <c r="A8" s="22" t="s">
        <v>20</v>
      </c>
      <c r="B8" s="6">
        <f>VLOOKUP(A8,Январь!$E$2:$F$36,2,0)</f>
        <v>0</v>
      </c>
      <c r="N8" s="6">
        <f t="shared" si="0"/>
        <v>0</v>
      </c>
      <c r="O8" s="12">
        <f t="shared" si="1"/>
        <v>0</v>
      </c>
    </row>
    <row r="9" spans="1:15" x14ac:dyDescent="0.15">
      <c r="A9" s="22" t="s">
        <v>21</v>
      </c>
      <c r="B9" s="6">
        <f>VLOOKUP(A9,Январь!$E$2:$F$36,2,0)</f>
        <v>0</v>
      </c>
      <c r="N9" s="6">
        <f t="shared" si="0"/>
        <v>0</v>
      </c>
      <c r="O9" s="12">
        <f t="shared" si="1"/>
        <v>0</v>
      </c>
    </row>
    <row r="10" spans="1:15" x14ac:dyDescent="0.15">
      <c r="A10" s="22" t="s">
        <v>60</v>
      </c>
      <c r="B10" s="6">
        <f>VLOOKUP(A10,Январь!$E$2:$F$36,2,0)</f>
        <v>0</v>
      </c>
      <c r="N10" s="6">
        <f t="shared" si="0"/>
        <v>0</v>
      </c>
      <c r="O10" s="12">
        <f t="shared" si="1"/>
        <v>0</v>
      </c>
    </row>
    <row r="11" spans="1:15" x14ac:dyDescent="0.15">
      <c r="A11" s="22" t="s">
        <v>22</v>
      </c>
      <c r="B11" s="6">
        <f>VLOOKUP(A11,Январь!$E$2:$F$36,2,0)</f>
        <v>0</v>
      </c>
      <c r="N11" s="6">
        <f t="shared" si="0"/>
        <v>0</v>
      </c>
      <c r="O11" s="12">
        <f t="shared" si="1"/>
        <v>0</v>
      </c>
    </row>
    <row r="12" spans="1:15" x14ac:dyDescent="0.15">
      <c r="A12" s="22" t="s">
        <v>23</v>
      </c>
      <c r="B12" s="6">
        <f>VLOOKUP(A12,Январь!$E$2:$F$36,2,0)</f>
        <v>0</v>
      </c>
      <c r="N12" s="6">
        <f t="shared" si="0"/>
        <v>0</v>
      </c>
      <c r="O12" s="12">
        <f t="shared" si="1"/>
        <v>0</v>
      </c>
    </row>
    <row r="13" spans="1:15" x14ac:dyDescent="0.15">
      <c r="A13" s="22" t="s">
        <v>24</v>
      </c>
      <c r="B13" s="6">
        <f>VLOOKUP(A13,Январь!$E$2:$F$36,2,0)</f>
        <v>0</v>
      </c>
      <c r="N13" s="6">
        <f t="shared" si="0"/>
        <v>0</v>
      </c>
      <c r="O13" s="12">
        <f t="shared" si="1"/>
        <v>0</v>
      </c>
    </row>
    <row r="14" spans="1:15" x14ac:dyDescent="0.15">
      <c r="A14" s="22" t="s">
        <v>25</v>
      </c>
      <c r="B14" s="6">
        <f>VLOOKUP(A14,Январь!$E$2:$F$36,2,0)</f>
        <v>0</v>
      </c>
      <c r="N14" s="6">
        <f t="shared" si="0"/>
        <v>0</v>
      </c>
      <c r="O14" s="12">
        <f t="shared" si="1"/>
        <v>0</v>
      </c>
    </row>
    <row r="15" spans="1:15" x14ac:dyDescent="0.15">
      <c r="A15" s="22" t="s">
        <v>26</v>
      </c>
      <c r="B15" s="6">
        <f>VLOOKUP(A15,Январь!$E$2:$F$36,2,0)</f>
        <v>0</v>
      </c>
      <c r="N15" s="6">
        <f t="shared" si="0"/>
        <v>0</v>
      </c>
      <c r="O15" s="12">
        <f t="shared" si="1"/>
        <v>0</v>
      </c>
    </row>
    <row r="16" spans="1:15" x14ac:dyDescent="0.15">
      <c r="A16" s="22" t="s">
        <v>27</v>
      </c>
      <c r="B16" s="6">
        <f>VLOOKUP(A16,Январь!$E$2:$F$36,2,0)</f>
        <v>0</v>
      </c>
      <c r="N16" s="6">
        <f t="shared" si="0"/>
        <v>0</v>
      </c>
      <c r="O16" s="12">
        <f t="shared" si="1"/>
        <v>0</v>
      </c>
    </row>
    <row r="17" spans="1:15" x14ac:dyDescent="0.15">
      <c r="A17" s="22" t="s">
        <v>28</v>
      </c>
      <c r="B17" s="6">
        <f>VLOOKUP(A17,Январь!$E$2:$F$36,2,0)</f>
        <v>0</v>
      </c>
      <c r="N17" s="6">
        <f t="shared" si="0"/>
        <v>0</v>
      </c>
      <c r="O17" s="12">
        <f t="shared" si="1"/>
        <v>0</v>
      </c>
    </row>
    <row r="18" spans="1:15" x14ac:dyDescent="0.15">
      <c r="A18" s="22" t="s">
        <v>29</v>
      </c>
      <c r="B18" s="6">
        <f>VLOOKUP(A18,Январь!$E$2:$F$36,2,0)</f>
        <v>0</v>
      </c>
      <c r="N18" s="6">
        <f t="shared" si="0"/>
        <v>0</v>
      </c>
      <c r="O18" s="12">
        <f t="shared" si="1"/>
        <v>0</v>
      </c>
    </row>
    <row r="19" spans="1:15" x14ac:dyDescent="0.15">
      <c r="A19" s="22" t="s">
        <v>30</v>
      </c>
      <c r="B19" s="6">
        <f>VLOOKUP(A19,Январь!$E$2:$F$36,2,0)</f>
        <v>0</v>
      </c>
      <c r="N19" s="6">
        <f t="shared" si="0"/>
        <v>0</v>
      </c>
      <c r="O19" s="12">
        <f t="shared" si="1"/>
        <v>0</v>
      </c>
    </row>
    <row r="20" spans="1:15" x14ac:dyDescent="0.15">
      <c r="A20" s="22" t="s">
        <v>31</v>
      </c>
      <c r="B20" s="6">
        <f>VLOOKUP(A20,Январь!$E$2:$F$36,2,0)</f>
        <v>0</v>
      </c>
      <c r="N20" s="6">
        <f t="shared" si="0"/>
        <v>0</v>
      </c>
      <c r="O20" s="12">
        <f t="shared" si="1"/>
        <v>0</v>
      </c>
    </row>
    <row r="21" spans="1:15" x14ac:dyDescent="0.15">
      <c r="A21" s="22" t="s">
        <v>32</v>
      </c>
      <c r="B21" s="6">
        <f>VLOOKUP(A21,Январь!$E$2:$F$36,2,0)</f>
        <v>0</v>
      </c>
      <c r="N21" s="6">
        <f t="shared" si="0"/>
        <v>0</v>
      </c>
      <c r="O21" s="12">
        <f t="shared" si="1"/>
        <v>0</v>
      </c>
    </row>
    <row r="22" spans="1:15" x14ac:dyDescent="0.15">
      <c r="A22" s="22" t="s">
        <v>33</v>
      </c>
      <c r="B22" s="6">
        <f>VLOOKUP(A22,Январь!$E$2:$F$36,2,0)</f>
        <v>0</v>
      </c>
      <c r="N22" s="6">
        <f t="shared" si="0"/>
        <v>0</v>
      </c>
      <c r="O22" s="12">
        <f t="shared" si="1"/>
        <v>0</v>
      </c>
    </row>
    <row r="23" spans="1:15" x14ac:dyDescent="0.15">
      <c r="A23" s="22" t="s">
        <v>34</v>
      </c>
      <c r="B23" s="6">
        <f>VLOOKUP(A23,Январь!$E$2:$F$36,2,0)</f>
        <v>0</v>
      </c>
      <c r="N23" s="6">
        <f t="shared" si="0"/>
        <v>0</v>
      </c>
      <c r="O23" s="12">
        <f t="shared" si="1"/>
        <v>0</v>
      </c>
    </row>
    <row r="24" spans="1:15" x14ac:dyDescent="0.15">
      <c r="A24" s="22" t="s">
        <v>35</v>
      </c>
      <c r="B24" s="6">
        <f>VLOOKUP(A24,Январь!$E$2:$F$36,2,0)</f>
        <v>0</v>
      </c>
      <c r="N24" s="6">
        <f t="shared" si="0"/>
        <v>0</v>
      </c>
      <c r="O24" s="12">
        <f t="shared" si="1"/>
        <v>0</v>
      </c>
    </row>
    <row r="25" spans="1:15" x14ac:dyDescent="0.15">
      <c r="A25" s="22" t="s">
        <v>36</v>
      </c>
      <c r="B25" s="6">
        <f>VLOOKUP(A25,Январь!$E$2:$F$36,2,0)</f>
        <v>0</v>
      </c>
      <c r="N25" s="6">
        <f t="shared" si="0"/>
        <v>0</v>
      </c>
      <c r="O25" s="12">
        <f t="shared" si="1"/>
        <v>0</v>
      </c>
    </row>
    <row r="26" spans="1:15" x14ac:dyDescent="0.15">
      <c r="A26" s="22" t="s">
        <v>37</v>
      </c>
      <c r="B26" s="6">
        <f>VLOOKUP(A26,Январь!$E$2:$F$36,2,0)</f>
        <v>0</v>
      </c>
      <c r="N26" s="6">
        <f t="shared" si="0"/>
        <v>0</v>
      </c>
      <c r="O26" s="12">
        <f t="shared" si="1"/>
        <v>0</v>
      </c>
    </row>
    <row r="27" spans="1:15" x14ac:dyDescent="0.15">
      <c r="A27" s="22" t="s">
        <v>38</v>
      </c>
      <c r="B27" s="6">
        <f>VLOOKUP(A27,Январь!$E$2:$F$36,2,0)</f>
        <v>0</v>
      </c>
      <c r="N27" s="6">
        <f t="shared" si="0"/>
        <v>0</v>
      </c>
      <c r="O27" s="12">
        <f t="shared" si="1"/>
        <v>0</v>
      </c>
    </row>
    <row r="28" spans="1:15" x14ac:dyDescent="0.15">
      <c r="A28" s="22" t="s">
        <v>39</v>
      </c>
      <c r="B28" s="6">
        <f>VLOOKUP(A28,Январь!$E$2:$F$36,2,0)</f>
        <v>0</v>
      </c>
      <c r="N28" s="6">
        <f t="shared" si="0"/>
        <v>0</v>
      </c>
      <c r="O28" s="12">
        <f t="shared" si="1"/>
        <v>0</v>
      </c>
    </row>
    <row r="29" spans="1:15" x14ac:dyDescent="0.15">
      <c r="A29" s="22" t="s">
        <v>40</v>
      </c>
      <c r="B29" s="6">
        <f>VLOOKUP(A29,Январь!$E$2:$F$36,2,0)</f>
        <v>0</v>
      </c>
      <c r="N29" s="6">
        <f t="shared" si="0"/>
        <v>0</v>
      </c>
      <c r="O29" s="12">
        <f t="shared" si="1"/>
        <v>0</v>
      </c>
    </row>
    <row r="30" spans="1:15" x14ac:dyDescent="0.15">
      <c r="A30" s="22" t="s">
        <v>41</v>
      </c>
      <c r="B30" s="6">
        <f>VLOOKUP(A30,Январь!$E$2:$F$36,2,0)</f>
        <v>0</v>
      </c>
      <c r="N30" s="6">
        <f t="shared" si="0"/>
        <v>0</v>
      </c>
      <c r="O30" s="12">
        <f t="shared" si="1"/>
        <v>0</v>
      </c>
    </row>
    <row r="31" spans="1:15" x14ac:dyDescent="0.15">
      <c r="A31" s="22" t="s">
        <v>42</v>
      </c>
      <c r="B31" s="6">
        <f>VLOOKUP(A31,Январь!$E$2:$F$36,2,0)</f>
        <v>0</v>
      </c>
      <c r="N31" s="6">
        <f t="shared" si="0"/>
        <v>0</v>
      </c>
      <c r="O31" s="12">
        <f t="shared" si="1"/>
        <v>0</v>
      </c>
    </row>
    <row r="32" spans="1:15" x14ac:dyDescent="0.15">
      <c r="A32" s="22" t="s">
        <v>43</v>
      </c>
      <c r="B32" s="6">
        <f>VLOOKUP(A32,Январь!$E$2:$F$36,2,0)</f>
        <v>0</v>
      </c>
      <c r="N32" s="6">
        <f t="shared" si="0"/>
        <v>0</v>
      </c>
      <c r="O32" s="12">
        <f t="shared" si="1"/>
        <v>0</v>
      </c>
    </row>
    <row r="33" spans="1:15" x14ac:dyDescent="0.15">
      <c r="A33" s="22" t="s">
        <v>44</v>
      </c>
      <c r="B33" s="6">
        <f>VLOOKUP(A33,Январь!$E$2:$F$36,2,0)</f>
        <v>0</v>
      </c>
      <c r="N33" s="6">
        <f t="shared" si="0"/>
        <v>0</v>
      </c>
      <c r="O33" s="12">
        <f t="shared" si="1"/>
        <v>0</v>
      </c>
    </row>
    <row r="34" spans="1:15" x14ac:dyDescent="0.15">
      <c r="A34" s="22" t="s">
        <v>45</v>
      </c>
      <c r="B34" s="6">
        <f>VLOOKUP(A34,Январь!$E$2:$F$36,2,0)</f>
        <v>0</v>
      </c>
      <c r="N34" s="6">
        <f t="shared" si="0"/>
        <v>0</v>
      </c>
      <c r="O34" s="12">
        <f t="shared" si="1"/>
        <v>0</v>
      </c>
    </row>
    <row r="35" spans="1:15" x14ac:dyDescent="0.15">
      <c r="A35" s="22" t="s">
        <v>46</v>
      </c>
      <c r="B35" s="6">
        <f>VLOOKUP(A35,Январь!$E$2:$F$36,2,0)</f>
        <v>0</v>
      </c>
      <c r="N35" s="6">
        <f t="shared" si="0"/>
        <v>0</v>
      </c>
      <c r="O35" s="12">
        <f t="shared" si="1"/>
        <v>0</v>
      </c>
    </row>
    <row r="36" spans="1:15" ht="9.75" customHeight="1" x14ac:dyDescent="0.15">
      <c r="A36" s="22" t="s">
        <v>47</v>
      </c>
      <c r="B36" s="6">
        <f>VLOOKUP(A36,Январь!$E$2:$F$36,2,0)</f>
        <v>0</v>
      </c>
      <c r="N36" s="6">
        <f t="shared" si="0"/>
        <v>0</v>
      </c>
      <c r="O36" s="12">
        <f t="shared" si="1"/>
        <v>0</v>
      </c>
    </row>
    <row r="40" spans="1:15" x14ac:dyDescent="0.15">
      <c r="A40" s="15" t="s">
        <v>58</v>
      </c>
      <c r="B40" s="6">
        <f>SUM(B2:B39)</f>
        <v>2670</v>
      </c>
      <c r="N40" s="6">
        <f>SUM(N2:N36)</f>
        <v>2670</v>
      </c>
    </row>
    <row r="42" spans="1:15" x14ac:dyDescent="0.15">
      <c r="A42" s="15" t="s">
        <v>66</v>
      </c>
      <c r="B42" s="17" t="s">
        <v>2</v>
      </c>
      <c r="C42" s="18" t="s">
        <v>53</v>
      </c>
    </row>
    <row r="43" spans="1:15" x14ac:dyDescent="0.15">
      <c r="B43" s="6">
        <f>LARGE(N2:N36,1)</f>
        <v>1500</v>
      </c>
      <c r="C43" s="6">
        <f>LARGE(O2:O36,1)*100</f>
        <v>56.17977528089888</v>
      </c>
    </row>
    <row r="44" spans="1:15" x14ac:dyDescent="0.15">
      <c r="B44" s="6"/>
    </row>
    <row r="45" spans="1:15" x14ac:dyDescent="0.15">
      <c r="B45" s="6"/>
    </row>
    <row r="46" spans="1:15" x14ac:dyDescent="0.15">
      <c r="B46" s="6"/>
    </row>
    <row r="47" spans="1:15" x14ac:dyDescent="0.15">
      <c r="B47" s="6"/>
    </row>
    <row r="48" spans="1:15" x14ac:dyDescent="0.15">
      <c r="B48" s="6"/>
    </row>
    <row r="49" spans="2:2" x14ac:dyDescent="0.15">
      <c r="B49" s="6"/>
    </row>
    <row r="50" spans="2:2" x14ac:dyDescent="0.15">
      <c r="B50" s="6"/>
    </row>
    <row r="51" spans="2:2" x14ac:dyDescent="0.15">
      <c r="B51" s="6"/>
    </row>
    <row r="52" spans="2:2" x14ac:dyDescent="0.15">
      <c r="B52" s="6"/>
    </row>
    <row r="53" spans="2:2" x14ac:dyDescent="0.15">
      <c r="B53" s="6"/>
    </row>
    <row r="54" spans="2:2" x14ac:dyDescent="0.15">
      <c r="B54" s="6"/>
    </row>
  </sheetData>
  <sortState ref="A2:N37">
    <sortCondition ref="A37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rgb="FF92D050"/>
  </sheetPr>
  <dimension ref="A1:N10"/>
  <sheetViews>
    <sheetView workbookViewId="0">
      <selection activeCell="C26" sqref="C26"/>
    </sheetView>
  </sheetViews>
  <sheetFormatPr defaultRowHeight="10.5" x14ac:dyDescent="0.15"/>
  <cols>
    <col min="1" max="1" width="25.7109375" style="11" customWidth="1"/>
    <col min="2" max="2" width="10.7109375" style="6" customWidth="1"/>
    <col min="3" max="13" width="10.7109375" style="10" customWidth="1"/>
    <col min="14" max="14" width="9.140625" style="10"/>
    <col min="15" max="16384" width="9.140625" style="8"/>
  </cols>
  <sheetData>
    <row r="1" spans="1:14" s="9" customFormat="1" x14ac:dyDescent="0.15">
      <c r="A1" s="15" t="s">
        <v>48</v>
      </c>
      <c r="B1" s="16" t="s">
        <v>5</v>
      </c>
      <c r="C1" s="16" t="s">
        <v>6</v>
      </c>
      <c r="D1" s="16" t="s">
        <v>7</v>
      </c>
      <c r="E1" s="16" t="s">
        <v>8</v>
      </c>
      <c r="F1" s="16" t="s">
        <v>9</v>
      </c>
      <c r="G1" s="16" t="s">
        <v>10</v>
      </c>
      <c r="H1" s="16" t="s">
        <v>11</v>
      </c>
      <c r="I1" s="16" t="s">
        <v>12</v>
      </c>
      <c r="J1" s="16" t="s">
        <v>13</v>
      </c>
      <c r="K1" s="16" t="s">
        <v>14</v>
      </c>
      <c r="L1" s="16" t="s">
        <v>15</v>
      </c>
      <c r="M1" s="16" t="s">
        <v>16</v>
      </c>
      <c r="N1" s="14" t="s">
        <v>3</v>
      </c>
    </row>
    <row r="2" spans="1:14" x14ac:dyDescent="0.15">
      <c r="A2" s="22" t="s">
        <v>49</v>
      </c>
    </row>
    <row r="3" spans="1:14" x14ac:dyDescent="0.15">
      <c r="A3" s="22" t="s">
        <v>50</v>
      </c>
    </row>
    <row r="4" spans="1:14" x14ac:dyDescent="0.15">
      <c r="A4" s="22" t="s">
        <v>53</v>
      </c>
    </row>
    <row r="5" spans="1:14" x14ac:dyDescent="0.15">
      <c r="A5" s="22" t="s">
        <v>57</v>
      </c>
    </row>
    <row r="6" spans="1:14" x14ac:dyDescent="0.15">
      <c r="A6" s="22" t="s">
        <v>51</v>
      </c>
    </row>
    <row r="7" spans="1:14" x14ac:dyDescent="0.15">
      <c r="A7" s="15" t="s">
        <v>58</v>
      </c>
      <c r="B7" s="6">
        <f>SUM(B2:B6)</f>
        <v>0</v>
      </c>
    </row>
    <row r="10" spans="1:14" x14ac:dyDescent="0.15">
      <c r="A10" s="15" t="s">
        <v>65</v>
      </c>
      <c r="B10" s="6">
        <f>SUM(B2:M2)/'Общая статистика'!P2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P4"/>
  <sheetViews>
    <sheetView workbookViewId="0">
      <selection activeCell="B55" sqref="B55"/>
    </sheetView>
  </sheetViews>
  <sheetFormatPr defaultRowHeight="10.5" x14ac:dyDescent="0.15"/>
  <cols>
    <col min="1" max="1" width="15.7109375" style="2" customWidth="1"/>
    <col min="2" max="4" width="10.7109375" style="10" customWidth="1"/>
    <col min="5" max="5" width="10.7109375" style="6" customWidth="1"/>
    <col min="6" max="13" width="10.7109375" style="10" customWidth="1"/>
    <col min="14" max="14" width="10.7109375" style="8" customWidth="1"/>
    <col min="15" max="15" width="3.7109375" style="8" customWidth="1"/>
    <col min="16" max="16384" width="9.140625" style="8"/>
  </cols>
  <sheetData>
    <row r="1" spans="1:16" x14ac:dyDescent="0.15">
      <c r="A1" s="23" t="s">
        <v>63</v>
      </c>
      <c r="B1" s="16" t="s">
        <v>5</v>
      </c>
      <c r="C1" s="16" t="s">
        <v>6</v>
      </c>
      <c r="D1" s="16" t="s">
        <v>7</v>
      </c>
      <c r="E1" s="16" t="s">
        <v>8</v>
      </c>
      <c r="F1" s="16" t="s">
        <v>9</v>
      </c>
      <c r="G1" s="16" t="s">
        <v>10</v>
      </c>
      <c r="H1" s="16" t="s">
        <v>11</v>
      </c>
      <c r="I1" s="16" t="s">
        <v>12</v>
      </c>
      <c r="J1" s="16" t="s">
        <v>13</v>
      </c>
      <c r="K1" s="16" t="s">
        <v>14</v>
      </c>
      <c r="L1" s="16" t="s">
        <v>15</v>
      </c>
      <c r="M1" s="16" t="s">
        <v>16</v>
      </c>
      <c r="N1" s="23">
        <v>2020</v>
      </c>
      <c r="P1" s="23" t="s">
        <v>63</v>
      </c>
    </row>
    <row r="2" spans="1:16" x14ac:dyDescent="0.15">
      <c r="A2" s="6" t="s">
        <v>64</v>
      </c>
      <c r="B2" s="6">
        <f>Доходы!B7</f>
        <v>0</v>
      </c>
      <c r="C2" s="6"/>
      <c r="D2" s="6"/>
      <c r="F2" s="6"/>
      <c r="G2" s="6"/>
      <c r="H2" s="6"/>
      <c r="I2" s="6"/>
      <c r="J2" s="6"/>
      <c r="K2" s="6"/>
      <c r="L2" s="6"/>
      <c r="M2" s="6"/>
      <c r="P2" s="24">
        <v>1</v>
      </c>
    </row>
    <row r="3" spans="1:16" x14ac:dyDescent="0.15">
      <c r="A3" s="6" t="s">
        <v>55</v>
      </c>
      <c r="B3" s="6">
        <f>Расходы!B40</f>
        <v>2670</v>
      </c>
      <c r="C3" s="6"/>
      <c r="D3" s="6"/>
      <c r="F3" s="6"/>
      <c r="G3" s="6"/>
      <c r="H3" s="6"/>
      <c r="I3" s="6"/>
      <c r="J3" s="6"/>
      <c r="K3" s="6"/>
      <c r="L3" s="6"/>
      <c r="M3" s="6"/>
    </row>
    <row r="4" spans="1:16" x14ac:dyDescent="0.15">
      <c r="A4" s="15" t="s">
        <v>56</v>
      </c>
      <c r="B4" s="6">
        <f>B2-B3</f>
        <v>-2670</v>
      </c>
      <c r="C4" s="6"/>
      <c r="D4" s="6"/>
      <c r="F4" s="6"/>
      <c r="G4" s="6"/>
      <c r="H4" s="6"/>
      <c r="I4" s="6"/>
      <c r="J4" s="6"/>
      <c r="K4" s="6"/>
      <c r="L4" s="6"/>
      <c r="M4" s="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rgb="FF00B0F0"/>
  </sheetPr>
  <dimension ref="A1:O37"/>
  <sheetViews>
    <sheetView tabSelected="1" workbookViewId="0">
      <selection activeCell="G2" sqref="G2"/>
    </sheetView>
  </sheetViews>
  <sheetFormatPr defaultRowHeight="10.5" x14ac:dyDescent="0.15"/>
  <cols>
    <col min="1" max="1" width="4.7109375" style="2" customWidth="1"/>
    <col min="2" max="2" width="24.7109375" style="2" customWidth="1"/>
    <col min="3" max="3" width="9.42578125" style="6" bestFit="1" customWidth="1"/>
    <col min="4" max="4" width="3.7109375" style="2" customWidth="1"/>
    <col min="5" max="5" width="24.7109375" style="2" customWidth="1"/>
    <col min="6" max="6" width="10.7109375" style="6" customWidth="1"/>
    <col min="7" max="7" width="8.7109375" style="12" customWidth="1"/>
    <col min="8" max="8" width="3.7109375" style="2" customWidth="1"/>
    <col min="9" max="11" width="9.140625" style="6"/>
    <col min="12" max="12" width="3.7109375" style="2" customWidth="1"/>
    <col min="13" max="13" width="24.7109375" style="2" customWidth="1"/>
    <col min="14" max="14" width="10.7109375" style="6" customWidth="1"/>
    <col min="15" max="15" width="8.7109375" style="12" customWidth="1"/>
    <col min="16" max="16384" width="9.140625" style="2"/>
  </cols>
  <sheetData>
    <row r="1" spans="1:15" s="9" customFormat="1" x14ac:dyDescent="0.15">
      <c r="A1" s="19" t="s">
        <v>1</v>
      </c>
      <c r="B1" s="19" t="s">
        <v>52</v>
      </c>
      <c r="C1" s="20" t="s">
        <v>2</v>
      </c>
      <c r="E1" s="15" t="s">
        <v>4</v>
      </c>
      <c r="F1" s="17" t="s">
        <v>2</v>
      </c>
      <c r="G1" s="18" t="s">
        <v>53</v>
      </c>
      <c r="I1" s="21" t="s">
        <v>54</v>
      </c>
      <c r="J1" s="21" t="s">
        <v>55</v>
      </c>
      <c r="K1" s="21" t="s">
        <v>56</v>
      </c>
      <c r="M1" s="15" t="s">
        <v>61</v>
      </c>
      <c r="N1" s="17" t="s">
        <v>2</v>
      </c>
      <c r="O1" s="18" t="s">
        <v>53</v>
      </c>
    </row>
    <row r="2" spans="1:15" x14ac:dyDescent="0.15">
      <c r="A2" s="2">
        <v>1</v>
      </c>
      <c r="B2" s="11" t="s">
        <v>67</v>
      </c>
      <c r="C2" s="6">
        <v>1000</v>
      </c>
      <c r="E2" s="11" t="s">
        <v>17</v>
      </c>
      <c r="F2" s="6">
        <f>SUMIF($B$2:$B$500,"Аптека",$C$2:$C$500)</f>
        <v>100</v>
      </c>
      <c r="G2" s="12">
        <f t="shared" ref="G2:G36" si="0">(F2/$J$2)</f>
        <v>3.7453183520599252E-2</v>
      </c>
      <c r="I2" s="6">
        <f>SUM(Доходы!B7)</f>
        <v>0</v>
      </c>
      <c r="J2" s="6">
        <f>SUM(C2:C500)</f>
        <v>2670</v>
      </c>
      <c r="K2" s="6">
        <f>I2-J2</f>
        <v>-2670</v>
      </c>
      <c r="M2" s="25" t="str">
        <f>INDEX(Категория_расхода,MATCH(LARGE((Доля),ROW(A1)),Доля,0))</f>
        <v>Интернет</v>
      </c>
      <c r="N2" s="26">
        <f>SUMIF(Категория_расхода,$M2,Сумма)</f>
        <v>1500</v>
      </c>
      <c r="O2" s="12">
        <f>SUMIF(Категория_расхода,$M2,Доля)</f>
        <v>0.5617977528089888</v>
      </c>
    </row>
    <row r="3" spans="1:15" x14ac:dyDescent="0.15">
      <c r="A3" s="2">
        <v>1</v>
      </c>
      <c r="B3" s="11" t="s">
        <v>17</v>
      </c>
      <c r="C3" s="6">
        <v>100</v>
      </c>
      <c r="E3" s="11" t="s">
        <v>59</v>
      </c>
      <c r="F3" s="6">
        <f>SUMIF($B$2:$B$500,"Благотворительность",$C$2:$C$500)</f>
        <v>50</v>
      </c>
      <c r="G3" s="12">
        <f t="shared" si="0"/>
        <v>1.8726591760299626E-2</v>
      </c>
      <c r="M3" s="25" t="str">
        <f>INDEX(Категория_расхода,MATCH(LARGE((Доля),ROW(A2)),Доля,0))</f>
        <v>ЖКХ - ЕРКЦ</v>
      </c>
      <c r="N3" s="26">
        <f>SUMIF(Категория_расхода,$M3,Сумма)</f>
        <v>1000</v>
      </c>
      <c r="O3" s="12">
        <f>SUMIF(Категория_расхода,$M3,Доля)</f>
        <v>0.37453183520599254</v>
      </c>
    </row>
    <row r="4" spans="1:15" x14ac:dyDescent="0.15">
      <c r="B4" s="11" t="s">
        <v>18</v>
      </c>
      <c r="C4" s="6">
        <v>20</v>
      </c>
      <c r="E4" s="11" t="s">
        <v>18</v>
      </c>
      <c r="F4" s="6">
        <f>SUMIF($B$2:$B$500,"Бытовая химия",$C$2:$C$500)</f>
        <v>20</v>
      </c>
      <c r="G4" s="12">
        <f t="shared" si="0"/>
        <v>7.4906367041198503E-3</v>
      </c>
      <c r="M4" s="25" t="str">
        <f>INDEX(Категория_расхода,MATCH(LARGE((Доля),ROW(A3)),Доля,0))</f>
        <v>Аптека</v>
      </c>
      <c r="N4" s="26">
        <f>SUMIF(Категория_расхода,$M4,Сумма)</f>
        <v>100</v>
      </c>
      <c r="O4" s="12">
        <f>SUMIF(Категория_расхода,$M4,Доля)</f>
        <v>3.7453183520599252E-2</v>
      </c>
    </row>
    <row r="5" spans="1:15" x14ac:dyDescent="0.15">
      <c r="B5" s="11" t="s">
        <v>59</v>
      </c>
      <c r="C5" s="6">
        <v>50</v>
      </c>
      <c r="E5" s="11" t="s">
        <v>67</v>
      </c>
      <c r="F5" s="6">
        <f>SUMIF($B$2:$B$500,"ЖКХ - ЕРКЦ",$C$2:$C$500)</f>
        <v>1000</v>
      </c>
      <c r="G5" s="12">
        <f t="shared" si="0"/>
        <v>0.37453183520599254</v>
      </c>
      <c r="M5" s="25" t="str">
        <f>INDEX(Категория_расхода,MATCH(LARGE((Доля),ROW(A4)),Доля,0))</f>
        <v>Благотворительность</v>
      </c>
      <c r="N5" s="26">
        <f>SUMIF(Категория_расхода,$M5,Сумма)</f>
        <v>50</v>
      </c>
      <c r="O5" s="12">
        <f>SUMIF(Категория_расхода,$M5,Доля)</f>
        <v>1.8726591760299626E-2</v>
      </c>
    </row>
    <row r="6" spans="1:15" x14ac:dyDescent="0.15">
      <c r="B6" s="11" t="s">
        <v>19</v>
      </c>
      <c r="C6" s="6">
        <v>1500</v>
      </c>
      <c r="E6" s="11" t="s">
        <v>68</v>
      </c>
      <c r="F6" s="6">
        <f>SUMIF($B$2:$B$500,"ЖКХ - Окская 13 - УК",$C$2:$C$500)</f>
        <v>0</v>
      </c>
      <c r="G6" s="12">
        <f t="shared" si="0"/>
        <v>0</v>
      </c>
      <c r="M6" s="25" t="str">
        <f>INDEX(Категория_расхода,MATCH(LARGE((Доля),ROW(A5)),Доля,0))</f>
        <v>Бытовая химия</v>
      </c>
      <c r="N6" s="26">
        <f>SUMIF(Категория_расхода,$M6,Сумма)</f>
        <v>20</v>
      </c>
      <c r="O6" s="12">
        <f>SUMIF(Категория_расхода,$M6,Доля)</f>
        <v>7.4906367041198503E-3</v>
      </c>
    </row>
    <row r="7" spans="1:15" x14ac:dyDescent="0.15">
      <c r="B7" s="11"/>
      <c r="E7" s="11" t="s">
        <v>19</v>
      </c>
      <c r="F7" s="6">
        <f>SUMIF($B$2:$B$500,"Интернет",$C$2:$C$500)</f>
        <v>1500</v>
      </c>
      <c r="G7" s="12">
        <f t="shared" si="0"/>
        <v>0.5617977528089888</v>
      </c>
      <c r="M7" s="25" t="str">
        <f>INDEX(Категория_расхода,MATCH(LARGE((Доля),ROW(A6)),Доля,0))</f>
        <v>ЖКХ - УК</v>
      </c>
      <c r="N7" s="26">
        <f>SUMIF(Категория_расхода,$M7,Сумма)</f>
        <v>0</v>
      </c>
      <c r="O7" s="12">
        <f>SUMIF(Категория_расхода,$M7,Доля)</f>
        <v>0</v>
      </c>
    </row>
    <row r="8" spans="1:15" x14ac:dyDescent="0.15">
      <c r="B8" s="11"/>
      <c r="E8" s="11" t="s">
        <v>20</v>
      </c>
      <c r="F8" s="6">
        <f>SUMIF($B$2:$B$500,"Косметика",$C$2:$C$500)</f>
        <v>0</v>
      </c>
      <c r="G8" s="12">
        <f t="shared" si="0"/>
        <v>0</v>
      </c>
      <c r="M8" s="25" t="str">
        <f>INDEX(Категория_расхода,MATCH(LARGE((Доля),ROW(A7)),Доля,0))</f>
        <v>ЖКХ - УК</v>
      </c>
      <c r="N8" s="26">
        <f>SUMIF(Категория_расхода,$M8,Сумма)</f>
        <v>0</v>
      </c>
      <c r="O8" s="12">
        <f>SUMIF(Категория_расхода,$M8,Доля)</f>
        <v>0</v>
      </c>
    </row>
    <row r="9" spans="1:15" x14ac:dyDescent="0.15">
      <c r="B9" s="11"/>
      <c r="E9" s="11" t="s">
        <v>21</v>
      </c>
      <c r="F9" s="6">
        <f>SUMIF($B$2:$B$500,"Медицина - Услуги",$C$2:$C$500)</f>
        <v>0</v>
      </c>
      <c r="G9" s="12">
        <f t="shared" si="0"/>
        <v>0</v>
      </c>
      <c r="M9" s="25" t="str">
        <f>INDEX(Категория_расхода,MATCH(LARGE((Доля),ROW(A8)),Доля,0))</f>
        <v>ЖКХ - УК</v>
      </c>
      <c r="N9" s="26">
        <f>SUMIF(Категория_расхода,$M9,Сумма)</f>
        <v>0</v>
      </c>
      <c r="O9" s="12">
        <f>SUMIF(Категория_расхода,$M9,Доля)</f>
        <v>0</v>
      </c>
    </row>
    <row r="10" spans="1:15" x14ac:dyDescent="0.15">
      <c r="B10" s="11"/>
      <c r="E10" s="11" t="s">
        <v>60</v>
      </c>
      <c r="F10" s="6">
        <f>SUMIF($B$2:$B$500,"Налоги",$C$2:$C$500)</f>
        <v>0</v>
      </c>
      <c r="G10" s="12">
        <f t="shared" si="0"/>
        <v>0</v>
      </c>
      <c r="M10" s="15" t="s">
        <v>62</v>
      </c>
      <c r="N10" s="17" t="s">
        <v>2</v>
      </c>
      <c r="O10" s="18" t="s">
        <v>53</v>
      </c>
    </row>
    <row r="11" spans="1:15" x14ac:dyDescent="0.15">
      <c r="B11" s="11"/>
      <c r="E11" s="11" t="s">
        <v>22</v>
      </c>
      <c r="F11" s="6">
        <f>SUMIF($B$2:$B$500,"Одежда и обувь",$C$2:$C$500)</f>
        <v>0</v>
      </c>
      <c r="G11" s="12">
        <f t="shared" si="0"/>
        <v>0</v>
      </c>
      <c r="M11" s="11"/>
    </row>
    <row r="12" spans="1:15" x14ac:dyDescent="0.15">
      <c r="B12" s="11"/>
      <c r="E12" s="11" t="s">
        <v>23</v>
      </c>
      <c r="F12" s="6">
        <f>SUMIF($B$2:$B$500,"Парикмахерская",$C$2:$C$500)</f>
        <v>0</v>
      </c>
      <c r="G12" s="12">
        <f t="shared" si="0"/>
        <v>0</v>
      </c>
      <c r="M12" s="11"/>
    </row>
    <row r="13" spans="1:15" x14ac:dyDescent="0.15">
      <c r="B13" s="11"/>
      <c r="E13" s="11" t="s">
        <v>24</v>
      </c>
      <c r="F13" s="6">
        <f>SUMIF($B$2:$B$500,"Подарки",$C$2:$C$500)</f>
        <v>0</v>
      </c>
      <c r="G13" s="12">
        <f t="shared" si="0"/>
        <v>0</v>
      </c>
      <c r="M13" s="11"/>
    </row>
    <row r="14" spans="1:15" x14ac:dyDescent="0.15">
      <c r="B14" s="11"/>
      <c r="E14" s="11" t="s">
        <v>25</v>
      </c>
      <c r="F14" s="6">
        <f>SUMIF($B$2:$B$500,"Продукты - Алкоголь",$C$2:$C$500)</f>
        <v>0</v>
      </c>
      <c r="G14" s="12">
        <f t="shared" si="0"/>
        <v>0</v>
      </c>
      <c r="M14" s="11"/>
    </row>
    <row r="15" spans="1:15" x14ac:dyDescent="0.15">
      <c r="B15" s="11"/>
      <c r="E15" s="11" t="s">
        <v>26</v>
      </c>
      <c r="F15" s="6">
        <f>SUMIF($B$2:$B$500,"Продукты - Другие",$C$2:$C$500)</f>
        <v>0</v>
      </c>
      <c r="G15" s="12">
        <f t="shared" si="0"/>
        <v>0</v>
      </c>
      <c r="M15" s="11"/>
    </row>
    <row r="16" spans="1:15" x14ac:dyDescent="0.15">
      <c r="B16" s="11"/>
      <c r="E16" s="11" t="s">
        <v>27</v>
      </c>
      <c r="F16" s="6">
        <f>SUMIF($B$2:$B$500,"Продукты - Консервация",$C$2:$C$500)</f>
        <v>0</v>
      </c>
      <c r="G16" s="12">
        <f t="shared" si="0"/>
        <v>0</v>
      </c>
      <c r="M16" s="11"/>
    </row>
    <row r="17" spans="2:13" x14ac:dyDescent="0.15">
      <c r="B17" s="11"/>
      <c r="E17" s="11" t="s">
        <v>28</v>
      </c>
      <c r="F17" s="6">
        <f>SUMIF($B$2:$B$500,"Продукты - Крупы и макароны",$C$2:$C$500)</f>
        <v>0</v>
      </c>
      <c r="G17" s="12">
        <f t="shared" si="0"/>
        <v>0</v>
      </c>
      <c r="M17" s="11"/>
    </row>
    <row r="18" spans="2:13" x14ac:dyDescent="0.15">
      <c r="B18" s="11"/>
      <c r="E18" s="11" t="s">
        <v>29</v>
      </c>
      <c r="F18" s="6">
        <f>SUMIF($B$2:$B$500,"Продукты - Молочные",$C$2:$C$500)</f>
        <v>0</v>
      </c>
      <c r="G18" s="12">
        <f t="shared" si="0"/>
        <v>0</v>
      </c>
      <c r="M18" s="11"/>
    </row>
    <row r="19" spans="2:13" x14ac:dyDescent="0.15">
      <c r="B19" s="11"/>
      <c r="E19" s="11" t="s">
        <v>30</v>
      </c>
      <c r="F19" s="6">
        <f>SUMIF($B$2:$B$500,"Продукты - Мясо и птица",$C$2:$C$500)</f>
        <v>0</v>
      </c>
      <c r="G19" s="12">
        <f t="shared" si="0"/>
        <v>0</v>
      </c>
      <c r="M19" s="11"/>
    </row>
    <row r="20" spans="2:13" x14ac:dyDescent="0.15">
      <c r="B20" s="11"/>
      <c r="E20" s="11" t="s">
        <v>31</v>
      </c>
      <c r="F20" s="6">
        <f>SUMIF($B$2:$B$500,"Продукты - Овощи",$C$2:$C$500)</f>
        <v>0</v>
      </c>
      <c r="G20" s="12">
        <f t="shared" si="0"/>
        <v>0</v>
      </c>
      <c r="M20" s="11"/>
    </row>
    <row r="21" spans="2:13" x14ac:dyDescent="0.15">
      <c r="B21" s="11"/>
      <c r="E21" s="11" t="s">
        <v>32</v>
      </c>
      <c r="F21" s="6">
        <f>SUMIF($B$2:$B$500,"Продукты - Орехи и сухофрукты",$C$2:$C$500)</f>
        <v>0</v>
      </c>
      <c r="G21" s="12">
        <f t="shared" si="0"/>
        <v>0</v>
      </c>
    </row>
    <row r="22" spans="2:13" x14ac:dyDescent="0.15">
      <c r="B22" s="11"/>
      <c r="E22" s="11" t="s">
        <v>33</v>
      </c>
      <c r="F22" s="6">
        <f>SUMIF($B$2:$B$500,"Продукты - Рыба",$C$2:$C$500)</f>
        <v>0</v>
      </c>
      <c r="G22" s="12">
        <f t="shared" si="0"/>
        <v>0</v>
      </c>
      <c r="M22" s="25"/>
    </row>
    <row r="23" spans="2:13" x14ac:dyDescent="0.15">
      <c r="B23" s="11"/>
      <c r="E23" s="11" t="s">
        <v>34</v>
      </c>
      <c r="F23" s="6">
        <f>SUMIF($B$2:$B$500,"Продукты - Сладости",$C$2:$C$500)</f>
        <v>0</v>
      </c>
      <c r="G23" s="12">
        <f t="shared" si="0"/>
        <v>0</v>
      </c>
      <c r="M23" s="25"/>
    </row>
    <row r="24" spans="2:13" x14ac:dyDescent="0.15">
      <c r="B24" s="11"/>
      <c r="E24" s="11" t="s">
        <v>35</v>
      </c>
      <c r="F24" s="6">
        <f>SUMIF($B$2:$B$500,"Продукты - Сыр",$C$2:$C$500)</f>
        <v>0</v>
      </c>
      <c r="G24" s="12">
        <f t="shared" si="0"/>
        <v>0</v>
      </c>
      <c r="M24" s="25"/>
    </row>
    <row r="25" spans="2:13" x14ac:dyDescent="0.15">
      <c r="B25" s="11"/>
      <c r="E25" s="11" t="s">
        <v>36</v>
      </c>
      <c r="F25" s="6">
        <f>SUMIF($B$2:$B$500,"Продукты - Фрукты",$C$2:$C$500)</f>
        <v>0</v>
      </c>
      <c r="G25" s="12">
        <f t="shared" si="0"/>
        <v>0</v>
      </c>
      <c r="M25" s="25"/>
    </row>
    <row r="26" spans="2:13" x14ac:dyDescent="0.15">
      <c r="B26" s="11"/>
      <c r="E26" s="11" t="s">
        <v>37</v>
      </c>
      <c r="F26" s="6">
        <f>SUMIF($B$2:$B$500,"Продукты - Чай, кофе, напитки",$C$2:$C$500)</f>
        <v>0</v>
      </c>
      <c r="G26" s="12">
        <f t="shared" si="0"/>
        <v>0</v>
      </c>
      <c r="M26" s="25"/>
    </row>
    <row r="27" spans="2:13" x14ac:dyDescent="0.15">
      <c r="B27" s="11"/>
      <c r="E27" s="11" t="s">
        <v>38</v>
      </c>
      <c r="F27" s="6">
        <f>SUMIF($B$2:$B$500,"Развлечения - Другое",$C$2:$C$500)</f>
        <v>0</v>
      </c>
      <c r="G27" s="12">
        <f t="shared" si="0"/>
        <v>0</v>
      </c>
      <c r="M27" s="25"/>
    </row>
    <row r="28" spans="2:13" x14ac:dyDescent="0.15">
      <c r="B28" s="11"/>
      <c r="E28" s="11" t="s">
        <v>39</v>
      </c>
      <c r="F28" s="6">
        <f>SUMIF($B$2:$B$500,"Развлечения - Кафе",$C$2:$C$500)</f>
        <v>0</v>
      </c>
      <c r="G28" s="12">
        <f t="shared" si="0"/>
        <v>0</v>
      </c>
      <c r="M28" s="11"/>
    </row>
    <row r="29" spans="2:13" x14ac:dyDescent="0.15">
      <c r="B29" s="11"/>
      <c r="E29" s="11" t="s">
        <v>40</v>
      </c>
      <c r="F29" s="6">
        <f>SUMIF($B$2:$B$500,"Развлечения - Кино",$C$2:$C$500)</f>
        <v>0</v>
      </c>
      <c r="G29" s="12">
        <f t="shared" si="0"/>
        <v>0</v>
      </c>
      <c r="M29" s="11"/>
    </row>
    <row r="30" spans="2:13" x14ac:dyDescent="0.15">
      <c r="B30" s="11"/>
      <c r="E30" s="11" t="s">
        <v>41</v>
      </c>
      <c r="F30" s="6">
        <f>SUMIF($B$2:$B$500,"Развлечения - Театр",$C$2:$C$500)</f>
        <v>0</v>
      </c>
      <c r="G30" s="12">
        <f t="shared" si="0"/>
        <v>0</v>
      </c>
      <c r="M30" s="11"/>
    </row>
    <row r="31" spans="2:13" x14ac:dyDescent="0.15">
      <c r="B31" s="11"/>
      <c r="E31" s="11" t="s">
        <v>42</v>
      </c>
      <c r="F31" s="6">
        <f>SUMIF($B$2:$B$500,"Сотовая связь",$C$2:$C$500)</f>
        <v>0</v>
      </c>
      <c r="G31" s="12">
        <f t="shared" si="0"/>
        <v>0</v>
      </c>
      <c r="M31" s="11"/>
    </row>
    <row r="32" spans="2:13" x14ac:dyDescent="0.15">
      <c r="B32" s="11"/>
      <c r="E32" s="11" t="s">
        <v>43</v>
      </c>
      <c r="F32" s="6">
        <f>SUMIF($B$2:$B$500,"Техника и электроника",$C$2:$C$500)</f>
        <v>0</v>
      </c>
      <c r="G32" s="12">
        <f t="shared" si="0"/>
        <v>0</v>
      </c>
      <c r="M32" s="11"/>
    </row>
    <row r="33" spans="2:13" x14ac:dyDescent="0.15">
      <c r="B33" s="11"/>
      <c r="E33" s="11" t="s">
        <v>44</v>
      </c>
      <c r="F33" s="6">
        <f>SUMIF($B$2:$B$500,"Товары для дома",$C$2:$C$500)</f>
        <v>0</v>
      </c>
      <c r="G33" s="12">
        <f t="shared" si="0"/>
        <v>0</v>
      </c>
      <c r="M33" s="11"/>
    </row>
    <row r="34" spans="2:13" x14ac:dyDescent="0.15">
      <c r="B34" s="11"/>
      <c r="E34" s="11" t="s">
        <v>45</v>
      </c>
      <c r="F34" s="6">
        <f>SUMIF($B$2:$B$500,"Транспорт - Не работа",$C$2:$C$500)</f>
        <v>0</v>
      </c>
      <c r="G34" s="12">
        <f t="shared" si="0"/>
        <v>0</v>
      </c>
      <c r="M34" s="11"/>
    </row>
    <row r="35" spans="2:13" x14ac:dyDescent="0.15">
      <c r="B35" s="11"/>
      <c r="E35" s="11" t="s">
        <v>46</v>
      </c>
      <c r="F35" s="6">
        <f>SUMIF($B$2:$B$500,"Транспорт - Работа",$C$2:$C$500)</f>
        <v>0</v>
      </c>
      <c r="G35" s="12">
        <f t="shared" si="0"/>
        <v>0</v>
      </c>
      <c r="M35" s="11"/>
    </row>
    <row r="36" spans="2:13" x14ac:dyDescent="0.15">
      <c r="B36" s="11"/>
      <c r="E36" s="11" t="s">
        <v>47</v>
      </c>
      <c r="F36" s="6">
        <f>SUMIF($B$2:$B$500,"Хобби",$C$2:$C$500)</f>
        <v>0</v>
      </c>
      <c r="G36" s="12">
        <f t="shared" si="0"/>
        <v>0</v>
      </c>
      <c r="M36" s="11"/>
    </row>
    <row r="37" spans="2:13" x14ac:dyDescent="0.15">
      <c r="M37" s="11"/>
    </row>
  </sheetData>
  <sortState ref="E2:G36">
    <sortCondition ref="E2"/>
  </sortState>
  <conditionalFormatting sqref="M2:M9">
    <cfRule type="expression" dxfId="3" priority="2">
      <formula>COUNTIF($M$2:M2,M2)&lt;&gt;1</formula>
    </cfRule>
  </conditionalFormatting>
  <conditionalFormatting sqref="N2:O9">
    <cfRule type="expression" dxfId="1" priority="1">
      <formula>COUNTIF($M$2:N2,N2)&lt;&gt;1</formula>
    </cfRule>
  </conditionalFormatting>
  <dataValidations count="1">
    <dataValidation type="list" allowBlank="1" showInputMessage="1" showErrorMessage="1" sqref="B2:B36">
      <formula1>Категория_расхода</formula1>
    </dataValidation>
  </dataValidations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3</vt:i4>
      </vt:variant>
    </vt:vector>
  </HeadingPairs>
  <TitlesOfParts>
    <vt:vector size="8" baseType="lpstr">
      <vt:lpstr>Долги</vt:lpstr>
      <vt:lpstr>Расходы</vt:lpstr>
      <vt:lpstr>Доходы</vt:lpstr>
      <vt:lpstr>Общая статистика</vt:lpstr>
      <vt:lpstr>Январь</vt:lpstr>
      <vt:lpstr>Доля</vt:lpstr>
      <vt:lpstr>Категория_расхода</vt:lpstr>
      <vt:lpstr>Сумма</vt:lpstr>
    </vt:vector>
  </TitlesOfParts>
  <Company>Reanimator Extreme Edition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Kacca Автозавод</dc:creator>
  <cp:lastModifiedBy>Ракитин И.О.</cp:lastModifiedBy>
  <cp:revision/>
  <cp:lastPrinted>2019-12-21T20:55:48Z</cp:lastPrinted>
  <dcterms:created xsi:type="dcterms:W3CDTF">2019-12-16T08:12:13Z</dcterms:created>
  <dcterms:modified xsi:type="dcterms:W3CDTF">2019-12-24T10:20:01Z</dcterms:modified>
</cp:coreProperties>
</file>