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FDCB5B1C-25E0-4CB7-84C3-7A4330537B2F}" xr6:coauthVersionLast="45" xr6:coauthVersionMax="45" xr10:uidLastSave="{00000000-0000-0000-0000-000000000000}"/>
  <bookViews>
    <workbookView xWindow="-120" yWindow="-120" windowWidth="29040" windowHeight="15990" activeTab="1" xr2:uid="{0D1159D5-8C9B-4A21-A36B-6E3207B9FA66}"/>
  </bookViews>
  <sheets>
    <sheet name="Справочник" sheetId="1" r:id="rId1"/>
    <sheet name="Лист1" sheetId="6" r:id="rId2"/>
    <sheet name="Склад" sheetId="5" r:id="rId3"/>
    <sheet name="Сентябрь" sheetId="2" r:id="rId4"/>
    <sheet name="Октябрь" sheetId="3" r:id="rId5"/>
    <sheet name="Ноябрь" sheetId="4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" l="1"/>
  <c r="D5" i="6"/>
  <c r="D6" i="6"/>
  <c r="D7" i="6"/>
  <c r="D8" i="6"/>
  <c r="D9" i="6"/>
  <c r="D10" i="6"/>
  <c r="D11" i="6"/>
  <c r="D3" i="6"/>
  <c r="C3" i="6"/>
  <c r="C4" i="6"/>
  <c r="C5" i="6"/>
  <c r="C6" i="6"/>
  <c r="C7" i="6"/>
  <c r="C8" i="6"/>
  <c r="C9" i="6"/>
  <c r="C10" i="6"/>
  <c r="C11" i="6"/>
  <c r="B4" i="6"/>
  <c r="B5" i="6"/>
  <c r="B6" i="6"/>
  <c r="B7" i="6"/>
  <c r="B8" i="6"/>
  <c r="B9" i="6"/>
  <c r="B10" i="6"/>
  <c r="B11" i="6"/>
  <c r="B3" i="6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" i="5"/>
  <c r="E27" i="5"/>
  <c r="K4" i="2"/>
  <c r="K5" i="2"/>
  <c r="K6" i="2"/>
  <c r="K7" i="2"/>
  <c r="K8" i="2"/>
  <c r="K9" i="2"/>
  <c r="K10" i="2"/>
  <c r="K11" i="2"/>
  <c r="K12" i="2"/>
  <c r="K3" i="2"/>
  <c r="J3" i="2"/>
  <c r="J4" i="2"/>
  <c r="J5" i="2"/>
  <c r="J6" i="2"/>
  <c r="J7" i="2"/>
  <c r="J8" i="2"/>
  <c r="J9" i="2"/>
  <c r="J10" i="2"/>
  <c r="J11" i="2"/>
  <c r="J12" i="2"/>
  <c r="F3" i="2" l="1"/>
  <c r="A2" i="5" l="1"/>
  <c r="I2" i="5" s="1"/>
  <c r="A3" i="5"/>
  <c r="I3" i="5" s="1"/>
  <c r="A27" i="5"/>
  <c r="B27" i="5" s="1"/>
  <c r="A4" i="5"/>
  <c r="C4" i="5" s="1"/>
  <c r="A5" i="5"/>
  <c r="C5" i="5" s="1"/>
  <c r="A6" i="5"/>
  <c r="C6" i="5" s="1"/>
  <c r="A7" i="5"/>
  <c r="C7" i="5" s="1"/>
  <c r="A8" i="5"/>
  <c r="C8" i="5" s="1"/>
  <c r="A9" i="5"/>
  <c r="C9" i="5" s="1"/>
  <c r="A10" i="5"/>
  <c r="C10" i="5" s="1"/>
  <c r="A11" i="5"/>
  <c r="C11" i="5" s="1"/>
  <c r="A12" i="5"/>
  <c r="C12" i="5" s="1"/>
  <c r="A13" i="5"/>
  <c r="C13" i="5" s="1"/>
  <c r="A14" i="5"/>
  <c r="C14" i="5" s="1"/>
  <c r="A15" i="5"/>
  <c r="C15" i="5" s="1"/>
  <c r="A16" i="5"/>
  <c r="C16" i="5" s="1"/>
  <c r="A17" i="5"/>
  <c r="C17" i="5" s="1"/>
  <c r="A18" i="5"/>
  <c r="C18" i="5" s="1"/>
  <c r="A19" i="5"/>
  <c r="C19" i="5" s="1"/>
  <c r="A20" i="5"/>
  <c r="C20" i="5" s="1"/>
  <c r="A21" i="5"/>
  <c r="C21" i="5" s="1"/>
  <c r="A22" i="5"/>
  <c r="C22" i="5" s="1"/>
  <c r="A23" i="5"/>
  <c r="C23" i="5" s="1"/>
  <c r="A24" i="5"/>
  <c r="C24" i="5" s="1"/>
  <c r="A25" i="5"/>
  <c r="C25" i="5" s="1"/>
  <c r="A26" i="5"/>
  <c r="C26" i="5" s="1"/>
  <c r="F26" i="5" l="1"/>
  <c r="F22" i="5"/>
  <c r="F18" i="5"/>
  <c r="F14" i="5"/>
  <c r="F10" i="5"/>
  <c r="F6" i="5"/>
  <c r="C2" i="5"/>
  <c r="G25" i="5"/>
  <c r="G21" i="5"/>
  <c r="G17" i="5"/>
  <c r="G13" i="5"/>
  <c r="G9" i="5"/>
  <c r="G5" i="5"/>
  <c r="I26" i="5"/>
  <c r="I22" i="5"/>
  <c r="I18" i="5"/>
  <c r="I14" i="5"/>
  <c r="I10" i="5"/>
  <c r="I6" i="5"/>
  <c r="B2" i="5"/>
  <c r="F25" i="5"/>
  <c r="F21" i="5"/>
  <c r="F17" i="5"/>
  <c r="F13" i="5"/>
  <c r="F9" i="5"/>
  <c r="F5" i="5"/>
  <c r="G2" i="5"/>
  <c r="G24" i="5"/>
  <c r="G20" i="5"/>
  <c r="G16" i="5"/>
  <c r="G12" i="5"/>
  <c r="G8" i="5"/>
  <c r="G4" i="5"/>
  <c r="I25" i="5"/>
  <c r="I21" i="5"/>
  <c r="I17" i="5"/>
  <c r="I13" i="5"/>
  <c r="I9" i="5"/>
  <c r="I5" i="5"/>
  <c r="B3" i="5"/>
  <c r="F2" i="5"/>
  <c r="F24" i="5"/>
  <c r="F20" i="5"/>
  <c r="F16" i="5"/>
  <c r="F12" i="5"/>
  <c r="F8" i="5"/>
  <c r="F4" i="5"/>
  <c r="G27" i="5"/>
  <c r="G23" i="5"/>
  <c r="G19" i="5"/>
  <c r="G15" i="5"/>
  <c r="G11" i="5"/>
  <c r="G7" i="5"/>
  <c r="G3" i="5"/>
  <c r="I24" i="5"/>
  <c r="I20" i="5"/>
  <c r="I16" i="5"/>
  <c r="I12" i="5"/>
  <c r="I8" i="5"/>
  <c r="I4" i="5"/>
  <c r="F27" i="5"/>
  <c r="F23" i="5"/>
  <c r="F19" i="5"/>
  <c r="F15" i="5"/>
  <c r="F11" i="5"/>
  <c r="F7" i="5"/>
  <c r="F3" i="5"/>
  <c r="G26" i="5"/>
  <c r="G22" i="5"/>
  <c r="G18" i="5"/>
  <c r="G14" i="5"/>
  <c r="G10" i="5"/>
  <c r="G6" i="5"/>
  <c r="I27" i="5"/>
  <c r="I23" i="5"/>
  <c r="I19" i="5"/>
  <c r="I15" i="5"/>
  <c r="I11" i="5"/>
  <c r="I7" i="5"/>
  <c r="C3" i="5"/>
  <c r="B23" i="5"/>
  <c r="D23" i="5" s="1"/>
  <c r="B11" i="5"/>
  <c r="D11" i="5" s="1"/>
  <c r="C27" i="5"/>
  <c r="D27" i="5" s="1"/>
  <c r="B26" i="5"/>
  <c r="D26" i="5" s="1"/>
  <c r="B22" i="5"/>
  <c r="D22" i="5" s="1"/>
  <c r="B18" i="5"/>
  <c r="D18" i="5" s="1"/>
  <c r="B14" i="5"/>
  <c r="D14" i="5" s="1"/>
  <c r="B10" i="5"/>
  <c r="D10" i="5" s="1"/>
  <c r="B6" i="5"/>
  <c r="D6" i="5" s="1"/>
  <c r="B15" i="5"/>
  <c r="D15" i="5" s="1"/>
  <c r="B25" i="5"/>
  <c r="D25" i="5" s="1"/>
  <c r="B21" i="5"/>
  <c r="D21" i="5" s="1"/>
  <c r="B17" i="5"/>
  <c r="D17" i="5" s="1"/>
  <c r="B13" i="5"/>
  <c r="D13" i="5" s="1"/>
  <c r="B9" i="5"/>
  <c r="D9" i="5" s="1"/>
  <c r="B5" i="5"/>
  <c r="D5" i="5" s="1"/>
  <c r="B19" i="5"/>
  <c r="D19" i="5" s="1"/>
  <c r="B7" i="5"/>
  <c r="D7" i="5" s="1"/>
  <c r="B24" i="5"/>
  <c r="D24" i="5" s="1"/>
  <c r="B20" i="5"/>
  <c r="D20" i="5" s="1"/>
  <c r="B16" i="5"/>
  <c r="D16" i="5" s="1"/>
  <c r="B12" i="5"/>
  <c r="D12" i="5" s="1"/>
  <c r="B8" i="5"/>
  <c r="D8" i="5" s="1"/>
  <c r="B4" i="5"/>
  <c r="D4" i="5" s="1"/>
  <c r="K12" i="3"/>
  <c r="L12" i="3" s="1"/>
  <c r="J12" i="3"/>
  <c r="I12" i="3"/>
  <c r="F12" i="3"/>
  <c r="K11" i="3"/>
  <c r="L11" i="3" s="1"/>
  <c r="J11" i="3"/>
  <c r="I11" i="3"/>
  <c r="F11" i="3"/>
  <c r="K10" i="3"/>
  <c r="L10" i="3" s="1"/>
  <c r="J10" i="3"/>
  <c r="I10" i="3"/>
  <c r="F10" i="3"/>
  <c r="K9" i="3"/>
  <c r="L9" i="3" s="1"/>
  <c r="J9" i="3"/>
  <c r="I9" i="3"/>
  <c r="F9" i="3"/>
  <c r="K8" i="3"/>
  <c r="L8" i="3" s="1"/>
  <c r="J8" i="3"/>
  <c r="I8" i="3"/>
  <c r="F8" i="3"/>
  <c r="K7" i="3"/>
  <c r="L7" i="3" s="1"/>
  <c r="J7" i="3"/>
  <c r="I7" i="3"/>
  <c r="F7" i="3"/>
  <c r="K6" i="3"/>
  <c r="L6" i="3" s="1"/>
  <c r="J6" i="3"/>
  <c r="I6" i="3"/>
  <c r="F6" i="3"/>
  <c r="K5" i="3"/>
  <c r="L5" i="3" s="1"/>
  <c r="J5" i="3"/>
  <c r="I5" i="3"/>
  <c r="F5" i="3"/>
  <c r="K4" i="3"/>
  <c r="L4" i="3" s="1"/>
  <c r="J4" i="3"/>
  <c r="I4" i="3"/>
  <c r="F4" i="3"/>
  <c r="K3" i="3"/>
  <c r="L3" i="3" s="1"/>
  <c r="J3" i="3"/>
  <c r="I3" i="3"/>
  <c r="F3" i="3"/>
  <c r="L4" i="2"/>
  <c r="L5" i="2"/>
  <c r="L6" i="2"/>
  <c r="L7" i="2"/>
  <c r="L8" i="2"/>
  <c r="L9" i="2"/>
  <c r="L10" i="2"/>
  <c r="L11" i="2"/>
  <c r="L12" i="2"/>
  <c r="I4" i="2"/>
  <c r="I5" i="2"/>
  <c r="I6" i="2"/>
  <c r="I7" i="2"/>
  <c r="I8" i="2"/>
  <c r="I9" i="2"/>
  <c r="I10" i="2"/>
  <c r="I11" i="2"/>
  <c r="I12" i="2"/>
  <c r="F4" i="2"/>
  <c r="F5" i="2"/>
  <c r="F6" i="2"/>
  <c r="F7" i="2"/>
  <c r="F8" i="2"/>
  <c r="F9" i="2"/>
  <c r="F10" i="2"/>
  <c r="F11" i="2"/>
  <c r="F12" i="2"/>
  <c r="L3" i="2"/>
  <c r="I3" i="2"/>
  <c r="H13" i="5" l="1"/>
  <c r="H9" i="5"/>
  <c r="H25" i="5"/>
  <c r="H27" i="5"/>
  <c r="H16" i="5"/>
  <c r="H5" i="5"/>
  <c r="H21" i="5"/>
  <c r="H8" i="5"/>
  <c r="H24" i="5"/>
  <c r="D2" i="5"/>
  <c r="H19" i="5"/>
  <c r="H17" i="5"/>
  <c r="H14" i="5"/>
  <c r="H6" i="5"/>
  <c r="H22" i="5"/>
  <c r="H23" i="5"/>
  <c r="H11" i="5"/>
  <c r="H4" i="5"/>
  <c r="H20" i="5"/>
  <c r="H10" i="5"/>
  <c r="H26" i="5"/>
  <c r="H2" i="5"/>
  <c r="H12" i="5"/>
  <c r="H7" i="5"/>
  <c r="H15" i="5"/>
  <c r="H18" i="5"/>
  <c r="D3" i="5"/>
  <c r="H3" i="5" s="1"/>
</calcChain>
</file>

<file path=xl/sharedStrings.xml><?xml version="1.0" encoding="utf-8"?>
<sst xmlns="http://schemas.openxmlformats.org/spreadsheetml/2006/main" count="215" uniqueCount="98">
  <si>
    <t>Поставщик</t>
  </si>
  <si>
    <t>Аврис</t>
  </si>
  <si>
    <t>Байрис</t>
  </si>
  <si>
    <t>Виюса</t>
  </si>
  <si>
    <t>Дайрис</t>
  </si>
  <si>
    <t>Получатель</t>
  </si>
  <si>
    <t>Анищик Р.А.</t>
  </si>
  <si>
    <t>Белозерова И.К.</t>
  </si>
  <si>
    <t>Ватуина Э.М.</t>
  </si>
  <si>
    <t>Дегтяренко И.И.</t>
  </si>
  <si>
    <t>Жукова О.А.</t>
  </si>
  <si>
    <t>Зайцева И.П.</t>
  </si>
  <si>
    <t>Козлова И.А.</t>
  </si>
  <si>
    <t>Ларченко А.Л.</t>
  </si>
  <si>
    <t>Рудьман Ю.П.</t>
  </si>
  <si>
    <t>Приход</t>
  </si>
  <si>
    <t>Расход</t>
  </si>
  <si>
    <t>Списание</t>
  </si>
  <si>
    <t>Движение</t>
  </si>
  <si>
    <t>Наименование</t>
  </si>
  <si>
    <t>Ед.изм</t>
  </si>
  <si>
    <t>Цена</t>
  </si>
  <si>
    <t>Срок годности</t>
  </si>
  <si>
    <t>ББББББ</t>
  </si>
  <si>
    <t>ВВВВВ</t>
  </si>
  <si>
    <t>ДДДДД</t>
  </si>
  <si>
    <t>ЕЕЕЕЕЕЕ</t>
  </si>
  <si>
    <t>ЖЖЖЖ</t>
  </si>
  <si>
    <t>ЗЗЗЗЗЗ</t>
  </si>
  <si>
    <t>ККККК</t>
  </si>
  <si>
    <t>ЛЛЛЛЛ</t>
  </si>
  <si>
    <t>ММММ</t>
  </si>
  <si>
    <t>ННННН</t>
  </si>
  <si>
    <t>ООООО</t>
  </si>
  <si>
    <t>ПППП</t>
  </si>
  <si>
    <t>РРРРР</t>
  </si>
  <si>
    <t>ССССС</t>
  </si>
  <si>
    <t>ТТТТТ</t>
  </si>
  <si>
    <t>УУУУУ</t>
  </si>
  <si>
    <t>ФФФФ</t>
  </si>
  <si>
    <t>ХХХХХ</t>
  </si>
  <si>
    <t>ЦЦЦЦЦ</t>
  </si>
  <si>
    <t>ЧЧЧЧЧ</t>
  </si>
  <si>
    <t>ШШШШ</t>
  </si>
  <si>
    <t>ЭЭЭЭЭ</t>
  </si>
  <si>
    <t>шт</t>
  </si>
  <si>
    <t>фл</t>
  </si>
  <si>
    <t>уп</t>
  </si>
  <si>
    <t>туба</t>
  </si>
  <si>
    <t>Дата</t>
  </si>
  <si>
    <t>Накладная</t>
  </si>
  <si>
    <t>Вид движ</t>
  </si>
  <si>
    <t>Введено</t>
  </si>
  <si>
    <t>кол-во</t>
  </si>
  <si>
    <t>срок годн.</t>
  </si>
  <si>
    <t>цена за ед.</t>
  </si>
  <si>
    <t>Стоимость</t>
  </si>
  <si>
    <t>00001</t>
  </si>
  <si>
    <t>00002</t>
  </si>
  <si>
    <t>00003</t>
  </si>
  <si>
    <t>00004</t>
  </si>
  <si>
    <t>00005</t>
  </si>
  <si>
    <t>Остаток на 1 октября</t>
  </si>
  <si>
    <t>Приход2</t>
  </si>
  <si>
    <t>Расход2</t>
  </si>
  <si>
    <t>Остаток на 1 ноября</t>
  </si>
  <si>
    <t>Срок годности2</t>
  </si>
  <si>
    <t>ААААА серия 0345</t>
  </si>
  <si>
    <t>ААААА серия 0777</t>
  </si>
  <si>
    <t>ААААА серия 0999</t>
  </si>
  <si>
    <t>ГГГГГГ серия 0111</t>
  </si>
  <si>
    <t xml:space="preserve"> ГГГГГГ серия 0022</t>
  </si>
  <si>
    <t>ИИИИИ серия 0988</t>
  </si>
  <si>
    <t>ИИИИИ серия 0333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</si>
  <si>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</si>
  <si>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</si>
  <si>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</si>
  <si>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</si>
  <si>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</si>
  <si>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</si>
  <si>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</si>
  <si>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</si>
  <si>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</si>
  <si>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</si>
  <si>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</si>
  <si>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</si>
  <si>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Фамилии</t>
  </si>
  <si>
    <t>год рождения</t>
  </si>
  <si>
    <t>Адрес</t>
  </si>
  <si>
    <t>Пионерская 14-23</t>
  </si>
  <si>
    <t>Ватутина 12-2</t>
  </si>
  <si>
    <t>Пионерская 5-41</t>
  </si>
  <si>
    <t>Ленина 4-1</t>
  </si>
  <si>
    <t>Ленина 1</t>
  </si>
  <si>
    <t>Калиновского 4-8</t>
  </si>
  <si>
    <t>Ленина 5-44</t>
  </si>
  <si>
    <t>Ленина 8-12</t>
  </si>
  <si>
    <t>Калиновского 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</si>
</sst>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1" xfId="0" applyFont="1" applyBorder="1"/>
    <xf numFmtId="49" fontId="0" fillId="0" borderId="0" xfId="0" applyNumberFormat="1"/>
    <xf numFmtId="164" fontId="0" fillId="0" borderId="0" xfId="0" applyNumberFormat="1"/>
    <xf numFmtId="0" fontId="0" fillId="2" borderId="0" xfId="0" applyFont="1" applyFill="1"/>
    <xf numFmtId="0" fontId="0" fillId="0" borderId="0" xfId="0" applyFont="1"/>
    <xf numFmtId="0" fontId="3" fillId="0" borderId="0" xfId="0" applyFont="1"/>
    <xf numFmtId="14" fontId="3" fillId="0" borderId="0" xfId="0" applyNumberFormat="1" applyFont="1"/>
    <xf numFmtId="0" fontId="4" fillId="2" borderId="0" xfId="0" applyFont="1" applyFill="1"/>
    <xf numFmtId="14" fontId="4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13"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numFmt numFmtId="19" formatCode="dd/mm/yyyy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19" formatCode="dd/mm/yyyy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8D4606-101F-4F89-B55C-3AC4898E3CC2}" name="Таблица1" displayName="Таблица1" ref="A1:A13" totalsRowShown="0">
  <autoFilter ref="A1:A13" xr:uid="{49E7ACA9-041F-49CC-B2A6-700160B780E4}"/>
  <tableColumns count="1">
    <tableColumn id="1" xr3:uid="{456BEC42-5E1C-4943-ABB6-E48D6DCD5279}" name="Поставщик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B327C6-0AEC-4A68-975A-9176ABFC44F0}" name="Таблица2" displayName="Таблица2" ref="C1:C14" totalsRowShown="0">
  <autoFilter ref="C1:C14" xr:uid="{0AF844A5-E0AC-436E-BAAD-4E76F874B4E6}"/>
  <tableColumns count="1">
    <tableColumn id="1" xr3:uid="{3364C404-CDFC-4C45-BD99-DDB26BCA56F8}" name="Получател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BFBB13-5AFC-4F8F-9599-9AC2658A5E43}" name="Таблица3" displayName="Таблица3" ref="E1:E4" totalsRowShown="0">
  <autoFilter ref="E1:E4" xr:uid="{D30E933F-4D67-46C5-88E5-A3E9ED7660FD}"/>
  <tableColumns count="1">
    <tableColumn id="1" xr3:uid="{78B8413B-FAFF-4744-93B4-B9F2B54A6A1A}" name="Движение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FE5AC07-36C1-4600-9ED9-825E829ED027}" name="Таблица4" displayName="Таблица4" ref="G1:J30" totalsRowShown="0">
  <autoFilter ref="G1:J30" xr:uid="{A22CC216-FF58-4B8C-B246-05E4236A2854}"/>
  <tableColumns count="4">
    <tableColumn id="1" xr3:uid="{E5B55EA5-AC53-4A8D-8AC3-AE36C108CB28}" name="Наименование"/>
    <tableColumn id="2" xr3:uid="{76ED3944-CC5A-47FC-B2CB-87031136D96C}" name="Ед.изм"/>
    <tableColumn id="3" xr3:uid="{B9952701-D86F-46AA-9527-4A7CCBF8C5DB}" name="Цена"/>
    <tableColumn id="4" xr3:uid="{7AAAFC67-1EAF-4A16-9753-C9F3E8AA3C2B}" name="Срок годности" dataDxfId="1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16C328-9335-4EC2-9C04-1279AA79BBCE}" name="Таблица8" displayName="Таблица8" ref="L1:Q10" totalsRowShown="0">
  <autoFilter ref="L1:Q10" xr:uid="{9B7A3090-4267-4392-9B12-591768250C91}"/>
  <tableColumns count="6">
    <tableColumn id="1" xr3:uid="{592F4D4F-7099-47B6-9A02-4341B17F8537}" name="Столбец1" dataDxfId="1"/>
    <tableColumn id="2" xr3:uid="{12E9D76A-0D04-4FB0-84B8-EA92BA54EFE7}" name="Столбец2"/>
    <tableColumn id="3" xr3:uid="{008FD224-7DB4-4949-BCFF-57B51F841824}" name="Столбец3"/>
    <tableColumn id="4" xr3:uid="{ED9A7885-E1DE-4EC3-8D58-6E4F1357F286}" name="Столбец4"/>
    <tableColumn id="5" xr3:uid="{12963509-0BE4-4E6B-9F38-04E064A9938F}" name="Столбец5"/>
    <tableColumn id="6" xr3:uid="{8763FDB4-EDF6-421E-A696-02BB2C21D309}" name="Столбец6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342F56F-AEFF-4989-A04D-6E8B5DE29DFE}" name="Таблица5" displayName="Таблица5" ref="A2:L26" totalsRowShown="0">
  <autoFilter ref="A2:L26" xr:uid="{0A8AE581-AA60-420E-9E33-03DA4756EB51}"/>
  <tableColumns count="12">
    <tableColumn id="1" xr3:uid="{D4993854-8954-45E3-8BE6-1245BC3F4AA2}" name="Столбец1"/>
    <tableColumn id="2" xr3:uid="{7DD5E10C-ACC5-4628-96BE-68651D417EB4}" name="Фамилии"/>
    <tableColumn id="3" xr3:uid="{799CDCBF-A741-43C3-B4A8-37049D9589B7}" name="год рождения" dataDxfId="0"/>
    <tableColumn id="4" xr3:uid="{A2072BEE-10C4-4B87-A0C0-908F6E41B64D}" name="Адрес"/>
    <tableColumn id="5" xr3:uid="{FE293389-4632-4714-B6A2-4C5718FC21FA}" name="Столбец5"/>
    <tableColumn id="6" xr3:uid="{83056E19-353B-4D4A-A2F9-6B822511714B}" name="Столбец6"/>
    <tableColumn id="7" xr3:uid="{5CBD2B23-8FBA-479B-AC5E-E3B981C26DAC}" name="Столбец7"/>
    <tableColumn id="8" xr3:uid="{8C8CC108-34B0-4888-A710-1D29279666F1}" name="Столбец8"/>
    <tableColumn id="9" xr3:uid="{DF00DEDC-F17D-4FA8-B526-53347DD3E5B5}" name="Столбец9"/>
    <tableColumn id="10" xr3:uid="{06E0804B-3AEA-451C-A2E4-EB4F0C75CF8F}" name="Столбец10"/>
    <tableColumn id="11" xr3:uid="{ECF6F872-16FA-498E-B2CE-A042033458BB}" name="Столбец11"/>
    <tableColumn id="12" xr3:uid="{6D0C2B9D-CB93-439D-8958-F994E0E58709}" name="Столбец12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B12506-111C-4B25-B6A3-C08E898D3318}" name="Таблица9" displayName="Таблица9" ref="A1:I27" totalsRowShown="0">
  <autoFilter ref="A1:I27" xr:uid="{89B64383-6360-451B-A3AA-6D085B9AF82E}"/>
  <tableColumns count="9">
    <tableColumn id="1" xr3:uid="{54DD5929-6715-485A-8F29-2A9024786AD3}" name="Наименование">
      <calculatedColumnFormula>Таблица4[Наименование]</calculatedColumnFormula>
    </tableColumn>
    <tableColumn id="2" xr3:uid="{D5180984-400A-4479-B60F-FE6DAE715421}" name="Приход">
      <calculatedColumnFormula>SUMPRODUCT(Таблица6[Введено]*(Таблица6[Наименование]=A2)*(Таблица6[Вид движ]="Приход"))</calculatedColumnFormula>
    </tableColumn>
    <tableColumn id="3" xr3:uid="{F572ACB2-7C07-4D55-BF08-2028047DB59E}" name="Расход">
      <calculatedColumnFormula>SUMPRODUCT(Таблица6[Введено]*(Таблица6[Наименование]=A2)*(Таблица6[Вид движ]="Расход"))</calculatedColumnFormula>
    </tableColumn>
    <tableColumn id="4" xr3:uid="{93918F56-218F-4C34-84E4-3E99133F411E}" name="Остаток на 1 октября">
      <calculatedColumnFormula>B2-C2</calculatedColumnFormula>
    </tableColumn>
    <tableColumn id="5" xr3:uid="{B59E288F-02E7-489B-8A77-5E666A389ED7}" name="Срок годности" dataDxfId="11"/>
    <tableColumn id="6" xr3:uid="{6A71E030-569B-4401-A5F2-717F757A06A1}" name="Приход2">
      <calculatedColumnFormula>SUMPRODUCT(Таблица68[Введено]*(Таблица6[Наименование]=A2)*(Таблица68[Вид движ]="Приход"))</calculatedColumnFormula>
    </tableColumn>
    <tableColumn id="7" xr3:uid="{91C084EC-344E-4FF6-B30A-4C272A0BB812}" name="Расход2">
      <calculatedColumnFormula>SUMPRODUCT(Таблица68[Введено]*(Таблица6[Наименование]=A2)*(Таблица68[Вид движ]="Расход"))</calculatedColumnFormula>
    </tableColumn>
    <tableColumn id="8" xr3:uid="{468F869E-5030-49CC-A5CE-D0C5C51C7815}" name="Остаток на 1 ноября">
      <calculatedColumnFormula>Таблица9[[#This Row],[Остаток на 1 октября]]+Таблица9[[#This Row],[Приход2]]-Таблица9[[#This Row],[Расход2]]</calculatedColumnFormula>
    </tableColumn>
    <tableColumn id="9" xr3:uid="{3F381CA3-AB88-4F79-B0DE-67C59537AB09}" name="Срок годности2" dataDxfId="10">
      <calculatedColumnFormula>IF(VLOOKUP(Таблица9[Наименование],Таблица4[],4,0)="","",VLOOKUP(Таблица9[Наименование],Таблица4[],4,0))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24D0D1-1BE2-4282-B1EC-69834027A122}" name="Таблица6" displayName="Таблица6" ref="A2:L12" totalsRowShown="0" headerRowDxfId="9" headerRowBorderDxfId="8" tableBorderDxfId="7">
  <autoFilter ref="A2:L12" xr:uid="{9EF24305-AB92-4D84-95F7-0118D2475414}"/>
  <tableColumns count="12">
    <tableColumn id="1" xr3:uid="{73D035B2-498A-4EE8-8B2E-64CB5DA8A33B}" name="Дата"/>
    <tableColumn id="2" xr3:uid="{8908E666-B94B-4080-A3C7-67C5B074DFC0}" name="Поставщик"/>
    <tableColumn id="3" xr3:uid="{1B77FB3C-C19F-4C67-8FAF-8D3DFB594174}" name="Получатель"/>
    <tableColumn id="4" xr3:uid="{A9633861-0813-4945-9242-A28246B1D9DD}" name="Накладная"/>
    <tableColumn id="5" xr3:uid="{A7CEFA02-9D98-4FE1-9E45-1676A320B077}" name="Наименование"/>
    <tableColumn id="6" xr3:uid="{574DFE08-CE46-4862-96FB-2D95DB221948}" name="Ед.изм">
      <calculatedColumnFormula>IF(ISNA(VLOOKUP(Таблица6[[#This Row],[Наименование]],Таблица4[],2,0)),"",VLOOKUP(Таблица6[[#This Row],[Наименование]],Таблица4[],2,0))</calculatedColumnFormula>
    </tableColumn>
    <tableColumn id="7" xr3:uid="{EA5E4BC3-4C3F-4F5B-A176-149677E55AED}" name="Вид движ"/>
    <tableColumn id="8" xr3:uid="{0BE1F492-C967-43EE-A95A-4EDAB9A7177D}" name="Введено"/>
    <tableColumn id="9" xr3:uid="{9F199020-69AF-447F-B230-FE90FA8BA81E}" name="кол-во">
      <calculatedColumnFormula>IF(G3="Расход",H3*(-1),H3)</calculatedColumnFormula>
    </tableColumn>
    <tableColumn id="10" xr3:uid="{BA6D71BC-AE4D-4666-9666-B920D277D825}" name="срок годн." dataDxfId="6">
      <calculatedColumnFormula>IF(ISNA(VLOOKUP(Таблица6[[#This Row],[Наименование]],Таблица4[],4,0)),"",VLOOKUP(Таблица6[[#This Row],[Наименование]],Таблица4[],4,0))</calculatedColumnFormula>
    </tableColumn>
    <tableColumn id="11" xr3:uid="{7F125625-46EA-4CF8-8407-9085400703F3}" name="цена за ед.">
      <calculatedColumnFormula>IF(ISNA(VLOOKUP(Таблица6[[#This Row],[Наименование]],Таблица4[],3,0)),"",VLOOKUP(Таблица6[[#This Row],[Наименование]],Таблица4[],3,0))</calculatedColumnFormula>
    </tableColumn>
    <tableColumn id="12" xr3:uid="{ECCF623E-0E37-4036-8F5A-4AA0080B0FC2}" name="Стоимость">
      <calculatedColumnFormula>Таблица6[[#This Row],[Введено]]*Таблица6[[#This Row],[цена за ед.]]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5D96FA0-609F-4BC1-905F-8FCA79C38B07}" name="Таблица68" displayName="Таблица68" ref="A2:L12" totalsRowShown="0" headerRowDxfId="5" headerRowBorderDxfId="4" tableBorderDxfId="3">
  <autoFilter ref="A2:L12" xr:uid="{C37A786C-87FA-41DC-9FCC-5E9059094DE1}"/>
  <tableColumns count="12">
    <tableColumn id="1" xr3:uid="{3E66C123-5950-456F-9E46-A3D774838B62}" name="Дата"/>
    <tableColumn id="2" xr3:uid="{AC95E273-E659-48D3-B308-99EA43685235}" name="Поставщик"/>
    <tableColumn id="3" xr3:uid="{C373BEBB-8073-4652-B850-00536CCB8B39}" name="Получатель"/>
    <tableColumn id="4" xr3:uid="{3445DF01-70F5-4081-9A0F-9C531B23DE15}" name="Накладная"/>
    <tableColumn id="5" xr3:uid="{98B71C3E-149A-47E8-B3EF-DAC9AE0BCCE0}" name="Наименование"/>
    <tableColumn id="6" xr3:uid="{E48F87EE-76E0-4B1A-8805-D6539CB0B37A}" name="Ед.изм">
      <calculatedColumnFormula>IF(ISNA(VLOOKUP(Таблица68[[#This Row],[Наименование]],Таблица4[],2,0)),"",VLOOKUP(Таблица68[[#This Row],[Наименование]],Таблица4[],2,0))</calculatedColumnFormula>
    </tableColumn>
    <tableColumn id="7" xr3:uid="{64B9ABB5-71C5-4892-953D-9F35EC6F5030}" name="Вид движ"/>
    <tableColumn id="8" xr3:uid="{CD5F56CA-F07F-4F55-9385-9A879387758C}" name="Введено"/>
    <tableColumn id="9" xr3:uid="{2C4FCDEF-7D1A-4032-BD9A-1E081EDF9210}" name="кол-во">
      <calculatedColumnFormula>IF(G3="Расход",H3*(-1),H3)</calculatedColumnFormula>
    </tableColumn>
    <tableColumn id="10" xr3:uid="{09B8874E-178F-4EA1-A85A-A20CDA6003E4}" name="срок годн." dataDxfId="2">
      <calculatedColumnFormula>IF(ISNA(VLOOKUP(Таблица68[[#This Row],[Наименование]],Таблица4[],4,0)),"",VLOOKUP(Таблица68[[#This Row],[Наименование]],Таблица4[],4,0))</calculatedColumnFormula>
    </tableColumn>
    <tableColumn id="11" xr3:uid="{5A6BA981-A426-4D7C-B488-BFF33F3A4B8B}" name="цена за ед.">
      <calculatedColumnFormula>IF(ISNA(VLOOKUP(Таблица68[[#This Row],[Наименование]],Таблица4[],3,0)),"",VLOOKUP(Таблица68[[#This Row],[Наименование]],Таблица4[],3,0))</calculatedColumnFormula>
    </tableColumn>
    <tableColumn id="12" xr3:uid="{325C8C16-2096-4A1E-91C9-34A350AC50E1}" name="Стоимость">
      <calculatedColumnFormula>Таблица68[[#This Row],[Введено]]*Таблица68[[#This Row],[цена за ед.]]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FE9-0DC9-4FCD-AEB0-3C26E33DB53E}">
  <dimension ref="A1:Q30"/>
  <sheetViews>
    <sheetView workbookViewId="0">
      <selection activeCell="L2" sqref="L2"/>
    </sheetView>
  </sheetViews>
  <sheetFormatPr defaultRowHeight="15" x14ac:dyDescent="0.25"/>
  <cols>
    <col min="1" max="1" width="17.7109375" customWidth="1"/>
    <col min="2" max="2" width="4.140625" customWidth="1"/>
    <col min="3" max="3" width="17.85546875" customWidth="1"/>
    <col min="4" max="4" width="4.85546875" customWidth="1"/>
    <col min="5" max="5" width="17" customWidth="1"/>
    <col min="6" max="6" width="4.42578125" customWidth="1"/>
    <col min="7" max="7" width="20.28515625" customWidth="1"/>
    <col min="8" max="8" width="8.140625" customWidth="1"/>
    <col min="9" max="9" width="9.28515625" customWidth="1"/>
    <col min="10" max="10" width="14.28515625" customWidth="1"/>
    <col min="12" max="12" width="18" customWidth="1"/>
    <col min="13" max="13" width="11.85546875" customWidth="1"/>
    <col min="14" max="14" width="28.42578125" customWidth="1"/>
    <col min="15" max="17" width="11.85546875" customWidth="1"/>
  </cols>
  <sheetData>
    <row r="1" spans="1:17" x14ac:dyDescent="0.25">
      <c r="A1" t="s">
        <v>0</v>
      </c>
      <c r="C1" t="s">
        <v>5</v>
      </c>
      <c r="E1" t="s">
        <v>18</v>
      </c>
      <c r="G1" t="s">
        <v>19</v>
      </c>
      <c r="H1" t="s">
        <v>20</v>
      </c>
      <c r="I1" t="s">
        <v>21</v>
      </c>
      <c r="J1" t="s">
        <v>22</v>
      </c>
      <c r="L1" t="s">
        <v>74</v>
      </c>
      <c r="M1" t="s">
        <v>75</v>
      </c>
      <c r="N1" t="s">
        <v>76</v>
      </c>
      <c r="O1" t="s">
        <v>77</v>
      </c>
      <c r="P1" t="s">
        <v>78</v>
      </c>
      <c r="Q1" t="s">
        <v>79</v>
      </c>
    </row>
    <row r="2" spans="1:17" x14ac:dyDescent="0.25">
      <c r="A2" t="s">
        <v>1</v>
      </c>
      <c r="C2" t="s">
        <v>6</v>
      </c>
      <c r="E2" t="s">
        <v>15</v>
      </c>
      <c r="G2" t="s">
        <v>67</v>
      </c>
      <c r="H2" t="s">
        <v>45</v>
      </c>
      <c r="I2" s="4">
        <v>1</v>
      </c>
      <c r="J2" s="1">
        <v>43831</v>
      </c>
      <c r="L2" s="5" t="s">
        <v>6</v>
      </c>
      <c r="M2" s="1">
        <v>18568</v>
      </c>
      <c r="N2" t="s">
        <v>89</v>
      </c>
    </row>
    <row r="3" spans="1:17" x14ac:dyDescent="0.25">
      <c r="A3" t="s">
        <v>2</v>
      </c>
      <c r="C3" t="s">
        <v>7</v>
      </c>
      <c r="E3" t="s">
        <v>16</v>
      </c>
      <c r="G3" t="s">
        <v>68</v>
      </c>
      <c r="H3" t="s">
        <v>45</v>
      </c>
      <c r="I3">
        <v>1.5</v>
      </c>
      <c r="J3" s="1">
        <v>43739</v>
      </c>
      <c r="L3" s="7" t="s">
        <v>7</v>
      </c>
      <c r="M3" s="8">
        <v>23724</v>
      </c>
      <c r="N3" s="7" t="s">
        <v>90</v>
      </c>
      <c r="O3" s="7"/>
      <c r="P3" s="7"/>
      <c r="Q3" s="7"/>
    </row>
    <row r="4" spans="1:17" x14ac:dyDescent="0.25">
      <c r="A4" t="s">
        <v>3</v>
      </c>
      <c r="C4" t="s">
        <v>8</v>
      </c>
      <c r="E4" t="s">
        <v>17</v>
      </c>
      <c r="G4" t="s">
        <v>69</v>
      </c>
      <c r="H4" t="s">
        <v>45</v>
      </c>
      <c r="I4">
        <v>2.5</v>
      </c>
      <c r="J4" s="1">
        <v>43740</v>
      </c>
      <c r="L4" s="5" t="s">
        <v>8</v>
      </c>
      <c r="M4" s="1">
        <v>26674</v>
      </c>
      <c r="N4" t="s">
        <v>91</v>
      </c>
    </row>
    <row r="5" spans="1:17" x14ac:dyDescent="0.25">
      <c r="A5" t="s">
        <v>4</v>
      </c>
      <c r="C5" t="s">
        <v>9</v>
      </c>
      <c r="G5" t="s">
        <v>23</v>
      </c>
      <c r="H5" t="s">
        <v>46</v>
      </c>
      <c r="I5">
        <v>2</v>
      </c>
      <c r="J5" s="1">
        <v>43741</v>
      </c>
      <c r="L5" s="6" t="s">
        <v>9</v>
      </c>
      <c r="M5" s="1">
        <v>19665</v>
      </c>
      <c r="N5" t="s">
        <v>92</v>
      </c>
    </row>
    <row r="6" spans="1:17" x14ac:dyDescent="0.25">
      <c r="C6" t="s">
        <v>10</v>
      </c>
      <c r="G6" t="s">
        <v>24</v>
      </c>
      <c r="H6" t="s">
        <v>47</v>
      </c>
      <c r="I6">
        <v>3</v>
      </c>
      <c r="J6" s="1">
        <v>43742</v>
      </c>
      <c r="L6" s="9" t="s">
        <v>10</v>
      </c>
      <c r="M6" s="10">
        <v>20039</v>
      </c>
      <c r="N6" s="11" t="s">
        <v>93</v>
      </c>
      <c r="O6" s="11"/>
      <c r="P6" s="11"/>
      <c r="Q6" s="11"/>
    </row>
    <row r="7" spans="1:17" x14ac:dyDescent="0.25">
      <c r="C7" t="s">
        <v>11</v>
      </c>
      <c r="G7" t="s">
        <v>71</v>
      </c>
      <c r="H7" t="s">
        <v>45</v>
      </c>
      <c r="I7">
        <v>3.5</v>
      </c>
      <c r="J7" s="1">
        <v>43743</v>
      </c>
      <c r="L7" s="6" t="s">
        <v>11</v>
      </c>
      <c r="M7" s="1">
        <v>23477</v>
      </c>
      <c r="N7" t="s">
        <v>94</v>
      </c>
    </row>
    <row r="8" spans="1:17" x14ac:dyDescent="0.25">
      <c r="C8" t="s">
        <v>12</v>
      </c>
      <c r="G8" t="s">
        <v>70</v>
      </c>
      <c r="H8" t="s">
        <v>45</v>
      </c>
      <c r="I8">
        <v>4.5</v>
      </c>
      <c r="J8" s="1">
        <v>43744</v>
      </c>
      <c r="L8" s="5" t="s">
        <v>12</v>
      </c>
      <c r="M8" s="1">
        <v>28563</v>
      </c>
      <c r="N8" t="s">
        <v>95</v>
      </c>
    </row>
    <row r="9" spans="1:17" x14ac:dyDescent="0.25">
      <c r="C9" t="s">
        <v>13</v>
      </c>
      <c r="G9" t="s">
        <v>25</v>
      </c>
      <c r="H9" t="s">
        <v>46</v>
      </c>
      <c r="I9">
        <v>4</v>
      </c>
      <c r="J9" s="1">
        <v>43745</v>
      </c>
      <c r="L9" s="6" t="s">
        <v>13</v>
      </c>
      <c r="M9" s="1">
        <v>21316</v>
      </c>
      <c r="N9" t="s">
        <v>96</v>
      </c>
    </row>
    <row r="10" spans="1:17" x14ac:dyDescent="0.25">
      <c r="C10" t="s">
        <v>14</v>
      </c>
      <c r="G10" t="s">
        <v>26</v>
      </c>
      <c r="H10" t="s">
        <v>47</v>
      </c>
      <c r="I10">
        <v>5</v>
      </c>
      <c r="J10" s="1">
        <v>43746</v>
      </c>
      <c r="L10" s="5" t="s">
        <v>14</v>
      </c>
      <c r="M10" s="1">
        <v>30074</v>
      </c>
      <c r="N10" t="s">
        <v>97</v>
      </c>
    </row>
    <row r="11" spans="1:17" x14ac:dyDescent="0.25">
      <c r="G11" t="s">
        <v>27</v>
      </c>
      <c r="H11" t="s">
        <v>45</v>
      </c>
      <c r="I11">
        <v>6</v>
      </c>
      <c r="J11" s="1">
        <v>43747</v>
      </c>
    </row>
    <row r="12" spans="1:17" x14ac:dyDescent="0.25">
      <c r="G12" t="s">
        <v>28</v>
      </c>
      <c r="H12" t="s">
        <v>46</v>
      </c>
      <c r="I12">
        <v>7</v>
      </c>
      <c r="J12" s="1">
        <v>43748</v>
      </c>
    </row>
    <row r="13" spans="1:17" x14ac:dyDescent="0.25">
      <c r="G13" t="s">
        <v>72</v>
      </c>
      <c r="H13" t="s">
        <v>47</v>
      </c>
      <c r="I13">
        <v>8.5</v>
      </c>
      <c r="J13" s="1">
        <v>43749</v>
      </c>
    </row>
    <row r="14" spans="1:17" x14ac:dyDescent="0.25">
      <c r="G14" t="s">
        <v>73</v>
      </c>
      <c r="H14" t="s">
        <v>47</v>
      </c>
      <c r="I14">
        <v>9.5</v>
      </c>
      <c r="J14" s="1">
        <v>43750</v>
      </c>
    </row>
    <row r="15" spans="1:17" x14ac:dyDescent="0.25">
      <c r="G15" t="s">
        <v>29</v>
      </c>
      <c r="H15" t="s">
        <v>45</v>
      </c>
      <c r="I15">
        <v>10</v>
      </c>
      <c r="J15" s="1">
        <v>43751</v>
      </c>
    </row>
    <row r="16" spans="1:17" x14ac:dyDescent="0.25">
      <c r="G16" t="s">
        <v>30</v>
      </c>
      <c r="H16" t="s">
        <v>46</v>
      </c>
      <c r="I16">
        <v>11</v>
      </c>
      <c r="J16" s="1">
        <v>43752</v>
      </c>
    </row>
    <row r="17" spans="7:10" x14ac:dyDescent="0.25">
      <c r="G17" t="s">
        <v>31</v>
      </c>
      <c r="H17" t="s">
        <v>47</v>
      </c>
      <c r="I17">
        <v>12</v>
      </c>
      <c r="J17" s="1">
        <v>43753</v>
      </c>
    </row>
    <row r="18" spans="7:10" x14ac:dyDescent="0.25">
      <c r="G18" t="s">
        <v>32</v>
      </c>
      <c r="H18" t="s">
        <v>45</v>
      </c>
      <c r="I18">
        <v>12</v>
      </c>
      <c r="J18" s="1">
        <v>43754</v>
      </c>
    </row>
    <row r="19" spans="7:10" x14ac:dyDescent="0.25">
      <c r="G19" t="s">
        <v>33</v>
      </c>
      <c r="H19" t="s">
        <v>46</v>
      </c>
      <c r="I19">
        <v>12</v>
      </c>
      <c r="J19" s="1">
        <v>43755</v>
      </c>
    </row>
    <row r="20" spans="7:10" x14ac:dyDescent="0.25">
      <c r="G20" t="s">
        <v>34</v>
      </c>
      <c r="H20" t="s">
        <v>47</v>
      </c>
      <c r="I20">
        <v>12</v>
      </c>
      <c r="J20" s="1">
        <v>43756</v>
      </c>
    </row>
    <row r="21" spans="7:10" x14ac:dyDescent="0.25">
      <c r="G21" t="s">
        <v>35</v>
      </c>
      <c r="H21" t="s">
        <v>45</v>
      </c>
      <c r="I21">
        <v>12</v>
      </c>
      <c r="J21" s="1">
        <v>43757</v>
      </c>
    </row>
    <row r="22" spans="7:10" x14ac:dyDescent="0.25">
      <c r="G22" t="s">
        <v>36</v>
      </c>
      <c r="H22" t="s">
        <v>46</v>
      </c>
      <c r="I22">
        <v>12</v>
      </c>
      <c r="J22" s="1">
        <v>43758</v>
      </c>
    </row>
    <row r="23" spans="7:10" x14ac:dyDescent="0.25">
      <c r="G23" t="s">
        <v>37</v>
      </c>
      <c r="H23" t="s">
        <v>47</v>
      </c>
      <c r="I23">
        <v>12</v>
      </c>
      <c r="J23" s="1">
        <v>43759</v>
      </c>
    </row>
    <row r="24" spans="7:10" x14ac:dyDescent="0.25">
      <c r="G24" t="s">
        <v>38</v>
      </c>
      <c r="H24" t="s">
        <v>45</v>
      </c>
      <c r="I24">
        <v>12</v>
      </c>
      <c r="J24" s="1">
        <v>43760</v>
      </c>
    </row>
    <row r="25" spans="7:10" x14ac:dyDescent="0.25">
      <c r="G25" t="s">
        <v>39</v>
      </c>
      <c r="H25" t="s">
        <v>46</v>
      </c>
      <c r="I25">
        <v>12</v>
      </c>
      <c r="J25" s="1">
        <v>43761</v>
      </c>
    </row>
    <row r="26" spans="7:10" x14ac:dyDescent="0.25">
      <c r="G26" t="s">
        <v>40</v>
      </c>
      <c r="H26" t="s">
        <v>47</v>
      </c>
      <c r="I26">
        <v>12</v>
      </c>
      <c r="J26" s="1">
        <v>43762</v>
      </c>
    </row>
    <row r="27" spans="7:10" x14ac:dyDescent="0.25">
      <c r="G27" t="s">
        <v>41</v>
      </c>
      <c r="H27" t="s">
        <v>45</v>
      </c>
      <c r="I27">
        <v>12</v>
      </c>
      <c r="J27" s="1">
        <v>43763</v>
      </c>
    </row>
    <row r="28" spans="7:10" x14ac:dyDescent="0.25">
      <c r="G28" t="s">
        <v>42</v>
      </c>
      <c r="H28" t="s">
        <v>46</v>
      </c>
      <c r="I28">
        <v>12</v>
      </c>
      <c r="J28" s="1">
        <v>43764</v>
      </c>
    </row>
    <row r="29" spans="7:10" x14ac:dyDescent="0.25">
      <c r="G29" t="s">
        <v>43</v>
      </c>
      <c r="H29" t="s">
        <v>47</v>
      </c>
      <c r="I29">
        <v>12</v>
      </c>
      <c r="J29" s="1">
        <v>43765</v>
      </c>
    </row>
    <row r="30" spans="7:10" x14ac:dyDescent="0.25">
      <c r="G30" t="s">
        <v>44</v>
      </c>
      <c r="H30" t="s">
        <v>48</v>
      </c>
      <c r="I30">
        <v>12</v>
      </c>
      <c r="J30" s="1">
        <v>43766</v>
      </c>
    </row>
  </sheetData>
  <phoneticPr fontId="2" type="noConversion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391F-C72E-4DB7-9636-430BFC38736B}">
  <dimension ref="A2:L26"/>
  <sheetViews>
    <sheetView tabSelected="1" workbookViewId="0">
      <selection activeCell="H31" sqref="H31"/>
    </sheetView>
  </sheetViews>
  <sheetFormatPr defaultRowHeight="15" x14ac:dyDescent="0.25"/>
  <cols>
    <col min="1" max="1" width="7" customWidth="1"/>
    <col min="2" max="2" width="24.28515625" customWidth="1"/>
    <col min="3" max="3" width="14.140625" customWidth="1"/>
    <col min="4" max="4" width="21.85546875" customWidth="1"/>
    <col min="5" max="9" width="11.85546875" customWidth="1"/>
    <col min="10" max="12" width="12.85546875" customWidth="1"/>
  </cols>
  <sheetData>
    <row r="2" spans="1:12" x14ac:dyDescent="0.25">
      <c r="A2" t="s">
        <v>74</v>
      </c>
      <c r="B2" t="s">
        <v>86</v>
      </c>
      <c r="C2" t="s">
        <v>87</v>
      </c>
      <c r="D2" t="s">
        <v>88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</row>
    <row r="3" spans="1:12" x14ac:dyDescent="0.25">
      <c r="B3" t="str">
        <f>Справочник!L2</f>
        <v>Анищик Р.А.</v>
      </c>
      <c r="C3" s="1">
        <f>IF(Таблица5[[#This Row],[Фамилии]]=Справочник!L2,Справочник!M2,0)</f>
        <v>18568</v>
      </c>
      <c r="D3" t="str">
        <f>IF(Таблица5[[#This Row],[Фамилии]]=Справочник!L2,Справочник!N2,0)</f>
        <v>Пионерская 14-23</v>
      </c>
    </row>
    <row r="4" spans="1:12" x14ac:dyDescent="0.25">
      <c r="B4" t="str">
        <f>Справочник!L3</f>
        <v>Белозерова И.К.</v>
      </c>
      <c r="C4" s="1">
        <f>IF(Таблица5[[#This Row],[Фамилии]]=Справочник!L3,Справочник!M3,0)</f>
        <v>23724</v>
      </c>
      <c r="D4" t="str">
        <f>IF(Таблица5[[#This Row],[Фамилии]]=Справочник!L3,Справочник!N3,0)</f>
        <v>Ватутина 12-2</v>
      </c>
    </row>
    <row r="5" spans="1:12" x14ac:dyDescent="0.25">
      <c r="B5" t="str">
        <f>Справочник!L4</f>
        <v>Ватуина Э.М.</v>
      </c>
      <c r="C5" s="1">
        <f>IF(Таблица5[[#This Row],[Фамилии]]=Справочник!L4,Справочник!M4,0)</f>
        <v>26674</v>
      </c>
      <c r="D5" t="str">
        <f>IF(Таблица5[[#This Row],[Фамилии]]=Справочник!L4,Справочник!N4,0)</f>
        <v>Пионерская 5-41</v>
      </c>
    </row>
    <row r="6" spans="1:12" x14ac:dyDescent="0.25">
      <c r="B6" t="str">
        <f>Справочник!L5</f>
        <v>Дегтяренко И.И.</v>
      </c>
      <c r="C6" s="1">
        <f>IF(Таблица5[[#This Row],[Фамилии]]=Справочник!L5,Справочник!M5,0)</f>
        <v>19665</v>
      </c>
      <c r="D6" t="str">
        <f>IF(Таблица5[[#This Row],[Фамилии]]=Справочник!L5,Справочник!N5,0)</f>
        <v>Ленина 4-1</v>
      </c>
    </row>
    <row r="7" spans="1:12" x14ac:dyDescent="0.25">
      <c r="B7" t="str">
        <f>Справочник!L6</f>
        <v>Жукова О.А.</v>
      </c>
      <c r="C7" s="1">
        <f>IF(Таблица5[[#This Row],[Фамилии]]=Справочник!L6,Справочник!M6,0)</f>
        <v>20039</v>
      </c>
      <c r="D7" t="str">
        <f>IF(Таблица5[[#This Row],[Фамилии]]=Справочник!L6,Справочник!N6,0)</f>
        <v>Ленина 1</v>
      </c>
    </row>
    <row r="8" spans="1:12" x14ac:dyDescent="0.25">
      <c r="B8" t="str">
        <f>Справочник!L7</f>
        <v>Зайцева И.П.</v>
      </c>
      <c r="C8" s="1">
        <f>IF(Таблица5[[#This Row],[Фамилии]]=Справочник!L7,Справочник!M7,0)</f>
        <v>23477</v>
      </c>
      <c r="D8" t="str">
        <f>IF(Таблица5[[#This Row],[Фамилии]]=Справочник!L7,Справочник!N7,0)</f>
        <v>Калиновского 4-8</v>
      </c>
    </row>
    <row r="9" spans="1:12" x14ac:dyDescent="0.25">
      <c r="B9" t="str">
        <f>Справочник!L8</f>
        <v>Козлова И.А.</v>
      </c>
      <c r="C9" s="1">
        <f>IF(Таблица5[[#This Row],[Фамилии]]=Справочник!L8,Справочник!M8,0)</f>
        <v>28563</v>
      </c>
      <c r="D9" t="str">
        <f>IF(Таблица5[[#This Row],[Фамилии]]=Справочник!L8,Справочник!N8,0)</f>
        <v>Ленина 5-44</v>
      </c>
    </row>
    <row r="10" spans="1:12" x14ac:dyDescent="0.25">
      <c r="B10" t="str">
        <f>Справочник!L9</f>
        <v>Ларченко А.Л.</v>
      </c>
      <c r="C10" s="1">
        <f>IF(Таблица5[[#This Row],[Фамилии]]=Справочник!L9,Справочник!M9,0)</f>
        <v>21316</v>
      </c>
      <c r="D10" t="str">
        <f>IF(Таблица5[[#This Row],[Фамилии]]=Справочник!L9,Справочник!N9,0)</f>
        <v>Ленина 8-12</v>
      </c>
    </row>
    <row r="11" spans="1:12" x14ac:dyDescent="0.25">
      <c r="B11" t="str">
        <f>Справочник!L10</f>
        <v>Рудьман Ю.П.</v>
      </c>
      <c r="C11" s="1">
        <f>IF(Таблица5[[#This Row],[Фамилии]]=Справочник!L10,Справочник!M10,0)</f>
        <v>30074</v>
      </c>
      <c r="D11" t="str">
        <f>IF(Таблица5[[#This Row],[Фамилии]]=Справочник!L10,Справочник!N10,0)</f>
        <v>Калиновского 5-11</v>
      </c>
    </row>
    <row r="12" spans="1:12" x14ac:dyDescent="0.25">
      <c r="C12" s="1"/>
    </row>
    <row r="13" spans="1:12" x14ac:dyDescent="0.25">
      <c r="C13" s="1"/>
    </row>
    <row r="14" spans="1:12" x14ac:dyDescent="0.25">
      <c r="C14" s="1"/>
    </row>
    <row r="15" spans="1:12" x14ac:dyDescent="0.25">
      <c r="C15" s="1"/>
    </row>
    <row r="16" spans="1:12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4B5E5-2845-4572-9F26-6FFBBF34CBAD}">
  <dimension ref="A1:I27"/>
  <sheetViews>
    <sheetView workbookViewId="0">
      <selection activeCell="F2" sqref="F2"/>
    </sheetView>
  </sheetViews>
  <sheetFormatPr defaultRowHeight="15" x14ac:dyDescent="0.25"/>
  <cols>
    <col min="1" max="1" width="19.140625" customWidth="1"/>
    <col min="2" max="3" width="11.85546875" customWidth="1"/>
    <col min="4" max="4" width="19.7109375" customWidth="1"/>
    <col min="5" max="5" width="17.5703125" customWidth="1"/>
    <col min="6" max="6" width="13.140625" customWidth="1"/>
    <col min="7" max="7" width="11.85546875" customWidth="1"/>
    <col min="8" max="8" width="24.42578125" customWidth="1"/>
    <col min="9" max="9" width="11.85546875" customWidth="1"/>
  </cols>
  <sheetData>
    <row r="1" spans="1:9" x14ac:dyDescent="0.25">
      <c r="A1" t="s">
        <v>19</v>
      </c>
      <c r="B1" t="s">
        <v>15</v>
      </c>
      <c r="C1" t="s">
        <v>16</v>
      </c>
      <c r="D1" t="s">
        <v>62</v>
      </c>
      <c r="E1" t="s">
        <v>22</v>
      </c>
      <c r="F1" t="s">
        <v>63</v>
      </c>
      <c r="G1" t="s">
        <v>64</v>
      </c>
      <c r="H1" t="s">
        <v>65</v>
      </c>
      <c r="I1" t="s">
        <v>66</v>
      </c>
    </row>
    <row r="2" spans="1:9" x14ac:dyDescent="0.25">
      <c r="A2" t="str">
        <f>Таблица4[Наименование]</f>
        <v>ААААА серия 0345</v>
      </c>
      <c r="B2">
        <f>SUMPRODUCT(Таблица6[Введено]*(Таблица6[Наименование]=A2)*(Таблица6[Вид движ]="Приход"))</f>
        <v>10</v>
      </c>
      <c r="C2">
        <f>SUMPRODUCT(Таблица6[Введено]*(Таблица6[Наименование]=A2)*(Таблица6[Вид движ]="Расход"))</f>
        <v>3</v>
      </c>
      <c r="D2">
        <f>Таблица9[[#This Row],[Приход]]-Таблица9[[#This Row],[Расход]]</f>
        <v>7</v>
      </c>
      <c r="E2" s="1">
        <f>IF(VLOOKUP(Таблица9[Наименование],Таблица4[],4,0)="","",VLOOKUP(Таблица9[Наименование],Таблица4[],4,0))</f>
        <v>43831</v>
      </c>
      <c r="F2">
        <f>SUMPRODUCT(Таблица68[Введено]*(Таблица6[Наименование]=A2)*(Таблица68[Вид движ]="Приход"))</f>
        <v>40</v>
      </c>
      <c r="G2">
        <f>SUMPRODUCT(Таблица68[Введено]*(Таблица6[Наименование]=A2)*(Таблица68[Вид движ]="Расход"))</f>
        <v>2</v>
      </c>
      <c r="H2">
        <f>Таблица9[[#This Row],[Остаток на 1 октября]]+Таблица9[[#This Row],[Приход2]]-Таблица9[[#This Row],[Расход2]]</f>
        <v>45</v>
      </c>
      <c r="I2" s="1">
        <f>IF(VLOOKUP(Таблица9[Наименование],Таблица4[],4,0)="","",VLOOKUP(Таблица9[Наименование],Таблица4[],4,0))</f>
        <v>43831</v>
      </c>
    </row>
    <row r="3" spans="1:9" x14ac:dyDescent="0.25">
      <c r="A3" t="str">
        <f>Таблица4[Наименование]</f>
        <v>ААААА серия 0777</v>
      </c>
      <c r="B3">
        <f>SUMPRODUCT(Таблица6[Введено]*(Таблица6[Наименование]=A3)*(Таблица6[Вид движ]="Приход"))</f>
        <v>0</v>
      </c>
      <c r="C3">
        <f>SUMPRODUCT(Таблица6[Введено]*(Таблица6[Наименование]=A3)*(Таблица6[Вид движ]="Расход"))</f>
        <v>0</v>
      </c>
      <c r="D3">
        <f>B3-C3</f>
        <v>0</v>
      </c>
      <c r="E3" s="1">
        <f>IF(VLOOKUP(Таблица9[Наименование],Таблица4[],4,0)="","",VLOOKUP(Таблица9[Наименование],Таблица4[],4,0))</f>
        <v>43739</v>
      </c>
      <c r="F3">
        <f>SUMPRODUCT(Таблица68[Введено]*(Таблица6[Наименование]=A3)*(Таблица68[Вид движ]="Приход"))</f>
        <v>0</v>
      </c>
      <c r="G3">
        <f>SUMPRODUCT(Таблица68[Введено]*(Таблица6[Наименование]=A3)*(Таблица68[Вид движ]="Расход"))</f>
        <v>0</v>
      </c>
      <c r="H3">
        <f>Таблица9[[#This Row],[Остаток на 1 октября]]+Таблица9[[#This Row],[Приход2]]-Таблица9[[#This Row],[Расход2]]</f>
        <v>0</v>
      </c>
      <c r="I3" s="1">
        <f>IF(VLOOKUP(Таблица9[Наименование],Таблица4[],4,0)="","",VLOOKUP(Таблица9[Наименование],Таблица4[],4,0))</f>
        <v>43739</v>
      </c>
    </row>
    <row r="4" spans="1:9" x14ac:dyDescent="0.25">
      <c r="A4" t="str">
        <f>Таблица4[Наименование]</f>
        <v>ААААА серия 0999</v>
      </c>
      <c r="B4">
        <f>SUMPRODUCT(Таблица6[Введено]*(Таблица6[Наименование]=A4)*(Таблица6[Вид движ]="Приход"))</f>
        <v>0</v>
      </c>
      <c r="C4">
        <f>SUMPRODUCT(Таблица6[Введено]*(Таблица6[Наименование]=A4)*(Таблица6[Вид движ]="Расход"))</f>
        <v>0</v>
      </c>
      <c r="D4">
        <f t="shared" ref="D4:D27" si="0">B4-C4</f>
        <v>0</v>
      </c>
      <c r="E4" s="1">
        <f>IF(VLOOKUP(Таблица9[Наименование],Таблица4[],4,0)="","",VLOOKUP(Таблица9[Наименование],Таблица4[],4,0))</f>
        <v>43740</v>
      </c>
      <c r="F4">
        <f>SUMPRODUCT(Таблица68[Введено]*(Таблица6[Наименование]=A4)*(Таблица68[Вид движ]="Приход"))</f>
        <v>0</v>
      </c>
      <c r="G4">
        <f>SUMPRODUCT(Таблица68[Введено]*(Таблица6[Наименование]=A4)*(Таблица68[Вид движ]="Расход"))</f>
        <v>0</v>
      </c>
      <c r="H4">
        <f>Таблица9[[#This Row],[Остаток на 1 октября]]+Таблица9[[#This Row],[Приход2]]-Таблица9[[#This Row],[Расход2]]</f>
        <v>0</v>
      </c>
      <c r="I4" s="1">
        <f>IF(VLOOKUP(Таблица9[Наименование],Таблица4[],4,0)="","",VLOOKUP(Таблица9[Наименование],Таблица4[],4,0))</f>
        <v>43740</v>
      </c>
    </row>
    <row r="5" spans="1:9" x14ac:dyDescent="0.25">
      <c r="A5" t="str">
        <f>Таблица4[Наименование]</f>
        <v>ББББББ</v>
      </c>
      <c r="B5">
        <f>SUMPRODUCT(Таблица6[Введено]*(Таблица6[Наименование]=A5)*(Таблица6[Вид движ]="Приход"))</f>
        <v>0</v>
      </c>
      <c r="C5">
        <f>SUMPRODUCT(Таблица6[Введено]*(Таблица6[Наименование]=A5)*(Таблица6[Вид движ]="Расход"))</f>
        <v>0</v>
      </c>
      <c r="D5">
        <f t="shared" si="0"/>
        <v>0</v>
      </c>
      <c r="E5" s="1">
        <f>IF(VLOOKUP(Таблица9[Наименование],Таблица4[],4,0)="","",VLOOKUP(Таблица9[Наименование],Таблица4[],4,0))</f>
        <v>43741</v>
      </c>
      <c r="F5">
        <f>SUMPRODUCT(Таблица68[Введено]*(Таблица6[Наименование]=A5)*(Таблица68[Вид движ]="Приход"))</f>
        <v>0</v>
      </c>
      <c r="G5">
        <f>SUMPRODUCT(Таблица68[Введено]*(Таблица6[Наименование]=A5)*(Таблица68[Вид движ]="Расход"))</f>
        <v>0</v>
      </c>
      <c r="H5">
        <f>Таблица9[[#This Row],[Остаток на 1 октября]]+Таблица9[[#This Row],[Приход2]]-Таблица9[[#This Row],[Расход2]]</f>
        <v>0</v>
      </c>
      <c r="I5" s="1">
        <f>IF(VLOOKUP(Таблица9[Наименование],Таблица4[],4,0)="","",VLOOKUP(Таблица9[Наименование],Таблица4[],4,0))</f>
        <v>43741</v>
      </c>
    </row>
    <row r="6" spans="1:9" x14ac:dyDescent="0.25">
      <c r="A6" t="str">
        <f>Таблица4[Наименование]</f>
        <v>ВВВВВ</v>
      </c>
      <c r="B6">
        <f>SUMPRODUCT(Таблица6[Введено]*(Таблица6[Наименование]=A6)*(Таблица6[Вид движ]="Приход"))</f>
        <v>0</v>
      </c>
      <c r="C6">
        <f>SUMPRODUCT(Таблица6[Введено]*(Таблица6[Наименование]=A6)*(Таблица6[Вид движ]="Расход"))</f>
        <v>0</v>
      </c>
      <c r="D6">
        <f t="shared" si="0"/>
        <v>0</v>
      </c>
      <c r="E6" s="1">
        <f>IF(VLOOKUP(Таблица9[Наименование],Таблица4[],4,0)="","",VLOOKUP(Таблица9[Наименование],Таблица4[],4,0))</f>
        <v>43742</v>
      </c>
      <c r="F6">
        <f>SUMPRODUCT(Таблица68[Введено]*(Таблица6[Наименование]=A6)*(Таблица68[Вид движ]="Приход"))</f>
        <v>0</v>
      </c>
      <c r="G6">
        <f>SUMPRODUCT(Таблица68[Введено]*(Таблица6[Наименование]=A6)*(Таблица68[Вид движ]="Расход"))</f>
        <v>0</v>
      </c>
      <c r="H6">
        <f>Таблица9[[#This Row],[Остаток на 1 октября]]+Таблица9[[#This Row],[Приход2]]-Таблица9[[#This Row],[Расход2]]</f>
        <v>0</v>
      </c>
      <c r="I6" s="1">
        <f>IF(VLOOKUP(Таблица9[Наименование],Таблица4[],4,0)="","",VLOOKUP(Таблица9[Наименование],Таблица4[],4,0))</f>
        <v>43742</v>
      </c>
    </row>
    <row r="7" spans="1:9" x14ac:dyDescent="0.25">
      <c r="A7" t="str">
        <f>Таблица4[Наименование]</f>
        <v xml:space="preserve"> ГГГГГГ серия 0022</v>
      </c>
      <c r="B7">
        <f>SUMPRODUCT(Таблица6[Введено]*(Таблица6[Наименование]=A7)*(Таблица6[Вид движ]="Приход"))</f>
        <v>10</v>
      </c>
      <c r="C7">
        <f>SUMPRODUCT(Таблица6[Введено]*(Таблица6[Наименование]=A7)*(Таблица6[Вид движ]="Расход"))</f>
        <v>2</v>
      </c>
      <c r="D7">
        <f t="shared" si="0"/>
        <v>8</v>
      </c>
      <c r="E7" s="1">
        <f>IF(VLOOKUP(Таблица9[Наименование],Таблица4[],4,0)="","",VLOOKUP(Таблица9[Наименование],Таблица4[],4,0))</f>
        <v>43743</v>
      </c>
      <c r="F7">
        <f>SUMPRODUCT(Таблица68[Введено]*(Таблица6[Наименование]=A7)*(Таблица68[Вид движ]="Приход"))</f>
        <v>10</v>
      </c>
      <c r="G7">
        <f>SUMPRODUCT(Таблица68[Введено]*(Таблица6[Наименование]=A7)*(Таблица68[Вид движ]="Расход"))</f>
        <v>2</v>
      </c>
      <c r="H7">
        <f>Таблица9[[#This Row],[Остаток на 1 октября]]+Таблица9[[#This Row],[Приход2]]-Таблица9[[#This Row],[Расход2]]</f>
        <v>16</v>
      </c>
      <c r="I7" s="1">
        <f>IF(VLOOKUP(Таблица9[Наименование],Таблица4[],4,0)="","",VLOOKUP(Таблица9[Наименование],Таблица4[],4,0))</f>
        <v>43743</v>
      </c>
    </row>
    <row r="8" spans="1:9" x14ac:dyDescent="0.25">
      <c r="A8" t="str">
        <f>Таблица4[Наименование]</f>
        <v>ГГГГГГ серия 0111</v>
      </c>
      <c r="B8">
        <f>SUMPRODUCT(Таблица6[Введено]*(Таблица6[Наименование]=A8)*(Таблица6[Вид движ]="Приход"))</f>
        <v>0</v>
      </c>
      <c r="C8">
        <f>SUMPRODUCT(Таблица6[Введено]*(Таблица6[Наименование]=A8)*(Таблица6[Вид движ]="Расход"))</f>
        <v>0</v>
      </c>
      <c r="D8">
        <f t="shared" si="0"/>
        <v>0</v>
      </c>
      <c r="E8" s="1">
        <f>IF(VLOOKUP(Таблица9[Наименование],Таблица4[],4,0)="","",VLOOKUP(Таблица9[Наименование],Таблица4[],4,0))</f>
        <v>43744</v>
      </c>
      <c r="F8">
        <f>SUMPRODUCT(Таблица68[Введено]*(Таблица6[Наименование]=A8)*(Таблица68[Вид движ]="Приход"))</f>
        <v>0</v>
      </c>
      <c r="G8">
        <f>SUMPRODUCT(Таблица68[Введено]*(Таблица6[Наименование]=A8)*(Таблица68[Вид движ]="Расход"))</f>
        <v>0</v>
      </c>
      <c r="H8">
        <f>Таблица9[[#This Row],[Остаток на 1 октября]]+Таблица9[[#This Row],[Приход2]]-Таблица9[[#This Row],[Расход2]]</f>
        <v>0</v>
      </c>
      <c r="I8" s="1">
        <f>IF(VLOOKUP(Таблица9[Наименование],Таблица4[],4,0)="","",VLOOKUP(Таблица9[Наименование],Таблица4[],4,0))</f>
        <v>43744</v>
      </c>
    </row>
    <row r="9" spans="1:9" x14ac:dyDescent="0.25">
      <c r="A9" t="str">
        <f>Таблица4[Наименование]</f>
        <v>ДДДДД</v>
      </c>
      <c r="B9">
        <f>SUMPRODUCT(Таблица6[Введено]*(Таблица6[Наименование]=A9)*(Таблица6[Вид движ]="Приход"))</f>
        <v>0</v>
      </c>
      <c r="C9">
        <f>SUMPRODUCT(Таблица6[Введено]*(Таблица6[Наименование]=A9)*(Таблица6[Вид движ]="Расход"))</f>
        <v>0</v>
      </c>
      <c r="D9">
        <f t="shared" si="0"/>
        <v>0</v>
      </c>
      <c r="E9" s="1">
        <f>IF(VLOOKUP(Таблица9[Наименование],Таблица4[],4,0)="","",VLOOKUP(Таблица9[Наименование],Таблица4[],4,0))</f>
        <v>43745</v>
      </c>
      <c r="F9">
        <f>SUMPRODUCT(Таблица68[Введено]*(Таблица6[Наименование]=A9)*(Таблица68[Вид движ]="Приход"))</f>
        <v>0</v>
      </c>
      <c r="G9">
        <f>SUMPRODUCT(Таблица68[Введено]*(Таблица6[Наименование]=A9)*(Таблица68[Вид движ]="Расход"))</f>
        <v>0</v>
      </c>
      <c r="H9">
        <f>Таблица9[[#This Row],[Остаток на 1 октября]]+Таблица9[[#This Row],[Приход2]]-Таблица9[[#This Row],[Расход2]]</f>
        <v>0</v>
      </c>
      <c r="I9" s="1">
        <f>IF(VLOOKUP(Таблица9[Наименование],Таблица4[],4,0)="","",VLOOKUP(Таблица9[Наименование],Таблица4[],4,0))</f>
        <v>43745</v>
      </c>
    </row>
    <row r="10" spans="1:9" x14ac:dyDescent="0.25">
      <c r="A10" t="str">
        <f>Таблица4[Наименование]</f>
        <v>ЕЕЕЕЕЕЕ</v>
      </c>
      <c r="B10">
        <f>SUMPRODUCT(Таблица6[Введено]*(Таблица6[Наименование]=A10)*(Таблица6[Вид движ]="Приход"))</f>
        <v>0</v>
      </c>
      <c r="C10">
        <f>SUMPRODUCT(Таблица6[Введено]*(Таблица6[Наименование]=A10)*(Таблица6[Вид движ]="Расход"))</f>
        <v>1</v>
      </c>
      <c r="D10">
        <f t="shared" si="0"/>
        <v>-1</v>
      </c>
      <c r="E10" s="1">
        <f>IF(VLOOKUP(Таблица9[Наименование],Таблица4[],4,0)="","",VLOOKUP(Таблица9[Наименование],Таблица4[],4,0))</f>
        <v>43746</v>
      </c>
      <c r="F10">
        <f>SUMPRODUCT(Таблица68[Введено]*(Таблица6[Наименование]=A10)*(Таблица68[Вид движ]="Приход"))</f>
        <v>0</v>
      </c>
      <c r="G10">
        <f>SUMPRODUCT(Таблица68[Введено]*(Таблица6[Наименование]=A10)*(Таблица68[Вид движ]="Расход"))</f>
        <v>1</v>
      </c>
      <c r="H10">
        <f>Таблица9[[#This Row],[Остаток на 1 октября]]+Таблица9[[#This Row],[Приход2]]-Таблица9[[#This Row],[Расход2]]</f>
        <v>-2</v>
      </c>
      <c r="I10" s="1">
        <f>IF(VLOOKUP(Таблица9[Наименование],Таблица4[],4,0)="","",VLOOKUP(Таблица9[Наименование],Таблица4[],4,0))</f>
        <v>43746</v>
      </c>
    </row>
    <row r="11" spans="1:9" x14ac:dyDescent="0.25">
      <c r="A11" t="str">
        <f>Таблица4[Наименование]</f>
        <v>ЖЖЖЖ</v>
      </c>
      <c r="B11">
        <f>SUMPRODUCT(Таблица6[Введено]*(Таблица6[Наименование]=A11)*(Таблица6[Вид движ]="Приход"))</f>
        <v>0</v>
      </c>
      <c r="C11">
        <f>SUMPRODUCT(Таблица6[Введено]*(Таблица6[Наименование]=A11)*(Таблица6[Вид движ]="Расход"))</f>
        <v>0</v>
      </c>
      <c r="D11">
        <f t="shared" si="0"/>
        <v>0</v>
      </c>
      <c r="E11" s="1">
        <f>IF(VLOOKUP(Таблица9[Наименование],Таблица4[],4,0)="","",VLOOKUP(Таблица9[Наименование],Таблица4[],4,0))</f>
        <v>43747</v>
      </c>
      <c r="F11">
        <f>SUMPRODUCT(Таблица68[Введено]*(Таблица6[Наименование]=A11)*(Таблица68[Вид движ]="Приход"))</f>
        <v>0</v>
      </c>
      <c r="G11">
        <f>SUMPRODUCT(Таблица68[Введено]*(Таблица6[Наименование]=A11)*(Таблица68[Вид движ]="Расход"))</f>
        <v>0</v>
      </c>
      <c r="H11">
        <f>Таблица9[[#This Row],[Остаток на 1 октября]]+Таблица9[[#This Row],[Приход2]]-Таблица9[[#This Row],[Расход2]]</f>
        <v>0</v>
      </c>
      <c r="I11" s="1">
        <f>IF(VLOOKUP(Таблица9[Наименование],Таблица4[],4,0)="","",VLOOKUP(Таблица9[Наименование],Таблица4[],4,0))</f>
        <v>43747</v>
      </c>
    </row>
    <row r="12" spans="1:9" x14ac:dyDescent="0.25">
      <c r="A12" t="str">
        <f>Таблица4[Наименование]</f>
        <v>ЗЗЗЗЗЗ</v>
      </c>
      <c r="B12">
        <f>SUMPRODUCT(Таблица6[Введено]*(Таблица6[Наименование]=A12)*(Таблица6[Вид движ]="Приход"))</f>
        <v>0</v>
      </c>
      <c r="C12">
        <f>SUMPRODUCT(Таблица6[Введено]*(Таблица6[Наименование]=A12)*(Таблица6[Вид движ]="Расход"))</f>
        <v>0</v>
      </c>
      <c r="D12">
        <f t="shared" si="0"/>
        <v>0</v>
      </c>
      <c r="E12" s="1">
        <f>IF(VLOOKUP(Таблица9[Наименование],Таблица4[],4,0)="","",VLOOKUP(Таблица9[Наименование],Таблица4[],4,0))</f>
        <v>43748</v>
      </c>
      <c r="F12">
        <f>SUMPRODUCT(Таблица68[Введено]*(Таблица6[Наименование]=A12)*(Таблица68[Вид движ]="Приход"))</f>
        <v>0</v>
      </c>
      <c r="G12">
        <f>SUMPRODUCT(Таблица68[Введено]*(Таблица6[Наименование]=A12)*(Таблица68[Вид движ]="Расход"))</f>
        <v>0</v>
      </c>
      <c r="H12">
        <f>Таблица9[[#This Row],[Остаток на 1 октября]]+Таблица9[[#This Row],[Приход2]]-Таблица9[[#This Row],[Расход2]]</f>
        <v>0</v>
      </c>
      <c r="I12" s="1">
        <f>IF(VLOOKUP(Таблица9[Наименование],Таблица4[],4,0)="","",VLOOKUP(Таблица9[Наименование],Таблица4[],4,0))</f>
        <v>43748</v>
      </c>
    </row>
    <row r="13" spans="1:9" x14ac:dyDescent="0.25">
      <c r="A13" t="str">
        <f>Таблица4[Наименование]</f>
        <v>ИИИИИ серия 0988</v>
      </c>
      <c r="B13">
        <f>SUMPRODUCT(Таблица6[Введено]*(Таблица6[Наименование]=A13)*(Таблица6[Вид движ]="Приход"))</f>
        <v>0</v>
      </c>
      <c r="C13">
        <f>SUMPRODUCT(Таблица6[Введено]*(Таблица6[Наименование]=A13)*(Таблица6[Вид движ]="Расход"))</f>
        <v>2</v>
      </c>
      <c r="D13">
        <f t="shared" si="0"/>
        <v>-2</v>
      </c>
      <c r="E13" s="1">
        <f>IF(VLOOKUP(Таблица9[Наименование],Таблица4[],4,0)="","",VLOOKUP(Таблица9[Наименование],Таблица4[],4,0))</f>
        <v>43749</v>
      </c>
      <c r="F13">
        <f>SUMPRODUCT(Таблица68[Введено]*(Таблица6[Наименование]=A13)*(Таблица68[Вид движ]="Приход"))</f>
        <v>0</v>
      </c>
      <c r="G13">
        <f>SUMPRODUCT(Таблица68[Введено]*(Таблица6[Наименование]=A13)*(Таблица68[Вид движ]="Расход"))</f>
        <v>2</v>
      </c>
      <c r="H13">
        <f>Таблица9[[#This Row],[Остаток на 1 октября]]+Таблица9[[#This Row],[Приход2]]-Таблица9[[#This Row],[Расход2]]</f>
        <v>-4</v>
      </c>
      <c r="I13" s="1">
        <f>IF(VLOOKUP(Таблица9[Наименование],Таблица4[],4,0)="","",VLOOKUP(Таблица9[Наименование],Таблица4[],4,0))</f>
        <v>43749</v>
      </c>
    </row>
    <row r="14" spans="1:9" x14ac:dyDescent="0.25">
      <c r="A14" t="str">
        <f>Таблица4[Наименование]</f>
        <v>ИИИИИ серия 0333</v>
      </c>
      <c r="B14">
        <f>SUMPRODUCT(Таблица6[Введено]*(Таблица6[Наименование]=A14)*(Таблица6[Вид движ]="Приход"))</f>
        <v>0</v>
      </c>
      <c r="C14">
        <f>SUMPRODUCT(Таблица6[Введено]*(Таблица6[Наименование]=A14)*(Таблица6[Вид движ]="Расход"))</f>
        <v>0</v>
      </c>
      <c r="D14">
        <f t="shared" si="0"/>
        <v>0</v>
      </c>
      <c r="E14" s="1">
        <f>IF(VLOOKUP(Таблица9[Наименование],Таблица4[],4,0)="","",VLOOKUP(Таблица9[Наименование],Таблица4[],4,0))</f>
        <v>43750</v>
      </c>
      <c r="F14">
        <f>SUMPRODUCT(Таблица68[Введено]*(Таблица6[Наименование]=A14)*(Таблица68[Вид движ]="Приход"))</f>
        <v>0</v>
      </c>
      <c r="G14">
        <f>SUMPRODUCT(Таблица68[Введено]*(Таблица6[Наименование]=A14)*(Таблица68[Вид движ]="Расход"))</f>
        <v>0</v>
      </c>
      <c r="H14">
        <f>Таблица9[[#This Row],[Остаток на 1 октября]]+Таблица9[[#This Row],[Приход2]]-Таблица9[[#This Row],[Расход2]]</f>
        <v>0</v>
      </c>
      <c r="I14" s="1">
        <f>IF(VLOOKUP(Таблица9[Наименование],Таблица4[],4,0)="","",VLOOKUP(Таблица9[Наименование],Таблица4[],4,0))</f>
        <v>43750</v>
      </c>
    </row>
    <row r="15" spans="1:9" x14ac:dyDescent="0.25">
      <c r="A15" t="str">
        <f>Таблица4[Наименование]</f>
        <v>ККККК</v>
      </c>
      <c r="B15">
        <f>SUMPRODUCT(Таблица6[Введено]*(Таблица6[Наименование]=A15)*(Таблица6[Вид движ]="Приход"))</f>
        <v>0</v>
      </c>
      <c r="C15">
        <f>SUMPRODUCT(Таблица6[Введено]*(Таблица6[Наименование]=A15)*(Таблица6[Вид движ]="Расход"))</f>
        <v>0</v>
      </c>
      <c r="D15">
        <f t="shared" si="0"/>
        <v>0</v>
      </c>
      <c r="E15" s="1">
        <f>IF(VLOOKUP(Таблица9[Наименование],Таблица4[],4,0)="","",VLOOKUP(Таблица9[Наименование],Таблица4[],4,0))</f>
        <v>43751</v>
      </c>
      <c r="F15">
        <f>SUMPRODUCT(Таблица68[Введено]*(Таблица6[Наименование]=A15)*(Таблица68[Вид движ]="Приход"))</f>
        <v>0</v>
      </c>
      <c r="G15">
        <f>SUMPRODUCT(Таблица68[Введено]*(Таблица6[Наименование]=A15)*(Таблица68[Вид движ]="Расход"))</f>
        <v>0</v>
      </c>
      <c r="H15">
        <f>Таблица9[[#This Row],[Остаток на 1 октября]]+Таблица9[[#This Row],[Приход2]]-Таблица9[[#This Row],[Расход2]]</f>
        <v>0</v>
      </c>
      <c r="I15" s="1">
        <f>IF(VLOOKUP(Таблица9[Наименование],Таблица4[],4,0)="","",VLOOKUP(Таблица9[Наименование],Таблица4[],4,0))</f>
        <v>43751</v>
      </c>
    </row>
    <row r="16" spans="1:9" x14ac:dyDescent="0.25">
      <c r="A16" t="str">
        <f>Таблица4[Наименование]</f>
        <v>ЛЛЛЛЛ</v>
      </c>
      <c r="B16">
        <f>SUMPRODUCT(Таблица6[Введено]*(Таблица6[Наименование]=A16)*(Таблица6[Вид движ]="Приход"))</f>
        <v>0</v>
      </c>
      <c r="C16">
        <f>SUMPRODUCT(Таблица6[Введено]*(Таблица6[Наименование]=A16)*(Таблица6[Вид движ]="Расход"))</f>
        <v>0</v>
      </c>
      <c r="D16">
        <f t="shared" si="0"/>
        <v>0</v>
      </c>
      <c r="E16" s="1">
        <f>IF(VLOOKUP(Таблица9[Наименование],Таблица4[],4,0)="","",VLOOKUP(Таблица9[Наименование],Таблица4[],4,0))</f>
        <v>43752</v>
      </c>
      <c r="F16">
        <f>SUMPRODUCT(Таблица68[Введено]*(Таблица6[Наименование]=A16)*(Таблица68[Вид движ]="Приход"))</f>
        <v>0</v>
      </c>
      <c r="G16">
        <f>SUMPRODUCT(Таблица68[Введено]*(Таблица6[Наименование]=A16)*(Таблица68[Вид движ]="Расход"))</f>
        <v>0</v>
      </c>
      <c r="H16">
        <f>Таблица9[[#This Row],[Остаток на 1 октября]]+Таблица9[[#This Row],[Приход2]]-Таблица9[[#This Row],[Расход2]]</f>
        <v>0</v>
      </c>
      <c r="I16" s="1">
        <f>IF(VLOOKUP(Таблица9[Наименование],Таблица4[],4,0)="","",VLOOKUP(Таблица9[Наименование],Таблица4[],4,0))</f>
        <v>43752</v>
      </c>
    </row>
    <row r="17" spans="1:9" x14ac:dyDescent="0.25">
      <c r="A17" t="str">
        <f>Таблица4[Наименование]</f>
        <v>ММММ</v>
      </c>
      <c r="B17">
        <f>SUMPRODUCT(Таблица6[Введено]*(Таблица6[Наименование]=A17)*(Таблица6[Вид движ]="Приход"))</f>
        <v>0</v>
      </c>
      <c r="C17">
        <f>SUMPRODUCT(Таблица6[Введено]*(Таблица6[Наименование]=A17)*(Таблица6[Вид движ]="Расход"))</f>
        <v>0</v>
      </c>
      <c r="D17">
        <f t="shared" si="0"/>
        <v>0</v>
      </c>
      <c r="E17" s="1">
        <f>IF(VLOOKUP(Таблица9[Наименование],Таблица4[],4,0)="","",VLOOKUP(Таблица9[Наименование],Таблица4[],4,0))</f>
        <v>43753</v>
      </c>
      <c r="F17">
        <f>SUMPRODUCT(Таблица68[Введено]*(Таблица6[Наименование]=A17)*(Таблица68[Вид движ]="Приход"))</f>
        <v>0</v>
      </c>
      <c r="G17">
        <f>SUMPRODUCT(Таблица68[Введено]*(Таблица6[Наименование]=A17)*(Таблица68[Вид движ]="Расход"))</f>
        <v>0</v>
      </c>
      <c r="H17">
        <f>Таблица9[[#This Row],[Остаток на 1 октября]]+Таблица9[[#This Row],[Приход2]]-Таблица9[[#This Row],[Расход2]]</f>
        <v>0</v>
      </c>
      <c r="I17" s="1">
        <f>IF(VLOOKUP(Таблица9[Наименование],Таблица4[],4,0)="","",VLOOKUP(Таблица9[Наименование],Таблица4[],4,0))</f>
        <v>43753</v>
      </c>
    </row>
    <row r="18" spans="1:9" x14ac:dyDescent="0.25">
      <c r="A18" t="str">
        <f>Таблица4[Наименование]</f>
        <v>ННННН</v>
      </c>
      <c r="B18">
        <f>SUMPRODUCT(Таблица6[Введено]*(Таблица6[Наименование]=A18)*(Таблица6[Вид движ]="Приход"))</f>
        <v>0</v>
      </c>
      <c r="C18">
        <f>SUMPRODUCT(Таблица6[Введено]*(Таблица6[Наименование]=A18)*(Таблица6[Вид движ]="Расход"))</f>
        <v>0</v>
      </c>
      <c r="D18">
        <f t="shared" si="0"/>
        <v>0</v>
      </c>
      <c r="E18" s="1">
        <f>IF(VLOOKUP(Таблица9[Наименование],Таблица4[],4,0)="","",VLOOKUP(Таблица9[Наименование],Таблица4[],4,0))</f>
        <v>43754</v>
      </c>
      <c r="F18">
        <f>SUMPRODUCT(Таблица68[Введено]*(Таблица6[Наименование]=A18)*(Таблица68[Вид движ]="Приход"))</f>
        <v>0</v>
      </c>
      <c r="G18">
        <f>SUMPRODUCT(Таблица68[Введено]*(Таблица6[Наименование]=A18)*(Таблица68[Вид движ]="Расход"))</f>
        <v>0</v>
      </c>
      <c r="H18">
        <f>Таблица9[[#This Row],[Остаток на 1 октября]]+Таблица9[[#This Row],[Приход2]]-Таблица9[[#This Row],[Расход2]]</f>
        <v>0</v>
      </c>
      <c r="I18" s="1">
        <f>IF(VLOOKUP(Таблица9[Наименование],Таблица4[],4,0)="","",VLOOKUP(Таблица9[Наименование],Таблица4[],4,0))</f>
        <v>43754</v>
      </c>
    </row>
    <row r="19" spans="1:9" x14ac:dyDescent="0.25">
      <c r="A19" t="str">
        <f>Таблица4[Наименование]</f>
        <v>ООООО</v>
      </c>
      <c r="B19">
        <f>SUMPRODUCT(Таблица6[Введено]*(Таблица6[Наименование]=A19)*(Таблица6[Вид движ]="Приход"))</f>
        <v>0</v>
      </c>
      <c r="C19">
        <f>SUMPRODUCT(Таблица6[Введено]*(Таблица6[Наименование]=A19)*(Таблица6[Вид движ]="Расход"))</f>
        <v>0</v>
      </c>
      <c r="D19">
        <f t="shared" si="0"/>
        <v>0</v>
      </c>
      <c r="E19" s="1">
        <f>IF(VLOOKUP(Таблица9[Наименование],Таблица4[],4,0)="","",VLOOKUP(Таблица9[Наименование],Таблица4[],4,0))</f>
        <v>43755</v>
      </c>
      <c r="F19">
        <f>SUMPRODUCT(Таблица68[Введено]*(Таблица6[Наименование]=A19)*(Таблица68[Вид движ]="Приход"))</f>
        <v>0</v>
      </c>
      <c r="G19">
        <f>SUMPRODUCT(Таблица68[Введено]*(Таблица6[Наименование]=A19)*(Таблица68[Вид движ]="Расход"))</f>
        <v>0</v>
      </c>
      <c r="H19">
        <f>Таблица9[[#This Row],[Остаток на 1 октября]]+Таблица9[[#This Row],[Приход2]]-Таблица9[[#This Row],[Расход2]]</f>
        <v>0</v>
      </c>
      <c r="I19" s="1">
        <f>IF(VLOOKUP(Таблица9[Наименование],Таблица4[],4,0)="","",VLOOKUP(Таблица9[Наименование],Таблица4[],4,0))</f>
        <v>43755</v>
      </c>
    </row>
    <row r="20" spans="1:9" x14ac:dyDescent="0.25">
      <c r="A20" t="str">
        <f>Таблица4[Наименование]</f>
        <v>ПППП</v>
      </c>
      <c r="B20">
        <f>SUMPRODUCT(Таблица6[Введено]*(Таблица6[Наименование]=A20)*(Таблица6[Вид движ]="Приход"))</f>
        <v>0</v>
      </c>
      <c r="C20">
        <f>SUMPRODUCT(Таблица6[Введено]*(Таблица6[Наименование]=A20)*(Таблица6[Вид движ]="Расход"))</f>
        <v>0</v>
      </c>
      <c r="D20">
        <f t="shared" si="0"/>
        <v>0</v>
      </c>
      <c r="E20" s="1">
        <f>IF(VLOOKUP(Таблица9[Наименование],Таблица4[],4,0)="","",VLOOKUP(Таблица9[Наименование],Таблица4[],4,0))</f>
        <v>43756</v>
      </c>
      <c r="F20">
        <f>SUMPRODUCT(Таблица68[Введено]*(Таблица6[Наименование]=A20)*(Таблица68[Вид движ]="Приход"))</f>
        <v>0</v>
      </c>
      <c r="G20">
        <f>SUMPRODUCT(Таблица68[Введено]*(Таблица6[Наименование]=A20)*(Таблица68[Вид движ]="Расход"))</f>
        <v>0</v>
      </c>
      <c r="H20">
        <f>Таблица9[[#This Row],[Остаток на 1 октября]]+Таблица9[[#This Row],[Приход2]]-Таблица9[[#This Row],[Расход2]]</f>
        <v>0</v>
      </c>
      <c r="I20" s="1">
        <f>IF(VLOOKUP(Таблица9[Наименование],Таблица4[],4,0)="","",VLOOKUP(Таблица9[Наименование],Таблица4[],4,0))</f>
        <v>43756</v>
      </c>
    </row>
    <row r="21" spans="1:9" x14ac:dyDescent="0.25">
      <c r="A21" t="str">
        <f>Таблица4[Наименование]</f>
        <v>РРРРР</v>
      </c>
      <c r="B21">
        <f>SUMPRODUCT(Таблица6[Введено]*(Таблица6[Наименование]=A21)*(Таблица6[Вид движ]="Приход"))</f>
        <v>0</v>
      </c>
      <c r="C21">
        <f>SUMPRODUCT(Таблица6[Введено]*(Таблица6[Наименование]=A21)*(Таблица6[Вид движ]="Расход"))</f>
        <v>0</v>
      </c>
      <c r="D21">
        <f t="shared" si="0"/>
        <v>0</v>
      </c>
      <c r="E21" s="1">
        <f>IF(VLOOKUP(Таблица9[Наименование],Таблица4[],4,0)="","",VLOOKUP(Таблица9[Наименование],Таблица4[],4,0))</f>
        <v>43757</v>
      </c>
      <c r="F21">
        <f>SUMPRODUCT(Таблица68[Введено]*(Таблица6[Наименование]=A21)*(Таблица68[Вид движ]="Приход"))</f>
        <v>0</v>
      </c>
      <c r="G21">
        <f>SUMPRODUCT(Таблица68[Введено]*(Таблица6[Наименование]=A21)*(Таблица68[Вид движ]="Расход"))</f>
        <v>0</v>
      </c>
      <c r="H21">
        <f>Таблица9[[#This Row],[Остаток на 1 октября]]+Таблица9[[#This Row],[Приход2]]-Таблица9[[#This Row],[Расход2]]</f>
        <v>0</v>
      </c>
      <c r="I21" s="1">
        <f>IF(VLOOKUP(Таблица9[Наименование],Таблица4[],4,0)="","",VLOOKUP(Таблица9[Наименование],Таблица4[],4,0))</f>
        <v>43757</v>
      </c>
    </row>
    <row r="22" spans="1:9" x14ac:dyDescent="0.25">
      <c r="A22" t="str">
        <f>Таблица4[Наименование]</f>
        <v>ССССС</v>
      </c>
      <c r="B22">
        <f>SUMPRODUCT(Таблица6[Введено]*(Таблица6[Наименование]=A22)*(Таблица6[Вид движ]="Приход"))</f>
        <v>0</v>
      </c>
      <c r="C22">
        <f>SUMPRODUCT(Таблица6[Введено]*(Таблица6[Наименование]=A22)*(Таблица6[Вид движ]="Расход"))</f>
        <v>0</v>
      </c>
      <c r="D22">
        <f t="shared" si="0"/>
        <v>0</v>
      </c>
      <c r="E22" s="1">
        <f>IF(VLOOKUP(Таблица9[Наименование],Таблица4[],4,0)="","",VLOOKUP(Таблица9[Наименование],Таблица4[],4,0))</f>
        <v>43758</v>
      </c>
      <c r="F22">
        <f>SUMPRODUCT(Таблица68[Введено]*(Таблица6[Наименование]=A22)*(Таблица68[Вид движ]="Приход"))</f>
        <v>0</v>
      </c>
      <c r="G22">
        <f>SUMPRODUCT(Таблица68[Введено]*(Таблица6[Наименование]=A22)*(Таблица68[Вид движ]="Расход"))</f>
        <v>0</v>
      </c>
      <c r="H22">
        <f>Таблица9[[#This Row],[Остаток на 1 октября]]+Таблица9[[#This Row],[Приход2]]-Таблица9[[#This Row],[Расход2]]</f>
        <v>0</v>
      </c>
      <c r="I22" s="1">
        <f>IF(VLOOKUP(Таблица9[Наименование],Таблица4[],4,0)="","",VLOOKUP(Таблица9[Наименование],Таблица4[],4,0))</f>
        <v>43758</v>
      </c>
    </row>
    <row r="23" spans="1:9" x14ac:dyDescent="0.25">
      <c r="A23" t="str">
        <f>Таблица4[Наименование]</f>
        <v>ТТТТТ</v>
      </c>
      <c r="B23">
        <f>SUMPRODUCT(Таблица6[Введено]*(Таблица6[Наименование]=A23)*(Таблица6[Вид движ]="Приход"))</f>
        <v>0</v>
      </c>
      <c r="C23">
        <f>SUMPRODUCT(Таблица6[Введено]*(Таблица6[Наименование]=A23)*(Таблица6[Вид движ]="Расход"))</f>
        <v>0</v>
      </c>
      <c r="D23">
        <f t="shared" si="0"/>
        <v>0</v>
      </c>
      <c r="E23" s="1">
        <f>IF(VLOOKUP(Таблица9[Наименование],Таблица4[],4,0)="","",VLOOKUP(Таблица9[Наименование],Таблица4[],4,0))</f>
        <v>43759</v>
      </c>
      <c r="F23">
        <f>SUMPRODUCT(Таблица68[Введено]*(Таблица6[Наименование]=A23)*(Таблица68[Вид движ]="Приход"))</f>
        <v>0</v>
      </c>
      <c r="G23">
        <f>SUMPRODUCT(Таблица68[Введено]*(Таблица6[Наименование]=A23)*(Таблица68[Вид движ]="Расход"))</f>
        <v>0</v>
      </c>
      <c r="H23">
        <f>Таблица9[[#This Row],[Остаток на 1 октября]]+Таблица9[[#This Row],[Приход2]]-Таблица9[[#This Row],[Расход2]]</f>
        <v>0</v>
      </c>
      <c r="I23" s="1">
        <f>IF(VLOOKUP(Таблица9[Наименование],Таблица4[],4,0)="","",VLOOKUP(Таблица9[Наименование],Таблица4[],4,0))</f>
        <v>43759</v>
      </c>
    </row>
    <row r="24" spans="1:9" x14ac:dyDescent="0.25">
      <c r="A24" t="str">
        <f>Таблица4[Наименование]</f>
        <v>УУУУУ</v>
      </c>
      <c r="B24">
        <f>SUMPRODUCT(Таблица6[Введено]*(Таблица6[Наименование]=A24)*(Таблица6[Вид движ]="Приход"))</f>
        <v>0</v>
      </c>
      <c r="C24">
        <f>SUMPRODUCT(Таблица6[Введено]*(Таблица6[Наименование]=A24)*(Таблица6[Вид движ]="Расход"))</f>
        <v>0</v>
      </c>
      <c r="D24">
        <f t="shared" si="0"/>
        <v>0</v>
      </c>
      <c r="E24" s="1">
        <f>IF(VLOOKUP(Таблица9[Наименование],Таблица4[],4,0)="","",VLOOKUP(Таблица9[Наименование],Таблица4[],4,0))</f>
        <v>43760</v>
      </c>
      <c r="F24">
        <f>SUMPRODUCT(Таблица68[Введено]*(Таблица6[Наименование]=A24)*(Таблица68[Вид движ]="Приход"))</f>
        <v>0</v>
      </c>
      <c r="G24">
        <f>SUMPRODUCT(Таблица68[Введено]*(Таблица6[Наименование]=A24)*(Таблица68[Вид движ]="Расход"))</f>
        <v>0</v>
      </c>
      <c r="H24">
        <f>Таблица9[[#This Row],[Остаток на 1 октября]]+Таблица9[[#This Row],[Приход2]]-Таблица9[[#This Row],[Расход2]]</f>
        <v>0</v>
      </c>
      <c r="I24" s="1">
        <f>IF(VLOOKUP(Таблица9[Наименование],Таблица4[],4,0)="","",VLOOKUP(Таблица9[Наименование],Таблица4[],4,0))</f>
        <v>43760</v>
      </c>
    </row>
    <row r="25" spans="1:9" x14ac:dyDescent="0.25">
      <c r="A25" t="str">
        <f>Таблица4[Наименование]</f>
        <v>ФФФФ</v>
      </c>
      <c r="B25">
        <f>SUMPRODUCT(Таблица6[Введено]*(Таблица6[Наименование]=A25)*(Таблица6[Вид движ]="Приход"))</f>
        <v>0</v>
      </c>
      <c r="C25">
        <f>SUMPRODUCT(Таблица6[Введено]*(Таблица6[Наименование]=A25)*(Таблица6[Вид движ]="Расход"))</f>
        <v>0</v>
      </c>
      <c r="D25">
        <f t="shared" si="0"/>
        <v>0</v>
      </c>
      <c r="E25" s="1">
        <f>IF(VLOOKUP(Таблица9[Наименование],Таблица4[],4,0)="","",VLOOKUP(Таблица9[Наименование],Таблица4[],4,0))</f>
        <v>43761</v>
      </c>
      <c r="F25">
        <f>SUMPRODUCT(Таблица68[Введено]*(Таблица6[Наименование]=A25)*(Таблица68[Вид движ]="Приход"))</f>
        <v>0</v>
      </c>
      <c r="G25">
        <f>SUMPRODUCT(Таблица68[Введено]*(Таблица6[Наименование]=A25)*(Таблица68[Вид движ]="Расход"))</f>
        <v>0</v>
      </c>
      <c r="H25">
        <f>Таблица9[[#This Row],[Остаток на 1 октября]]+Таблица9[[#This Row],[Приход2]]-Таблица9[[#This Row],[Расход2]]</f>
        <v>0</v>
      </c>
      <c r="I25" s="1">
        <f>IF(VLOOKUP(Таблица9[Наименование],Таблица4[],4,0)="","",VLOOKUP(Таблица9[Наименование],Таблица4[],4,0))</f>
        <v>43761</v>
      </c>
    </row>
    <row r="26" spans="1:9" x14ac:dyDescent="0.25">
      <c r="A26" t="str">
        <f>Таблица4[Наименование]</f>
        <v>ХХХХХ</v>
      </c>
      <c r="B26">
        <f>SUMPRODUCT(Таблица6[Введено]*(Таблица6[Наименование]=A26)*(Таблица6[Вид движ]="Приход"))</f>
        <v>0</v>
      </c>
      <c r="C26">
        <f>SUMPRODUCT(Таблица6[Введено]*(Таблица6[Наименование]=A26)*(Таблица6[Вид движ]="Расход"))</f>
        <v>0</v>
      </c>
      <c r="D26">
        <f t="shared" si="0"/>
        <v>0</v>
      </c>
      <c r="E26" s="1">
        <f>IF(VLOOKUP(Таблица9[Наименование],Таблица4[],4,0)="","",VLOOKUP(Таблица9[Наименование],Таблица4[],4,0))</f>
        <v>43762</v>
      </c>
      <c r="F26">
        <f>SUMPRODUCT(Таблица68[Введено]*(Таблица6[Наименование]=A26)*(Таблица68[Вид движ]="Приход"))</f>
        <v>0</v>
      </c>
      <c r="G26">
        <f>SUMPRODUCT(Таблица68[Введено]*(Таблица6[Наименование]=A26)*(Таблица68[Вид движ]="Расход"))</f>
        <v>0</v>
      </c>
      <c r="H26">
        <f>Таблица9[[#This Row],[Остаток на 1 октября]]+Таблица9[[#This Row],[Приход2]]-Таблица9[[#This Row],[Расход2]]</f>
        <v>0</v>
      </c>
      <c r="I26" s="1">
        <f>IF(VLOOKUP(Таблица9[Наименование],Таблица4[],4,0)="","",VLOOKUP(Таблица9[Наименование],Таблица4[],4,0))</f>
        <v>43762</v>
      </c>
    </row>
    <row r="27" spans="1:9" x14ac:dyDescent="0.25">
      <c r="A27" t="str">
        <f>Таблица4[Наименование]</f>
        <v>ЦЦЦЦЦ</v>
      </c>
      <c r="B27">
        <f>SUMPRODUCT(Таблица6[Введено]*(Таблица6[Наименование]=A27)*(Таблица6[Вид движ]="Приход"))</f>
        <v>0</v>
      </c>
      <c r="C27">
        <f>SUMPRODUCT(Таблица6[Введено]*(Таблица6[Наименование]=A27)*(Таблица6[Вид движ]="Расход"))</f>
        <v>0</v>
      </c>
      <c r="D27">
        <f t="shared" si="0"/>
        <v>0</v>
      </c>
      <c r="E27" s="1">
        <f>IF(VLOOKUP(Таблица9[Наименование],Таблица4[],4,0)="","",VLOOKUP(Таблица9[Наименование],Таблица4[],4,0))</f>
        <v>43763</v>
      </c>
      <c r="F27">
        <f>SUMPRODUCT(Таблица68[Введено]*(Таблица6[Наименование]=A27)*(Таблица68[Вид движ]="Приход"))</f>
        <v>0</v>
      </c>
      <c r="G27">
        <f>SUMPRODUCT(Таблица68[Введено]*(Таблица6[Наименование]=A27)*(Таблица68[Вид движ]="Расход"))</f>
        <v>0</v>
      </c>
      <c r="H27">
        <f>Таблица9[[#This Row],[Остаток на 1 октября]]+Таблица9[[#This Row],[Приход2]]-Таблица9[[#This Row],[Расход2]]</f>
        <v>0</v>
      </c>
      <c r="I27" s="1">
        <f>IF(VLOOKUP(Таблица9[Наименование],Таблица4[],4,0)="","",VLOOKUP(Таблица9[Наименование],Таблица4[],4,0))</f>
        <v>43763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3901-3DE4-4123-A60B-AF3AFF9A419B}">
  <dimension ref="A2:L12"/>
  <sheetViews>
    <sheetView workbookViewId="0">
      <selection activeCell="E7" sqref="E7"/>
    </sheetView>
  </sheetViews>
  <sheetFormatPr defaultRowHeight="15" x14ac:dyDescent="0.25"/>
  <cols>
    <col min="1" max="1" width="10.140625" bestFit="1" customWidth="1"/>
    <col min="2" max="2" width="15.7109375" customWidth="1"/>
    <col min="3" max="3" width="17.5703125" customWidth="1"/>
    <col min="4" max="4" width="15" customWidth="1"/>
    <col min="5" max="5" width="21.85546875" customWidth="1"/>
    <col min="6" max="6" width="10.140625" customWidth="1"/>
    <col min="7" max="7" width="12.42578125" customWidth="1"/>
    <col min="8" max="8" width="11.140625" customWidth="1"/>
    <col min="9" max="9" width="9.28515625" customWidth="1"/>
    <col min="10" max="10" width="13.140625" customWidth="1"/>
    <col min="11" max="11" width="13.28515625" customWidth="1"/>
    <col min="12" max="12" width="12.85546875" customWidth="1"/>
  </cols>
  <sheetData>
    <row r="2" spans="1:12" x14ac:dyDescent="0.25">
      <c r="A2" s="2" t="s">
        <v>49</v>
      </c>
      <c r="B2" s="2" t="s">
        <v>0</v>
      </c>
      <c r="C2" s="2" t="s">
        <v>5</v>
      </c>
      <c r="D2" s="2" t="s">
        <v>50</v>
      </c>
      <c r="E2" s="2" t="s">
        <v>19</v>
      </c>
      <c r="F2" s="2" t="s">
        <v>20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</row>
    <row r="3" spans="1:12" x14ac:dyDescent="0.25">
      <c r="A3" s="1">
        <v>43709</v>
      </c>
      <c r="B3" t="s">
        <v>1</v>
      </c>
      <c r="D3" s="3" t="s">
        <v>57</v>
      </c>
      <c r="E3" t="s">
        <v>67</v>
      </c>
      <c r="F3" t="str">
        <f>IF(ISNA(VLOOKUP(Таблица6[[#This Row],[Наименование]],Таблица4[],2,0)),"",VLOOKUP(Таблица6[[#This Row],[Наименование]],Таблица4[],2,0))</f>
        <v>шт</v>
      </c>
      <c r="G3" t="s">
        <v>15</v>
      </c>
      <c r="H3">
        <v>10</v>
      </c>
      <c r="I3">
        <f>IF(G3="Расход",H3*(-1),H3)</f>
        <v>10</v>
      </c>
      <c r="J3" s="1">
        <f>IF(ISNA(VLOOKUP(Таблица6[[#This Row],[Наименование]],Таблица4[],4,0)),"",VLOOKUP(Таблица6[[#This Row],[Наименование]],Таблица4[],4,0))</f>
        <v>43831</v>
      </c>
      <c r="K3">
        <f>IF(ISNA(VLOOKUP(Таблица6[[#This Row],[Наименование]],Таблица4[],3,0)),"",VLOOKUP(Таблица6[[#This Row],[Наименование]],Таблица4[],3,0))</f>
        <v>1</v>
      </c>
      <c r="L3">
        <f>Таблица6[[#This Row],[Введено]]*Таблица6[[#This Row],[цена за ед.]]</f>
        <v>10</v>
      </c>
    </row>
    <row r="4" spans="1:12" x14ac:dyDescent="0.25">
      <c r="A4" s="1">
        <v>43710</v>
      </c>
      <c r="C4" t="s">
        <v>8</v>
      </c>
      <c r="D4" s="3"/>
      <c r="E4" t="s">
        <v>67</v>
      </c>
      <c r="F4" t="str">
        <f>IF(ISNA(VLOOKUP(Таблица6[[#This Row],[Наименование]],Таблица4[],2,0)),"",VLOOKUP(Таблица6[[#This Row],[Наименование]],Таблица4[],2,0))</f>
        <v>шт</v>
      </c>
      <c r="G4" t="s">
        <v>16</v>
      </c>
      <c r="H4">
        <v>1</v>
      </c>
      <c r="I4">
        <f t="shared" ref="I4:I12" si="0">IF(G4="Расход",H4*(-1),H4)</f>
        <v>-1</v>
      </c>
      <c r="J4" s="1">
        <f>IF(ISNA(VLOOKUP(Таблица6[[#This Row],[Наименование]],Таблица4[],4,0)),"",VLOOKUP(Таблица6[[#This Row],[Наименование]],Таблица4[],4,0))</f>
        <v>43831</v>
      </c>
      <c r="K4">
        <f>IF(ISNA(VLOOKUP(Таблица6[[#This Row],[Наименование]],Таблица4[],3,0)),"",VLOOKUP(Таблица6[[#This Row],[Наименование]],Таблица4[],3,0))</f>
        <v>1</v>
      </c>
      <c r="L4">
        <f>Таблица6[[#This Row],[Введено]]*Таблица6[[#This Row],[цена за ед.]]</f>
        <v>1</v>
      </c>
    </row>
    <row r="5" spans="1:12" x14ac:dyDescent="0.25">
      <c r="A5" s="1">
        <v>43710</v>
      </c>
      <c r="B5" t="s">
        <v>2</v>
      </c>
      <c r="D5" s="3" t="s">
        <v>58</v>
      </c>
      <c r="E5" t="s">
        <v>71</v>
      </c>
      <c r="F5" t="str">
        <f>IF(ISNA(VLOOKUP(Таблица6[[#This Row],[Наименование]],Таблица4[],2,0)),"",VLOOKUP(Таблица6[[#This Row],[Наименование]],Таблица4[],2,0))</f>
        <v>шт</v>
      </c>
      <c r="G5" t="s">
        <v>15</v>
      </c>
      <c r="H5">
        <v>10</v>
      </c>
      <c r="I5">
        <f t="shared" si="0"/>
        <v>10</v>
      </c>
      <c r="J5" s="1">
        <f>IF(ISNA(VLOOKUP(Таблица6[[#This Row],[Наименование]],Таблица4[],4,0)),"",VLOOKUP(Таблица6[[#This Row],[Наименование]],Таблица4[],4,0))</f>
        <v>43743</v>
      </c>
      <c r="K5">
        <f>IF(ISNA(VLOOKUP(Таблица6[[#This Row],[Наименование]],Таблица4[],3,0)),"",VLOOKUP(Таблица6[[#This Row],[Наименование]],Таблица4[],3,0))</f>
        <v>3.5</v>
      </c>
      <c r="L5">
        <f>Таблица6[[#This Row],[Введено]]*Таблица6[[#This Row],[цена за ед.]]</f>
        <v>35</v>
      </c>
    </row>
    <row r="6" spans="1:12" x14ac:dyDescent="0.25">
      <c r="A6" s="1">
        <v>43711</v>
      </c>
      <c r="C6" t="s">
        <v>9</v>
      </c>
      <c r="D6" s="3"/>
      <c r="E6" t="s">
        <v>71</v>
      </c>
      <c r="F6" t="str">
        <f>IF(ISNA(VLOOKUP(Таблица6[[#This Row],[Наименование]],Таблица4[],2,0)),"",VLOOKUP(Таблица6[[#This Row],[Наименование]],Таблица4[],2,0))</f>
        <v>шт</v>
      </c>
      <c r="G6" t="s">
        <v>16</v>
      </c>
      <c r="H6">
        <v>1</v>
      </c>
      <c r="I6">
        <f t="shared" si="0"/>
        <v>-1</v>
      </c>
      <c r="J6" s="1">
        <f>IF(ISNA(VLOOKUP(Таблица6[[#This Row],[Наименование]],Таблица4[],4,0)),"",VLOOKUP(Таблица6[[#This Row],[Наименование]],Таблица4[],4,0))</f>
        <v>43743</v>
      </c>
      <c r="K6">
        <f>IF(ISNA(VLOOKUP(Таблица6[[#This Row],[Наименование]],Таблица4[],3,0)),"",VLOOKUP(Таблица6[[#This Row],[Наименование]],Таблица4[],3,0))</f>
        <v>3.5</v>
      </c>
      <c r="L6">
        <f>Таблица6[[#This Row],[Введено]]*Таблица6[[#This Row],[цена за ед.]]</f>
        <v>3.5</v>
      </c>
    </row>
    <row r="7" spans="1:12" x14ac:dyDescent="0.25">
      <c r="A7" s="1">
        <v>43712</v>
      </c>
      <c r="C7" t="s">
        <v>10</v>
      </c>
      <c r="D7" s="3"/>
      <c r="E7" t="s">
        <v>67</v>
      </c>
      <c r="F7" t="str">
        <f>IF(ISNA(VLOOKUP(Таблица6[[#This Row],[Наименование]],Таблица4[],2,0)),"",VLOOKUP(Таблица6[[#This Row],[Наименование]],Таблица4[],2,0))</f>
        <v>шт</v>
      </c>
      <c r="G7" t="s">
        <v>16</v>
      </c>
      <c r="H7">
        <v>1</v>
      </c>
      <c r="I7">
        <f t="shared" si="0"/>
        <v>-1</v>
      </c>
      <c r="J7" s="1">
        <f>IF(ISNA(VLOOKUP(Таблица6[[#This Row],[Наименование]],Таблица4[],4,0)),"",VLOOKUP(Таблица6[[#This Row],[Наименование]],Таблица4[],4,0))</f>
        <v>43831</v>
      </c>
      <c r="K7">
        <f>IF(ISNA(VLOOKUP(Таблица6[[#This Row],[Наименование]],Таблица4[],3,0)),"",VLOOKUP(Таблица6[[#This Row],[Наименование]],Таблица4[],3,0))</f>
        <v>1</v>
      </c>
      <c r="L7">
        <f>Таблица6[[#This Row],[Введено]]*Таблица6[[#This Row],[цена за ед.]]</f>
        <v>1</v>
      </c>
    </row>
    <row r="8" spans="1:12" x14ac:dyDescent="0.25">
      <c r="A8" s="1">
        <v>43713</v>
      </c>
      <c r="C8" t="s">
        <v>11</v>
      </c>
      <c r="D8" s="3"/>
      <c r="E8" t="s">
        <v>67</v>
      </c>
      <c r="F8" t="str">
        <f>IF(ISNA(VLOOKUP(Таблица6[[#This Row],[Наименование]],Таблица4[],2,0)),"",VLOOKUP(Таблица6[[#This Row],[Наименование]],Таблица4[],2,0))</f>
        <v>шт</v>
      </c>
      <c r="G8" t="s">
        <v>16</v>
      </c>
      <c r="H8">
        <v>1</v>
      </c>
      <c r="I8">
        <f t="shared" si="0"/>
        <v>-1</v>
      </c>
      <c r="J8" s="1">
        <f>IF(ISNA(VLOOKUP(Таблица6[[#This Row],[Наименование]],Таблица4[],4,0)),"",VLOOKUP(Таблица6[[#This Row],[Наименование]],Таблица4[],4,0))</f>
        <v>43831</v>
      </c>
      <c r="K8">
        <f>IF(ISNA(VLOOKUP(Таблица6[[#This Row],[Наименование]],Таблица4[],3,0)),"",VLOOKUP(Таблица6[[#This Row],[Наименование]],Таблица4[],3,0))</f>
        <v>1</v>
      </c>
      <c r="L8">
        <f>Таблица6[[#This Row],[Введено]]*Таблица6[[#This Row],[цена за ед.]]</f>
        <v>1</v>
      </c>
    </row>
    <row r="9" spans="1:12" x14ac:dyDescent="0.25">
      <c r="A9" s="1">
        <v>43718</v>
      </c>
      <c r="C9" t="s">
        <v>12</v>
      </c>
      <c r="D9" s="3"/>
      <c r="E9" t="s">
        <v>26</v>
      </c>
      <c r="F9" t="str">
        <f>IF(ISNA(VLOOKUP(Таблица6[[#This Row],[Наименование]],Таблица4[],2,0)),"",VLOOKUP(Таблица6[[#This Row],[Наименование]],Таблица4[],2,0))</f>
        <v>уп</v>
      </c>
      <c r="G9" t="s">
        <v>16</v>
      </c>
      <c r="H9">
        <v>1</v>
      </c>
      <c r="I9">
        <f t="shared" si="0"/>
        <v>-1</v>
      </c>
      <c r="J9" s="1">
        <f>IF(ISNA(VLOOKUP(Таблица6[[#This Row],[Наименование]],Таблица4[],4,0)),"",VLOOKUP(Таблица6[[#This Row],[Наименование]],Таблица4[],4,0))</f>
        <v>43746</v>
      </c>
      <c r="K9">
        <f>IF(ISNA(VLOOKUP(Таблица6[[#This Row],[Наименование]],Таблица4[],3,0)),"",VLOOKUP(Таблица6[[#This Row],[Наименование]],Таблица4[],3,0))</f>
        <v>5</v>
      </c>
      <c r="L9">
        <f>Таблица6[[#This Row],[Введено]]*Таблица6[[#This Row],[цена за ед.]]</f>
        <v>5</v>
      </c>
    </row>
    <row r="10" spans="1:12" x14ac:dyDescent="0.25">
      <c r="A10" s="1">
        <v>43719</v>
      </c>
      <c r="C10" t="s">
        <v>13</v>
      </c>
      <c r="D10" s="3"/>
      <c r="E10" t="s">
        <v>72</v>
      </c>
      <c r="F10" t="str">
        <f>IF(ISNA(VLOOKUP(Таблица6[[#This Row],[Наименование]],Таблица4[],2,0)),"",VLOOKUP(Таблица6[[#This Row],[Наименование]],Таблица4[],2,0))</f>
        <v>уп</v>
      </c>
      <c r="G10" t="s">
        <v>16</v>
      </c>
      <c r="H10">
        <v>1</v>
      </c>
      <c r="I10">
        <f t="shared" si="0"/>
        <v>-1</v>
      </c>
      <c r="J10" s="1">
        <f>IF(ISNA(VLOOKUP(Таблица6[[#This Row],[Наименование]],Таблица4[],4,0)),"",VLOOKUP(Таблица6[[#This Row],[Наименование]],Таблица4[],4,0))</f>
        <v>43749</v>
      </c>
      <c r="K10">
        <f>IF(ISNA(VLOOKUP(Таблица6[[#This Row],[Наименование]],Таблица4[],3,0)),"",VLOOKUP(Таблица6[[#This Row],[Наименование]],Таблица4[],3,0))</f>
        <v>8.5</v>
      </c>
      <c r="L10">
        <f>Таблица6[[#This Row],[Введено]]*Таблица6[[#This Row],[цена за ед.]]</f>
        <v>8.5</v>
      </c>
    </row>
    <row r="11" spans="1:12" x14ac:dyDescent="0.25">
      <c r="A11" s="1">
        <v>43720</v>
      </c>
      <c r="C11" t="s">
        <v>14</v>
      </c>
      <c r="D11" s="3"/>
      <c r="E11" t="s">
        <v>72</v>
      </c>
      <c r="F11" t="str">
        <f>IF(ISNA(VLOOKUP(Таблица6[[#This Row],[Наименование]],Таблица4[],2,0)),"",VLOOKUP(Таблица6[[#This Row],[Наименование]],Таблица4[],2,0))</f>
        <v>уп</v>
      </c>
      <c r="G11" t="s">
        <v>16</v>
      </c>
      <c r="H11">
        <v>1</v>
      </c>
      <c r="I11">
        <f t="shared" si="0"/>
        <v>-1</v>
      </c>
      <c r="J11" s="1">
        <f>IF(ISNA(VLOOKUP(Таблица6[[#This Row],[Наименование]],Таблица4[],4,0)),"",VLOOKUP(Таблица6[[#This Row],[Наименование]],Таблица4[],4,0))</f>
        <v>43749</v>
      </c>
      <c r="K11">
        <f>IF(ISNA(VLOOKUP(Таблица6[[#This Row],[Наименование]],Таблица4[],3,0)),"",VLOOKUP(Таблица6[[#This Row],[Наименование]],Таблица4[],3,0))</f>
        <v>8.5</v>
      </c>
      <c r="L11">
        <f>Таблица6[[#This Row],[Введено]]*Таблица6[[#This Row],[цена за ед.]]</f>
        <v>8.5</v>
      </c>
    </row>
    <row r="12" spans="1:12" x14ac:dyDescent="0.25">
      <c r="A12" s="1">
        <v>43721</v>
      </c>
      <c r="C12" t="s">
        <v>14</v>
      </c>
      <c r="E12" t="s">
        <v>71</v>
      </c>
      <c r="F12" t="str">
        <f>IF(ISNA(VLOOKUP(Таблица6[[#This Row],[Наименование]],Таблица4[],2,0)),"",VLOOKUP(Таблица6[[#This Row],[Наименование]],Таблица4[],2,0))</f>
        <v>шт</v>
      </c>
      <c r="G12" t="s">
        <v>16</v>
      </c>
      <c r="H12">
        <v>1</v>
      </c>
      <c r="I12">
        <f t="shared" si="0"/>
        <v>-1</v>
      </c>
      <c r="J12" s="1">
        <f>IF(ISNA(VLOOKUP(Таблица6[[#This Row],[Наименование]],Таблица4[],4,0)),"",VLOOKUP(Таблица6[[#This Row],[Наименование]],Таблица4[],4,0))</f>
        <v>43743</v>
      </c>
      <c r="K12">
        <f>IF(ISNA(VLOOKUP(Таблица6[[#This Row],[Наименование]],Таблица4[],3,0)),"",VLOOKUP(Таблица6[[#This Row],[Наименование]],Таблица4[],3,0))</f>
        <v>3.5</v>
      </c>
      <c r="L12">
        <f>Таблица6[[#This Row],[Введено]]*Таблица6[[#This Row],[цена за ед.]]</f>
        <v>3.5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A1AA585-7D34-492E-895E-CAF6534F4807}">
          <x14:formula1>
            <xm:f>Справочник!$A$2:$A$5</xm:f>
          </x14:formula1>
          <xm:sqref>B3:B12</xm:sqref>
        </x14:dataValidation>
        <x14:dataValidation type="list" allowBlank="1" showInputMessage="1" showErrorMessage="1" xr:uid="{915FCCB6-F429-4829-9C95-ECA046481B87}">
          <x14:formula1>
            <xm:f>Справочник!$C$2:$C$11</xm:f>
          </x14:formula1>
          <xm:sqref>C3:C12</xm:sqref>
        </x14:dataValidation>
        <x14:dataValidation type="list" allowBlank="1" showInputMessage="1" showErrorMessage="1" xr:uid="{7DFF9EC0-9570-46C9-80E7-437B41C11995}">
          <x14:formula1>
            <xm:f>Справочник!$E$2:$E$4</xm:f>
          </x14:formula1>
          <xm:sqref>G3:G12</xm:sqref>
        </x14:dataValidation>
        <x14:dataValidation type="list" allowBlank="1" showInputMessage="1" showErrorMessage="1" xr:uid="{A8B25937-246D-494E-90F7-1E5625FB2785}">
          <x14:formula1>
            <xm:f>Справочник!$G$2:$G$30</xm:f>
          </x14:formula1>
          <xm:sqref>E3:E12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FD99-0774-4BAA-BFFA-982A331A762F}">
  <dimension ref="A2:L12"/>
  <sheetViews>
    <sheetView workbookViewId="0">
      <selection activeCell="E12" sqref="E12"/>
    </sheetView>
  </sheetViews>
  <sheetFormatPr defaultRowHeight="15" x14ac:dyDescent="0.25"/>
  <cols>
    <col min="1" max="1" width="12.28515625" customWidth="1"/>
    <col min="2" max="2" width="11.28515625" customWidth="1"/>
    <col min="3" max="3" width="20.5703125" customWidth="1"/>
    <col min="5" max="5" width="19" customWidth="1"/>
    <col min="10" max="10" width="11.5703125" customWidth="1"/>
    <col min="12" max="12" width="10.42578125" customWidth="1"/>
  </cols>
  <sheetData>
    <row r="2" spans="1:12" x14ac:dyDescent="0.25">
      <c r="A2" s="2" t="s">
        <v>49</v>
      </c>
      <c r="B2" s="2" t="s">
        <v>0</v>
      </c>
      <c r="C2" s="2" t="s">
        <v>5</v>
      </c>
      <c r="D2" s="2" t="s">
        <v>50</v>
      </c>
      <c r="E2" s="2" t="s">
        <v>19</v>
      </c>
      <c r="F2" s="2" t="s">
        <v>20</v>
      </c>
      <c r="G2" s="2" t="s">
        <v>51</v>
      </c>
      <c r="H2" s="2" t="s">
        <v>52</v>
      </c>
      <c r="I2" s="2" t="s">
        <v>53</v>
      </c>
      <c r="J2" s="2" t="s">
        <v>54</v>
      </c>
      <c r="K2" s="2" t="s">
        <v>55</v>
      </c>
      <c r="L2" s="2" t="s">
        <v>56</v>
      </c>
    </row>
    <row r="3" spans="1:12" x14ac:dyDescent="0.25">
      <c r="A3" s="1">
        <v>43739</v>
      </c>
      <c r="B3" t="s">
        <v>1</v>
      </c>
      <c r="D3" s="3" t="s">
        <v>59</v>
      </c>
      <c r="E3" t="s">
        <v>68</v>
      </c>
      <c r="F3" t="str">
        <f>IF(ISNA(VLOOKUP(Таблица68[[#This Row],[Наименование]],Таблица4[],2,0)),"",VLOOKUP(Таблица68[[#This Row],[Наименование]],Таблица4[],2,0))</f>
        <v>шт</v>
      </c>
      <c r="G3" t="s">
        <v>15</v>
      </c>
      <c r="H3">
        <v>20</v>
      </c>
      <c r="I3">
        <f>IF(G3="Расход",H3*(-1),H3)</f>
        <v>20</v>
      </c>
      <c r="J3" s="1">
        <f>IF(ISNA(VLOOKUP(Таблица68[[#This Row],[Наименование]],Таблица4[],4,0)),"",VLOOKUP(Таблица68[[#This Row],[Наименование]],Таблица4[],4,0))</f>
        <v>43739</v>
      </c>
      <c r="K3">
        <f>IF(ISNA(VLOOKUP(Таблица68[[#This Row],[Наименование]],Таблица4[],3,0)),"",VLOOKUP(Таблица68[[#This Row],[Наименование]],Таблица4[],3,0))</f>
        <v>1.5</v>
      </c>
      <c r="L3">
        <f>Таблица68[[#This Row],[Введено]]*Таблица68[[#This Row],[цена за ед.]]</f>
        <v>30</v>
      </c>
    </row>
    <row r="4" spans="1:12" x14ac:dyDescent="0.25">
      <c r="A4" s="1">
        <v>43739</v>
      </c>
      <c r="B4" t="s">
        <v>3</v>
      </c>
      <c r="D4" s="3" t="s">
        <v>60</v>
      </c>
      <c r="E4" t="s">
        <v>70</v>
      </c>
      <c r="F4" t="str">
        <f>IF(ISNA(VLOOKUP(Таблица68[[#This Row],[Наименование]],Таблица4[],2,0)),"",VLOOKUP(Таблица68[[#This Row],[Наименование]],Таблица4[],2,0))</f>
        <v>шт</v>
      </c>
      <c r="G4" t="s">
        <v>15</v>
      </c>
      <c r="H4">
        <v>20</v>
      </c>
      <c r="I4">
        <f t="shared" ref="I4:I12" si="0">IF(G4="Расход",H4*(-1),H4)</f>
        <v>20</v>
      </c>
      <c r="J4" s="1">
        <f>IF(ISNA(VLOOKUP(Таблица68[[#This Row],[Наименование]],Таблица4[],4,0)),"",VLOOKUP(Таблица68[[#This Row],[Наименование]],Таблица4[],4,0))</f>
        <v>43744</v>
      </c>
      <c r="K4">
        <f>IF(ISNA(VLOOKUP(Таблица68[[#This Row],[Наименование]],Таблица4[],3,0)),"",VLOOKUP(Таблица68[[#This Row],[Наименование]],Таблица4[],3,0))</f>
        <v>4.5</v>
      </c>
      <c r="L4">
        <f>Таблица68[[#This Row],[Введено]]*Таблица68[[#This Row],[цена за ед.]]</f>
        <v>90</v>
      </c>
    </row>
    <row r="5" spans="1:12" x14ac:dyDescent="0.25">
      <c r="A5" s="1">
        <v>43739</v>
      </c>
      <c r="B5" t="s">
        <v>2</v>
      </c>
      <c r="D5" s="3" t="s">
        <v>61</v>
      </c>
      <c r="E5" t="s">
        <v>73</v>
      </c>
      <c r="F5" t="str">
        <f>IF(ISNA(VLOOKUP(Таблица68[[#This Row],[Наименование]],Таблица4[],2,0)),"",VLOOKUP(Таблица68[[#This Row],[Наименование]],Таблица4[],2,0))</f>
        <v>уп</v>
      </c>
      <c r="G5" t="s">
        <v>15</v>
      </c>
      <c r="H5">
        <v>10</v>
      </c>
      <c r="I5">
        <f t="shared" si="0"/>
        <v>10</v>
      </c>
      <c r="J5" s="1">
        <f>IF(ISNA(VLOOKUP(Таблица68[[#This Row],[Наименование]],Таблица4[],4,0)),"",VLOOKUP(Таблица68[[#This Row],[Наименование]],Таблица4[],4,0))</f>
        <v>43750</v>
      </c>
      <c r="K5">
        <f>IF(ISNA(VLOOKUP(Таблица68[[#This Row],[Наименование]],Таблица4[],3,0)),"",VLOOKUP(Таблица68[[#This Row],[Наименование]],Таблица4[],3,0))</f>
        <v>9.5</v>
      </c>
      <c r="L5">
        <f>Таблица68[[#This Row],[Введено]]*Таблица68[[#This Row],[цена за ед.]]</f>
        <v>95</v>
      </c>
    </row>
    <row r="6" spans="1:12" x14ac:dyDescent="0.25">
      <c r="A6" s="1">
        <v>43741</v>
      </c>
      <c r="C6" t="s">
        <v>8</v>
      </c>
      <c r="D6" s="3"/>
      <c r="E6" t="s">
        <v>68</v>
      </c>
      <c r="F6" t="str">
        <f>IF(ISNA(VLOOKUP(Таблица68[[#This Row],[Наименование]],Таблица4[],2,0)),"",VLOOKUP(Таблица68[[#This Row],[Наименование]],Таблица4[],2,0))</f>
        <v>шт</v>
      </c>
      <c r="G6" t="s">
        <v>16</v>
      </c>
      <c r="H6">
        <v>1</v>
      </c>
      <c r="I6">
        <f t="shared" si="0"/>
        <v>-1</v>
      </c>
      <c r="J6" s="1">
        <f>IF(ISNA(VLOOKUP(Таблица68[[#This Row],[Наименование]],Таблица4[],4,0)),"",VLOOKUP(Таблица68[[#This Row],[Наименование]],Таблица4[],4,0))</f>
        <v>43739</v>
      </c>
      <c r="K6">
        <f>IF(ISNA(VLOOKUP(Таблица68[[#This Row],[Наименование]],Таблица4[],3,0)),"",VLOOKUP(Таблица68[[#This Row],[Наименование]],Таблица4[],3,0))</f>
        <v>1.5</v>
      </c>
      <c r="L6">
        <f>Таблица68[[#This Row],[Введено]]*Таблица68[[#This Row],[цена за ед.]]</f>
        <v>1.5</v>
      </c>
    </row>
    <row r="7" spans="1:12" x14ac:dyDescent="0.25">
      <c r="A7" s="1">
        <v>43743</v>
      </c>
      <c r="C7" t="s">
        <v>11</v>
      </c>
      <c r="D7" s="3"/>
      <c r="E7" t="s">
        <v>67</v>
      </c>
      <c r="F7" t="str">
        <f>IF(ISNA(VLOOKUP(Таблица68[[#This Row],[Наименование]],Таблица4[],2,0)),"",VLOOKUP(Таблица68[[#This Row],[Наименование]],Таблица4[],2,0))</f>
        <v>шт</v>
      </c>
      <c r="G7" t="s">
        <v>16</v>
      </c>
      <c r="H7">
        <v>1</v>
      </c>
      <c r="I7">
        <f t="shared" si="0"/>
        <v>-1</v>
      </c>
      <c r="J7" s="1">
        <f>IF(ISNA(VLOOKUP(Таблица68[[#This Row],[Наименование]],Таблица4[],4,0)),"",VLOOKUP(Таблица68[[#This Row],[Наименование]],Таблица4[],4,0))</f>
        <v>43831</v>
      </c>
      <c r="K7">
        <f>IF(ISNA(VLOOKUP(Таблица68[[#This Row],[Наименование]],Таблица4[],3,0)),"",VLOOKUP(Таблица68[[#This Row],[Наименование]],Таблица4[],3,0))</f>
        <v>1</v>
      </c>
      <c r="L7">
        <f>Таблица68[[#This Row],[Введено]]*Таблица68[[#This Row],[цена за ед.]]</f>
        <v>1</v>
      </c>
    </row>
    <row r="8" spans="1:12" x14ac:dyDescent="0.25">
      <c r="A8" s="1">
        <v>43743</v>
      </c>
      <c r="C8" t="s">
        <v>9</v>
      </c>
      <c r="D8" s="3"/>
      <c r="E8" t="s">
        <v>68</v>
      </c>
      <c r="F8" t="str">
        <f>IF(ISNA(VLOOKUP(Таблица68[[#This Row],[Наименование]],Таблица4[],2,0)),"",VLOOKUP(Таблица68[[#This Row],[Наименование]],Таблица4[],2,0))</f>
        <v>шт</v>
      </c>
      <c r="G8" t="s">
        <v>16</v>
      </c>
      <c r="H8">
        <v>1</v>
      </c>
      <c r="I8">
        <f t="shared" si="0"/>
        <v>-1</v>
      </c>
      <c r="J8" s="1">
        <f>IF(ISNA(VLOOKUP(Таблица68[[#This Row],[Наименование]],Таблица4[],4,0)),"",VLOOKUP(Таблица68[[#This Row],[Наименование]],Таблица4[],4,0))</f>
        <v>43739</v>
      </c>
      <c r="K8">
        <f>IF(ISNA(VLOOKUP(Таблица68[[#This Row],[Наименование]],Таблица4[],3,0)),"",VLOOKUP(Таблица68[[#This Row],[Наименование]],Таблица4[],3,0))</f>
        <v>1.5</v>
      </c>
      <c r="L8">
        <f>Таблица68[[#This Row],[Введено]]*Таблица68[[#This Row],[цена за ед.]]</f>
        <v>1.5</v>
      </c>
    </row>
    <row r="9" spans="1:12" x14ac:dyDescent="0.25">
      <c r="A9" s="1">
        <v>43743</v>
      </c>
      <c r="C9" t="s">
        <v>9</v>
      </c>
      <c r="D9" s="3"/>
      <c r="E9" t="s">
        <v>70</v>
      </c>
      <c r="F9" t="str">
        <f>IF(ISNA(VLOOKUP(Таблица68[[#This Row],[Наименование]],Таблица4[],2,0)),"",VLOOKUP(Таблица68[[#This Row],[Наименование]],Таблица4[],2,0))</f>
        <v>шт</v>
      </c>
      <c r="G9" t="s">
        <v>16</v>
      </c>
      <c r="H9">
        <v>1</v>
      </c>
      <c r="I9">
        <f t="shared" si="0"/>
        <v>-1</v>
      </c>
      <c r="J9" s="1">
        <f>IF(ISNA(VLOOKUP(Таблица68[[#This Row],[Наименование]],Таблица4[],4,0)),"",VLOOKUP(Таблица68[[#This Row],[Наименование]],Таблица4[],4,0))</f>
        <v>43744</v>
      </c>
      <c r="K9">
        <f>IF(ISNA(VLOOKUP(Таблица68[[#This Row],[Наименование]],Таблица4[],3,0)),"",VLOOKUP(Таблица68[[#This Row],[Наименование]],Таблица4[],3,0))</f>
        <v>4.5</v>
      </c>
      <c r="L9">
        <f>Таблица68[[#This Row],[Введено]]*Таблица68[[#This Row],[цена за ед.]]</f>
        <v>4.5</v>
      </c>
    </row>
    <row r="10" spans="1:12" x14ac:dyDescent="0.25">
      <c r="A10" s="1">
        <v>43748</v>
      </c>
      <c r="C10" t="s">
        <v>10</v>
      </c>
      <c r="D10" s="3"/>
      <c r="E10" t="s">
        <v>68</v>
      </c>
      <c r="F10" t="str">
        <f>IF(ISNA(VLOOKUP(Таблица68[[#This Row],[Наименование]],Таблица4[],2,0)),"",VLOOKUP(Таблица68[[#This Row],[Наименование]],Таблица4[],2,0))</f>
        <v>шт</v>
      </c>
      <c r="G10" t="s">
        <v>16</v>
      </c>
      <c r="H10">
        <v>1</v>
      </c>
      <c r="I10">
        <f t="shared" si="0"/>
        <v>-1</v>
      </c>
      <c r="J10" s="1">
        <f>IF(ISNA(VLOOKUP(Таблица68[[#This Row],[Наименование]],Таблица4[],4,0)),"",VLOOKUP(Таблица68[[#This Row],[Наименование]],Таблица4[],4,0))</f>
        <v>43739</v>
      </c>
      <c r="K10">
        <f>IF(ISNA(VLOOKUP(Таблица68[[#This Row],[Наименование]],Таблица4[],3,0)),"",VLOOKUP(Таблица68[[#This Row],[Наименование]],Таблица4[],3,0))</f>
        <v>1.5</v>
      </c>
      <c r="L10">
        <f>Таблица68[[#This Row],[Введено]]*Таблица68[[#This Row],[цена за ед.]]</f>
        <v>1.5</v>
      </c>
    </row>
    <row r="11" spans="1:12" x14ac:dyDescent="0.25">
      <c r="A11" s="1">
        <v>43748</v>
      </c>
      <c r="C11" t="s">
        <v>12</v>
      </c>
      <c r="D11" s="3"/>
      <c r="E11" t="s">
        <v>73</v>
      </c>
      <c r="F11" t="str">
        <f>IF(ISNA(VLOOKUP(Таблица68[[#This Row],[Наименование]],Таблица4[],2,0)),"",VLOOKUP(Таблица68[[#This Row],[Наименование]],Таблица4[],2,0))</f>
        <v>уп</v>
      </c>
      <c r="G11" t="s">
        <v>16</v>
      </c>
      <c r="H11">
        <v>1</v>
      </c>
      <c r="I11">
        <f t="shared" si="0"/>
        <v>-1</v>
      </c>
      <c r="J11" s="1">
        <f>IF(ISNA(VLOOKUP(Таблица68[[#This Row],[Наименование]],Таблица4[],4,0)),"",VLOOKUP(Таблица68[[#This Row],[Наименование]],Таблица4[],4,0))</f>
        <v>43750</v>
      </c>
      <c r="K11">
        <f>IF(ISNA(VLOOKUP(Таблица68[[#This Row],[Наименование]],Таблица4[],3,0)),"",VLOOKUP(Таблица68[[#This Row],[Наименование]],Таблица4[],3,0))</f>
        <v>9.5</v>
      </c>
      <c r="L11">
        <f>Таблица68[[#This Row],[Введено]]*Таблица68[[#This Row],[цена за ед.]]</f>
        <v>9.5</v>
      </c>
    </row>
    <row r="12" spans="1:12" x14ac:dyDescent="0.25">
      <c r="A12" s="1">
        <v>43748</v>
      </c>
      <c r="C12" t="s">
        <v>12</v>
      </c>
      <c r="E12" t="s">
        <v>70</v>
      </c>
      <c r="F12" t="str">
        <f>IF(ISNA(VLOOKUP(Таблица68[[#This Row],[Наименование]],Таблица4[],2,0)),"",VLOOKUP(Таблица68[[#This Row],[Наименование]],Таблица4[],2,0))</f>
        <v>шт</v>
      </c>
      <c r="G12" t="s">
        <v>16</v>
      </c>
      <c r="H12">
        <v>1</v>
      </c>
      <c r="I12">
        <f t="shared" si="0"/>
        <v>-1</v>
      </c>
      <c r="J12" s="1">
        <f>IF(ISNA(VLOOKUP(Таблица68[[#This Row],[Наименование]],Таблица4[],4,0)),"",VLOOKUP(Таблица68[[#This Row],[Наименование]],Таблица4[],4,0))</f>
        <v>43744</v>
      </c>
      <c r="K12">
        <f>IF(ISNA(VLOOKUP(Таблица68[[#This Row],[Наименование]],Таблица4[],3,0)),"",VLOOKUP(Таблица68[[#This Row],[Наименование]],Таблица4[],3,0))</f>
        <v>4.5</v>
      </c>
      <c r="L12">
        <f>Таблица68[[#This Row],[Введено]]*Таблица68[[#This Row],[цена за ед.]]</f>
        <v>4.5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3A01394-8E16-4112-BEF2-1CC0406E7336}">
          <x14:formula1>
            <xm:f>Справочник!$A$2:$A$5</xm:f>
          </x14:formula1>
          <xm:sqref>B3:B12</xm:sqref>
        </x14:dataValidation>
        <x14:dataValidation type="list" allowBlank="1" showInputMessage="1" showErrorMessage="1" xr:uid="{965BA43E-09D8-403D-A632-12D317112A26}">
          <x14:formula1>
            <xm:f>Справочник!$E$2:$E$4</xm:f>
          </x14:formula1>
          <xm:sqref>G3:G12</xm:sqref>
        </x14:dataValidation>
        <x14:dataValidation type="list" allowBlank="1" showInputMessage="1" showErrorMessage="1" xr:uid="{CC68172F-D165-447D-9CE3-9E959B66E539}">
          <x14:formula1>
            <xm:f>Справочник!$C$2:$C$11</xm:f>
          </x14:formula1>
          <xm:sqref>C3:C12</xm:sqref>
        </x14:dataValidation>
        <x14:dataValidation type="list" allowBlank="1" showInputMessage="1" showErrorMessage="1" xr:uid="{C06E3639-9C25-44DD-94FE-C1A06E0C5A78}">
          <x14:formula1>
            <xm:f>Справочник!$G$2:$G$30</xm:f>
          </x14:formula1>
          <xm:sqref>E3:E12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B228-09B7-47CD-A410-62AD56F1EA6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Справочник</vt:lpstr>
      <vt:lpstr>Лист1</vt:lpstr>
      <vt:lpstr>Склад</vt:lpstr>
      <vt:lpstr>Сентябрь</vt:lpstr>
      <vt:lpstr>Октябрь</vt:lpstr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2019-11-16T18:46:52Z</dcterms:created>
  <dcterms:modified xsi:type="dcterms:W3CDTF">2020-01-07T16:30:32Z</dcterms:modified>
</cp:coreProperties>
</file>