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Юра\Флешка 10.12.2019\"/>
    </mc:Choice>
  </mc:AlternateContent>
  <bookViews>
    <workbookView xWindow="0" yWindow="0" windowWidth="20490" windowHeight="7020" activeTab="1"/>
  </bookViews>
  <sheets>
    <sheet name="Админ " sheetId="1" r:id="rId1"/>
    <sheet name="День 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6" i="2"/>
  <c r="B7" i="2"/>
  <c r="B8" i="2"/>
  <c r="B9" i="2"/>
  <c r="B10" i="2"/>
  <c r="B11" i="2"/>
  <c r="B12" i="2"/>
  <c r="B13" i="2"/>
  <c r="B4" i="2"/>
  <c r="B46" i="1" l="1"/>
  <c r="B43" i="1"/>
  <c r="T10" i="1" s="1"/>
  <c r="B44" i="1"/>
  <c r="U9" i="1" s="1"/>
  <c r="B42" i="1"/>
  <c r="K8" i="1" s="1"/>
  <c r="B41" i="1"/>
  <c r="B38" i="1"/>
  <c r="B40" i="1"/>
  <c r="B36" i="1"/>
  <c r="B35" i="1"/>
  <c r="B34" i="1"/>
  <c r="B32" i="1"/>
  <c r="B30" i="1"/>
  <c r="B29" i="1"/>
  <c r="B19" i="1"/>
  <c r="B12" i="1"/>
  <c r="B28" i="1"/>
  <c r="B27" i="1"/>
  <c r="B26" i="1"/>
  <c r="B25" i="1"/>
  <c r="B23" i="1"/>
  <c r="B22" i="1"/>
  <c r="B20" i="1"/>
  <c r="B18" i="1"/>
  <c r="B16" i="1"/>
  <c r="B15" i="1"/>
  <c r="B14" i="1"/>
  <c r="B13" i="1"/>
  <c r="B17" i="1"/>
  <c r="B45" i="1"/>
  <c r="V6" i="1"/>
  <c r="B39" i="1"/>
  <c r="T7" i="1" s="1"/>
  <c r="B37" i="1"/>
  <c r="T5" i="1" s="1"/>
  <c r="B33" i="1"/>
  <c r="O7" i="1" l="1"/>
  <c r="Q7" i="1"/>
  <c r="G7" i="1"/>
  <c r="I7" i="1"/>
  <c r="V11" i="1"/>
  <c r="O8" i="1"/>
  <c r="G8" i="1"/>
  <c r="S8" i="1"/>
  <c r="C8" i="1"/>
  <c r="T8" i="1"/>
  <c r="E7" i="1"/>
  <c r="M7" i="1"/>
  <c r="U7" i="1"/>
  <c r="C7" i="1"/>
  <c r="K7" i="1"/>
  <c r="S7" i="1"/>
  <c r="K5" i="1"/>
  <c r="O5" i="1"/>
  <c r="C5" i="1"/>
  <c r="S5" i="1"/>
  <c r="G5" i="1"/>
  <c r="C6" i="1"/>
  <c r="G6" i="1"/>
  <c r="K6" i="1"/>
  <c r="O6" i="1"/>
  <c r="S6" i="1"/>
  <c r="J6" i="1"/>
  <c r="R6" i="1"/>
  <c r="D6" i="1"/>
  <c r="H6" i="1"/>
  <c r="L6" i="1"/>
  <c r="P6" i="1"/>
  <c r="T6" i="1"/>
  <c r="F6" i="1"/>
  <c r="N6" i="1"/>
  <c r="E6" i="1"/>
  <c r="I6" i="1"/>
  <c r="M6" i="1"/>
  <c r="Q6" i="1"/>
  <c r="U6" i="1"/>
  <c r="K4" i="1"/>
  <c r="O4" i="1"/>
  <c r="C4" i="1"/>
  <c r="S4" i="1"/>
  <c r="T4" i="1"/>
  <c r="G4" i="1"/>
  <c r="T3" i="1"/>
  <c r="K3" i="1"/>
  <c r="O3" i="1"/>
  <c r="C3" i="1"/>
  <c r="S3" i="1"/>
  <c r="G3" i="1"/>
  <c r="T2" i="1"/>
  <c r="C2" i="1"/>
  <c r="C1" i="1" s="1"/>
  <c r="C2" i="2" s="1"/>
  <c r="S2" i="1"/>
  <c r="G2" i="1"/>
  <c r="G1" i="1" s="1"/>
  <c r="G2" i="2" s="1"/>
  <c r="K2" i="1"/>
  <c r="O2" i="1"/>
  <c r="O1" i="1" s="1"/>
  <c r="O2" i="2" s="1"/>
  <c r="E2" i="1"/>
  <c r="E1" i="1" s="1"/>
  <c r="E2" i="2" s="1"/>
  <c r="I2" i="1"/>
  <c r="I1" i="1" s="1"/>
  <c r="I2" i="2" s="1"/>
  <c r="M2" i="1"/>
  <c r="Q2" i="1"/>
  <c r="U2" i="1"/>
  <c r="E3" i="1"/>
  <c r="I3" i="1"/>
  <c r="M3" i="1"/>
  <c r="Q3" i="1"/>
  <c r="U3" i="1"/>
  <c r="E4" i="1"/>
  <c r="I4" i="1"/>
  <c r="M4" i="1"/>
  <c r="Q4" i="1"/>
  <c r="U4" i="1"/>
  <c r="E5" i="1"/>
  <c r="I5" i="1"/>
  <c r="M5" i="1"/>
  <c r="Q5" i="1"/>
  <c r="U5" i="1"/>
  <c r="E8" i="1"/>
  <c r="I8" i="1"/>
  <c r="M8" i="1"/>
  <c r="Q8" i="1"/>
  <c r="U8" i="1"/>
  <c r="F2" i="1"/>
  <c r="F1" i="1" s="1"/>
  <c r="F2" i="2" s="1"/>
  <c r="J2" i="1"/>
  <c r="N2" i="1"/>
  <c r="R2" i="1"/>
  <c r="V2" i="1"/>
  <c r="V1" i="1" s="1"/>
  <c r="V2" i="2" s="1"/>
  <c r="F3" i="1"/>
  <c r="J3" i="1"/>
  <c r="N3" i="1"/>
  <c r="R3" i="1"/>
  <c r="V3" i="1"/>
  <c r="F4" i="1"/>
  <c r="J4" i="1"/>
  <c r="N4" i="1"/>
  <c r="R4" i="1"/>
  <c r="V4" i="1"/>
  <c r="F5" i="1"/>
  <c r="J5" i="1"/>
  <c r="N5" i="1"/>
  <c r="R5" i="1"/>
  <c r="V5" i="1"/>
  <c r="F7" i="1"/>
  <c r="J7" i="1"/>
  <c r="N7" i="1"/>
  <c r="R7" i="1"/>
  <c r="V7" i="1"/>
  <c r="F8" i="1"/>
  <c r="J8" i="1"/>
  <c r="N8" i="1"/>
  <c r="R8" i="1"/>
  <c r="V8" i="1"/>
  <c r="D2" i="1"/>
  <c r="D1" i="1" s="1"/>
  <c r="D2" i="2" s="1"/>
  <c r="H2" i="1"/>
  <c r="H1" i="1" s="1"/>
  <c r="H2" i="2" s="1"/>
  <c r="L2" i="1"/>
  <c r="P2" i="1"/>
  <c r="D3" i="1"/>
  <c r="H3" i="1"/>
  <c r="L3" i="1"/>
  <c r="P3" i="1"/>
  <c r="D4" i="1"/>
  <c r="H4" i="1"/>
  <c r="L4" i="1"/>
  <c r="P4" i="1"/>
  <c r="D5" i="1"/>
  <c r="H5" i="1"/>
  <c r="L5" i="1"/>
  <c r="P5" i="1"/>
  <c r="D7" i="1"/>
  <c r="H7" i="1"/>
  <c r="L7" i="1"/>
  <c r="P7" i="1"/>
  <c r="D8" i="1"/>
  <c r="H8" i="1"/>
  <c r="L8" i="1"/>
  <c r="P8" i="1"/>
  <c r="J1" i="1" l="1"/>
  <c r="J2" i="2" s="1"/>
  <c r="J14" i="2" s="1"/>
  <c r="K1" i="1"/>
  <c r="K2" i="2" s="1"/>
  <c r="V17" i="2"/>
  <c r="V14" i="2"/>
  <c r="F17" i="2"/>
  <c r="F14" i="2"/>
  <c r="I17" i="2"/>
  <c r="I14" i="2"/>
  <c r="G14" i="2"/>
  <c r="G17" i="2"/>
  <c r="H17" i="2"/>
  <c r="H14" i="2"/>
  <c r="D17" i="2"/>
  <c r="D14" i="2"/>
  <c r="O14" i="2"/>
  <c r="O17" i="2"/>
  <c r="C14" i="2"/>
  <c r="C17" i="2"/>
  <c r="E17" i="2"/>
  <c r="E14" i="2"/>
  <c r="J17" i="2"/>
  <c r="K14" i="2"/>
  <c r="K17" i="2"/>
  <c r="R1" i="1"/>
  <c r="R2" i="2" s="1"/>
  <c r="S1" i="1"/>
  <c r="S2" i="2" s="1"/>
  <c r="P1" i="1"/>
  <c r="P2" i="2" s="1"/>
  <c r="M1" i="1"/>
  <c r="M2" i="2" s="1"/>
  <c r="T1" i="1"/>
  <c r="T2" i="2" s="1"/>
  <c r="L1" i="1"/>
  <c r="L2" i="2" s="1"/>
  <c r="U1" i="1"/>
  <c r="U2" i="2" s="1"/>
  <c r="N1" i="1"/>
  <c r="N2" i="2" s="1"/>
  <c r="Q1" i="1"/>
  <c r="Q2" i="2" s="1"/>
  <c r="S14" i="2" l="1"/>
  <c r="S17" i="2"/>
  <c r="Q17" i="2"/>
  <c r="Q14" i="2"/>
  <c r="T17" i="2"/>
  <c r="T14" i="2"/>
  <c r="R17" i="2"/>
  <c r="R14" i="2"/>
  <c r="N17" i="2"/>
  <c r="N14" i="2"/>
  <c r="M17" i="2"/>
  <c r="M14" i="2"/>
  <c r="L17" i="2"/>
  <c r="L14" i="2"/>
  <c r="U17" i="2"/>
  <c r="U14" i="2"/>
  <c r="P17" i="2"/>
  <c r="P14" i="2"/>
  <c r="W17" i="2" l="1"/>
</calcChain>
</file>

<file path=xl/sharedStrings.xml><?xml version="1.0" encoding="utf-8"?>
<sst xmlns="http://schemas.openxmlformats.org/spreadsheetml/2006/main" count="233" uniqueCount="84">
  <si>
    <t>Чай</t>
  </si>
  <si>
    <t>капуста</t>
  </si>
  <si>
    <t>рис</t>
  </si>
  <si>
    <t>гречка</t>
  </si>
  <si>
    <t>булочка</t>
  </si>
  <si>
    <t>горох</t>
  </si>
  <si>
    <t>масло</t>
  </si>
  <si>
    <t>молоко</t>
  </si>
  <si>
    <t>манка</t>
  </si>
  <si>
    <t>лимон</t>
  </si>
  <si>
    <t>сарделька</t>
  </si>
  <si>
    <t>чай</t>
  </si>
  <si>
    <t>Булочка</t>
  </si>
  <si>
    <t>фрукта</t>
  </si>
  <si>
    <t>йогурт</t>
  </si>
  <si>
    <t>Йогурт</t>
  </si>
  <si>
    <t>бедро куриное</t>
  </si>
  <si>
    <t>мука</t>
  </si>
  <si>
    <t>свекла</t>
  </si>
  <si>
    <t>дрожжи</t>
  </si>
  <si>
    <t>изюм</t>
  </si>
  <si>
    <t>картофель</t>
  </si>
  <si>
    <t>фасоль</t>
  </si>
  <si>
    <t>колбаса вареная</t>
  </si>
  <si>
    <t>макароны</t>
  </si>
  <si>
    <t>морковь</t>
  </si>
  <si>
    <t>мясо куриное</t>
  </si>
  <si>
    <t>мясо св</t>
  </si>
  <si>
    <t>огурец</t>
  </si>
  <si>
    <t>помидор</t>
  </si>
  <si>
    <t>рыба</t>
  </si>
  <si>
    <t>сыр твердый</t>
  </si>
  <si>
    <t>сок томатный</t>
  </si>
  <si>
    <t>соль</t>
  </si>
  <si>
    <t>филе куриное</t>
  </si>
  <si>
    <t>хлеб ржаной</t>
  </si>
  <si>
    <t>хлеб пшеничный</t>
  </si>
  <si>
    <t>лук</t>
  </si>
  <si>
    <t>сахар</t>
  </si>
  <si>
    <t>яйцо</t>
  </si>
  <si>
    <t>конфета</t>
  </si>
  <si>
    <t>Суп картофельный с гречневой крупой</t>
  </si>
  <si>
    <t>Суп картофельный гороховый</t>
  </si>
  <si>
    <t>Суп картофельный с макаронами</t>
  </si>
  <si>
    <t>Макароны с маслом</t>
  </si>
  <si>
    <t>Молочная манная каша с изюмом</t>
  </si>
  <si>
    <t>Каша гречневая с мясной подливой</t>
  </si>
  <si>
    <t>Пирожок с капустой</t>
  </si>
  <si>
    <t>Пирожок с картошкой</t>
  </si>
  <si>
    <t>Котлета мясная с соусом</t>
  </si>
  <si>
    <t>Колбаса вареная с овощной поджаркой</t>
  </si>
  <si>
    <t>Бутерброд с сыром</t>
  </si>
  <si>
    <t>Картофель пьюре</t>
  </si>
  <si>
    <t>Картофель тушеный</t>
  </si>
  <si>
    <t>Ленивые вареники</t>
  </si>
  <si>
    <t>Овощное рагу</t>
  </si>
  <si>
    <t>Котлета рыбная</t>
  </si>
  <si>
    <t>Рыба тушеная</t>
  </si>
  <si>
    <t>Колбаса вареная</t>
  </si>
  <si>
    <t>Сарделька</t>
  </si>
  <si>
    <t>Яйцо отварное</t>
  </si>
  <si>
    <t>Капуста тушеная</t>
  </si>
  <si>
    <t>Сок - ф /я</t>
  </si>
  <si>
    <t>Хлеб пшеничный</t>
  </si>
  <si>
    <t>Огурец</t>
  </si>
  <si>
    <t>Помидор</t>
  </si>
  <si>
    <t>Фрукты</t>
  </si>
  <si>
    <t>Конфеты</t>
  </si>
  <si>
    <t>Борщ зеленый</t>
  </si>
  <si>
    <t>Борщ  крас.</t>
  </si>
  <si>
    <t>масло сливоч.</t>
  </si>
  <si>
    <t>щавель</t>
  </si>
  <si>
    <t>сок ф / я</t>
  </si>
  <si>
    <t>сливки</t>
  </si>
  <si>
    <t>творог кисломол.</t>
  </si>
  <si>
    <t>Цена</t>
  </si>
  <si>
    <t>Итого на 1 чел.</t>
  </si>
  <si>
    <t>Всего к выдаче</t>
  </si>
  <si>
    <t>На сумму</t>
  </si>
  <si>
    <t>Детодень</t>
  </si>
  <si>
    <t>Врач (диетсестра)</t>
  </si>
  <si>
    <t>Принял повар</t>
  </si>
  <si>
    <t>Выдал кладовщик</t>
  </si>
  <si>
    <t>Колич. детей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</si>
</sst>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;#,##0;"/>
    <numFmt numFmtId="165" formatCode="#,##0.0;#,##0.0;"/>
    <numFmt numFmtId="166" formatCode="#,##0.00;#,##0.00;"/>
    <numFmt numFmtId="167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7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16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2" borderId="1" xfId="0" applyNumberFormat="1" applyFill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Protection="1">
      <protection locked="0" hidden="1"/>
    </xf>
    <xf numFmtId="0" fontId="0" fillId="0" borderId="2" xfId="0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3" borderId="2" xfId="0" applyFill="1" applyBorder="1"/>
    <xf numFmtId="0" fontId="0" fillId="3" borderId="0" xfId="0" applyFill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164" fontId="0" fillId="8" borderId="0" xfId="0" applyNumberFormat="1" applyFill="1" applyAlignment="1">
      <alignment horizontal="center" vertical="center"/>
    </xf>
    <xf numFmtId="0" fontId="0" fillId="9" borderId="1" xfId="0" applyFill="1" applyBorder="1"/>
    <xf numFmtId="0" fontId="0" fillId="9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166" fontId="3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0" fillId="0" borderId="1" xfId="0" applyBorder="1" applyAlignment="1" applyProtection="1">
      <alignment horizontal="center"/>
      <protection locked="0"/>
    </xf>
    <xf numFmtId="167" fontId="2" fillId="0" borderId="0" xfId="0" applyNumberFormat="1" applyFont="1"/>
    <xf numFmtId="2" fontId="0" fillId="0" borderId="1" xfId="0" applyNumberFormat="1" applyBorder="1" applyAlignment="1" applyProtection="1">
      <alignment horizontal="center"/>
      <protection hidden="1"/>
    </xf>
    <xf numFmtId="0" fontId="2" fillId="0" borderId="4" xfId="0" applyFont="1" applyBorder="1" applyAlignment="1"/>
    <xf numFmtId="0" fontId="2" fillId="0" borderId="0" xfId="0" applyFont="1" applyBorder="1" applyAlignment="1"/>
    <xf numFmtId="165" fontId="2" fillId="0" borderId="0" xfId="0" applyNumberFormat="1" applyFont="1"/>
    <xf numFmtId="0" fontId="2" fillId="0" borderId="4" xfId="0" applyFont="1" applyBorder="1" applyAlignment="1">
      <alignment horizontal="center"/>
    </xf>
    <xf numFmtId="164" fontId="4" fillId="0" borderId="3" xfId="0" applyNumberFormat="1" applyFont="1" applyBorder="1" applyAlignment="1" applyProtection="1">
      <alignment horizontal="center"/>
      <protection locked="0"/>
    </xf>
    <xf numFmtId="164" fontId="4" fillId="0" borderId="2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"/>
  <sheetViews>
    <sheetView workbookViewId="0">
      <selection activeCell="B3" sqref="B3"/>
    </sheetView>
  </sheetViews>
  <sheetFormatPr defaultRowHeight="12.75" x14ac:dyDescent="0.2"/>
  <cols>
    <col min="1" max="1" width="5.5703125" style="1" customWidth="1"/>
    <col min="2" max="2" width="37.140625" customWidth="1"/>
    <col min="3" max="3" width="9.85546875" bestFit="1" customWidth="1"/>
    <col min="4" max="6" width="9.140625" customWidth="1"/>
    <col min="7" max="7" width="21.7109375" customWidth="1"/>
    <col min="8" max="8" width="9.140625" customWidth="1"/>
    <col min="9" max="9" width="21.5703125" customWidth="1"/>
    <col min="10" max="10" width="8.42578125" customWidth="1"/>
    <col min="11" max="11" width="12.42578125" bestFit="1" customWidth="1"/>
    <col min="12" max="12" width="13.5703125" bestFit="1" customWidth="1"/>
    <col min="13" max="13" width="10.28515625" bestFit="1" customWidth="1"/>
    <col min="14" max="14" width="15.5703125" bestFit="1" customWidth="1"/>
    <col min="15" max="16" width="9.140625" customWidth="1"/>
    <col min="17" max="17" width="14.7109375" bestFit="1" customWidth="1"/>
    <col min="18" max="20" width="9.140625" customWidth="1"/>
    <col min="21" max="21" width="15.85546875" bestFit="1" customWidth="1"/>
    <col min="22" max="23" width="9.140625" customWidth="1"/>
    <col min="24" max="24" width="4" customWidth="1"/>
    <col min="25" max="31" width="9.140625" customWidth="1"/>
    <col min="32" max="32" width="23" customWidth="1"/>
    <col min="33" max="33" width="9.140625" customWidth="1"/>
    <col min="34" max="34" width="22" hidden="1" customWidth="1"/>
    <col min="35" max="35" width="0" hidden="1" customWidth="1"/>
    <col min="36" max="36" width="48.28515625" hidden="1" customWidth="1"/>
  </cols>
  <sheetData>
    <row r="1" spans="1:36" x14ac:dyDescent="0.2">
      <c r="B1" s="1"/>
      <c r="C1" s="17" t="str">
        <f>IFERROR(VLOOKUP("?*",C2:C11,1,),"")</f>
        <v>картофель</v>
      </c>
      <c r="D1" s="17" t="str">
        <f t="shared" ref="D1:V1" si="0">IFERROR(VLOOKUP("?*",D2:D11,1,),"")</f>
        <v>морковь</v>
      </c>
      <c r="E1" s="17" t="str">
        <f t="shared" si="0"/>
        <v>лук</v>
      </c>
      <c r="F1" s="17" t="str">
        <f t="shared" si="0"/>
        <v>масло</v>
      </c>
      <c r="G1" s="17" t="str">
        <f t="shared" si="0"/>
        <v>соль</v>
      </c>
      <c r="H1" s="17" t="str">
        <f t="shared" si="0"/>
        <v>капуста</v>
      </c>
      <c r="I1" s="17" t="str">
        <f t="shared" si="0"/>
        <v>свекла</v>
      </c>
      <c r="J1" s="17" t="str">
        <f t="shared" si="0"/>
        <v>фасоль</v>
      </c>
      <c r="K1" s="17" t="str">
        <f t="shared" si="0"/>
        <v>сок томатный</v>
      </c>
      <c r="L1" s="17" t="str">
        <f t="shared" si="0"/>
        <v>масло сливоч.</v>
      </c>
      <c r="M1" s="17" t="str">
        <f t="shared" si="0"/>
        <v>мука</v>
      </c>
      <c r="N1" s="17" t="str">
        <f t="shared" si="0"/>
        <v>рыба</v>
      </c>
      <c r="O1" s="17" t="str">
        <f t="shared" si="0"/>
        <v>сахар</v>
      </c>
      <c r="P1" s="17" t="str">
        <f t="shared" si="0"/>
        <v>чай</v>
      </c>
      <c r="Q1" s="17" t="str">
        <f t="shared" si="0"/>
        <v>хлеб пшеничный</v>
      </c>
      <c r="R1" s="17" t="str">
        <f t="shared" si="0"/>
        <v>лимон</v>
      </c>
      <c r="S1" s="17" t="str">
        <f t="shared" si="0"/>
        <v>булочка</v>
      </c>
      <c r="T1" s="17" t="str">
        <f t="shared" si="0"/>
        <v>фрукта</v>
      </c>
      <c r="U1" s="17" t="str">
        <f t="shared" si="0"/>
        <v/>
      </c>
      <c r="V1" s="17" t="str">
        <f t="shared" si="0"/>
        <v>сливки</v>
      </c>
    </row>
    <row r="2" spans="1:36" x14ac:dyDescent="0.2">
      <c r="A2" s="9"/>
      <c r="B2" s="18" t="s">
        <v>69</v>
      </c>
      <c r="C2" s="2" t="str">
        <f>IFERROR(VLOOKUP($B$2:$B$11,$B$12:$V$16,2,0),"")</f>
        <v>картофель</v>
      </c>
      <c r="D2" s="2" t="str">
        <f>IFERROR(VLOOKUP($B$2,$B$12:$V$16,3,0),"")</f>
        <v>морковь</v>
      </c>
      <c r="E2" s="2" t="str">
        <f>IFERROR(VLOOKUP($B$2,$B$12:$V$16,4,0),"")</f>
        <v>лук</v>
      </c>
      <c r="F2" s="2" t="str">
        <f>IFERROR(VLOOKUP($B$2,$B$12:$V$16,5,0),"")</f>
        <v>масло</v>
      </c>
      <c r="G2" s="2" t="str">
        <f>IFERROR(VLOOKUP($B$2,$B$12:$V$16,6,0),"")</f>
        <v>соль</v>
      </c>
      <c r="H2" s="2" t="str">
        <f>IFERROR(VLOOKUP($B$2,$B$12:$V$16,7,0),"")</f>
        <v>капуста</v>
      </c>
      <c r="I2" s="2" t="str">
        <f>IFERROR(VLOOKUP($B$2,$B$12:$V$16,8,0),"")</f>
        <v>свекла</v>
      </c>
      <c r="J2" s="2" t="str">
        <f>IFERROR(VLOOKUP($B$2,$B$12:$V$16,9,0),"")</f>
        <v>фасоль</v>
      </c>
      <c r="K2" s="2" t="str">
        <f>IFERROR(VLOOKUP($B$2,$B$12:$V$16,10,0),"")</f>
        <v>сок томатный</v>
      </c>
      <c r="L2" s="2">
        <f>IFERROR(VLOOKUP($B$2,$B$12:$V$16,11,0),"")</f>
        <v>0</v>
      </c>
      <c r="M2" s="2">
        <f>IFERROR(VLOOKUP($B$2,$B$12:$V$16,12,0),"")</f>
        <v>0</v>
      </c>
      <c r="N2" s="2">
        <f>IFERROR(VLOOKUP($B$2,$B$12:$V$16,13,0),"")</f>
        <v>0</v>
      </c>
      <c r="O2" s="2">
        <f>IFERROR(VLOOKUP($B$2,$B$12:$V$16,14,0),"")</f>
        <v>0</v>
      </c>
      <c r="P2" s="2">
        <f>IFERROR(VLOOKUP($B$2,$B$12:$V$16,15,0),"")</f>
        <v>0</v>
      </c>
      <c r="Q2" s="2">
        <f>IFERROR(VLOOKUP($B$2,$B$12:$V$16,16,0),"")</f>
        <v>0</v>
      </c>
      <c r="R2" s="2">
        <f>IFERROR(VLOOKUP($B$2,$B$12:$V$16,17,0),"")</f>
        <v>0</v>
      </c>
      <c r="S2" s="2">
        <f>IFERROR(VLOOKUP($B$2,$B$12:$V$16,18,0),"")</f>
        <v>0</v>
      </c>
      <c r="T2" s="2">
        <f>IFERROR(VLOOKUP($B$2,$B$12:$V$16,19,0),"")</f>
        <v>0</v>
      </c>
      <c r="U2" s="2">
        <f>IFERROR(VLOOKUP($B$2,$B$12:$V$16,20,0),"")</f>
        <v>0</v>
      </c>
      <c r="V2" s="2" t="str">
        <f>IFERROR(VLOOKUP($B$2,$B$12:$V$16,21,0),"")</f>
        <v>сливки</v>
      </c>
      <c r="X2" s="3"/>
      <c r="Z2" s="3"/>
    </row>
    <row r="3" spans="1:36" x14ac:dyDescent="0.2">
      <c r="A3" s="9"/>
      <c r="B3" s="18" t="s">
        <v>53</v>
      </c>
      <c r="C3" s="2" t="str">
        <f>IFERROR(VLOOKUP($B$3,$B$17:$V$27,2,0),"")</f>
        <v>картофель</v>
      </c>
      <c r="D3" s="2" t="str">
        <f>IFERROR(VLOOKUP($B$3,$B$17:$V$27,3,0),"")</f>
        <v>морковь</v>
      </c>
      <c r="E3" s="2" t="str">
        <f>IFERROR(VLOOKUP($B$3,$B$17:$V$27,4,0),"")</f>
        <v>лук</v>
      </c>
      <c r="F3" s="2" t="str">
        <f>IFERROR(VLOOKUP($B$3,$B$17:$V$27,5,0),"")</f>
        <v>масло</v>
      </c>
      <c r="G3" s="2" t="str">
        <f>IFERROR(VLOOKUP($B$3,$B$17:$V$27,6,0),"")</f>
        <v>соль</v>
      </c>
      <c r="H3" s="2">
        <f>IFERROR(VLOOKUP($B$3,$B$17:$V$27,7,0),"")</f>
        <v>0</v>
      </c>
      <c r="I3" s="2">
        <f>IFERROR(VLOOKUP($B$3,$B$17:$V$27,8,0),"")</f>
        <v>0</v>
      </c>
      <c r="J3" s="2">
        <f>IFERROR(VLOOKUP($B$3,$B$17:$V$27,9,0),"")</f>
        <v>0</v>
      </c>
      <c r="K3" s="2">
        <f>IFERROR(VLOOKUP($B$3,$B$17:$V$27,10,0),"")</f>
        <v>0</v>
      </c>
      <c r="L3" s="2" t="str">
        <f>IFERROR(VLOOKUP($B$3,$B$17:$V$27,11,0),"")</f>
        <v>масло сливоч.</v>
      </c>
      <c r="M3" s="4">
        <f>IFERROR(VLOOKUP($B$3,$B$17:$V$27,12,0),"")</f>
        <v>0</v>
      </c>
      <c r="N3" s="2">
        <f>IFERROR(VLOOKUP($B$3,$B$17:$V$27,13,0),"")</f>
        <v>0</v>
      </c>
      <c r="O3" s="2">
        <f>IFERROR(VLOOKUP($B$3,$B$17:$V$27,14,0),"")</f>
        <v>0</v>
      </c>
      <c r="P3" s="2">
        <f>IFERROR(VLOOKUP($B$3,$B$17:$V$27,15,0),"")</f>
        <v>0</v>
      </c>
      <c r="Q3" s="2">
        <f>IFERROR(VLOOKUP($B$3,$B$17:$V$27,16,0),"")</f>
        <v>0</v>
      </c>
      <c r="R3" s="2">
        <f>IFERROR(VLOOKUP($B$3,$B$17:$V$27,17,0),"")</f>
        <v>0</v>
      </c>
      <c r="S3" s="2">
        <f>IFERROR(VLOOKUP($B$3,$B$17:$V$27,18,0),"")</f>
        <v>0</v>
      </c>
      <c r="T3" s="2">
        <f>IFERROR(VLOOKUP($B$3,$B$17:$V$27,19,0),"")</f>
        <v>0</v>
      </c>
      <c r="U3" s="2">
        <f>IFERROR(VLOOKUP($B$3,$B$17:$V$27,20,0),"")</f>
        <v>0</v>
      </c>
      <c r="V3" s="2">
        <f>IFERROR(VLOOKUP($B$3,$B$17:$V$27,21,0),"")</f>
        <v>0</v>
      </c>
      <c r="X3" s="3"/>
    </row>
    <row r="4" spans="1:36" x14ac:dyDescent="0.2">
      <c r="A4" s="9"/>
      <c r="B4" s="18" t="s">
        <v>57</v>
      </c>
      <c r="C4" s="2">
        <f>IFERROR(VLOOKUP($B$4,$B$28:$V$36,2,0),"")</f>
        <v>0</v>
      </c>
      <c r="D4" s="2" t="str">
        <f>IFERROR(VLOOKUP($B$4,$B$28:$V$36,3,0),"")</f>
        <v>морковь</v>
      </c>
      <c r="E4" s="2" t="str">
        <f>IFERROR(VLOOKUP($B$4,$B$28:$V$36,4,0),"")</f>
        <v>лук</v>
      </c>
      <c r="F4" s="2" t="str">
        <f>IFERROR(VLOOKUP($B$4,$B$28:$V$36,5,0),"")</f>
        <v>масло</v>
      </c>
      <c r="G4" s="2" t="str">
        <f>IFERROR(VLOOKUP($B$4,$B$28:$V$36,6,0),"")</f>
        <v>соль</v>
      </c>
      <c r="H4" s="2">
        <f>IFERROR(VLOOKUP($B$4,$B$28:$V$36,7,0),"")</f>
        <v>0</v>
      </c>
      <c r="I4" s="2">
        <f>IFERROR(VLOOKUP($B$4,$B$28:$V$36,8,0),"")</f>
        <v>0</v>
      </c>
      <c r="J4" s="2">
        <f>IFERROR(VLOOKUP($B$4,$B$28:$V$36,9,0),"")</f>
        <v>0</v>
      </c>
      <c r="K4" s="2" t="str">
        <f>IFERROR(VLOOKUP($B$4,$B$28:$V$36,10,0),"")</f>
        <v>сок томатный</v>
      </c>
      <c r="L4" s="2">
        <f>IFERROR(VLOOKUP($B$4,$B$28:$V$36,11,0),"")</f>
        <v>0</v>
      </c>
      <c r="M4" s="2" t="str">
        <f>IFERROR(VLOOKUP($B$4,$B$28:$V$36,12,0),"")</f>
        <v>мука</v>
      </c>
      <c r="N4" s="2" t="str">
        <f>IFERROR(VLOOKUP($B$4,$B$28:$V$36,13,0),"")</f>
        <v>рыба</v>
      </c>
      <c r="O4" s="2">
        <f>IFERROR(VLOOKUP($B$4,$B$28:$V$36,14,0),"")</f>
        <v>0</v>
      </c>
      <c r="P4" s="2">
        <f>IFERROR(VLOOKUP($B$4,$B$28:$V$36,15,0),"")</f>
        <v>0</v>
      </c>
      <c r="Q4" s="2">
        <f>IFERROR(VLOOKUP($B$4,$B$28:$V$36,16,0),"")</f>
        <v>0</v>
      </c>
      <c r="R4" s="2">
        <f>IFERROR(VLOOKUP($B$4,$B$28:$V$36,17,0),"")</f>
        <v>0</v>
      </c>
      <c r="S4" s="2">
        <f>IFERROR(VLOOKUP($B$4,$B$28:$V$36,18,0),"")</f>
        <v>0</v>
      </c>
      <c r="T4" s="2">
        <f>IFERROR(VLOOKUP($B$4,$B$28:$V$36,19,0),"")</f>
        <v>0</v>
      </c>
      <c r="U4" s="2">
        <f>IFERROR(VLOOKUP($B$4,$B$28:$V$36,20,0),"")</f>
        <v>0</v>
      </c>
      <c r="V4" s="2">
        <f>IFERROR(VLOOKUP($B$4,$B$28:$V$36,21,0),"")</f>
        <v>0</v>
      </c>
      <c r="X4" s="3"/>
    </row>
    <row r="5" spans="1:36" x14ac:dyDescent="0.2">
      <c r="A5" s="9"/>
      <c r="B5" s="18" t="s">
        <v>0</v>
      </c>
      <c r="C5" s="2">
        <f>IFERROR(VLOOKUP($B$5,$B$37:$V$38,2,0),"")</f>
        <v>0</v>
      </c>
      <c r="D5" s="2">
        <f>IFERROR(VLOOKUP($B$5,$B$37:$V$38,3,0),"")</f>
        <v>0</v>
      </c>
      <c r="E5" s="2">
        <f>IFERROR(VLOOKUP($B$5,$B$37:$V$38,4,0),"")</f>
        <v>0</v>
      </c>
      <c r="F5" s="2">
        <f>IFERROR(VLOOKUP($B$5,$B$37:$V$38,5,0),"")</f>
        <v>0</v>
      </c>
      <c r="G5" s="2">
        <f>IFERROR(VLOOKUP($B$5,$B$37:$V$38,6,0),"")</f>
        <v>0</v>
      </c>
      <c r="H5" s="2">
        <f>IFERROR(VLOOKUP($B$5,$B$37:$V$38,7,0),"")</f>
        <v>0</v>
      </c>
      <c r="I5" s="2">
        <f>IFERROR(VLOOKUP($B$5,$B$37:$V$38,8,0),"")</f>
        <v>0</v>
      </c>
      <c r="J5" s="2">
        <f>IFERROR(VLOOKUP($B$5,$B$37:$V$38,9,0),"")</f>
        <v>0</v>
      </c>
      <c r="K5" s="2">
        <f>IFERROR(VLOOKUP($B$5,$B$37:$V$38,10,0),"")</f>
        <v>0</v>
      </c>
      <c r="L5" s="2">
        <f>IFERROR(VLOOKUP($B$5,$B$37:$V$38,11,0),"")</f>
        <v>0</v>
      </c>
      <c r="M5" s="2">
        <f>IFERROR(VLOOKUP($B$5,$B$37:$V$38,12,0),"")</f>
        <v>0</v>
      </c>
      <c r="N5" s="2">
        <f>IFERROR(VLOOKUP($B$5,$B$37:$V$38,13,0),"")</f>
        <v>0</v>
      </c>
      <c r="O5" s="2" t="str">
        <f>IFERROR(VLOOKUP($B$5,$B$37:$V$38,14,0),"")</f>
        <v>сахар</v>
      </c>
      <c r="P5" s="2" t="str">
        <f>IFERROR(VLOOKUP($B$5,$B$37:$V$38,15,0),"")</f>
        <v>чай</v>
      </c>
      <c r="Q5" s="2">
        <f>IFERROR(VLOOKUP($B$5,$B$37:$V$38,16,0),"")</f>
        <v>0</v>
      </c>
      <c r="R5" s="2" t="str">
        <f>IFERROR(VLOOKUP($B$5,$B$37:$V$38,17,0),"")</f>
        <v>лимон</v>
      </c>
      <c r="S5" s="2">
        <f>IFERROR(VLOOKUP($B$5,$B$37:$V$38,18,0),"")</f>
        <v>0</v>
      </c>
      <c r="T5" s="2">
        <f>IFERROR(VLOOKUP($B$5,$B$37:$V$38,19,0),"")</f>
        <v>0</v>
      </c>
      <c r="U5" s="2">
        <f>IFERROR(VLOOKUP($B$5,$B$37:$V$38,20,0),"")</f>
        <v>0</v>
      </c>
      <c r="V5" s="2">
        <f>IFERROR(VLOOKUP($B$5,$B$37:$V$38,21,0),"")</f>
        <v>0</v>
      </c>
      <c r="X5" s="3"/>
    </row>
    <row r="6" spans="1:36" x14ac:dyDescent="0.2">
      <c r="A6" s="9"/>
      <c r="B6" s="18" t="s">
        <v>63</v>
      </c>
      <c r="C6" s="2">
        <f>IFERROR(VLOOKUP($B$6,$B$40:$V$40,2,0),"")</f>
        <v>0</v>
      </c>
      <c r="D6" s="2">
        <f>IFERROR(VLOOKUP($B$6,$B$40:$V$40,3,0),"")</f>
        <v>0</v>
      </c>
      <c r="E6" s="2">
        <f>IFERROR(VLOOKUP($B$6,$B$40:$V$40,4,0),"")</f>
        <v>0</v>
      </c>
      <c r="F6" s="2">
        <f>IFERROR(VLOOKUP($B$6,$B$40:$V$40,5,0),"")</f>
        <v>0</v>
      </c>
      <c r="G6" s="2">
        <f>IFERROR(VLOOKUP($B$6,$B$40:$V$40,6,0),"")</f>
        <v>0</v>
      </c>
      <c r="H6" s="2">
        <f>IFERROR(VLOOKUP($B$6,$B$40:$V$40,7,0),"")</f>
        <v>0</v>
      </c>
      <c r="I6" s="2">
        <f>IFERROR(VLOOKUP($B$6,$B$40:$V$40,8,0),"")</f>
        <v>0</v>
      </c>
      <c r="J6" s="2">
        <f>IFERROR(VLOOKUP($B$6,$B$40:$V$40,9,0),"")</f>
        <v>0</v>
      </c>
      <c r="K6" s="2">
        <f>IFERROR(VLOOKUP($B$6,$B$40:$V$40,10,0),"")</f>
        <v>0</v>
      </c>
      <c r="L6" s="2">
        <f>IFERROR(VLOOKUP($B$6,$B$40:$V$40,11,0),"")</f>
        <v>0</v>
      </c>
      <c r="M6" s="2">
        <f>IFERROR(VLOOKUP($B$6,$B$40:$V$40,12,0),"")</f>
        <v>0</v>
      </c>
      <c r="N6" s="2">
        <f>IFERROR(VLOOKUP($B$6,$B$40:$V$40,13,0),"")</f>
        <v>0</v>
      </c>
      <c r="O6" s="2">
        <f>IFERROR(VLOOKUP($B$6,$B$40:$V$40,14,0),"")</f>
        <v>0</v>
      </c>
      <c r="P6" s="2">
        <f>IFERROR(VLOOKUP($B$6,$B$40:$V$40,15,0),"")</f>
        <v>0</v>
      </c>
      <c r="Q6" s="2" t="str">
        <f>IFERROR(VLOOKUP($B$6,$B$40:$V$40,16,0),"")</f>
        <v>хлеб пшеничный</v>
      </c>
      <c r="R6" s="2">
        <f>IFERROR(VLOOKUP($B$6,$B$40:$V$40,17,0),"")</f>
        <v>0</v>
      </c>
      <c r="S6" s="2">
        <f>IFERROR(VLOOKUP($B$6,$B$40:$V$40,18,0),"")</f>
        <v>0</v>
      </c>
      <c r="T6" s="2">
        <f>IFERROR(VLOOKUP($B$6,$B$40:$V$40,19,0),"")</f>
        <v>0</v>
      </c>
      <c r="U6" s="2">
        <f>IFERROR(VLOOKUP($B$6,$B$40:$V$40,20,0),"")</f>
        <v>0</v>
      </c>
      <c r="V6" s="2">
        <f>IFERROR(VLOOKUP($B$6,$B$40:$V$40,21,0),"")</f>
        <v>0</v>
      </c>
      <c r="X6" s="3"/>
    </row>
    <row r="7" spans="1:36" x14ac:dyDescent="0.2">
      <c r="A7" s="9"/>
      <c r="B7" s="18" t="s">
        <v>12</v>
      </c>
      <c r="C7" s="2">
        <f>IFERROR(VLOOKUP($B$7,$B$39:$V$39,2,0),"")</f>
        <v>0</v>
      </c>
      <c r="D7" s="2">
        <f>IFERROR(VLOOKUP($B$7,$B$39:$V$39,3,0),"")</f>
        <v>0</v>
      </c>
      <c r="E7" s="2">
        <f>IFERROR(VLOOKUP($B$7,$B$39:$V$39,4,0),"")</f>
        <v>0</v>
      </c>
      <c r="F7" s="2">
        <f>IFERROR(VLOOKUP($B$7,$B$39:$V$39,5,0),"")</f>
        <v>0</v>
      </c>
      <c r="G7" s="2">
        <f>IFERROR(VLOOKUP($B$7,$B$39:$V$39,6,0),"")</f>
        <v>0</v>
      </c>
      <c r="H7" s="2">
        <f>IFERROR(VLOOKUP($B$7,$B$39:$V$39,7,0),"")</f>
        <v>0</v>
      </c>
      <c r="I7" s="2">
        <f>IFERROR(VLOOKUP($B$7,$B$39:$V$39,8,0),"")</f>
        <v>0</v>
      </c>
      <c r="J7" s="2">
        <f>IFERROR(VLOOKUP($B$7,$B$39:$V$39,9,0),"")</f>
        <v>0</v>
      </c>
      <c r="K7" s="2">
        <f>IFERROR(VLOOKUP($B$7,$B$39:$V$39,10,0),"")</f>
        <v>0</v>
      </c>
      <c r="L7" s="2">
        <f>IFERROR(VLOOKUP($B$7,$B$39:$V$39,11,0),"")</f>
        <v>0</v>
      </c>
      <c r="M7" s="2">
        <f>IFERROR(VLOOKUP($B$7,$B$39:$V$39,12,0),"")</f>
        <v>0</v>
      </c>
      <c r="N7" s="2">
        <f>IFERROR(VLOOKUP($B$7,$B$39:$V$39,13,0),"")</f>
        <v>0</v>
      </c>
      <c r="O7" s="2">
        <f>IFERROR(VLOOKUP($B$7,$B$39:$V$39,14,0),"")</f>
        <v>0</v>
      </c>
      <c r="P7" s="2">
        <f>IFERROR(VLOOKUP($B$7,$B$39:$V$39,15,0),"")</f>
        <v>0</v>
      </c>
      <c r="Q7" s="2">
        <f>IFERROR(VLOOKUP($B$7,$B$39:$V$39,16,0),"")</f>
        <v>0</v>
      </c>
      <c r="R7" s="2">
        <f>IFERROR(VLOOKUP($B$7,$B$39:$V$39,17,0),"")</f>
        <v>0</v>
      </c>
      <c r="S7" s="2" t="str">
        <f>IFERROR(VLOOKUP($B$7,$B$39:$V$39,18,0),"")</f>
        <v>булочка</v>
      </c>
      <c r="T7" s="2">
        <f>IFERROR(VLOOKUP($B$7,$B$39:$V$39,19,0),"")</f>
        <v>0</v>
      </c>
      <c r="U7" s="2">
        <f>IFERROR(VLOOKUP($B$7,$B$39:$V$39,20,0),"")</f>
        <v>0</v>
      </c>
      <c r="V7" s="2">
        <f>IFERROR(VLOOKUP($B$7,$B$39:$V$39,21,0),"")</f>
        <v>0</v>
      </c>
      <c r="X7" s="3"/>
    </row>
    <row r="8" spans="1:36" x14ac:dyDescent="0.2">
      <c r="A8" s="9"/>
      <c r="B8" s="18"/>
      <c r="C8" s="2" t="str">
        <f>IFERROR(VLOOKUP($B$8,$B$41:$V$42,2,0),"")</f>
        <v/>
      </c>
      <c r="D8" s="2" t="str">
        <f>IFERROR(VLOOKUP($B$8,$B$41:$V$42,3,0),"")</f>
        <v/>
      </c>
      <c r="E8" s="2" t="str">
        <f>IFERROR(VLOOKUP($B$8,$B$41:$V$42,4,0),"")</f>
        <v/>
      </c>
      <c r="F8" s="2" t="str">
        <f>IFERROR(VLOOKUP($B$8,$B$41:$V$42,5,0),"")</f>
        <v/>
      </c>
      <c r="G8" s="2" t="str">
        <f>IFERROR(VLOOKUP($B$8,$B$41:$V$42,6,0),"")</f>
        <v/>
      </c>
      <c r="H8" s="2" t="str">
        <f>IFERROR(VLOOKUP($B$8,$B$41:$V$42,7,0),"")</f>
        <v/>
      </c>
      <c r="I8" s="2" t="str">
        <f>IFERROR(VLOOKUP($B$8,$B$41:$V$42,8,0),"")</f>
        <v/>
      </c>
      <c r="J8" s="2" t="str">
        <f>IFERROR(VLOOKUP($B$8,$B$41:$V$42,9,0),"")</f>
        <v/>
      </c>
      <c r="K8" s="2" t="str">
        <f>IFERROR(VLOOKUP($B$8,$B$41:$V$42,10,0),"")</f>
        <v/>
      </c>
      <c r="L8" s="2" t="str">
        <f>IFERROR(VLOOKUP($B$8,$B$41:$V$42,11,0),"")</f>
        <v/>
      </c>
      <c r="M8" s="2" t="str">
        <f>IFERROR(VLOOKUP($B$8,$B$41:$V$42,12,0),"")</f>
        <v/>
      </c>
      <c r="N8" s="2" t="str">
        <f>IFERROR(VLOOKUP($B$8,$B$41:$V$42,13,0),"")</f>
        <v/>
      </c>
      <c r="O8" s="2" t="str">
        <f>IFERROR(VLOOKUP($B$8,$B$41:$V$42,14,0),"")</f>
        <v/>
      </c>
      <c r="P8" s="2" t="str">
        <f>IFERROR(VLOOKUP($B$8,$B$41:$V$42,15,0),"")</f>
        <v/>
      </c>
      <c r="Q8" s="2" t="str">
        <f>IFERROR(VLOOKUP($B$8,$B$41:$V$42,16,0),"")</f>
        <v/>
      </c>
      <c r="R8" s="2" t="str">
        <f>IFERROR(VLOOKUP($B$8,$B$41:$V$42,17,0),"")</f>
        <v/>
      </c>
      <c r="S8" s="2" t="str">
        <f>IFERROR(VLOOKUP($B$8,$B$41:$V$42,18,0),"")</f>
        <v/>
      </c>
      <c r="T8" s="2" t="str">
        <f>IFERROR(VLOOKUP($B$8,$B$41:$V$42,19,0),"")</f>
        <v/>
      </c>
      <c r="U8" s="2" t="str">
        <f>IFERROR(VLOOKUP($B$8,$B$41:$V$42,20,0),"")</f>
        <v/>
      </c>
      <c r="V8" s="2" t="str">
        <f>IFERROR(VLOOKUP($B$8,$B$41:$V$42,21,0),"")</f>
        <v/>
      </c>
      <c r="X8" s="3"/>
    </row>
    <row r="9" spans="1:36" ht="10.5" customHeight="1" x14ac:dyDescent="0.2">
      <c r="A9" s="9"/>
      <c r="B9" s="18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 t="str">
        <f>IFERROR(VLOOKUP($B$9,$B$44:$V$44,20,0),"")</f>
        <v/>
      </c>
      <c r="V9" s="2"/>
      <c r="X9" s="3"/>
    </row>
    <row r="10" spans="1:36" x14ac:dyDescent="0.2">
      <c r="A10" s="9"/>
      <c r="B10" s="19" t="s">
        <v>66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 t="str">
        <f>IFERROR(VLOOKUP($B$10,B43:V43,19,0),"")</f>
        <v>фрукта</v>
      </c>
      <c r="U10" s="2"/>
      <c r="V10" s="2"/>
      <c r="X10" s="3"/>
    </row>
    <row r="11" spans="1:36" x14ac:dyDescent="0.2">
      <c r="A11" s="9"/>
      <c r="B11" s="1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 t="str">
        <f>IFERROR(VLOOKUP($B$11,$B$45:$V$46,21,0),"")</f>
        <v/>
      </c>
      <c r="X11" s="3"/>
    </row>
    <row r="12" spans="1:36" hidden="1" x14ac:dyDescent="0.2">
      <c r="A12" s="5">
        <v>1</v>
      </c>
      <c r="B12" s="6" t="str">
        <f>IF($B$2="Борщ  крас.","Борщ  крас.")</f>
        <v>Борщ  крас.</v>
      </c>
      <c r="C12" s="6" t="s">
        <v>21</v>
      </c>
      <c r="D12" s="6" t="s">
        <v>25</v>
      </c>
      <c r="E12" s="6" t="s">
        <v>37</v>
      </c>
      <c r="F12" s="6" t="s">
        <v>6</v>
      </c>
      <c r="G12" s="6" t="s">
        <v>33</v>
      </c>
      <c r="H12" s="6" t="s">
        <v>1</v>
      </c>
      <c r="I12" s="6" t="s">
        <v>18</v>
      </c>
      <c r="J12" s="6" t="s">
        <v>22</v>
      </c>
      <c r="K12" s="6" t="s">
        <v>32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 t="s">
        <v>73</v>
      </c>
      <c r="AE12" s="20">
        <v>1</v>
      </c>
      <c r="AF12" s="6" t="s">
        <v>73</v>
      </c>
      <c r="AG12" s="20">
        <v>0.38</v>
      </c>
      <c r="AH12" s="7" t="s">
        <v>16</v>
      </c>
      <c r="AJ12" s="6" t="s">
        <v>69</v>
      </c>
    </row>
    <row r="13" spans="1:36" hidden="1" x14ac:dyDescent="0.2">
      <c r="A13" s="5">
        <v>2</v>
      </c>
      <c r="B13" s="6" t="b">
        <f>IF($B$2="Борщ зеленый","Борщ зеленый")</f>
        <v>0</v>
      </c>
      <c r="C13" s="6" t="s">
        <v>21</v>
      </c>
      <c r="D13" s="6" t="s">
        <v>25</v>
      </c>
      <c r="E13" s="6" t="s">
        <v>37</v>
      </c>
      <c r="F13" s="6" t="s">
        <v>6</v>
      </c>
      <c r="G13" s="6" t="s">
        <v>33</v>
      </c>
      <c r="H13" s="6" t="s">
        <v>2</v>
      </c>
      <c r="I13" s="6" t="s">
        <v>39</v>
      </c>
      <c r="J13" s="6" t="s">
        <v>71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 t="s">
        <v>73</v>
      </c>
      <c r="AE13" s="20">
        <v>2</v>
      </c>
      <c r="AF13" s="6" t="s">
        <v>7</v>
      </c>
      <c r="AG13" s="20">
        <v>0.9</v>
      </c>
      <c r="AH13" s="7" t="s">
        <v>17</v>
      </c>
      <c r="AJ13" s="6" t="s">
        <v>68</v>
      </c>
    </row>
    <row r="14" spans="1:36" hidden="1" x14ac:dyDescent="0.2">
      <c r="A14" s="5">
        <v>3</v>
      </c>
      <c r="B14" s="6" t="b">
        <f>IF($B$2="Суп картофельный с гречневой крупой","Суп картофельный с гречневой крупой")</f>
        <v>0</v>
      </c>
      <c r="C14" s="6" t="s">
        <v>21</v>
      </c>
      <c r="D14" s="6" t="s">
        <v>25</v>
      </c>
      <c r="E14" s="6" t="s">
        <v>37</v>
      </c>
      <c r="F14" s="6" t="s">
        <v>6</v>
      </c>
      <c r="G14" s="6" t="s">
        <v>33</v>
      </c>
      <c r="H14" s="6" t="s">
        <v>3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AE14" s="20">
        <v>3</v>
      </c>
      <c r="AF14" s="6" t="s">
        <v>14</v>
      </c>
      <c r="AG14" s="20">
        <v>0.45</v>
      </c>
      <c r="AH14" s="7" t="s">
        <v>4</v>
      </c>
      <c r="AJ14" s="6" t="s">
        <v>41</v>
      </c>
    </row>
    <row r="15" spans="1:36" hidden="1" x14ac:dyDescent="0.2">
      <c r="A15" s="5">
        <v>4</v>
      </c>
      <c r="B15" s="6" t="b">
        <f>IF($B$2="Суп картофельный гороховый","Суп картофельный гороховый")</f>
        <v>0</v>
      </c>
      <c r="C15" s="6" t="s">
        <v>21</v>
      </c>
      <c r="D15" s="6" t="s">
        <v>25</v>
      </c>
      <c r="E15" s="6" t="s">
        <v>37</v>
      </c>
      <c r="F15" s="6" t="s">
        <v>6</v>
      </c>
      <c r="G15" s="6" t="s">
        <v>33</v>
      </c>
      <c r="H15" s="6"/>
      <c r="I15" s="6" t="s">
        <v>5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AE15" s="20">
        <v>4</v>
      </c>
      <c r="AF15" s="6" t="s">
        <v>11</v>
      </c>
      <c r="AG15" s="20">
        <v>0.09</v>
      </c>
      <c r="AH15" s="7" t="s">
        <v>18</v>
      </c>
      <c r="AJ15" s="6" t="s">
        <v>42</v>
      </c>
    </row>
    <row r="16" spans="1:36" s="12" customFormat="1" hidden="1" x14ac:dyDescent="0.2">
      <c r="A16" s="9">
        <v>5</v>
      </c>
      <c r="B16" s="10" t="b">
        <f>IF($B$2="Суп картофельный с макаронами","Суп картофельный с макаронами")</f>
        <v>0</v>
      </c>
      <c r="C16" s="6" t="s">
        <v>21</v>
      </c>
      <c r="D16" s="6" t="s">
        <v>25</v>
      </c>
      <c r="E16" s="6" t="s">
        <v>37</v>
      </c>
      <c r="F16" s="6" t="s">
        <v>6</v>
      </c>
      <c r="G16" s="6" t="s">
        <v>33</v>
      </c>
      <c r="H16" s="10" t="s">
        <v>24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/>
      <c r="X16"/>
      <c r="Y16"/>
      <c r="Z16"/>
      <c r="AA16"/>
      <c r="AB16"/>
      <c r="AC16"/>
      <c r="AD16"/>
      <c r="AE16" s="20">
        <v>5</v>
      </c>
      <c r="AF16" s="6" t="s">
        <v>19</v>
      </c>
      <c r="AG16" s="20">
        <v>0.1</v>
      </c>
      <c r="AH16" s="7" t="s">
        <v>5</v>
      </c>
      <c r="AJ16" s="10" t="s">
        <v>43</v>
      </c>
    </row>
    <row r="17" spans="1:36" s="12" customFormat="1" hidden="1" x14ac:dyDescent="0.2">
      <c r="A17" s="9">
        <v>6</v>
      </c>
      <c r="B17" s="13" t="str">
        <f>IF($B$3="Картофель тушеный","Картофель тушеный")</f>
        <v>Картофель тушеный</v>
      </c>
      <c r="C17" s="6" t="s">
        <v>21</v>
      </c>
      <c r="D17" s="6" t="s">
        <v>25</v>
      </c>
      <c r="E17" s="6" t="s">
        <v>37</v>
      </c>
      <c r="F17" s="6" t="s">
        <v>6</v>
      </c>
      <c r="G17" s="6" t="s">
        <v>33</v>
      </c>
      <c r="H17" s="10"/>
      <c r="I17" s="10"/>
      <c r="J17" s="10"/>
      <c r="K17" s="10"/>
      <c r="L17" s="10" t="s">
        <v>70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/>
      <c r="X17"/>
      <c r="Y17"/>
      <c r="Z17"/>
      <c r="AA17"/>
      <c r="AB17"/>
      <c r="AC17"/>
      <c r="AD17"/>
      <c r="AE17" s="20">
        <v>6</v>
      </c>
      <c r="AF17" s="6" t="s">
        <v>36</v>
      </c>
      <c r="AG17" s="20">
        <v>0.7</v>
      </c>
      <c r="AH17" s="7" t="s">
        <v>3</v>
      </c>
      <c r="AJ17" s="13"/>
    </row>
    <row r="18" spans="1:36" hidden="1" x14ac:dyDescent="0.2">
      <c r="A18" s="5">
        <v>7</v>
      </c>
      <c r="B18" s="13" t="b">
        <f>IF($B$3="Картофель пьюре","Картофель пьюре")</f>
        <v>0</v>
      </c>
      <c r="C18" s="6" t="s">
        <v>21</v>
      </c>
      <c r="D18" s="6"/>
      <c r="E18" s="6"/>
      <c r="F18" s="6"/>
      <c r="G18" s="6" t="s">
        <v>33</v>
      </c>
      <c r="H18" s="6"/>
      <c r="I18" s="6"/>
      <c r="J18" s="6"/>
      <c r="K18" s="6"/>
      <c r="L18" s="10" t="s">
        <v>70</v>
      </c>
      <c r="M18" s="6" t="s">
        <v>7</v>
      </c>
      <c r="N18" s="6"/>
      <c r="O18" s="6"/>
      <c r="P18" s="6"/>
      <c r="Q18" s="6"/>
      <c r="R18" s="6"/>
      <c r="S18" s="6"/>
      <c r="T18" s="6"/>
      <c r="U18" s="6"/>
      <c r="V18" s="6"/>
      <c r="AE18" s="20">
        <v>7</v>
      </c>
      <c r="AF18" s="6" t="s">
        <v>35</v>
      </c>
      <c r="AG18" s="20">
        <v>0.6</v>
      </c>
      <c r="AH18" s="7" t="s">
        <v>19</v>
      </c>
      <c r="AJ18" s="13" t="s">
        <v>53</v>
      </c>
    </row>
    <row r="19" spans="1:36" hidden="1" x14ac:dyDescent="0.2">
      <c r="A19" s="5">
        <v>8</v>
      </c>
      <c r="B19" s="13" t="b">
        <f>IF($B$3="Ленивые вареники","Ленивые вареники")</f>
        <v>0</v>
      </c>
      <c r="C19" s="8"/>
      <c r="D19" s="6"/>
      <c r="E19" s="6"/>
      <c r="F19" s="6" t="s">
        <v>6</v>
      </c>
      <c r="G19" s="6" t="s">
        <v>33</v>
      </c>
      <c r="H19" s="6"/>
      <c r="I19" s="6"/>
      <c r="J19" s="6"/>
      <c r="K19" s="6"/>
      <c r="L19" s="10" t="s">
        <v>70</v>
      </c>
      <c r="M19" s="6" t="s">
        <v>17</v>
      </c>
      <c r="N19" s="6"/>
      <c r="O19" s="6"/>
      <c r="P19" s="6"/>
      <c r="Q19" s="6"/>
      <c r="R19" s="6"/>
      <c r="S19" s="6" t="s">
        <v>39</v>
      </c>
      <c r="T19" s="6"/>
      <c r="U19" s="6" t="s">
        <v>74</v>
      </c>
      <c r="V19" s="6"/>
      <c r="AE19" s="20">
        <v>8</v>
      </c>
      <c r="AF19" s="6" t="s">
        <v>4</v>
      </c>
      <c r="AG19" s="20">
        <v>0.1</v>
      </c>
      <c r="AH19" s="7" t="s">
        <v>20</v>
      </c>
      <c r="AJ19" s="13" t="s">
        <v>52</v>
      </c>
    </row>
    <row r="20" spans="1:36" hidden="1" x14ac:dyDescent="0.2">
      <c r="A20" s="5">
        <v>9</v>
      </c>
      <c r="B20" s="13" t="b">
        <f>IF($B$3="Макароны с маслом","Макароны с маслом")</f>
        <v>0</v>
      </c>
      <c r="C20" s="8"/>
      <c r="D20" s="6"/>
      <c r="E20" s="6"/>
      <c r="F20" s="6"/>
      <c r="G20" s="6" t="s">
        <v>33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AH20" s="7" t="s">
        <v>1</v>
      </c>
      <c r="AJ20" s="13" t="s">
        <v>54</v>
      </c>
    </row>
    <row r="21" spans="1:36" hidden="1" x14ac:dyDescent="0.2">
      <c r="A21" s="5">
        <v>10</v>
      </c>
      <c r="B21" s="13"/>
      <c r="C21" s="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AH21" s="7" t="s">
        <v>21</v>
      </c>
      <c r="AJ21" s="13" t="s">
        <v>44</v>
      </c>
    </row>
    <row r="22" spans="1:36" hidden="1" x14ac:dyDescent="0.2">
      <c r="A22" s="5">
        <v>11</v>
      </c>
      <c r="B22" s="13" t="b">
        <f>IF($B$3="Молочная манная каша с изюмом","Молочная манная каша с изюмом")</f>
        <v>0</v>
      </c>
      <c r="C22" s="8"/>
      <c r="D22" s="6"/>
      <c r="E22" s="6"/>
      <c r="F22" s="6"/>
      <c r="G22" s="6" t="s">
        <v>33</v>
      </c>
      <c r="H22" s="6"/>
      <c r="I22" s="6"/>
      <c r="J22" s="6"/>
      <c r="K22" s="6"/>
      <c r="L22" s="6" t="s">
        <v>70</v>
      </c>
      <c r="M22" s="6" t="s">
        <v>7</v>
      </c>
      <c r="N22" s="6"/>
      <c r="O22" s="6" t="s">
        <v>38</v>
      </c>
      <c r="P22" s="6"/>
      <c r="Q22" s="6"/>
      <c r="R22" s="6"/>
      <c r="S22" s="6"/>
      <c r="T22" s="6" t="s">
        <v>20</v>
      </c>
      <c r="U22" s="6" t="s">
        <v>8</v>
      </c>
      <c r="V22" s="6"/>
      <c r="AH22" s="7" t="s">
        <v>71</v>
      </c>
      <c r="AJ22" s="13"/>
    </row>
    <row r="23" spans="1:36" hidden="1" x14ac:dyDescent="0.2">
      <c r="A23" s="5">
        <v>12</v>
      </c>
      <c r="B23" s="13" t="b">
        <f>IF($B$3="Каша гречневая с мясной подливой","Каша гречневая с мясной подливой")</f>
        <v>0</v>
      </c>
      <c r="C23" s="8"/>
      <c r="D23" s="6" t="s">
        <v>25</v>
      </c>
      <c r="E23" s="6" t="s">
        <v>37</v>
      </c>
      <c r="F23" s="6" t="s">
        <v>6</v>
      </c>
      <c r="G23" s="6" t="s">
        <v>33</v>
      </c>
      <c r="H23" s="6" t="s">
        <v>3</v>
      </c>
      <c r="I23" s="6"/>
      <c r="J23" s="6"/>
      <c r="K23" s="6" t="s">
        <v>32</v>
      </c>
      <c r="L23" s="6" t="s">
        <v>70</v>
      </c>
      <c r="M23" s="6" t="s">
        <v>17</v>
      </c>
      <c r="N23" s="6" t="s">
        <v>26</v>
      </c>
      <c r="O23" s="6"/>
      <c r="P23" s="6"/>
      <c r="Q23" s="6"/>
      <c r="R23" s="6"/>
      <c r="S23" s="6" t="s">
        <v>27</v>
      </c>
      <c r="T23" s="6"/>
      <c r="U23" s="6" t="s">
        <v>16</v>
      </c>
      <c r="V23" s="6"/>
      <c r="AH23" s="7" t="s">
        <v>22</v>
      </c>
      <c r="AJ23" s="13" t="s">
        <v>45</v>
      </c>
    </row>
    <row r="24" spans="1:36" hidden="1" x14ac:dyDescent="0.2">
      <c r="A24" s="5">
        <v>13</v>
      </c>
      <c r="B24" s="13"/>
      <c r="C24" s="8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AH24" s="7" t="s">
        <v>23</v>
      </c>
      <c r="AJ24" s="13" t="s">
        <v>46</v>
      </c>
    </row>
    <row r="25" spans="1:36" hidden="1" x14ac:dyDescent="0.2">
      <c r="A25" s="5">
        <v>14</v>
      </c>
      <c r="B25" s="13" t="b">
        <f>IF($B$3="Овощное рагу","Овощное рагу")</f>
        <v>0</v>
      </c>
      <c r="C25" s="8" t="s">
        <v>21</v>
      </c>
      <c r="D25" s="6" t="s">
        <v>25</v>
      </c>
      <c r="E25" s="6" t="s">
        <v>37</v>
      </c>
      <c r="F25" s="6" t="s">
        <v>6</v>
      </c>
      <c r="G25" s="6" t="s">
        <v>33</v>
      </c>
      <c r="H25" s="6" t="s">
        <v>1</v>
      </c>
      <c r="I25" s="6"/>
      <c r="J25" s="6"/>
      <c r="K25" s="6" t="s">
        <v>32</v>
      </c>
      <c r="L25" s="6" t="s">
        <v>70</v>
      </c>
      <c r="M25" s="6"/>
      <c r="N25" s="6"/>
      <c r="O25" s="6"/>
      <c r="P25" s="6"/>
      <c r="Q25" s="6"/>
      <c r="R25" s="6"/>
      <c r="S25" s="6"/>
      <c r="T25" s="6"/>
      <c r="U25" s="6"/>
      <c r="V25" s="6"/>
      <c r="AH25" s="7" t="s">
        <v>9</v>
      </c>
      <c r="AJ25" s="13"/>
    </row>
    <row r="26" spans="1:36" hidden="1" x14ac:dyDescent="0.2">
      <c r="A26" s="5">
        <v>15</v>
      </c>
      <c r="B26" s="13" t="b">
        <f>IF($B$3="Пирожок с капустой","Пирожок с капустой")</f>
        <v>0</v>
      </c>
      <c r="C26" s="8"/>
      <c r="D26" s="6"/>
      <c r="E26" s="6" t="s">
        <v>37</v>
      </c>
      <c r="F26" s="6" t="s">
        <v>6</v>
      </c>
      <c r="G26" s="6" t="s">
        <v>33</v>
      </c>
      <c r="H26" s="6" t="s">
        <v>1</v>
      </c>
      <c r="I26" s="6"/>
      <c r="J26" s="6"/>
      <c r="K26" s="6"/>
      <c r="L26" s="6"/>
      <c r="M26" s="6" t="s">
        <v>17</v>
      </c>
      <c r="N26" s="6" t="s">
        <v>19</v>
      </c>
      <c r="O26" s="6"/>
      <c r="P26" s="6"/>
      <c r="Q26" s="6"/>
      <c r="R26" s="6"/>
      <c r="S26" s="6"/>
      <c r="T26" s="6"/>
      <c r="U26" s="6"/>
      <c r="V26" s="6"/>
      <c r="AH26" s="7" t="s">
        <v>24</v>
      </c>
      <c r="AJ26" s="13" t="s">
        <v>55</v>
      </c>
    </row>
    <row r="27" spans="1:36" hidden="1" x14ac:dyDescent="0.2">
      <c r="A27" s="5">
        <v>16</v>
      </c>
      <c r="B27" s="13" t="b">
        <f>IF($B$3="Пирожок с картошкой","Пирожок с картошкой")</f>
        <v>0</v>
      </c>
      <c r="C27" s="8" t="s">
        <v>21</v>
      </c>
      <c r="D27" s="6"/>
      <c r="E27" s="6" t="s">
        <v>37</v>
      </c>
      <c r="F27" s="6" t="s">
        <v>6</v>
      </c>
      <c r="G27" s="6" t="s">
        <v>33</v>
      </c>
      <c r="H27" s="6"/>
      <c r="I27" s="6"/>
      <c r="J27" s="6"/>
      <c r="K27" s="6"/>
      <c r="L27" s="6"/>
      <c r="M27" s="6" t="s">
        <v>17</v>
      </c>
      <c r="N27" s="6" t="s">
        <v>19</v>
      </c>
      <c r="O27" s="6"/>
      <c r="P27" s="6"/>
      <c r="Q27" s="6"/>
      <c r="R27" s="6"/>
      <c r="S27" s="6"/>
      <c r="T27" s="6"/>
      <c r="U27" s="6"/>
      <c r="V27" s="6"/>
      <c r="AH27" s="7" t="s">
        <v>8</v>
      </c>
      <c r="AJ27" s="13" t="s">
        <v>47</v>
      </c>
    </row>
    <row r="28" spans="1:36" hidden="1" x14ac:dyDescent="0.2">
      <c r="A28" s="5">
        <v>17</v>
      </c>
      <c r="B28" s="14" t="b">
        <f>IF($B$4="Котлета мясная с соусом","Котлета мясная с соусом")</f>
        <v>0</v>
      </c>
      <c r="C28" s="8"/>
      <c r="D28" s="6" t="s">
        <v>25</v>
      </c>
      <c r="E28" s="6" t="s">
        <v>37</v>
      </c>
      <c r="F28" s="6" t="s">
        <v>6</v>
      </c>
      <c r="G28" s="6" t="s">
        <v>33</v>
      </c>
      <c r="H28" s="6"/>
      <c r="I28" s="6"/>
      <c r="J28" s="6"/>
      <c r="K28" s="6" t="s">
        <v>32</v>
      </c>
      <c r="L28" s="6"/>
      <c r="M28" s="6" t="s">
        <v>39</v>
      </c>
      <c r="N28" s="6" t="s">
        <v>26</v>
      </c>
      <c r="O28" s="6"/>
      <c r="P28" s="6"/>
      <c r="Q28" s="6" t="s">
        <v>36</v>
      </c>
      <c r="R28" s="6"/>
      <c r="S28" s="6" t="s">
        <v>27</v>
      </c>
      <c r="T28" s="6"/>
      <c r="U28" s="6"/>
      <c r="V28" s="6"/>
      <c r="AH28" s="7" t="s">
        <v>70</v>
      </c>
      <c r="AJ28" s="13" t="s">
        <v>48</v>
      </c>
    </row>
    <row r="29" spans="1:36" hidden="1" x14ac:dyDescent="0.2">
      <c r="A29" s="5">
        <v>18</v>
      </c>
      <c r="B29" s="14" t="b">
        <f>IF($B$4="Котлета рыбная","Котлета рыбная")</f>
        <v>0</v>
      </c>
      <c r="C29" s="8"/>
      <c r="D29" s="6" t="s">
        <v>25</v>
      </c>
      <c r="E29" s="6" t="s">
        <v>37</v>
      </c>
      <c r="F29" s="6" t="s">
        <v>6</v>
      </c>
      <c r="G29" s="6" t="s">
        <v>33</v>
      </c>
      <c r="H29" s="6"/>
      <c r="I29" s="6"/>
      <c r="J29" s="6" t="s">
        <v>39</v>
      </c>
      <c r="K29" s="6" t="s">
        <v>32</v>
      </c>
      <c r="L29" s="6"/>
      <c r="M29" s="6"/>
      <c r="N29" s="6" t="s">
        <v>30</v>
      </c>
      <c r="O29" s="6"/>
      <c r="P29" s="6"/>
      <c r="Q29" s="6" t="s">
        <v>36</v>
      </c>
      <c r="R29" s="6"/>
      <c r="S29" s="6"/>
      <c r="T29" s="6"/>
      <c r="U29" s="6"/>
      <c r="V29" s="6"/>
      <c r="AH29" s="7" t="s">
        <v>7</v>
      </c>
      <c r="AJ29" s="14"/>
    </row>
    <row r="30" spans="1:36" s="12" customFormat="1" hidden="1" x14ac:dyDescent="0.2">
      <c r="A30" s="9">
        <v>19</v>
      </c>
      <c r="B30" s="14" t="str">
        <f>IF($B$4="Рыба тушеная","Рыба тушеная")</f>
        <v>Рыба тушеная</v>
      </c>
      <c r="C30" s="11"/>
      <c r="D30" s="6" t="s">
        <v>25</v>
      </c>
      <c r="E30" s="6" t="s">
        <v>37</v>
      </c>
      <c r="F30" s="6" t="s">
        <v>6</v>
      </c>
      <c r="G30" s="6" t="s">
        <v>33</v>
      </c>
      <c r="H30" s="10"/>
      <c r="I30" s="10"/>
      <c r="J30" s="10"/>
      <c r="K30" s="6" t="s">
        <v>32</v>
      </c>
      <c r="L30" s="10"/>
      <c r="M30" s="10" t="s">
        <v>17</v>
      </c>
      <c r="N30" s="6" t="s">
        <v>30</v>
      </c>
      <c r="O30" s="10"/>
      <c r="P30" s="10"/>
      <c r="Q30" s="10"/>
      <c r="R30" s="10"/>
      <c r="S30" s="10"/>
      <c r="T30" s="10"/>
      <c r="U30" s="10"/>
      <c r="V30" s="10"/>
      <c r="W30"/>
      <c r="X30"/>
      <c r="Y30"/>
      <c r="Z30"/>
      <c r="AA30"/>
      <c r="AB30"/>
      <c r="AC30"/>
      <c r="AD30"/>
      <c r="AE30"/>
      <c r="AF30"/>
      <c r="AG30"/>
      <c r="AH30" s="7" t="s">
        <v>25</v>
      </c>
      <c r="AJ30" s="14" t="s">
        <v>49</v>
      </c>
    </row>
    <row r="31" spans="1:36" hidden="1" x14ac:dyDescent="0.2">
      <c r="A31" s="5">
        <v>20</v>
      </c>
      <c r="B31" s="14"/>
      <c r="C31" s="8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AH31" s="7" t="s">
        <v>26</v>
      </c>
      <c r="AJ31" s="14" t="s">
        <v>56</v>
      </c>
    </row>
    <row r="32" spans="1:36" hidden="1" x14ac:dyDescent="0.2">
      <c r="A32" s="5">
        <v>21</v>
      </c>
      <c r="B32" s="14" t="b">
        <f>IF($B$4="Колбаса вареная","Колбаса вареная")</f>
        <v>0</v>
      </c>
      <c r="C32" s="8"/>
      <c r="D32" s="6"/>
      <c r="E32" s="6"/>
      <c r="F32" s="6"/>
      <c r="G32" s="6"/>
      <c r="H32" s="6"/>
      <c r="I32" s="6"/>
      <c r="J32" s="6"/>
      <c r="K32" s="6"/>
      <c r="L32" s="6"/>
      <c r="M32" s="6"/>
      <c r="N32" s="6" t="s">
        <v>23</v>
      </c>
      <c r="O32" s="6"/>
      <c r="P32" s="6"/>
      <c r="Q32" s="6"/>
      <c r="R32" s="6"/>
      <c r="S32" s="6"/>
      <c r="T32" s="6"/>
      <c r="U32" s="6"/>
      <c r="V32" s="6"/>
      <c r="AH32" s="7" t="s">
        <v>27</v>
      </c>
      <c r="AJ32" s="14" t="s">
        <v>57</v>
      </c>
    </row>
    <row r="33" spans="1:36" hidden="1" x14ac:dyDescent="0.2">
      <c r="A33" s="5">
        <v>22</v>
      </c>
      <c r="B33" s="14" t="b">
        <f>IF($B$4="Сарделька","Сарделька")</f>
        <v>0</v>
      </c>
      <c r="C33" s="8"/>
      <c r="D33" s="6"/>
      <c r="E33" s="6"/>
      <c r="F33" s="6"/>
      <c r="G33" s="6"/>
      <c r="H33" s="6"/>
      <c r="I33" s="6"/>
      <c r="J33" s="6"/>
      <c r="K33" s="6"/>
      <c r="L33" s="6"/>
      <c r="M33" s="6"/>
      <c r="N33" s="6" t="s">
        <v>10</v>
      </c>
      <c r="O33" s="6"/>
      <c r="P33" s="6"/>
      <c r="Q33" s="6"/>
      <c r="R33" s="6"/>
      <c r="S33" s="6"/>
      <c r="T33" s="6"/>
      <c r="U33" s="6"/>
      <c r="V33" s="6"/>
      <c r="AH33" s="7" t="s">
        <v>28</v>
      </c>
      <c r="AJ33" s="14" t="s">
        <v>50</v>
      </c>
    </row>
    <row r="34" spans="1:36" hidden="1" x14ac:dyDescent="0.2">
      <c r="A34" s="5">
        <v>23</v>
      </c>
      <c r="B34" s="14" t="b">
        <f>IF($B$4="Яйцо отварное","Яйцо отварное")</f>
        <v>0</v>
      </c>
      <c r="C34" s="8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AH34" s="7" t="s">
        <v>6</v>
      </c>
      <c r="AJ34" s="14" t="s">
        <v>58</v>
      </c>
    </row>
    <row r="35" spans="1:36" hidden="1" x14ac:dyDescent="0.2">
      <c r="A35" s="5">
        <v>24</v>
      </c>
      <c r="B35" s="14" t="b">
        <f>IF($B$4="Капуста тушеная","Капуста тушеная")</f>
        <v>0</v>
      </c>
      <c r="C35" s="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AH35" s="7" t="s">
        <v>29</v>
      </c>
      <c r="AJ35" s="14" t="s">
        <v>59</v>
      </c>
    </row>
    <row r="36" spans="1:36" hidden="1" x14ac:dyDescent="0.2">
      <c r="A36" s="5">
        <v>25</v>
      </c>
      <c r="B36" s="14" t="b">
        <f>IF($B$4="Бутерброд с сыром","Бутерброд с сыром")</f>
        <v>0</v>
      </c>
      <c r="C36" s="8"/>
      <c r="D36" s="6"/>
      <c r="E36" s="6"/>
      <c r="F36" s="6"/>
      <c r="G36" s="6"/>
      <c r="H36" s="6"/>
      <c r="I36" s="6"/>
      <c r="J36" s="6"/>
      <c r="K36" s="6"/>
      <c r="L36" s="6" t="s">
        <v>70</v>
      </c>
      <c r="M36" s="6"/>
      <c r="N36" s="6" t="s">
        <v>35</v>
      </c>
      <c r="O36" s="6"/>
      <c r="P36" s="6"/>
      <c r="Q36" s="6"/>
      <c r="R36" s="6"/>
      <c r="S36" s="6" t="s">
        <v>31</v>
      </c>
      <c r="T36" s="6"/>
      <c r="U36" s="6"/>
      <c r="V36" s="6"/>
      <c r="AH36" s="7" t="s">
        <v>30</v>
      </c>
      <c r="AJ36" s="14" t="s">
        <v>60</v>
      </c>
    </row>
    <row r="37" spans="1:36" hidden="1" x14ac:dyDescent="0.2">
      <c r="A37" s="5">
        <v>26</v>
      </c>
      <c r="B37" s="15" t="str">
        <f>IF($B$5="Чай","Чай")</f>
        <v>Чай</v>
      </c>
      <c r="C37" s="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 t="s">
        <v>38</v>
      </c>
      <c r="P37" s="6" t="s">
        <v>11</v>
      </c>
      <c r="Q37" s="6"/>
      <c r="R37" s="6" t="s">
        <v>9</v>
      </c>
      <c r="S37" s="6"/>
      <c r="T37" s="6"/>
      <c r="U37" s="6"/>
      <c r="V37" s="6"/>
      <c r="AH37" s="7" t="s">
        <v>2</v>
      </c>
      <c r="AJ37" s="14" t="s">
        <v>61</v>
      </c>
    </row>
    <row r="38" spans="1:36" hidden="1" x14ac:dyDescent="0.2">
      <c r="A38" s="5">
        <v>27</v>
      </c>
      <c r="B38" s="15" t="b">
        <f>IF($B$5="Сок - ф /я","Сок - ф /я")</f>
        <v>0</v>
      </c>
      <c r="C38" s="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 t="s">
        <v>72</v>
      </c>
      <c r="Q38" s="6"/>
      <c r="R38" s="6"/>
      <c r="S38" s="6"/>
      <c r="T38" s="6"/>
      <c r="U38" s="6"/>
      <c r="V38" s="6"/>
      <c r="AH38" s="7" t="s">
        <v>10</v>
      </c>
      <c r="AJ38" s="14" t="s">
        <v>51</v>
      </c>
    </row>
    <row r="39" spans="1:36" hidden="1" x14ac:dyDescent="0.2">
      <c r="A39" s="5">
        <v>28</v>
      </c>
      <c r="B39" s="10" t="str">
        <f>IF($B$7="Булочка","Булочка")</f>
        <v>Булочка</v>
      </c>
      <c r="C39" s="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 t="s">
        <v>4</v>
      </c>
      <c r="T39" s="6"/>
      <c r="U39" s="6"/>
      <c r="V39" s="6"/>
      <c r="AH39" s="7" t="s">
        <v>74</v>
      </c>
      <c r="AJ39" s="15"/>
    </row>
    <row r="40" spans="1:36" hidden="1" x14ac:dyDescent="0.2">
      <c r="A40" s="5">
        <v>29</v>
      </c>
      <c r="B40" s="10" t="str">
        <f>IF($B$6="Хлеб пшеничный","Хлеб пшеничный")</f>
        <v>Хлеб пшеничный</v>
      </c>
      <c r="C40" s="8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 t="s">
        <v>36</v>
      </c>
      <c r="R40" s="6"/>
      <c r="S40" s="6"/>
      <c r="T40" s="6"/>
      <c r="U40" s="6"/>
      <c r="V40" s="6"/>
      <c r="AH40" s="7" t="s">
        <v>31</v>
      </c>
      <c r="AJ40" s="15" t="s">
        <v>0</v>
      </c>
    </row>
    <row r="41" spans="1:36" hidden="1" x14ac:dyDescent="0.2">
      <c r="A41" s="5">
        <v>30</v>
      </c>
      <c r="B41" s="16" t="b">
        <f>IF($B$8="Огурец","Огурец")</f>
        <v>0</v>
      </c>
      <c r="C41" s="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 t="s">
        <v>28</v>
      </c>
      <c r="U41" s="6"/>
      <c r="V41" s="6"/>
      <c r="AH41" s="7" t="s">
        <v>32</v>
      </c>
      <c r="AJ41" s="15" t="s">
        <v>62</v>
      </c>
    </row>
    <row r="42" spans="1:36" hidden="1" x14ac:dyDescent="0.2">
      <c r="A42" s="5">
        <v>31</v>
      </c>
      <c r="B42" s="16" t="b">
        <f>IF($B$8="Помидор","Помидор")</f>
        <v>0</v>
      </c>
      <c r="C42" s="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 t="s">
        <v>29</v>
      </c>
      <c r="U42" s="6"/>
      <c r="V42" s="6"/>
      <c r="AH42" s="7" t="s">
        <v>72</v>
      </c>
      <c r="AJ42" s="10" t="s">
        <v>12</v>
      </c>
    </row>
    <row r="43" spans="1:36" hidden="1" x14ac:dyDescent="0.2">
      <c r="A43" s="5">
        <v>32</v>
      </c>
      <c r="B43" s="10" t="str">
        <f>IF($B$10="Фрукты","Фрукты")</f>
        <v>Фрукты</v>
      </c>
      <c r="C43" s="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 t="s">
        <v>13</v>
      </c>
      <c r="U43" s="6"/>
      <c r="V43" s="6"/>
      <c r="AH43" s="7" t="s">
        <v>33</v>
      </c>
      <c r="AJ43" s="10"/>
    </row>
    <row r="44" spans="1:36" hidden="1" x14ac:dyDescent="0.2">
      <c r="A44" s="5">
        <v>33</v>
      </c>
      <c r="B44" s="10" t="b">
        <f>IF($B$9="Конфеты","Конфеты")</f>
        <v>0</v>
      </c>
      <c r="C44" s="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 t="s">
        <v>40</v>
      </c>
      <c r="T44" s="6"/>
      <c r="U44" s="6"/>
      <c r="V44" s="6"/>
      <c r="AH44" s="7" t="s">
        <v>73</v>
      </c>
      <c r="AJ44" s="10" t="s">
        <v>63</v>
      </c>
    </row>
    <row r="45" spans="1:36" hidden="1" x14ac:dyDescent="0.2">
      <c r="A45" s="5">
        <v>34</v>
      </c>
      <c r="B45" s="6" t="b">
        <f>IF($B$11="Йогурт","Йогурт")</f>
        <v>0</v>
      </c>
      <c r="C45" s="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 t="s">
        <v>14</v>
      </c>
      <c r="AH45" s="7" t="s">
        <v>34</v>
      </c>
      <c r="AJ45" s="16" t="s">
        <v>64</v>
      </c>
    </row>
    <row r="46" spans="1:36" hidden="1" x14ac:dyDescent="0.2">
      <c r="A46" s="5">
        <v>35</v>
      </c>
      <c r="B46" s="6" t="b">
        <f>IF($B$11="Яйцо отварное","Яйцо отварное")</f>
        <v>0</v>
      </c>
      <c r="C46" s="8"/>
      <c r="D46" s="6"/>
      <c r="E46" s="6"/>
      <c r="F46" s="6"/>
      <c r="G46" s="6"/>
      <c r="H46" s="6"/>
      <c r="I46" s="6"/>
      <c r="J46" s="6"/>
      <c r="K46" s="6"/>
      <c r="L46" s="6" t="s">
        <v>39</v>
      </c>
      <c r="M46" s="6"/>
      <c r="N46" s="6"/>
      <c r="O46" s="6"/>
      <c r="P46" s="6"/>
      <c r="Q46" s="6"/>
      <c r="R46" s="6"/>
      <c r="S46" s="6"/>
      <c r="T46" s="6"/>
      <c r="U46" s="6"/>
      <c r="V46" s="6" t="s">
        <v>39</v>
      </c>
      <c r="AH46" s="7" t="s">
        <v>35</v>
      </c>
      <c r="AJ46" s="16" t="s">
        <v>65</v>
      </c>
    </row>
    <row r="47" spans="1:36" hidden="1" x14ac:dyDescent="0.2">
      <c r="AH47" s="7" t="s">
        <v>36</v>
      </c>
      <c r="AJ47" s="10"/>
    </row>
    <row r="48" spans="1:36" x14ac:dyDescent="0.2">
      <c r="AH48" s="7" t="s">
        <v>37</v>
      </c>
      <c r="AJ48" s="10" t="s">
        <v>66</v>
      </c>
    </row>
    <row r="49" spans="34:36" x14ac:dyDescent="0.2">
      <c r="AH49" s="7" t="s">
        <v>38</v>
      </c>
      <c r="AJ49" s="10" t="s">
        <v>67</v>
      </c>
    </row>
    <row r="50" spans="34:36" x14ac:dyDescent="0.2">
      <c r="AH50" s="7" t="s">
        <v>11</v>
      </c>
      <c r="AJ50" s="6"/>
    </row>
    <row r="51" spans="34:36" x14ac:dyDescent="0.2">
      <c r="AH51" s="7" t="s">
        <v>39</v>
      </c>
      <c r="AJ51" s="6" t="s">
        <v>15</v>
      </c>
    </row>
    <row r="52" spans="34:36" x14ac:dyDescent="0.2">
      <c r="AH52" s="7" t="s">
        <v>14</v>
      </c>
      <c r="AJ52" s="6" t="s">
        <v>60</v>
      </c>
    </row>
    <row r="53" spans="34:36" x14ac:dyDescent="0.2">
      <c r="AH53" s="7" t="s">
        <v>40</v>
      </c>
    </row>
    <row r="54" spans="34:36" x14ac:dyDescent="0.2">
      <c r="AH54" s="7" t="s">
        <v>13</v>
      </c>
    </row>
  </sheetData>
  <dataValidations count="12">
    <dataValidation type="list" allowBlank="1" showInputMessage="1" showErrorMessage="1" sqref="Z2">
      <formula1>$A$2:$A$11</formula1>
    </dataValidation>
    <dataValidation type="list" allowBlank="1" showInputMessage="1" showErrorMessage="1" sqref="B11">
      <formula1>$AJ$50:$AJ$52</formula1>
    </dataValidation>
    <dataValidation type="list" allowBlank="1" showInputMessage="1" showErrorMessage="1" sqref="B10">
      <formula1>$AJ$47:$AJ$48</formula1>
    </dataValidation>
    <dataValidation type="list" allowBlank="1" showInputMessage="1" showErrorMessage="1" sqref="B9">
      <formula1>$AJ$49:$AJ$50</formula1>
    </dataValidation>
    <dataValidation type="list" allowBlank="1" showInputMessage="1" showErrorMessage="1" sqref="B8">
      <formula1>$AJ$45:$AJ$47</formula1>
    </dataValidation>
    <dataValidation type="list" allowBlank="1" showInputMessage="1" showErrorMessage="1" sqref="B7">
      <formula1>$AJ$42:$AJ$43</formula1>
    </dataValidation>
    <dataValidation type="list" allowBlank="1" showInputMessage="1" showErrorMessage="1" sqref="B6">
      <formula1>$AJ$43:$AJ$44</formula1>
    </dataValidation>
    <dataValidation type="list" allowBlank="1" showInputMessage="1" showErrorMessage="1" sqref="B5">
      <formula1>$AJ$39:$AJ$41</formula1>
    </dataValidation>
    <dataValidation type="list" allowBlank="1" showInputMessage="1" showErrorMessage="1" sqref="B4">
      <formula1>$AJ$29:$AJ$38</formula1>
    </dataValidation>
    <dataValidation type="list" allowBlank="1" showInputMessage="1" showErrorMessage="1" sqref="B3">
      <formula1>$AJ$17:$AJ$28</formula1>
    </dataValidation>
    <dataValidation type="list" allowBlank="1" showInputMessage="1" showErrorMessage="1" sqref="B2">
      <formula1>$AJ$12:$AJ$17</formula1>
    </dataValidation>
    <dataValidation type="list" allowBlank="1" showInputMessage="1" showErrorMessage="1" sqref="C12:V46">
      <formula1>$AH$12:$AH$56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tabSelected="1" topLeftCell="A2" workbookViewId="0">
      <pane xSplit="2" ySplit="2" topLeftCell="C4" activePane="bottomRight" state="frozen"/>
      <selection activeCell="A2" sqref="A2"/>
      <selection pane="topRight" activeCell="C2" sqref="C2"/>
      <selection pane="bottomLeft" activeCell="A4" sqref="A4"/>
      <selection pane="bottomRight" activeCell="H20" sqref="H20"/>
    </sheetView>
  </sheetViews>
  <sheetFormatPr defaultRowHeight="12.75" x14ac:dyDescent="0.2"/>
  <cols>
    <col min="1" max="1" width="4.5703125" customWidth="1"/>
    <col min="2" max="2" width="12.85546875" customWidth="1"/>
    <col min="3" max="22" width="5.7109375" customWidth="1"/>
    <col min="23" max="23" width="8.5703125" customWidth="1"/>
  </cols>
  <sheetData>
    <row r="1" spans="1:23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ht="47.25" customHeight="1" x14ac:dyDescent="0.2">
      <c r="A2" s="41"/>
      <c r="B2" s="41"/>
      <c r="C2" s="40" t="str">
        <f>'Админ '!C1</f>
        <v>картофель</v>
      </c>
      <c r="D2" s="40" t="str">
        <f>'Админ '!D1</f>
        <v>морковь</v>
      </c>
      <c r="E2" s="40" t="str">
        <f>'Админ '!E1</f>
        <v>лук</v>
      </c>
      <c r="F2" s="40" t="str">
        <f>'Админ '!F1</f>
        <v>масло</v>
      </c>
      <c r="G2" s="40" t="str">
        <f>'Админ '!G1</f>
        <v>соль</v>
      </c>
      <c r="H2" s="40" t="str">
        <f>'Админ '!H1</f>
        <v>капуста</v>
      </c>
      <c r="I2" s="40" t="str">
        <f>'Админ '!I1</f>
        <v>свекла</v>
      </c>
      <c r="J2" s="40" t="str">
        <f>'Админ '!J1</f>
        <v>фасоль</v>
      </c>
      <c r="K2" s="40" t="str">
        <f>'Админ '!K1</f>
        <v>сок томатный</v>
      </c>
      <c r="L2" s="40" t="str">
        <f>'Админ '!L1</f>
        <v>масло сливоч.</v>
      </c>
      <c r="M2" s="40" t="str">
        <f>'Админ '!M1</f>
        <v>мука</v>
      </c>
      <c r="N2" s="40" t="str">
        <f>'Админ '!N1</f>
        <v>рыба</v>
      </c>
      <c r="O2" s="40" t="str">
        <f>'Админ '!O1</f>
        <v>сахар</v>
      </c>
      <c r="P2" s="40" t="str">
        <f>'Админ '!P1</f>
        <v>чай</v>
      </c>
      <c r="Q2" s="40" t="str">
        <f>'Админ '!Q1</f>
        <v>хлеб пшеничный</v>
      </c>
      <c r="R2" s="40" t="str">
        <f>'Админ '!R1</f>
        <v>лимон</v>
      </c>
      <c r="S2" s="40" t="str">
        <f>'Админ '!S1</f>
        <v>булочка</v>
      </c>
      <c r="T2" s="40" t="str">
        <f>'Админ '!T1</f>
        <v>фрукта</v>
      </c>
      <c r="U2" s="40" t="str">
        <f>'Админ '!U1</f>
        <v/>
      </c>
      <c r="V2" s="40" t="str">
        <f>'Админ '!V1</f>
        <v>сливки</v>
      </c>
      <c r="W2" s="41"/>
    </row>
    <row r="3" spans="1:23" ht="28.5" customHeight="1" x14ac:dyDescent="0.2">
      <c r="A3" s="41"/>
      <c r="B3" s="41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1"/>
    </row>
    <row r="4" spans="1:23" ht="44.25" customHeight="1" x14ac:dyDescent="0.2">
      <c r="A4" s="42"/>
      <c r="B4" s="21" t="str">
        <f>'Админ '!B2</f>
        <v>Борщ  крас.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</row>
    <row r="5" spans="1:23" ht="35.25" customHeight="1" x14ac:dyDescent="0.2">
      <c r="A5" s="42"/>
      <c r="B5" s="21" t="str">
        <f>'Админ '!B3</f>
        <v>Картофель тушеный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</row>
    <row r="6" spans="1:23" ht="36.75" customHeight="1" x14ac:dyDescent="0.2">
      <c r="A6" s="42"/>
      <c r="B6" s="21" t="str">
        <f>'Админ '!B4</f>
        <v>Рыба тушеная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</row>
    <row r="7" spans="1:23" ht="22.5" customHeight="1" x14ac:dyDescent="0.2">
      <c r="A7" s="42"/>
      <c r="B7" s="21" t="str">
        <f>'Админ '!B5</f>
        <v>Чай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ht="29.25" customHeight="1" x14ac:dyDescent="0.2">
      <c r="A8" s="42"/>
      <c r="B8" s="21" t="str">
        <f>'Админ '!B6</f>
        <v>Хлеб пшеничный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ht="19.5" customHeight="1" x14ac:dyDescent="0.2">
      <c r="A9" s="42"/>
      <c r="B9" s="21" t="str">
        <f>'Админ '!B7</f>
        <v>Булочка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ht="19.5" customHeight="1" x14ac:dyDescent="0.2">
      <c r="A10" s="42"/>
      <c r="B10" s="21">
        <f>'Админ '!B8</f>
        <v>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ht="19.5" customHeight="1" x14ac:dyDescent="0.2">
      <c r="A11" s="42"/>
      <c r="B11" s="21">
        <f>'Админ '!B9</f>
        <v>0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ht="19.5" customHeight="1" x14ac:dyDescent="0.2">
      <c r="A12" s="42"/>
      <c r="B12" s="21" t="str">
        <f>'Админ '!B10</f>
        <v>Фрукты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ht="30" customHeight="1" x14ac:dyDescent="0.2">
      <c r="A13" s="42"/>
      <c r="B13" s="21">
        <f>'Админ '!B11</f>
        <v>0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ht="18.75" customHeight="1" x14ac:dyDescent="0.25">
      <c r="A14" s="35" t="s">
        <v>76</v>
      </c>
      <c r="B14" s="36"/>
      <c r="C14" s="23">
        <f>IFERROR(IF(C2&lt;&gt;"яйцо",CONVERT(C15,"kg","g")/$C$19,0)+IF(C2="яйцо",C15/$C$19),"")</f>
        <v>114.28571428571429</v>
      </c>
      <c r="D14" s="23">
        <f t="shared" ref="D14:V14" si="0">IFERROR(IF(D2&lt;&gt;"яйцо",CONVERT(D15,"kg","g")/$C$19,0)+IF(D2="яйцо",D15/$C$19),"")</f>
        <v>76.19047619047619</v>
      </c>
      <c r="E14" s="23">
        <f t="shared" si="0"/>
        <v>28.571428571428573</v>
      </c>
      <c r="F14" s="23">
        <f t="shared" si="0"/>
        <v>66.666666666666671</v>
      </c>
      <c r="G14" s="23">
        <f t="shared" si="0"/>
        <v>14.285714285714286</v>
      </c>
      <c r="H14" s="23">
        <f t="shared" si="0"/>
        <v>47.61904761904762</v>
      </c>
      <c r="I14" s="23">
        <f t="shared" si="0"/>
        <v>47.61904761904762</v>
      </c>
      <c r="J14" s="23">
        <f t="shared" si="0"/>
        <v>4.7619047619047619</v>
      </c>
      <c r="K14" s="23">
        <f t="shared" si="0"/>
        <v>38.095238095238095</v>
      </c>
      <c r="L14" s="23">
        <f t="shared" si="0"/>
        <v>14.285714285714286</v>
      </c>
      <c r="M14" s="23">
        <f t="shared" si="0"/>
        <v>76.19047619047619</v>
      </c>
      <c r="N14" s="23">
        <f t="shared" si="0"/>
        <v>28.571428571428573</v>
      </c>
      <c r="O14" s="23">
        <f t="shared" si="0"/>
        <v>28.571428571428573</v>
      </c>
      <c r="P14" s="23">
        <f t="shared" si="0"/>
        <v>9.5238095238095233E-2</v>
      </c>
      <c r="Q14" s="23">
        <f t="shared" si="0"/>
        <v>28.571428571428573</v>
      </c>
      <c r="R14" s="23">
        <f t="shared" si="0"/>
        <v>47.61904761904762</v>
      </c>
      <c r="S14" s="23">
        <f t="shared" si="0"/>
        <v>26.666666666666668</v>
      </c>
      <c r="T14" s="23">
        <f t="shared" si="0"/>
        <v>47.61904761904762</v>
      </c>
      <c r="U14" s="23">
        <f t="shared" si="0"/>
        <v>0</v>
      </c>
      <c r="V14" s="23">
        <f t="shared" si="0"/>
        <v>3.6190476190476191</v>
      </c>
      <c r="W14" s="22"/>
    </row>
    <row r="15" spans="1:23" ht="18.75" customHeight="1" x14ac:dyDescent="0.25">
      <c r="A15" s="35" t="s">
        <v>77</v>
      </c>
      <c r="B15" s="36"/>
      <c r="C15" s="22">
        <v>12</v>
      </c>
      <c r="D15" s="22">
        <v>8</v>
      </c>
      <c r="E15" s="22">
        <v>3</v>
      </c>
      <c r="F15" s="22">
        <v>7</v>
      </c>
      <c r="G15" s="22">
        <v>1.5</v>
      </c>
      <c r="H15" s="22">
        <v>5</v>
      </c>
      <c r="I15" s="24">
        <v>5</v>
      </c>
      <c r="J15" s="22">
        <v>0.5</v>
      </c>
      <c r="K15" s="22">
        <v>4</v>
      </c>
      <c r="L15" s="22">
        <v>1.5</v>
      </c>
      <c r="M15" s="24">
        <v>8</v>
      </c>
      <c r="N15" s="24">
        <v>3</v>
      </c>
      <c r="O15" s="22">
        <v>3</v>
      </c>
      <c r="P15" s="24">
        <v>0.01</v>
      </c>
      <c r="Q15" s="24">
        <v>3</v>
      </c>
      <c r="R15" s="22">
        <v>5</v>
      </c>
      <c r="S15" s="24">
        <v>2.8</v>
      </c>
      <c r="T15" s="22">
        <v>5</v>
      </c>
      <c r="U15" s="22"/>
      <c r="V15" s="24">
        <v>0.38</v>
      </c>
      <c r="W15" s="22"/>
    </row>
    <row r="16" spans="1:23" ht="18.75" customHeight="1" x14ac:dyDescent="0.25">
      <c r="A16" s="35" t="s">
        <v>75</v>
      </c>
      <c r="B16" s="36"/>
      <c r="C16" s="22">
        <v>8.5</v>
      </c>
      <c r="D16" s="22">
        <v>6</v>
      </c>
      <c r="E16" s="22">
        <v>11</v>
      </c>
      <c r="F16" s="22">
        <v>53</v>
      </c>
      <c r="G16" s="22">
        <v>15</v>
      </c>
      <c r="H16" s="22">
        <v>13</v>
      </c>
      <c r="I16" s="25">
        <v>7.5</v>
      </c>
      <c r="J16" s="22">
        <v>90</v>
      </c>
      <c r="K16" s="22">
        <v>45</v>
      </c>
      <c r="L16" s="22">
        <v>98</v>
      </c>
      <c r="M16" s="25">
        <v>11</v>
      </c>
      <c r="N16" s="25">
        <v>7.25</v>
      </c>
      <c r="O16" s="22">
        <v>35</v>
      </c>
      <c r="P16" s="25">
        <v>25</v>
      </c>
      <c r="Q16" s="25">
        <v>7.25</v>
      </c>
      <c r="R16" s="22">
        <v>25</v>
      </c>
      <c r="S16" s="25">
        <v>7</v>
      </c>
      <c r="T16" s="22">
        <v>65</v>
      </c>
      <c r="U16" s="22"/>
      <c r="V16" s="25">
        <v>19</v>
      </c>
      <c r="W16" s="22"/>
    </row>
    <row r="17" spans="1:23" ht="18.75" customHeight="1" x14ac:dyDescent="0.25">
      <c r="A17" s="35" t="s">
        <v>78</v>
      </c>
      <c r="B17" s="36"/>
      <c r="C17" s="26">
        <f>IFERROR(IF($C$2:$V$2=C2,C15*C16,0)+IF($C$2:$V$2="сливки",((C15*C16)/'Админ '!$AG$12)-(C15*C16),0)+IF($C$2:$V$2="молоко",((C15*C16)/'Админ '!$AG$13)-(C15*C16),0)+IF($C$2:$V$2="йогурт",((C15*C16)/'Админ '!$AG$14)-(C15*C16),0)+IF($C$2:$V$2="чай",((C15*C16)/'Админ '!$AG$15)-(C15*C16),0)+IF($C$2:$V$2="дрожжи",((C15*C16)/'Админ '!$AG$16)-(C15*C16),0)+IF($C$2:$V$2="хлеб пшеничный",((C15*C16)/'Админ '!$AG$17)-(C15*C16),0)+IF($C$2:$V$2="хлеб ржаной",((C15*C16)/'Админ '!$AG$18)-(C15*C16),0)+IF($C$2:$V$2="булочка",((C15*C16)/'Админ '!$AG$19)-(C15*C16),0),"")</f>
        <v>102</v>
      </c>
      <c r="D17" s="26">
        <f>IFERROR(IF($C$2:$V$2=D2,D15*D16,0)+IF($C$2:$V$2="сливки",((D15*D16)/'Админ '!$AG$12)-(D15*D16),0)+IF($C$2:$V$2="молоко",((D15*D16)/'Админ '!$AG$13)-(D15*D16),0)+IF($C$2:$V$2="йогурт",((D15*D16)/'Админ '!$AG$14)-(D15*D16),0)+IF($C$2:$V$2="чай",((D15*D16)/'Админ '!$AG$15)-(D15*D16),0)+IF($C$2:$V$2="дрожжи",((D15*D16)/'Админ '!$AG$16)-(D15*D16),0)+IF($C$2:$V$2="хлеб пшеничный",((D15*D16)/'Админ '!$AG$17)-(D15*D16),0)+IF($C$2:$V$2="хлеб ржаной",((D15*D16)/'Админ '!$AG$18)-(D15*D16),0)+IF($C$2:$V$2="булочка",((D15*D16)/'Админ '!$AG$19)-(D15*D16),0),"")</f>
        <v>48</v>
      </c>
      <c r="E17" s="26">
        <f>IFERROR(IF($C$2:$V$2=E2,E15*E16,0)+IF($C$2:$V$2="сливки",((E15*E16)/'Админ '!$AG$12)-(E15*E16),0)+IF($C$2:$V$2="молоко",((E15*E16)/'Админ '!$AG$13)-(E15*E16),0)+IF($C$2:$V$2="йогурт",((E15*E16)/'Админ '!$AG$14)-(E15*E16),0)+IF($C$2:$V$2="чай",((E15*E16)/'Админ '!$AG$15)-(E15*E16),0)+IF($C$2:$V$2="дрожжи",((E15*E16)/'Админ '!$AG$16)-(E15*E16),0)+IF($C$2:$V$2="хлеб пшеничный",((E15*E16)/'Админ '!$AG$17)-(E15*E16),0)+IF($C$2:$V$2="хлеб ржаной",((E15*E16)/'Админ '!$AG$18)-(E15*E16),0)+IF($C$2:$V$2="булочка",((E15*E16)/'Админ '!$AG$19)-(E15*E16),0),"")</f>
        <v>33</v>
      </c>
      <c r="F17" s="26">
        <f>IFERROR(IF($C$2:$V$2=F2,F15*F16,0)+IF($C$2:$V$2="сливки",((F15*F16)/'Админ '!$AG$12)-(F15*F16),0)+IF($C$2:$V$2="молоко",((F15*F16)/'Админ '!$AG$13)-(F15*F16),0)+IF($C$2:$V$2="йогурт",((F15*F16)/'Админ '!$AG$14)-(F15*F16),0)+IF($C$2:$V$2="чай",((F15*F16)/'Админ '!$AG$15)-(F15*F16),0)+IF($C$2:$V$2="дрожжи",((F15*F16)/'Админ '!$AG$16)-(F15*F16),0)+IF($C$2:$V$2="хлеб пшеничный",((F15*F16)/'Админ '!$AG$17)-(F15*F16),0)+IF($C$2:$V$2="хлеб ржаной",((F15*F16)/'Админ '!$AG$18)-(F15*F16),0)+IF($C$2:$V$2="булочка",((F15*F16)/'Админ '!$AG$19)-(F15*F16),0),"")</f>
        <v>371</v>
      </c>
      <c r="G17" s="26">
        <f>IFERROR(IF($C$2:$V$2=G2,G15*G16,0)+IF($C$2:$V$2="сливки",((G15*G16)/'Админ '!$AG$12)-(G15*G16),0)+IF($C$2:$V$2="молоко",((G15*G16)/'Админ '!$AG$13)-(G15*G16),0)+IF($C$2:$V$2="йогурт",((G15*G16)/'Админ '!$AG$14)-(G15*G16),0)+IF($C$2:$V$2="чай",((G15*G16)/'Админ '!$AG$15)-(G15*G16),0)+IF($C$2:$V$2="дрожжи",((G15*G16)/'Админ '!$AG$16)-(G15*G16),0)+IF($C$2:$V$2="хлеб пшеничный",((G15*G16)/'Админ '!$AG$17)-(G15*G16),0)+IF($C$2:$V$2="хлеб ржаной",((G15*G16)/'Админ '!$AG$18)-(G15*G16),0)+IF($C$2:$V$2="булочка",((G15*G16)/'Админ '!$AG$19)-(G15*G16),0),"")</f>
        <v>22.5</v>
      </c>
      <c r="H17" s="26">
        <f>IFERROR(IF($C$2:$V$2=H2,H15*H16,0)+IF($C$2:$V$2="сливки",((H15*H16)/'Админ '!$AG$12)-(H15*H16),0)+IF($C$2:$V$2="молоко",((H15*H16)/'Админ '!$AG$13)-(H15*H16),0)+IF($C$2:$V$2="йогурт",((H15*H16)/'Админ '!$AG$14)-(H15*H16),0)+IF($C$2:$V$2="чай",((H15*H16)/'Админ '!$AG$15)-(H15*H16),0)+IF($C$2:$V$2="дрожжи",((H15*H16)/'Админ '!$AG$16)-(H15*H16),0)+IF($C$2:$V$2="хлеб пшеничный",((H15*H16)/'Админ '!$AG$17)-(H15*H16),0)+IF($C$2:$V$2="хлеб ржаной",((H15*H16)/'Админ '!$AG$18)-(H15*H16),0)+IF($C$2:$V$2="булочка",((H15*H16)/'Админ '!$AG$19)-(H15*H16),0),"")</f>
        <v>65</v>
      </c>
      <c r="I17" s="26">
        <f>IFERROR(IF($C$2:$V$2=I2,I15*I16,0)+IF($C$2:$V$2="сливки",((I15*I16)/'Админ '!$AG$12)-(I15*I16),0)+IF($C$2:$V$2="молоко",((I15*I16)/'Админ '!$AG$13)-(I15*I16),0)+IF($C$2:$V$2="йогурт",((I15*I16)/'Админ '!$AG$14)-(I15*I16),0)+IF($C$2:$V$2="чай",((I15*I16)/'Админ '!$AG$15)-(I15*I16),0)+IF($C$2:$V$2="дрожжи",((I15*I16)/'Админ '!$AG$16)-(I15*I16),0)+IF($C$2:$V$2="хлеб пшеничный",((I15*I16)/'Админ '!$AG$17)-(I15*I16),0)+IF($C$2:$V$2="хлеб ржаной",((I15*I16)/'Админ '!$AG$18)-(I15*I16),0)+IF($C$2:$V$2="булочка",((I15*I16)/'Админ '!$AG$19)-(I15*I16),0),"")</f>
        <v>37.5</v>
      </c>
      <c r="J17" s="26">
        <f>IFERROR(IF($C$2:$V$2=J2,J15*J16,0)+IF($C$2:$V$2="сливки",((J15*J16)/'Админ '!$AG$12)-(J15*J16),0)+IF($C$2:$V$2="молоко",((J15*J16)/'Админ '!$AG$13)-(J15*J16),0)+IF($C$2:$V$2="йогурт",((J15*J16)/'Админ '!$AG$14)-(J15*J16),0)+IF($C$2:$V$2="чай",((J15*J16)/'Админ '!$AG$15)-(J15*J16),0)+IF($C$2:$V$2="дрожжи",((J15*J16)/'Админ '!$AG$16)-(J15*J16),0)+IF($C$2:$V$2="хлеб пшеничный",((J15*J16)/'Админ '!$AG$17)-(J15*J16),0)+IF($C$2:$V$2="хлеб ржаной",((J15*J16)/'Админ '!$AG$18)-(J15*J16),0)+IF($C$2:$V$2="булочка",((J15*J16)/'Админ '!$AG$19)-(J15*J16),0),"")</f>
        <v>45</v>
      </c>
      <c r="K17" s="26">
        <f>IFERROR(IF($C$2:$V$2=K2,K15*K16,0)+IF($C$2:$V$2="сливки",((K15*K16)/'Админ '!$AG$12)-(K15*K16),0)+IF($C$2:$V$2="молоко",((K15*K16)/'Админ '!$AG$13)-(K15*K16),0)+IF($C$2:$V$2="йогурт",((K15*K16)/'Админ '!$AG$14)-(K15*K16),0)+IF($C$2:$V$2="чай",((K15*K16)/'Админ '!$AG$15)-(K15*K16),0)+IF($C$2:$V$2="дрожжи",((K15*K16)/'Админ '!$AG$16)-(K15*K16),0)+IF($C$2:$V$2="хлеб пшеничный",((K15*K16)/'Админ '!$AG$17)-(K15*K16),0)+IF($C$2:$V$2="хлеб ржаной",((K15*K16)/'Админ '!$AG$18)-(K15*K16),0)+IF($C$2:$V$2="булочка",((K15*K16)/'Админ '!$AG$19)-(K15*K16),0),"")</f>
        <v>180</v>
      </c>
      <c r="L17" s="26">
        <f>IFERROR(IF($C$2:$V$2=L2,L15*L16,0)+IF($C$2:$V$2="сливки",((L15*L16)/'Админ '!$AG$12)-(L15*L16),0)+IF($C$2:$V$2="молоко",((L15*L16)/'Админ '!$AG$13)-(L15*L16),0)+IF($C$2:$V$2="йогурт",((L15*L16)/'Админ '!$AG$14)-(L15*L16),0)+IF($C$2:$V$2="чай",((L15*L16)/'Админ '!$AG$15)-(L15*L16),0)+IF($C$2:$V$2="дрожжи",((L15*L16)/'Админ '!$AG$16)-(L15*L16),0)+IF($C$2:$V$2="хлеб пшеничный",((L15*L16)/'Админ '!$AG$17)-(L15*L16),0)+IF($C$2:$V$2="хлеб ржаной",((L15*L16)/'Админ '!$AG$18)-(L15*L16),0)+IF($C$2:$V$2="булочка",((L15*L16)/'Админ '!$AG$19)-(L15*L16),0),"")</f>
        <v>147</v>
      </c>
      <c r="M17" s="26">
        <f>IFERROR(IF($C$2:$V$2=M2,M15*M16,0)+IF($C$2:$V$2="сливки",((M15*M16)/'Админ '!$AG$12)-(M15*M16),0)+IF($C$2:$V$2="молоко",((M15*M16)/'Админ '!$AG$13)-(M15*M16),0)+IF($C$2:$V$2="йогурт",((M15*M16)/'Админ '!$AG$14)-(M15*M16),0)+IF($C$2:$V$2="чай",((M15*M16)/'Админ '!$AG$15)-(M15*M16),0)+IF($C$2:$V$2="дрожжи",((M15*M16)/'Админ '!$AG$16)-(M15*M16),0)+IF($C$2:$V$2="хлеб пшеничный",((M15*M16)/'Админ '!$AG$17)-(M15*M16),0)+IF($C$2:$V$2="хлеб ржаной",((M15*M16)/'Админ '!$AG$18)-(M15*M16),0)+IF($C$2:$V$2="булочка",((M15*M16)/'Админ '!$AG$19)-(M15*M16),0),"")</f>
        <v>88</v>
      </c>
      <c r="N17" s="26">
        <f>IFERROR(IF($C$2:$V$2=N2,N15*N16,0)+IF($C$2:$V$2="сливки",((N15*N16)/'Админ '!$AG$12)-(N15*N16),0)+IF($C$2:$V$2="молоко",((N15*N16)/'Админ '!$AG$13)-(N15*N16),0)+IF($C$2:$V$2="йогурт",((N15*N16)/'Админ '!$AG$14)-(N15*N16),0)+IF($C$2:$V$2="чай",((N15*N16)/'Админ '!$AG$15)-(N15*N16),0)+IF($C$2:$V$2="дрожжи",((N15*N16)/'Админ '!$AG$16)-(N15*N16),0)+IF($C$2:$V$2="хлеб пшеничный",((N15*N16)/'Админ '!$AG$17)-(N15*N16),0)+IF($C$2:$V$2="хлеб ржаной",((N15*N16)/'Админ '!$AG$18)-(N15*N16),0)+IF($C$2:$V$2="булочка",((N15*N16)/'Админ '!$AG$19)-(N15*N16),0),"")</f>
        <v>21.75</v>
      </c>
      <c r="O17" s="26">
        <f>IFERROR(IF($C$2:$V$2=O2,O15*O16,0)+IF($C$2:$V$2="сливки",((O15*O16)/'Админ '!$AG$12)-(O15*O16),0)+IF($C$2:$V$2="молоко",((O15*O16)/'Админ '!$AG$13)-(O15*O16),0)+IF($C$2:$V$2="йогурт",((O15*O16)/'Админ '!$AG$14)-(O15*O16),0)+IF($C$2:$V$2="чай",((O15*O16)/'Админ '!$AG$15)-(O15*O16),0)+IF($C$2:$V$2="дрожжи",((O15*O16)/'Админ '!$AG$16)-(O15*O16),0)+IF($C$2:$V$2="хлеб пшеничный",((O15*O16)/'Админ '!$AG$17)-(O15*O16),0)+IF($C$2:$V$2="хлеб ржаной",((O15*O16)/'Админ '!$AG$18)-(O15*O16),0)+IF($C$2:$V$2="булочка",((O15*O16)/'Админ '!$AG$19)-(O15*O16),0),"")</f>
        <v>105</v>
      </c>
      <c r="P17" s="26">
        <f>IFERROR(IF($C$2:$V$2=P2,P15*P16,0)+IF($C$2:$V$2="сливки",((P15*P16)/'Админ '!$AG$12)-(P15*P16),0)+IF($C$2:$V$2="молоко",((P15*P16)/'Админ '!$AG$13)-(P15*P16),0)+IF($C$2:$V$2="йогурт",((P15*P16)/'Админ '!$AG$14)-(P15*P16),0)+IF($C$2:$V$2="чай",((P15*P16)/'Админ '!$AG$15)-(P15*P16),0)+IF($C$2:$V$2="дрожжи",((P15*P16)/'Админ '!$AG$16)-(P15*P16),0)+IF($C$2:$V$2="хлеб пшеничный",((P15*P16)/'Админ '!$AG$17)-(P15*P16),0)+IF($C$2:$V$2="хлеб ржаной",((P15*P16)/'Админ '!$AG$18)-(P15*P16),0)+IF($C$2:$V$2="булочка",((P15*P16)/'Админ '!$AG$19)-(P15*P16),0),"")</f>
        <v>2.7777777777777777</v>
      </c>
      <c r="Q17" s="26">
        <f>IFERROR(IF($C$2:$V$2=Q2,Q15*Q16,0)+IF($C$2:$V$2="сливки",((Q15*Q16)/'Админ '!$AG$12)-(Q15*Q16),0)+IF($C$2:$V$2="молоко",((Q15*Q16)/'Админ '!$AG$13)-(Q15*Q16),0)+IF($C$2:$V$2="йогурт",((Q15*Q16)/'Админ '!$AG$14)-(Q15*Q16),0)+IF($C$2:$V$2="чай",((Q15*Q16)/'Админ '!$AG$15)-(Q15*Q16),0)+IF($C$2:$V$2="дрожжи",((Q15*Q16)/'Админ '!$AG$16)-(Q15*Q16),0)+IF($C$2:$V$2="хлеб пшеничный",((Q15*Q16)/'Админ '!$AG$17)-(Q15*Q16),0)+IF($C$2:$V$2="хлеб ржаной",((Q15*Q16)/'Админ '!$AG$18)-(Q15*Q16),0)+IF($C$2:$V$2="булочка",((Q15*Q16)/'Админ '!$AG$19)-(Q15*Q16),0),"")</f>
        <v>31.071428571428573</v>
      </c>
      <c r="R17" s="26">
        <f>IFERROR(IF($C$2:$V$2=R2,R15*R16,0)+IF($C$2:$V$2="сливки",((R15*R16)/'Админ '!$AG$12)-(R15*R16),0)+IF($C$2:$V$2="молоко",((R15*R16)/'Админ '!$AG$13)-(R15*R16),0)+IF($C$2:$V$2="йогурт",((R15*R16)/'Админ '!$AG$14)-(R15*R16),0)+IF($C$2:$V$2="чай",((R15*R16)/'Админ '!$AG$15)-(R15*R16),0)+IF($C$2:$V$2="дрожжи",((R15*R16)/'Админ '!$AG$16)-(R15*R16),0)+IF($C$2:$V$2="хлеб пшеничный",((R15*R16)/'Админ '!$AG$17)-(R15*R16),0)+IF($C$2:$V$2="хлеб ржаной",((R15*R16)/'Админ '!$AG$18)-(R15*R16),0)+IF($C$2:$V$2="булочка",((R15*R16)/'Админ '!$AG$19)-(R15*R16),0),"")</f>
        <v>125</v>
      </c>
      <c r="S17" s="26">
        <f>IFERROR(IF($C$2:$V$2=S2,S15*S16,0)+IF($C$2:$V$2="сливки",((S15*S16)/'Админ '!$AG$12)-(S15*S16),0)+IF($C$2:$V$2="молоко",((S15*S16)/'Админ '!$AG$13)-(S15*S16),0)+IF($C$2:$V$2="йогурт",((S15*S16)/'Админ '!$AG$14)-(S15*S16),0)+IF($C$2:$V$2="чай",((S15*S16)/'Админ '!$AG$15)-(S15*S16),0)+IF($C$2:$V$2="дрожжи",((S15*S16)/'Админ '!$AG$16)-(S15*S16),0)+IF($C$2:$V$2="хлеб пшеничный",((S15*S16)/'Админ '!$AG$17)-(S15*S16),0)+IF($C$2:$V$2="хлеб ржаной",((S15*S16)/'Админ '!$AG$18)-(S15*S16),0)+IF($C$2:$V$2="булочка",((S15*S16)/'Админ '!$AG$19)-(S15*S16),0),"")</f>
        <v>195.99999999999997</v>
      </c>
      <c r="T17" s="26">
        <f>IFERROR(IF($C$2:$V$2=T2,T15*T16,0)+IF($C$2:$V$2="сливки",((T15*T16)/'Админ '!$AG$12)-(T15*T16),0)+IF($C$2:$V$2="молоко",((T15*T16)/'Админ '!$AG$13)-(T15*T16),0)+IF($C$2:$V$2="йогурт",((T15*T16)/'Админ '!$AG$14)-(T15*T16),0)+IF($C$2:$V$2="чай",((T15*T16)/'Админ '!$AG$15)-(T15*T16),0)+IF($C$2:$V$2="дрожжи",((T15*T16)/'Админ '!$AG$16)-(T15*T16),0)+IF($C$2:$V$2="хлеб пшеничный",((T15*T16)/'Админ '!$AG$17)-(T15*T16),0)+IF($C$2:$V$2="хлеб ржаной",((T15*T16)/'Админ '!$AG$18)-(T15*T16),0)+IF($C$2:$V$2="булочка",((T15*T16)/'Админ '!$AG$19)-(T15*T16),0),"")</f>
        <v>325</v>
      </c>
      <c r="U17" s="26">
        <f>IFERROR(IF($C$2:$V$2=U2,U15*U16,0)+IF($C$2:$V$2="сливки",((U15*U16)/'Админ '!$AG$12)-(U15*U16),0)+IF($C$2:$V$2="молоко",((U15*U16)/'Админ '!$AG$13)-(U15*U16),0)+IF($C$2:$V$2="йогурт",((U15*U16)/'Админ '!$AG$14)-(U15*U16),0)+IF($C$2:$V$2="чай",((U15*U16)/'Админ '!$AG$15)-(U15*U16),0)+IF($C$2:$V$2="дрожжи",((U15*U16)/'Админ '!$AG$16)-(U15*U16),0)+IF($C$2:$V$2="хлеб пшеничный",((U15*U16)/'Админ '!$AG$17)-(U15*U16),0)+IF($C$2:$V$2="хлеб ржаной",((U15*U16)/'Админ '!$AG$18)-(U15*U16),0)+IF($C$2:$V$2="булочка",((U15*U16)/'Админ '!$AG$19)-(U15*U16),0),"")</f>
        <v>0</v>
      </c>
      <c r="V17" s="26">
        <f>IFERROR(IF($C$2:$V$2=V2,V15*V16,0)+IF($C$2:$V$2="сливки",((V15*V16)/'Админ '!$AG$12)-(V15*V16),0)+IF($C$2:$V$2="молоко",((V15*V16)/'Админ '!$AG$13)-(V15*V16),0)+IF($C$2:$V$2="йогурт",((V15*V16)/'Админ '!$AG$14)-(V15*V16),0)+IF($C$2:$V$2="чай",((V15*V16)/'Админ '!$AG$15)-(V15*V16),0)+IF($C$2:$V$2="дрожжи",((V15*V16)/'Админ '!$AG$16)-(V15*V16),0)+IF($C$2:$V$2="хлеб пшеничный",((V15*V16)/'Админ '!$AG$17)-(V15*V16),0)+IF($C$2:$V$2="хлеб ржаной",((V15*V16)/'Админ '!$AG$18)-(V15*V16),0)+IF($C$2:$V$2="булочка",((V15*V16)/'Админ '!$AG$19)-(V15*V16),0),"")</f>
        <v>19</v>
      </c>
      <c r="W17" s="26">
        <f>SUM(C17:V17)</f>
        <v>1964.5992063492065</v>
      </c>
    </row>
    <row r="18" spans="1:23" x14ac:dyDescent="0.2"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</row>
    <row r="19" spans="1:23" x14ac:dyDescent="0.2">
      <c r="B19" s="6" t="s">
        <v>83</v>
      </c>
      <c r="C19" s="28">
        <v>105</v>
      </c>
      <c r="D19" s="27"/>
      <c r="E19" s="27"/>
      <c r="F19" s="27"/>
      <c r="G19" s="27"/>
      <c r="H19" s="27"/>
      <c r="I19" s="29"/>
      <c r="J19" s="27"/>
      <c r="K19" s="27"/>
      <c r="L19" s="27"/>
      <c r="M19" s="27"/>
      <c r="N19" s="27"/>
      <c r="O19" s="27"/>
      <c r="P19" s="27"/>
      <c r="Q19" s="27"/>
      <c r="R19" s="27"/>
      <c r="S19" s="27"/>
    </row>
    <row r="20" spans="1:23" x14ac:dyDescent="0.2">
      <c r="B20" s="6" t="s">
        <v>79</v>
      </c>
      <c r="C20" s="30">
        <v>13.919072164948455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</row>
    <row r="21" spans="1:23" x14ac:dyDescent="0.2"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</row>
    <row r="22" spans="1:23" x14ac:dyDescent="0.2"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</row>
    <row r="23" spans="1:23" ht="16.5" thickBot="1" x14ac:dyDescent="0.3">
      <c r="A23" s="37" t="s">
        <v>80</v>
      </c>
      <c r="B23" s="37"/>
      <c r="C23" s="37"/>
      <c r="D23" s="31"/>
      <c r="E23" s="31"/>
      <c r="F23" s="32"/>
      <c r="G23" s="38" t="s">
        <v>81</v>
      </c>
      <c r="H23" s="38"/>
      <c r="I23" s="38"/>
      <c r="J23" s="34"/>
      <c r="K23" s="34"/>
      <c r="L23" s="34"/>
      <c r="M23" s="39" t="s">
        <v>82</v>
      </c>
      <c r="N23" s="39"/>
      <c r="O23" s="39"/>
      <c r="P23" s="39"/>
      <c r="Q23" s="34"/>
      <c r="R23" s="34"/>
      <c r="S23" s="34"/>
    </row>
  </sheetData>
  <mergeCells count="35">
    <mergeCell ref="A1:B1"/>
    <mergeCell ref="C1:W1"/>
    <mergeCell ref="A2:B2"/>
    <mergeCell ref="C2:C3"/>
    <mergeCell ref="D2:D3"/>
    <mergeCell ref="E2:E3"/>
    <mergeCell ref="F2:F3"/>
    <mergeCell ref="G2:G3"/>
    <mergeCell ref="H2:H3"/>
    <mergeCell ref="I2:I3"/>
    <mergeCell ref="A15:B15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  <mergeCell ref="V2:V3"/>
    <mergeCell ref="W2:W3"/>
    <mergeCell ref="A3:B3"/>
    <mergeCell ref="A4:A13"/>
    <mergeCell ref="A14:B14"/>
    <mergeCell ref="T2:T3"/>
    <mergeCell ref="U2:U3"/>
    <mergeCell ref="Q23:S23"/>
    <mergeCell ref="A16:B16"/>
    <mergeCell ref="A17:B17"/>
    <mergeCell ref="A23:C23"/>
    <mergeCell ref="G23:I23"/>
    <mergeCell ref="J23:L23"/>
    <mergeCell ref="M23:P23"/>
  </mergeCells>
  <pageMargins left="0" right="0" top="0" bottom="0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Админ </vt:lpstr>
      <vt:lpstr>День 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Юра</dc:creator>
  <cp:lastModifiedBy>Юра</cp:lastModifiedBy>
  <dcterms:created xsi:type="dcterms:W3CDTF">2020-01-03T03:19:36Z</dcterms:created>
  <dcterms:modified xsi:type="dcterms:W3CDTF">2020-01-12T12:29:03Z</dcterms:modified>
</cp:coreProperties>
</file>