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80" windowHeight="6810" tabRatio="800" activeTab="1"/>
  </bookViews>
  <sheets>
    <sheet name="новый Аср и Оср" sheetId="1" r:id="rId1"/>
    <sheet name="101" sheetId="2" r:id="rId2"/>
    <sheet name="110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<sst xmlns="http://schemas.openxmlformats.org/spreadsheetml/2006/main" count="185" uniqueCount="155">
  <si>
    <t>312 + 31701 + 31704 + 31801 + 31804 + 32901</t>
  </si>
  <si>
    <t>Финансовые обязательства, оцениваемые по справедливой стоимости через прибыль или убыток</t>
  </si>
  <si>
    <t>Прочие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</si>
  <si>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</si>
  <si>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Денежные средства</t>
  </si>
  <si>
    <t>202 + 20302 + 20303 + 20305 + 204</t>
  </si>
  <si>
    <t>Средства кредитной организации в Центральном банке Российской Федерации</t>
  </si>
  <si>
    <t>Обязательные резервы</t>
  </si>
  <si>
    <t>30202 + 30204 + 30238</t>
  </si>
  <si>
    <t>Средства в кредитных организациях</t>
  </si>
  <si>
    <t>20315 + 20316 + 30110 + 30114 + 30118 + 30119 + 30213 + 30215 - А30215/2 - 30410 + 30413 + 30416 + 30418 - 30420 - 30421 - 30422 - 30423 + 30424 + 30425 + 30427 + А/3.3 + А/3.4 + А/3.2 - А/3.1 &lt;2&gt;</t>
  </si>
  <si>
    <t>Финансовые активы, оцениваемые по справедливой стоимости через прибыль или убыток</t>
  </si>
  <si>
    <t>Инвестиции в дочерние и зависимые организации</t>
  </si>
  <si>
    <t>Требования по текущему налогу на прибыль</t>
  </si>
  <si>
    <t>Отложенный налоговый актив</t>
  </si>
  <si>
    <t>Основные средства, нематериальные активы и материальные запасы</t>
  </si>
  <si>
    <t>Долгосрочные активы, предназначенные для продажи</t>
  </si>
  <si>
    <t>Прочие активы</t>
  </si>
  <si>
    <t>61702 + 61703</t>
  </si>
  <si>
    <t>604 (А - П) + 60804 - 60805 + 609 (А - П) + 610 + 619 (А - П)</t>
  </si>
  <si>
    <t>620 (А - П)</t>
  </si>
  <si>
    <t>I. АКТИВЫ</t>
  </si>
  <si>
    <t>30102 + 30104 + 30106 + 30125 + 30202 + 30204 + 30208 + 30210 + А30215/2 + 30224 + 30228 + 30235 + 30238 + 30417 + 30419 - А/3.3 - А/3.4</t>
  </si>
  <si>
    <t>20315 + 20316 + 30110 + 30114 + 30118 + 30119 + 30213 + 30215 - А30215/2 - 30410 + 30413 + 30416 + 30418 - 30420 - 30421 - 30422 - 30423 + 30424 + 30425 + 30427 + 30428 - 30429 + А/3.3 + А/3.4 + А/3.2 + А/3.5 + А/3.6 - А/3.1 &lt;2&gt;</t>
  </si>
  <si>
    <t>47456 - 47462 + 47809 - 47810 + 501 (А - П) + 506 (А - П) + 512 (А - П) + 52601 + А474/5.10 + А474/5.13 + А50505/4 - А50507/4 + А505/4 + А/5.6</t>
  </si>
  <si>
    <t>Чистая ссудная задолженность, оцениваемая по амортизированной стоимости</t>
  </si>
  <si>
    <t>20311 + 20312 + 20317 + 20318 + 20319 + 20320 + 319 + 320 (А - П) + 321 (кроме 32115) + 322 (А - П) + 323 (кроме 32311) + 324 (кроме 32403) + 325 (А - П) + 32902 + (40111 - 40110) &lt;3&gt; + 40308 + 441 (А - П) + 442 (А - П) + 443 (А - П) + 444 (А - П) + 445 (А - П) + 446 (А - П) + 447 (А - П) + 448 (А - П) + 449 (А - П) + 450 (А - П) + 451 (А - П) + 452 (А - П) + 453 (А - П) + 454 (А - П) + 455 (А - П) + 456 (кроме 45615) + 457 (кроме 45715) + 458 (кроме 45818) + 459 (А - П) + 460 (А - П) + 461 (А - П) + 462 (А - П) + 463 (А - П) + 464 (А - П) + 465 (А - П) + 466 (А - П) + 467 (А - П) + 468 (А - П) + 469 (А - П) + 470 (А - П) + 471 (А - П) + 472 (А - П) + 473 (кроме 47308) + 47402 + 47410 + 47427 + 47431 - 47444 + 47447 - 47452 + 477 (А - П) + 47801 + 47802 + 47803 - 47804 + 47805 - 47806 + 47807 - 47808 + 515 (А - П) + 60315 + А/5.1 &lt;2&gt; + А/5.3 + А/5.5 - А/5.5.1 + А474/5.9 + А474/5.11 - А/3.2 - А/5.2 + А/5.2.1 - А/5.4 - А/5.6 - А/5.7 - А/5.8 - А474/5.13 - А474/5.14 - А/13.3</t>
  </si>
  <si>
    <t>Чистые вложения в финансовые активы, оцениваемые по справедливой стоимости через прочий совокупный доход</t>
  </si>
  <si>
    <t>47455 - 47461 + 47811 - 47812 + 502 (А - П) + 507 (А - П) + 513 (А - П) + А50505/6.1 - А50507/6.2 + А505/6.2 + А474/5.12 + А474/5.14 + А474/6.3 + А/5.5.1 + А/5.7 + А/5.8 - А/5.2.1</t>
  </si>
  <si>
    <t>Чистые вложения в ценные бумаги и иные финансовые активы, оцениваемые по амортизированной стоимости (кроме ссудной задолженности)</t>
  </si>
  <si>
    <t>504 (А - П) + 505 (А - П) - А50505/6.1 + А50507/6.2 + А50427/22 - А50505/4 + А50507/4 - А505/4 - А505/6.2</t>
  </si>
  <si>
    <t>601 (А - П) + 602 (А - П)</t>
  </si>
  <si>
    <t>А60302/9</t>
  </si>
  <si>
    <t>20308 + 30211 + (30221 - 30222) &lt;4&gt; + (30233 - 30232) &lt;4&gt; + 30242 - 30243 + 303 &lt;4&gt; + 30602 + (40908 - 40907) &lt;4&gt; + 47404 + 47406 + 47408 + 47413 + 47415 + 47417 + 47420 + 47423 + (47421 - 47424) &lt;4&gt; + 47443 - 47441 + 47816 - 47814 + 479 (А - П) + 509 (А - П) + 52802 - 52801 + 603(А) (кроме 60315, 60351) + 621 (А - П) - 30226 + А30226/3.1 - А474/5.10 - А474/5.11 - А474/5.12 - А60302/9 - А/3.6 - А/5.3 - А/9.2 + А/9.3 + А/13.3</t>
  </si>
  <si>
    <t>Всего активов</t>
  </si>
  <si>
    <t>(стр. 1 + стр. 2 + стр. 3 + стр. 4 + стр. 5 + стр. 6 + стр. 7 + стр. 8 + стр. 9 + стр. 10 + стр. 11 + стр. 12 + стр. 13)</t>
  </si>
  <si>
    <t>II. ПАССИВЫ</t>
  </si>
  <si>
    <t>Кредиты, депозиты и прочие средства Центрального банка Российской Федерации</t>
  </si>
  <si>
    <t>Средства клиентов, оцениваемые по амортизированной стоимости</t>
  </si>
  <si>
    <t>стр. 16.1 + стр. 16.2</t>
  </si>
  <si>
    <t>средства кредитных организаций</t>
  </si>
  <si>
    <t>20313 + 20314 + 301 (П) (кроме 30126) + 30219 + 30230 + 30231 + 30236 + 30411 + 30412 + 30414 + 30415 + 313 + 314 + 315 + 316 + 31702 + 31703 + 31802 + 31803 + 47426 - 47469 + 47445 - 47450 - А474/16.1 - А474/16.3 - А474/16.4 - А474/16.5 - А474/16.6 + А/12 - А/16.7</t>
  </si>
  <si>
    <t>средства клиентов, не являющихся кредитными организациями</t>
  </si>
  <si>
    <t>20309 + 20310 + 30220 + 30223 + 30227 + 30601 + 30606 + 40101 + 40105 + 40106 + (40108 - (40109 - А 40109/5.1) + (40110 - 40111) &lt;3&gt; + 40116 + 402 + 403 (П) (кроме 40312) + 404 + 405 + 406 + 407 + 408 + 409 (П) (кроме 40907) + 410 + 411 + 412 + 413 + 414 + 415 + 416 + 417 + 418 + 419 + 420 + 421 + 422 + 423 + 425 + 426 + 427 + 428 + 429 + 430 + 431 + 432 + 433 + 434 + 435 + 436 + 437 + 438 + 439 + 440 + 47401 + 47411 - 47468 + 47418 + 476 + А474/16.3 + А474/16.5 + А/13.2 - А474/16.2 - А474/17.1 - А/12 - А/16.8</t>
  </si>
  <si>
    <t>вклады (средства) физических лиц, в том числе индивидуальных предпринимателей</t>
  </si>
  <si>
    <t>423 + 426 + 47603 + 47605 + 47608 + 47609 + 47610 + 47611 + А/13.1 - А/16.8.1 + А/13.2.2</t>
  </si>
  <si>
    <t>52602 + 47453 - 47459 + А474/16.4 + А474/16.6 + А474/17.1 + А/16.7 + А/16.8</t>
  </si>
  <si>
    <t>А/16.8.1 + А474/17.2 + А/13.2.1</t>
  </si>
  <si>
    <t>Выпущенные долговые ценные бумаги</t>
  </si>
  <si>
    <t>стр. 18.1 + стр. 18.2</t>
  </si>
  <si>
    <t>оцениваемые по справедливой стоимости через прибыль или убыток</t>
  </si>
  <si>
    <t>47454 - 47460 + 520 + 521 + 522 + 523 + 524 + 52501 + А474/18.2 - А/13.2.1 - А/18.5</t>
  </si>
  <si>
    <t>оцениваемые по амортизированной стоимости</t>
  </si>
  <si>
    <t>47446 - 47451 + А/18.4 - А/13.2.2 - А474/18.1 - А474/18.2 + А/18.5</t>
  </si>
  <si>
    <t>Обязательства по текущему налогу на прибыль</t>
  </si>
  <si>
    <t>А60301/19</t>
  </si>
  <si>
    <t>Отложенные налоговые обязательства</t>
  </si>
  <si>
    <t>(30222 - 30221) &lt;4&gt; + (30232 - 30233) &lt;4&gt; + 303 &lt;4&gt; + 30603 + 30604 + 40312 + (40907 - 40908) &lt;4&gt; + 47403 + 47405 + 47407 + 47412 + 47414 + 47416 + 47419 + 47422 + (47424 - 47421) &lt;4&gt; + 47448 - 47467 + 47449 - 47465 + 47466 + 47457 - 47463 + 47458 - 47464 + 475 (П - А) + 52803 - 52804 + 603 (П) (кроме 60324, 60352) + 60806 + 61501 + А102/16 - А60301/19 - А/5.4</t>
  </si>
  <si>
    <t>20321 + 30126 - 30128 + 30129 + 30607 - 30608 + 30609 + 32115 - 32116 + 32117 + 32311 - 32312 + 32313 + 32403 - 32407 + 32408 + 45615 - 45616 + 45617 - 45713 + 45714 + 45715 + 45818 - 45820 + 45821 + 47308 - 47312 + 47313 + 47425 - 47465 + 47466 + 60324 - 60351 + 60352 + А50427/22 - А20321/3.1 - А30126/3.1 - А/3.5 - А/5.2 - А/5.5 - А/9.2 - А/9.3</t>
  </si>
  <si>
    <t>III. ИСТОЧНИКИ СОБСТВЕННЫХ СРЕДСТВ</t>
  </si>
  <si>
    <t>Средства акционеров (участников)</t>
  </si>
  <si>
    <t>102 - А102/16</t>
  </si>
  <si>
    <t>Собственные акции (доли), выкупленные у акционеров (участников)</t>
  </si>
  <si>
    <t>Эмиссионный доход</t>
  </si>
  <si>
    <t>Резервный фонд</t>
  </si>
  <si>
    <t>Переоценка финансовых активов, оцениваемых по справедливой стоимости через прочий совокупный доход, уменьшенная на отложенное налоговое обязательство (увеличенная на отложенный налоговый актив)</t>
  </si>
  <si>
    <t>10603 - 10605 + 10609 - А10609/28 - 10610 + А10610/28 + 10622 - 10623 + 10628 - 10629</t>
  </si>
  <si>
    <t>Переоценка основных средств и нематериальных активов, уменьшенная на отложенное налоговое обязательство</t>
  </si>
  <si>
    <t>10601 + 10611 + А10609/28 - А10610/28</t>
  </si>
  <si>
    <t>Переоценка обязательств (требований) по выплате долгосрочных вознаграждений</t>
  </si>
  <si>
    <t>10612 - 10613</t>
  </si>
  <si>
    <t>Переоценка инструментов хеджирования</t>
  </si>
  <si>
    <t>10619 - 10620 + 10624 - 10625</t>
  </si>
  <si>
    <t>Денежные средства безвозмездного финансирования (вклады в имущество)</t>
  </si>
  <si>
    <t>10614 + 10621</t>
  </si>
  <si>
    <t>Изменение справедливой стоимости финансового обязательства, обусловленное изменением кредитного риска</t>
  </si>
  <si>
    <t>10627 - 10626</t>
  </si>
  <si>
    <t>Оценочные резервы под ожидаемые кредитные убытки</t>
  </si>
  <si>
    <t>10630 + 10631</t>
  </si>
  <si>
    <t>108 - 109 + (707(П) - 707(А) + 70801 - 70802) &lt;5&gt; - 11101</t>
  </si>
  <si>
    <t>Всего источников собственных средств</t>
  </si>
  <si>
    <t>(стр. 24 - стр. 25 + стр. 26 + стр. 27 + стр. 28 + стр. 29 + стр. 30 + стр. 31 + стр. 32 + стр. 33 + стр. 34 + стр. 35)</t>
  </si>
  <si>
    <t>IV. ВНЕБАЛАНСОВЫЕ ОБЯЗАТЕЛЬСТВА</t>
  </si>
  <si>
    <t>Безотзывные обязательства кредитной организации</t>
  </si>
  <si>
    <t>91003 + 91004 + 91006 + 91010 + 91314 + 91317 + 91319 + 91705 + 963 + 964 + 965 + 966 + 967 + 969 + 970 + 971</t>
  </si>
  <si>
    <t>Выданные кредитной организацией банковские гарантии и поручительства</t>
  </si>
  <si>
    <t>Условные обязательства некредитного характера</t>
  </si>
  <si>
    <t>2.1</t>
  </si>
  <si>
    <t>16.1</t>
  </si>
  <si>
    <t>16.2</t>
  </si>
  <si>
    <t>16.2.1</t>
  </si>
  <si>
    <t>17.1</t>
  </si>
  <si>
    <t>18.1</t>
  </si>
  <si>
    <t>18.2</t>
  </si>
  <si>
    <t xml:space="preserve">Всего обязательств </t>
  </si>
  <si>
    <t>(стр. 15 + стр. 16 + стр. 17 + стр. 18 + стр. 19 + стр. 20 + стр. 21 + стр. 22)</t>
  </si>
  <si>
    <t>Неиспользованная прибыль (убыток)
(По состоянию на 1 апреля, 1 июля, 1 октября: 706(П-А) - 11101</t>
  </si>
  <si>
    <t>Ф 806</t>
  </si>
  <si>
    <t>Обязательства для доходности (для показателя Обср)</t>
  </si>
  <si>
    <t>Обязательства для ликвидности (для показателя ПС)</t>
  </si>
  <si>
    <t xml:space="preserve">стр. 23 "Всего обязательств" минус стр. 21 "Прочие обязательства" минус стр. 22 "Резервы на возможные потери по условным обязательствам кредитного характера, прочим возможным потерям и операциям с резидентами офшорных зон" минус стр. 19 "Обязательства по текущему налогу на прибыль" минус стр. 20 "Отложенные налоговые обязательства".
</t>
  </si>
  <si>
    <t xml:space="preserve">стр. 23 "Всего обязательств" минус стр. 22  "Резервы на возможные потери по условным обязательствам кредитного характера, прочим возможным потерям и операциям с резидентами офшорных зон" минус стр. 19  "Обязательства по текущему налогу на прибыль" минус стр. 20 "Отложенные налоговые обязательства".
</t>
  </si>
  <si>
    <t xml:space="preserve">корректировок, увеличивающих (уменьшающих) стоимость предоставленных (размещенных) денежных средств, приобретенных прав требования при первоначальном признании, а также при последующей оценке стоимости указанных финансовых активов;";
</t>
  </si>
  <si>
    <t xml:space="preserve">
"корректировок, увеличивающих (уменьшающих) стоимость долговых ценных бумаг;
</t>
  </si>
  <si>
    <t xml:space="preserve">
переоценки, увеличивающей (уменьшающей) стоимость долевых ценных бумаг, отраженной при первоначальном признании ценных бумаг;
</t>
  </si>
  <si>
    <t xml:space="preserve">
переоценки, увеличивающей (уменьшающей) стоимость денежных требований и требований, вытекающих из сделок с финансовыми инструментами, признаваемых ссудами в соответствии с приложением 1 к Положению Банка России от 28 июня 2017 года N 590-П "О порядке формирования кредитными организациями резервов на возможные потери по ссудам, ссудной и приравненной к ней задолженности", зарегистрированному Министерством юстиции Российской Федерации 12 июля 2017 года N 47384, 3 октября 2018 года N 52308, 19 декабря 2018 года N 53053 (далее - Положение Банка России N 590-П);
</t>
  </si>
  <si>
    <t xml:space="preserve">
корректировок сформированного резерва на возможные потери до суммы оценочного резерва под ожидаемые кредитные убытки;
</t>
  </si>
  <si>
    <t>Актив :47447, 47807
Пассив: 47452, 47808</t>
  </si>
  <si>
    <t>Актив: 50140, 50264, 50428, 
Пассив: 50141,50265, 50429</t>
  </si>
  <si>
    <t>Актив: 50621, 50721
Пассив: 50620, 50720</t>
  </si>
  <si>
    <t xml:space="preserve">Актив: 10633, 10635, 30128, 30242, 30428, 30608, 32027, 32116, 32212, 32312, 32407, 32507, 44116, 44216, 44316, 44416, 44516, 44616, 44716, 44816, 44916, 45016, 45116, 45216, 45316, 45416, 45523, 45616, 45713, 45820, 45920, 46012, 46112, 46212, 46312, 46412, 46512, 46612, 46712, 46812, 46912, 47012, 47112, 47212, 47312, 47465, 47704, 47805, 50430, 50508, 50738, 50909, 51238, 51528, 60107, 60213, 60351, 
Пассив: 10632, 10634, 30129, 30243, 30429, 30609, 32028, 32117, 32213, 32313, 32408, 32508, 44117, 44217, 44317, 44417, 44517, 44617, 44717, 44817, 44917, 45017, 45117, 45217, 45317, 47417, 45524, 45617, 45714, 45821, 45921, 46013, 46113, 46213, 46313, 46413, 46513, 46613, 46713, 46813, 46913, 47013, 47113, 47213, 47313, 47466, 47705, 47806, 50431, 50509, 50739, 50910, 51239, 51529, 60108, 60214, 60352 </t>
  </si>
  <si>
    <t>А (активы для расчета ПК2) ф 806 "Всего активов" без учета:</t>
  </si>
  <si>
    <t>ПРОСТО разработочная таблица</t>
  </si>
  <si>
    <t>без учета корректировок и переоценки (желтым, где есть отличия)</t>
  </si>
  <si>
    <t xml:space="preserve">корректировок, увеличивающих (уменьшающих) стоимость привлеченных денежных средств при первоначальном признании, а также при последующей оценке стоимости финансовых обязательств;";
</t>
  </si>
  <si>
    <t xml:space="preserve">"корректировок, увеличивающих (уменьшающих) стоимость обязательства по договору банковской гарантии;
</t>
  </si>
  <si>
    <t xml:space="preserve">корректировок, увеличивающих стоимость обязательства по предоставлению денежных средств;
</t>
  </si>
  <si>
    <t xml:space="preserve">корректировок, увеличивающих (уменьшающих) стоимость выпущенных ценных бумаг;
</t>
  </si>
  <si>
    <t xml:space="preserve">переоценки, увеличивающей (уменьшающей) стоимость привлеченных денежных средств, оцениваемых по справедливой стоимости через прибыль или убыток;
</t>
  </si>
  <si>
    <t xml:space="preserve">корректировок сформированного резерва на возможные потери до суммы оценочного резерва под ожидаемые кредитные убытки.
</t>
  </si>
  <si>
    <t xml:space="preserve">переоценки, увеличивающей (уменьшающей) стоимость выпущенных ценных бумаг, оцениваемых по справедливой стоимости через прибыль или убыток.";
</t>
  </si>
  <si>
    <t>Всего активов (А активы для расчета ПК2 без учета корректировок): (форма 101 и 110)</t>
  </si>
  <si>
    <t>добавить данные из ф.110</t>
  </si>
  <si>
    <t xml:space="preserve">504 (А - П) + 505 (А - П) - А50505/6.1 + А50507/6.2 + А50427/22 - А50505/4 + А50507/4 - А505/4 - А505/6.2
</t>
  </si>
  <si>
    <t xml:space="preserve">47456 - 47462 + 47809 - 47810 + 501 (А - П) + 506 (А - П) + 512 (А - П) + 52601 + А474/5.10 + А474/5.13 + А50505/4 - А50507/4 + А505/4 + А/5.6
</t>
  </si>
  <si>
    <t xml:space="preserve">47455 - 47461 + 47811 - 47812 + 502 (А - П) + 507 (А - П) + 513 (А - П) + А50505/6.1 - А50507/6.2 + А505/6.2 + А474/5.12 + А474/5.14 + А474/6.3 + А/5.5.1 + А/5.7 + А/5.8 - А/5.2.1
</t>
  </si>
  <si>
    <r>
      <rPr>
        <sz val="10"/>
        <rFont val="Arial Cyr"/>
        <family val="0"/>
      </rPr>
      <t xml:space="preserve">601 (А - П) + 602 (А - П)
</t>
    </r>
  </si>
  <si>
    <t xml:space="preserve">312 + 31701 + 31704 + 31801 + 31804 + 32901
</t>
  </si>
  <si>
    <r>
      <rPr>
        <sz val="10"/>
        <rFont val="Arial Cyr"/>
        <family val="0"/>
      </rPr>
      <t xml:space="preserve">108 - 109 + (707(П) - 707(А) + 70801 - 70802) &lt;5&gt; - 11101
</t>
    </r>
    <r>
      <rPr>
        <sz val="10"/>
        <color indexed="10"/>
        <rFont val="Arial Cyr"/>
        <family val="0"/>
      </rPr>
      <t>По состоянию на 1 апреля, 1 июля, 1 октября: 706 (П - А) - 11101</t>
    </r>
    <r>
      <rPr>
        <sz val="10"/>
        <rFont val="Arial Cyr"/>
        <family val="0"/>
      </rPr>
      <t xml:space="preserve">
</t>
    </r>
  </si>
  <si>
    <r>
      <t>20311 + 20312 + 20317 + 20318 + 20319 + 20320 +</t>
    </r>
    <r>
      <rPr>
        <sz val="10"/>
        <color indexed="10"/>
        <rFont val="Arial Cyr"/>
        <family val="0"/>
      </rPr>
      <t xml:space="preserve"> 319</t>
    </r>
    <r>
      <rPr>
        <sz val="10"/>
        <rFont val="Arial Cyr"/>
        <family val="0"/>
      </rPr>
      <t xml:space="preserve"> + 320 (А - П) + 321 (кроме 32115) + 322 (А - П) + 323 (кроме 32311) + 324 (кроме 32403) + 325 (А - П) + 32902 + (40111 - 40110) &lt;3&gt; + 40308 + 441 (А - П) + 442 (А - П) + 443 (А - П) + 444 (А - П) + 445 (А - П) + </t>
    </r>
    <r>
      <rPr>
        <sz val="10"/>
        <color indexed="10"/>
        <rFont val="Arial Cyr"/>
        <family val="0"/>
      </rPr>
      <t>446 (А - П)</t>
    </r>
    <r>
      <rPr>
        <sz val="10"/>
        <rFont val="Arial Cyr"/>
        <family val="0"/>
      </rPr>
      <t xml:space="preserve"> + 447 (А - П) + 448 (А - П) + 449 (А - П) + 450 (А - П) + 451 (А - П) + </t>
    </r>
    <r>
      <rPr>
        <sz val="10"/>
        <color indexed="10"/>
        <rFont val="Arial Cyr"/>
        <family val="0"/>
      </rPr>
      <t>452 (А - П)</t>
    </r>
    <r>
      <rPr>
        <sz val="10"/>
        <rFont val="Arial Cyr"/>
        <family val="0"/>
      </rPr>
      <t xml:space="preserve"> + 453 (А - П) + 454 (А - П) + </t>
    </r>
    <r>
      <rPr>
        <sz val="10"/>
        <color indexed="10"/>
        <rFont val="Arial Cyr"/>
        <family val="0"/>
      </rPr>
      <t>455 (А - П)</t>
    </r>
    <r>
      <rPr>
        <sz val="10"/>
        <rFont val="Arial Cyr"/>
        <family val="0"/>
      </rPr>
      <t xml:space="preserve"> + 456 (кроме 45615) + 457 (кроме 45715) + </t>
    </r>
    <r>
      <rPr>
        <sz val="10"/>
        <color indexed="10"/>
        <rFont val="Arial Cyr"/>
        <family val="0"/>
      </rPr>
      <t>458 (кроме 45818)</t>
    </r>
    <r>
      <rPr>
        <sz val="10"/>
        <rFont val="Arial Cyr"/>
        <family val="0"/>
      </rPr>
      <t xml:space="preserve"> + 459 (А - П) + 460 (А - П) + 461 (А - П) + 462 (А - П) + 463 (А - П) + 464 (А - П) + 465 (А - П) + 466 (А - П) + 467 (А - П) + 468 (А - П) + 469 (А - П) + 470 (А - П) + 471 (А - П) + 472 (А - П) + 473 (кроме 47308) + 47402 + 47410 + </t>
    </r>
    <r>
      <rPr>
        <sz val="10"/>
        <color indexed="10"/>
        <rFont val="Arial Cyr"/>
        <family val="0"/>
      </rPr>
      <t>47427</t>
    </r>
    <r>
      <rPr>
        <sz val="10"/>
        <rFont val="Arial Cyr"/>
        <family val="0"/>
      </rPr>
      <t xml:space="preserve"> + 47431 - 47444 + 47447 - 47452 + 477 (А - П) + 47801 + 47802 + 47803 - 47804 + 47805 - 47806 + 47807 - 47808 + 515 (А - П) + 60315 + А/5.1 &lt;2&gt; + А/5.3 + А/5.5 - А/5.5.1 + А474/5.9 + А474/5.11 - А/3.2 - А/5.2 + А/5.2.1 - А/5.4 - А/5.6 - А/5.7 - А/5.8 - А474/5.13 - А474/5.14 - А/13.3
</t>
    </r>
  </si>
  <si>
    <r>
      <rPr>
        <sz val="10"/>
        <color indexed="10"/>
        <rFont val="Arial Cyr"/>
        <family val="0"/>
      </rPr>
      <t>604 (А - П)</t>
    </r>
    <r>
      <rPr>
        <sz val="10"/>
        <rFont val="Arial Cyr"/>
        <family val="0"/>
      </rPr>
      <t xml:space="preserve"> + 60804 - 60805 + </t>
    </r>
    <r>
      <rPr>
        <sz val="10"/>
        <color indexed="10"/>
        <rFont val="Arial Cyr"/>
        <family val="0"/>
      </rPr>
      <t>609 (А - П)</t>
    </r>
    <r>
      <rPr>
        <sz val="10"/>
        <rFont val="Arial Cyr"/>
        <family val="0"/>
      </rPr>
      <t xml:space="preserve"> + </t>
    </r>
    <r>
      <rPr>
        <sz val="10"/>
        <color indexed="10"/>
        <rFont val="Arial Cyr"/>
        <family val="0"/>
      </rPr>
      <t>610</t>
    </r>
    <r>
      <rPr>
        <sz val="10"/>
        <rFont val="Arial Cyr"/>
        <family val="0"/>
      </rPr>
      <t xml:space="preserve"> + 619 (А - П)
</t>
    </r>
  </si>
  <si>
    <r>
      <t xml:space="preserve">20308 + 30211 + (30221 - 30222) &lt;4&gt; + (30233 - 30232) &lt;4&gt; + 30242 - 30243 + 303 &lt;4&gt; + 30602 + (40908 - 40907) &lt;4&gt; + </t>
    </r>
    <r>
      <rPr>
        <sz val="10"/>
        <color indexed="10"/>
        <rFont val="Arial Cyr"/>
        <family val="0"/>
      </rPr>
      <t>47404</t>
    </r>
    <r>
      <rPr>
        <sz val="10"/>
        <rFont val="Arial Cyr"/>
        <family val="0"/>
      </rPr>
      <t xml:space="preserve"> + 47406 + 47408 + 47413 + 47415 + 47417 + 47420 + </t>
    </r>
    <r>
      <rPr>
        <sz val="10"/>
        <color indexed="10"/>
        <rFont val="Arial Cyr"/>
        <family val="0"/>
      </rPr>
      <t>47423</t>
    </r>
    <r>
      <rPr>
        <sz val="10"/>
        <rFont val="Arial Cyr"/>
        <family val="0"/>
      </rPr>
      <t xml:space="preserve"> + (47421 - 47424) &lt;4&gt; + 47443 - 47441 + 47816 - 47814 + 479 (А - П) + 509 (А - П) + 52802 - 52801 + </t>
    </r>
    <r>
      <rPr>
        <sz val="10"/>
        <color indexed="10"/>
        <rFont val="Arial Cyr"/>
        <family val="0"/>
      </rPr>
      <t>603 (А)</t>
    </r>
    <r>
      <rPr>
        <sz val="10"/>
        <rFont val="Arial Cyr"/>
        <family val="0"/>
      </rPr>
      <t xml:space="preserve"> (кроме 60315, 60351) + 621 (А - П) - 30226 + А30226/3.1 - А474/5.10 - А474/5.11 - А474/5.12 - А60302/9 - А/3.6 - </t>
    </r>
    <r>
      <rPr>
        <sz val="10"/>
        <color indexed="10"/>
        <rFont val="Arial Cyr"/>
        <family val="0"/>
      </rPr>
      <t>А/5.3</t>
    </r>
    <r>
      <rPr>
        <sz val="10"/>
        <rFont val="Arial Cyr"/>
        <family val="0"/>
      </rPr>
      <t xml:space="preserve"> - </t>
    </r>
    <r>
      <rPr>
        <sz val="10"/>
        <color indexed="10"/>
        <rFont val="Arial Cyr"/>
        <family val="0"/>
      </rPr>
      <t>А/9.2</t>
    </r>
    <r>
      <rPr>
        <sz val="10"/>
        <rFont val="Arial Cyr"/>
        <family val="0"/>
      </rPr>
      <t xml:space="preserve"> + А/9.3 + </t>
    </r>
    <r>
      <rPr>
        <sz val="10"/>
        <color indexed="10"/>
        <rFont val="Arial Cyr"/>
        <family val="0"/>
      </rPr>
      <t>А/13.3</t>
    </r>
    <r>
      <rPr>
        <sz val="10"/>
        <rFont val="Arial Cyr"/>
        <family val="0"/>
      </rPr>
      <t xml:space="preserve">
</t>
    </r>
  </si>
  <si>
    <r>
      <t xml:space="preserve">20313 + 20314 + </t>
    </r>
    <r>
      <rPr>
        <sz val="10"/>
        <color indexed="10"/>
        <rFont val="Arial Cyr"/>
        <family val="0"/>
      </rPr>
      <t>301 (П)</t>
    </r>
    <r>
      <rPr>
        <sz val="10"/>
        <rFont val="Arial Cyr"/>
        <family val="0"/>
      </rPr>
      <t xml:space="preserve"> (кроме 30126) + 30219 + 30230 + 30231 + 30236 + 30411 + 30412 + 30414 + 30415 + </t>
    </r>
    <r>
      <rPr>
        <sz val="10"/>
        <color indexed="10"/>
        <rFont val="Arial Cyr"/>
        <family val="0"/>
      </rPr>
      <t>313</t>
    </r>
    <r>
      <rPr>
        <sz val="10"/>
        <rFont val="Arial Cyr"/>
        <family val="0"/>
      </rPr>
      <t xml:space="preserve"> + 314 + 315 + 316 + 31702 + 31703 + 31802 + 31803 + </t>
    </r>
    <r>
      <rPr>
        <sz val="10"/>
        <color indexed="10"/>
        <rFont val="Arial Cyr"/>
        <family val="0"/>
      </rPr>
      <t>47426</t>
    </r>
    <r>
      <rPr>
        <sz val="10"/>
        <rFont val="Arial Cyr"/>
        <family val="0"/>
      </rPr>
      <t xml:space="preserve"> - 47469 + 47445 - 47450 - А474/16.1 - А474/16.3 - А474/16.4 - </t>
    </r>
    <r>
      <rPr>
        <sz val="10"/>
        <color indexed="10"/>
        <rFont val="Arial Cyr"/>
        <family val="0"/>
      </rPr>
      <t>А474/16.5</t>
    </r>
    <r>
      <rPr>
        <sz val="10"/>
        <rFont val="Arial Cyr"/>
        <family val="0"/>
      </rPr>
      <t xml:space="preserve"> - А474/16.6 + А/12 - А/16.7
</t>
    </r>
  </si>
  <si>
    <r>
      <t xml:space="preserve">20309 + 20310 + 30220 + 30223 + 30227 + </t>
    </r>
    <r>
      <rPr>
        <sz val="10"/>
        <color indexed="10"/>
        <rFont val="Arial Cyr"/>
        <family val="0"/>
      </rPr>
      <t>30601</t>
    </r>
    <r>
      <rPr>
        <sz val="10"/>
        <rFont val="Arial Cyr"/>
        <family val="0"/>
      </rPr>
      <t xml:space="preserve"> + 30606 + 40101 + 40105 + 40106 + (40108 - (40109 - А 40109/5.1) + (40110 - 40111) &lt;3&gt; + 40116 + 402 + 403 (П) (кроме 40312) + 404 +</t>
    </r>
    <r>
      <rPr>
        <sz val="10"/>
        <color indexed="10"/>
        <rFont val="Arial Cyr"/>
        <family val="0"/>
      </rPr>
      <t xml:space="preserve"> 405</t>
    </r>
    <r>
      <rPr>
        <sz val="10"/>
        <rFont val="Arial Cyr"/>
        <family val="0"/>
      </rPr>
      <t xml:space="preserve"> + 406 + </t>
    </r>
    <r>
      <rPr>
        <sz val="10"/>
        <color indexed="10"/>
        <rFont val="Arial Cyr"/>
        <family val="0"/>
      </rPr>
      <t>407</t>
    </r>
    <r>
      <rPr>
        <sz val="10"/>
        <rFont val="Arial Cyr"/>
        <family val="0"/>
      </rPr>
      <t xml:space="preserve"> + </t>
    </r>
    <r>
      <rPr>
        <sz val="10"/>
        <color indexed="10"/>
        <rFont val="Arial Cyr"/>
        <family val="0"/>
      </rPr>
      <t>408</t>
    </r>
    <r>
      <rPr>
        <sz val="10"/>
        <rFont val="Arial Cyr"/>
        <family val="0"/>
      </rPr>
      <t xml:space="preserve"> + </t>
    </r>
    <r>
      <rPr>
        <sz val="10"/>
        <color indexed="10"/>
        <rFont val="Arial Cyr"/>
        <family val="0"/>
      </rPr>
      <t>409 (П)</t>
    </r>
    <r>
      <rPr>
        <sz val="10"/>
        <rFont val="Arial Cyr"/>
        <family val="0"/>
      </rPr>
      <t xml:space="preserve"> (кроме 40907) + 410 + 411 + 412 + 413 + 414 + </t>
    </r>
    <r>
      <rPr>
        <sz val="10"/>
        <color indexed="10"/>
        <rFont val="Arial Cyr"/>
        <family val="0"/>
      </rPr>
      <t xml:space="preserve">415 </t>
    </r>
    <r>
      <rPr>
        <sz val="10"/>
        <rFont val="Arial Cyr"/>
        <family val="0"/>
      </rPr>
      <t xml:space="preserve">+ 416 + 417 + 418 + 419 + 420 + 421 + 422 + </t>
    </r>
    <r>
      <rPr>
        <sz val="10"/>
        <color indexed="10"/>
        <rFont val="Arial Cyr"/>
        <family val="0"/>
      </rPr>
      <t>423</t>
    </r>
    <r>
      <rPr>
        <sz val="10"/>
        <rFont val="Arial Cyr"/>
        <family val="0"/>
      </rPr>
      <t xml:space="preserve"> + 425 + </t>
    </r>
    <r>
      <rPr>
        <sz val="10"/>
        <color indexed="10"/>
        <rFont val="Arial Cyr"/>
        <family val="0"/>
      </rPr>
      <t>426</t>
    </r>
    <r>
      <rPr>
        <sz val="10"/>
        <rFont val="Arial Cyr"/>
        <family val="0"/>
      </rPr>
      <t xml:space="preserve"> + 427 + 428 + 429 + 430 + 431 + 432 + 433 + 434 + 435 + 436 + 437 + </t>
    </r>
    <r>
      <rPr>
        <sz val="10"/>
        <color indexed="10"/>
        <rFont val="Arial Cyr"/>
        <family val="0"/>
      </rPr>
      <t>438</t>
    </r>
    <r>
      <rPr>
        <sz val="10"/>
        <rFont val="Arial Cyr"/>
        <family val="0"/>
      </rPr>
      <t xml:space="preserve"> + 439 + 440 + 47401 +</t>
    </r>
    <r>
      <rPr>
        <sz val="10"/>
        <rFont val="Arial Cyr"/>
        <family val="0"/>
      </rPr>
      <t xml:space="preserve"> 47411</t>
    </r>
    <r>
      <rPr>
        <sz val="10"/>
        <rFont val="Arial Cyr"/>
        <family val="0"/>
      </rPr>
      <t xml:space="preserve"> - 47468 + 47418 + 476 + А474/16.3 + </t>
    </r>
    <r>
      <rPr>
        <sz val="10"/>
        <color indexed="10"/>
        <rFont val="Arial Cyr"/>
        <family val="0"/>
      </rPr>
      <t>А474/16.5</t>
    </r>
    <r>
      <rPr>
        <sz val="10"/>
        <rFont val="Arial Cyr"/>
        <family val="0"/>
      </rPr>
      <t xml:space="preserve"> + А/13.2 - А474/16.2 - А474/17.1 - </t>
    </r>
    <r>
      <rPr>
        <sz val="10"/>
        <color indexed="10"/>
        <rFont val="Arial Cyr"/>
        <family val="0"/>
      </rPr>
      <t>А/12</t>
    </r>
    <r>
      <rPr>
        <sz val="10"/>
        <rFont val="Arial Cyr"/>
        <family val="0"/>
      </rPr>
      <t xml:space="preserve"> - А/16.8
</t>
    </r>
  </si>
  <si>
    <r>
      <rPr>
        <sz val="10"/>
        <color indexed="10"/>
        <rFont val="Arial Cyr"/>
        <family val="0"/>
      </rPr>
      <t>423</t>
    </r>
    <r>
      <rPr>
        <sz val="10"/>
        <rFont val="Arial Cyr"/>
        <family val="0"/>
      </rPr>
      <t xml:space="preserve"> + </t>
    </r>
    <r>
      <rPr>
        <sz val="10"/>
        <color indexed="10"/>
        <rFont val="Arial Cyr"/>
        <family val="0"/>
      </rPr>
      <t>426</t>
    </r>
    <r>
      <rPr>
        <sz val="10"/>
        <rFont val="Arial Cyr"/>
        <family val="0"/>
      </rPr>
      <t xml:space="preserve"> + 47603 + 47605 + 47608 + 47609 + 47610 + 47611 +</t>
    </r>
    <r>
      <rPr>
        <sz val="10"/>
        <color indexed="10"/>
        <rFont val="Arial Cyr"/>
        <family val="0"/>
      </rPr>
      <t xml:space="preserve"> А/13.1</t>
    </r>
    <r>
      <rPr>
        <sz val="10"/>
        <rFont val="Arial Cyr"/>
        <family val="0"/>
      </rPr>
      <t xml:space="preserve"> - А/16.8.1 + А/13.2.2
</t>
    </r>
  </si>
  <si>
    <r>
      <t>(30222 - 30221) &lt;4&gt; + (30232 - 30233) &lt;4&gt; + 303 &lt;4&gt; + 30603 + 30604 + 40312 + (40907 - 40908) &lt;4&gt; +</t>
    </r>
    <r>
      <rPr>
        <sz val="10"/>
        <rFont val="Arial Cyr"/>
        <family val="0"/>
      </rPr>
      <t xml:space="preserve"> 47403 + 47405 + 47407 + 47412 + 47414 + 47416 + 47419 + </t>
    </r>
    <r>
      <rPr>
        <sz val="10"/>
        <color indexed="10"/>
        <rFont val="Arial Cyr"/>
        <family val="0"/>
      </rPr>
      <t>47422</t>
    </r>
    <r>
      <rPr>
        <sz val="10"/>
        <rFont val="Arial Cyr"/>
        <family val="0"/>
      </rPr>
      <t xml:space="preserve"> + (47424 - 47421) &lt;4&gt; + 47448 - 47467 + 47449 - 47465 + </t>
    </r>
    <r>
      <rPr>
        <sz val="10"/>
        <color indexed="10"/>
        <rFont val="Arial Cyr"/>
        <family val="0"/>
      </rPr>
      <t>47466</t>
    </r>
    <r>
      <rPr>
        <sz val="10"/>
        <rFont val="Arial Cyr"/>
        <family val="0"/>
      </rPr>
      <t xml:space="preserve"> + 47457 - 47463 + 47458 - 47464 + </t>
    </r>
    <r>
      <rPr>
        <sz val="10"/>
        <color indexed="10"/>
        <rFont val="Arial Cyr"/>
        <family val="0"/>
      </rPr>
      <t>475 (П</t>
    </r>
    <r>
      <rPr>
        <sz val="10"/>
        <rFont val="Arial Cyr"/>
        <family val="0"/>
      </rPr>
      <t xml:space="preserve"> - А)</t>
    </r>
    <r>
      <rPr>
        <sz val="10"/>
        <rFont val="Arial Cyr"/>
        <family val="0"/>
      </rPr>
      <t xml:space="preserve"> + 52803 - 52804 + </t>
    </r>
    <r>
      <rPr>
        <sz val="10"/>
        <color indexed="10"/>
        <rFont val="Arial Cyr"/>
        <family val="0"/>
      </rPr>
      <t>603 (П) (кроме 60324, 60352)</t>
    </r>
    <r>
      <rPr>
        <sz val="10"/>
        <rFont val="Arial Cyr"/>
        <family val="0"/>
      </rPr>
      <t xml:space="preserve"> + 60806 + 61501 + А102/16 - </t>
    </r>
    <r>
      <rPr>
        <sz val="10"/>
        <color indexed="10"/>
        <rFont val="Arial Cyr"/>
        <family val="0"/>
      </rPr>
      <t>А60301/19</t>
    </r>
    <r>
      <rPr>
        <sz val="10"/>
        <rFont val="Arial Cyr"/>
        <family val="0"/>
      </rPr>
      <t xml:space="preserve"> - А/5.4</t>
    </r>
  </si>
  <si>
    <r>
      <t>20321 + 30126 - 30128 + 30129 + 30607 - 30608 + 30609 + 32115 - 32116 + 32117 + 32311 - 32312 + 32313 + 32403 - 32407 + 32408 + 45615 - 45616 + 45617 - 45713 + 45714 + 45715 +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45818</t>
    </r>
    <r>
      <rPr>
        <sz val="10"/>
        <rFont val="Arial Cyr"/>
        <family val="0"/>
      </rPr>
      <t xml:space="preserve"> - 45820 + 45821 + 47308 - 47312 + 47313 + </t>
    </r>
    <r>
      <rPr>
        <sz val="10"/>
        <color indexed="10"/>
        <rFont val="Arial Cyr"/>
        <family val="0"/>
      </rPr>
      <t>47425</t>
    </r>
    <r>
      <rPr>
        <sz val="10"/>
        <rFont val="Arial Cyr"/>
        <family val="0"/>
      </rPr>
      <t xml:space="preserve"> - 47465 + 47466 + </t>
    </r>
    <r>
      <rPr>
        <sz val="10"/>
        <color indexed="10"/>
        <rFont val="Arial Cyr"/>
        <family val="0"/>
      </rPr>
      <t>60324</t>
    </r>
    <r>
      <rPr>
        <sz val="10"/>
        <rFont val="Arial Cyr"/>
        <family val="0"/>
      </rPr>
      <t xml:space="preserve"> - 60351 + 60352 + А50427/22 - А20321/3.1 - А30126/3.1 - А/3.5 - А/5.2 - А/5.5 - </t>
    </r>
    <r>
      <rPr>
        <sz val="10"/>
        <color indexed="10"/>
        <rFont val="Arial Cyr"/>
        <family val="0"/>
      </rPr>
      <t>А/9.2</t>
    </r>
    <r>
      <rPr>
        <sz val="10"/>
        <rFont val="Arial Cyr"/>
        <family val="0"/>
      </rPr>
      <t xml:space="preserve"> - А/9.3</t>
    </r>
  </si>
  <si>
    <t>Итог</t>
  </si>
  <si>
    <t>П</t>
  </si>
  <si>
    <t>А/5.1</t>
  </si>
  <si>
    <t>А/5.3</t>
  </si>
  <si>
    <t>А/5.5</t>
  </si>
  <si>
    <t>А/5.5.1</t>
  </si>
  <si>
    <t>А474/5.9</t>
  </si>
  <si>
    <t>А474/5.11</t>
  </si>
  <si>
    <t>А/3.2</t>
  </si>
  <si>
    <t>А/5.2</t>
  </si>
  <si>
    <t>А/5.2.1</t>
  </si>
  <si>
    <t>А/5.4</t>
  </si>
  <si>
    <t>А/5.6</t>
  </si>
  <si>
    <t>А/5.7</t>
  </si>
  <si>
    <t>А/5.8</t>
  </si>
  <si>
    <t>А474/5.13</t>
  </si>
  <si>
    <t>А474/5.14</t>
  </si>
  <si>
    <t>А/13.3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</si>
</sst>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dd/mm/yy;@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39" fillId="8" borderId="10" xfId="0" applyNumberFormat="1" applyFont="1" applyFill="1" applyBorder="1" applyAlignment="1">
      <alignment horizontal="center" vertical="center" wrapText="1"/>
    </xf>
    <xf numFmtId="1" fontId="0" fillId="8" borderId="10" xfId="0" applyNumberForma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4" fontId="0" fillId="8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8" borderId="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selection activeCell="Y8" sqref="Y8"/>
    </sheetView>
  </sheetViews>
  <sheetFormatPr defaultColWidth="9.00390625" defaultRowHeight="12.75"/>
  <cols>
    <col min="1" max="1" width="6.625" style="7" customWidth="1"/>
    <col min="2" max="2" width="28.625" style="1" customWidth="1"/>
    <col min="3" max="3" width="38.375" style="1" hidden="1" customWidth="1"/>
    <col min="4" max="4" width="49.875" style="1" customWidth="1"/>
    <col min="5" max="6" width="27.375" style="1" hidden="1" customWidth="1"/>
    <col min="7" max="16" width="21.875" style="1" hidden="1" customWidth="1"/>
    <col min="17" max="17" width="21.875" style="1" customWidth="1"/>
    <col min="18" max="18" width="21.875" style="1" hidden="1" customWidth="1"/>
    <col min="19" max="19" width="62.25390625" style="1" hidden="1" customWidth="1"/>
    <col min="20" max="20" width="31.75390625" style="1" hidden="1" customWidth="1"/>
    <col min="21" max="16384" width="9.125" style="1" customWidth="1"/>
  </cols>
  <sheetData>
    <row r="1" spans="1:18" ht="25.5">
      <c r="A1" s="10" t="s">
        <v>97</v>
      </c>
      <c r="B1" s="6" t="s">
        <v>21</v>
      </c>
      <c r="C1" s="3"/>
      <c r="D1" s="3" t="s">
        <v>121</v>
      </c>
      <c r="E1" s="4">
        <v>43497</v>
      </c>
      <c r="F1" s="4">
        <v>43525</v>
      </c>
      <c r="G1" s="4">
        <v>43556</v>
      </c>
      <c r="H1" s="4">
        <v>43586</v>
      </c>
      <c r="I1" s="4">
        <v>43617</v>
      </c>
      <c r="J1" s="4">
        <v>43647</v>
      </c>
      <c r="K1" s="4">
        <v>43678</v>
      </c>
      <c r="L1" s="4">
        <v>43709</v>
      </c>
      <c r="M1" s="4">
        <v>43739</v>
      </c>
      <c r="N1" s="4">
        <v>43770</v>
      </c>
      <c r="O1" s="4">
        <v>43800</v>
      </c>
      <c r="P1" s="4">
        <v>43831</v>
      </c>
      <c r="Q1" s="4">
        <v>43862</v>
      </c>
      <c r="R1" s="15" t="s">
        <v>122</v>
      </c>
    </row>
    <row r="2" spans="1:18" ht="33.75" customHeight="1">
      <c r="A2" s="8"/>
      <c r="B2" s="3">
        <v>1</v>
      </c>
      <c r="C2" s="3" t="s">
        <v>112</v>
      </c>
      <c r="D2" s="3" t="s">
        <v>113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6"/>
    </row>
    <row r="3" spans="1:18" ht="12.75">
      <c r="A3" s="8">
        <v>1</v>
      </c>
      <c r="B3" s="3" t="s">
        <v>4</v>
      </c>
      <c r="C3" s="3" t="s">
        <v>5</v>
      </c>
      <c r="D3" s="3" t="s">
        <v>5</v>
      </c>
      <c r="E3" s="2">
        <v>11461</v>
      </c>
      <c r="F3" s="2">
        <v>16561</v>
      </c>
      <c r="G3" s="2">
        <v>11057</v>
      </c>
      <c r="H3" s="2">
        <v>12499</v>
      </c>
      <c r="I3" s="2">
        <v>22704</v>
      </c>
      <c r="J3" s="2">
        <v>19489</v>
      </c>
      <c r="K3" s="2">
        <v>14420</v>
      </c>
      <c r="L3" s="2">
        <v>14233</v>
      </c>
      <c r="M3" s="2">
        <v>336639</v>
      </c>
      <c r="N3" s="2">
        <f>18450</f>
        <v>18450</v>
      </c>
      <c r="O3" s="2">
        <f>10693</f>
        <v>10693</v>
      </c>
      <c r="P3" s="2">
        <v>18723</v>
      </c>
      <c r="Q3" s="2"/>
      <c r="R3" s="17"/>
    </row>
    <row r="4" spans="1:18" ht="51">
      <c r="A4" s="8">
        <v>2</v>
      </c>
      <c r="B4" s="3" t="s">
        <v>6</v>
      </c>
      <c r="C4" s="3" t="s">
        <v>22</v>
      </c>
      <c r="D4" s="3" t="s">
        <v>22</v>
      </c>
      <c r="E4" s="2">
        <f>102224+21400+6827</f>
        <v>130451</v>
      </c>
      <c r="F4" s="2">
        <f>257270+16099+36563</f>
        <v>309932</v>
      </c>
      <c r="G4" s="2">
        <f>113831+16422+12648</f>
        <v>142901</v>
      </c>
      <c r="H4" s="2">
        <f>170357+38435+2296</f>
        <v>211088</v>
      </c>
      <c r="I4" s="2">
        <f>203740+51731</f>
        <v>255471</v>
      </c>
      <c r="J4" s="2">
        <f>184400+47641</f>
        <v>232041</v>
      </c>
      <c r="K4" s="2">
        <f>158317+41161</f>
        <v>199478</v>
      </c>
      <c r="L4" s="2">
        <f>170721+46946</f>
        <v>217667</v>
      </c>
      <c r="M4" s="2">
        <f>167978+42231</f>
        <v>210209</v>
      </c>
      <c r="N4" s="2">
        <f>140475+36117</f>
        <v>176592</v>
      </c>
      <c r="O4" s="2">
        <f>140706+38745</f>
        <v>179451</v>
      </c>
      <c r="P4" s="2">
        <f>114651+28891</f>
        <v>143542</v>
      </c>
      <c r="Q4" s="2"/>
      <c r="R4" s="17"/>
    </row>
    <row r="5" spans="1:19" ht="12.75">
      <c r="A5" s="9" t="s">
        <v>87</v>
      </c>
      <c r="B5" s="3" t="s">
        <v>7</v>
      </c>
      <c r="C5" s="3" t="s">
        <v>8</v>
      </c>
      <c r="D5" s="3" t="s">
        <v>8</v>
      </c>
      <c r="E5" s="2">
        <f>21400+6827</f>
        <v>28227</v>
      </c>
      <c r="F5" s="2">
        <f>16069+36563</f>
        <v>52632</v>
      </c>
      <c r="G5" s="2">
        <f>16422+12648</f>
        <v>29070</v>
      </c>
      <c r="H5" s="2">
        <f>38435+2296</f>
        <v>40731</v>
      </c>
      <c r="I5" s="2">
        <v>51731</v>
      </c>
      <c r="J5" s="2">
        <v>47641</v>
      </c>
      <c r="K5" s="2">
        <f>41161</f>
        <v>41161</v>
      </c>
      <c r="L5" s="2">
        <f>46946</f>
        <v>46946</v>
      </c>
      <c r="M5" s="2">
        <v>42231</v>
      </c>
      <c r="N5" s="2">
        <v>36117</v>
      </c>
      <c r="O5" s="2">
        <v>38745</v>
      </c>
      <c r="P5" s="2">
        <v>28891</v>
      </c>
      <c r="Q5" s="2"/>
      <c r="R5" s="17"/>
      <c r="S5" s="1" t="s">
        <v>111</v>
      </c>
    </row>
    <row r="6" spans="1:20" ht="66.75" customHeight="1">
      <c r="A6" s="8">
        <v>3</v>
      </c>
      <c r="B6" s="3" t="s">
        <v>9</v>
      </c>
      <c r="C6" s="3" t="s">
        <v>23</v>
      </c>
      <c r="D6" s="13" t="s">
        <v>10</v>
      </c>
      <c r="E6" s="2">
        <f>2248678+4158+2768</f>
        <v>2255604</v>
      </c>
      <c r="F6" s="2">
        <f>1252783+2042+3446</f>
        <v>1258271</v>
      </c>
      <c r="G6" s="2">
        <f>121740+2039+3446</f>
        <v>127225</v>
      </c>
      <c r="H6" s="2">
        <f>131090+2311+3046</f>
        <v>136447</v>
      </c>
      <c r="I6" s="2">
        <f>130892+2437+3046</f>
        <v>136375</v>
      </c>
      <c r="J6" s="2">
        <f>136852+2492+3046</f>
        <v>142390</v>
      </c>
      <c r="K6" s="2">
        <f>136498+2371+1187</f>
        <v>140056</v>
      </c>
      <c r="L6" s="2">
        <f>289642+0+2694+1865</f>
        <v>294201</v>
      </c>
      <c r="M6" s="2">
        <f>276611+2823+1865</f>
        <v>281299</v>
      </c>
      <c r="N6" s="2">
        <f>281767+2666</f>
        <v>284433</v>
      </c>
      <c r="O6" s="2">
        <f>276391+2599</f>
        <v>278990</v>
      </c>
      <c r="P6" s="2">
        <f>272044+2532</f>
        <v>274576</v>
      </c>
      <c r="Q6" s="2"/>
      <c r="R6" s="17"/>
      <c r="S6" s="1" t="s">
        <v>102</v>
      </c>
      <c r="T6" s="1" t="s">
        <v>107</v>
      </c>
    </row>
    <row r="7" spans="1:20" ht="52.5" customHeight="1">
      <c r="A7" s="8">
        <v>4</v>
      </c>
      <c r="B7" s="3" t="s">
        <v>11</v>
      </c>
      <c r="C7" s="3" t="s">
        <v>24</v>
      </c>
      <c r="D7" s="13" t="s">
        <v>124</v>
      </c>
      <c r="E7" s="2">
        <f>(23786-1992)+(503-294)</f>
        <v>22003</v>
      </c>
      <c r="F7" s="2">
        <f>(23198-2230)+(503-290)</f>
        <v>21181</v>
      </c>
      <c r="G7" s="2">
        <f>(23355-2034)+(503-290)</f>
        <v>21534</v>
      </c>
      <c r="H7" s="2">
        <f>(23356+69+97-2088)+(503-271)</f>
        <v>21666</v>
      </c>
      <c r="I7" s="2">
        <f>(23711-1742)+(503-239)</f>
        <v>22233</v>
      </c>
      <c r="J7" s="2">
        <f>(23997-1129)+(503-198)</f>
        <v>23173</v>
      </c>
      <c r="K7" s="2">
        <f>(24065-1032)+(503-231)</f>
        <v>23305</v>
      </c>
      <c r="L7" s="2">
        <f>(23190+71+418-614)+(503-230)</f>
        <v>23338</v>
      </c>
      <c r="M7" s="2">
        <f>(23330+72+455-514)+(503-224)</f>
        <v>23622</v>
      </c>
      <c r="N7" s="2">
        <f>(23365+69+832)-0+(503-219)</f>
        <v>24550</v>
      </c>
      <c r="O7" s="2">
        <f>(23496+70+842)+(503-215)</f>
        <v>24696</v>
      </c>
      <c r="P7" s="2">
        <f>(23635+70+1333)+503-195</f>
        <v>25346</v>
      </c>
      <c r="Q7" s="2"/>
      <c r="R7" s="17"/>
      <c r="S7" s="1" t="s">
        <v>103</v>
      </c>
      <c r="T7" s="1" t="s">
        <v>108</v>
      </c>
    </row>
    <row r="8" spans="1:20" ht="251.25" customHeight="1">
      <c r="A8" s="8">
        <v>5</v>
      </c>
      <c r="B8" s="3" t="s">
        <v>25</v>
      </c>
      <c r="C8" s="3" t="s">
        <v>26</v>
      </c>
      <c r="D8" s="23" t="s">
        <v>129</v>
      </c>
      <c r="E8" s="2">
        <f>968000+10265000+(200000-1000)+(374305-18750)+4681+2212+1965</f>
        <v>11796413</v>
      </c>
      <c r="F8" s="2">
        <f>930000+9260000+(34420+200000-344-1000)+(454305-25250)+4554+1993+1945</f>
        <v>10860623</v>
      </c>
      <c r="G8" s="2">
        <f>15221000+(252481-1522)+(478175-25450)+(5444-0)+6+11086+1891-6</f>
        <v>15943105</v>
      </c>
      <c r="H8" s="2">
        <f>4079000+10000000+(52220+200000+261-522-1000)-261+(424000+29000+22985-25250)-22985+(275+5237)+7+21+1877-7</f>
        <v>14764858</v>
      </c>
      <c r="I8" s="2">
        <f>13083000+(252481-1522)-261+(396765-21650)-19765+8120+2645+4140+1883-2645</f>
        <v>13703191</v>
      </c>
      <c r="J8" s="2">
        <f>12542000+(245225-1450)+(421800-31760)+(8533-0)+3175+8627+1868-3175</f>
        <v>13194843</v>
      </c>
      <c r="K8" s="2">
        <f>12669000+(245225-1450)+(117300+274500+29791-31750)+(284+7928)+3432+31+1836-3432</f>
        <v>13312695</v>
      </c>
      <c r="L8" s="2">
        <f>11372000+(38000+200000+190-380-1000)+(117300+274500+36231-38190)+(175+190+7357)+(36+0)+1908+36</f>
        <v>12008353</v>
      </c>
      <c r="M8" s="2">
        <f>(1627000+11430000)+(23330+72+455-380-1000)+(110300+274500+35916-37840)+(150+190+6029)+45+11435+1828+50-53-45</f>
        <v>13481982</v>
      </c>
      <c r="N8" s="2">
        <f>(975000+11370000)+(311000+200000+155-310-1000)+(179800+264000+32046-53765)+(150+13+5756)+6+9+2039+1846+15</f>
        <v>13286760</v>
      </c>
      <c r="O8" s="2">
        <f>(16484000+(31000+200000+155-310-1000))+(189800+259500+32068-53815)+(100+1655+5544)+(7+12+1)+7830+1834-20</f>
        <v>17158361</v>
      </c>
      <c r="P8" s="2">
        <f>15773000+(200000-1000)+(18000+127000+259500+31802-43575)+(75+1606+4956)+(7+20+5)+2549</f>
        <v>16373945</v>
      </c>
      <c r="Q8" s="2"/>
      <c r="R8" s="17"/>
      <c r="S8" s="1" t="s">
        <v>104</v>
      </c>
      <c r="T8" s="1" t="s">
        <v>109</v>
      </c>
    </row>
    <row r="9" spans="1:19" ht="99" customHeight="1">
      <c r="A9" s="8">
        <v>6</v>
      </c>
      <c r="B9" s="3" t="s">
        <v>27</v>
      </c>
      <c r="C9" s="3" t="s">
        <v>28</v>
      </c>
      <c r="D9" s="13" t="s">
        <v>125</v>
      </c>
      <c r="E9" s="2">
        <f>(8301-8301)</f>
        <v>0</v>
      </c>
      <c r="F9" s="2">
        <v>0</v>
      </c>
      <c r="G9" s="2">
        <f aca="true" t="shared" si="0" ref="G9:L9">(8301-8301)</f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>(8301-8301)</f>
        <v>0</v>
      </c>
      <c r="N9" s="2">
        <v>0</v>
      </c>
      <c r="O9" s="2">
        <f>(8301-8301)</f>
        <v>0</v>
      </c>
      <c r="P9" s="2">
        <v>0</v>
      </c>
      <c r="Q9" s="2"/>
      <c r="R9" s="17"/>
      <c r="S9" s="1" t="s">
        <v>105</v>
      </c>
    </row>
    <row r="10" spans="1:20" ht="68.25" customHeight="1">
      <c r="A10" s="8">
        <v>7</v>
      </c>
      <c r="B10" s="3" t="s">
        <v>29</v>
      </c>
      <c r="C10" s="3" t="s">
        <v>30</v>
      </c>
      <c r="D10" s="13" t="s">
        <v>123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/>
      <c r="R10" s="17"/>
      <c r="S10" s="1" t="s">
        <v>106</v>
      </c>
      <c r="T10" s="1" t="s">
        <v>110</v>
      </c>
    </row>
    <row r="11" spans="1:18" ht="38.25">
      <c r="A11" s="8">
        <v>8</v>
      </c>
      <c r="B11" s="3" t="s">
        <v>12</v>
      </c>
      <c r="C11" s="3" t="s">
        <v>31</v>
      </c>
      <c r="D11" s="19" t="s">
        <v>126</v>
      </c>
      <c r="E11" s="2">
        <f>(10000-0)+0</f>
        <v>10000</v>
      </c>
      <c r="F11" s="2">
        <v>10000</v>
      </c>
      <c r="G11" s="2">
        <f>(10000-0)+0</f>
        <v>10000</v>
      </c>
      <c r="H11" s="2">
        <f>(10000-0)+0</f>
        <v>10000</v>
      </c>
      <c r="I11" s="2">
        <f>(10000-0)+0</f>
        <v>10000</v>
      </c>
      <c r="J11" s="2">
        <f>(10000-0)+0</f>
        <v>10000</v>
      </c>
      <c r="K11" s="2">
        <f>(10000-0)+0</f>
        <v>10000</v>
      </c>
      <c r="L11" s="2">
        <v>10000</v>
      </c>
      <c r="M11" s="2">
        <v>10000</v>
      </c>
      <c r="N11" s="2">
        <v>10000</v>
      </c>
      <c r="O11" s="2">
        <f>10000</f>
        <v>10000</v>
      </c>
      <c r="P11" s="2">
        <v>10000</v>
      </c>
      <c r="Q11" s="2"/>
      <c r="R11" s="17"/>
    </row>
    <row r="12" spans="1:18" ht="25.5">
      <c r="A12" s="8">
        <v>9</v>
      </c>
      <c r="B12" s="3" t="s">
        <v>13</v>
      </c>
      <c r="C12" s="3" t="s">
        <v>32</v>
      </c>
      <c r="D12" s="3" t="s">
        <v>32</v>
      </c>
      <c r="E12" s="2">
        <v>1640</v>
      </c>
      <c r="F12" s="2">
        <v>1640</v>
      </c>
      <c r="G12" s="2">
        <v>1640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229</v>
      </c>
      <c r="N12" s="2">
        <v>0</v>
      </c>
      <c r="O12" s="2">
        <v>317</v>
      </c>
      <c r="P12" s="2">
        <v>0</v>
      </c>
      <c r="Q12" s="2"/>
      <c r="R12" s="17"/>
    </row>
    <row r="13" spans="1:18" ht="12.75">
      <c r="A13" s="8">
        <v>10</v>
      </c>
      <c r="B13" s="3" t="s">
        <v>14</v>
      </c>
      <c r="C13" s="3" t="s">
        <v>18</v>
      </c>
      <c r="D13" s="3" t="s">
        <v>18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/>
      <c r="R13" s="17"/>
    </row>
    <row r="14" spans="1:18" ht="38.25">
      <c r="A14" s="8">
        <v>11</v>
      </c>
      <c r="B14" s="3" t="s">
        <v>15</v>
      </c>
      <c r="C14" s="3" t="s">
        <v>19</v>
      </c>
      <c r="D14" s="20" t="s">
        <v>130</v>
      </c>
      <c r="E14" s="2">
        <f>(21419-10797)+(12763-956)+97</f>
        <v>22526</v>
      </c>
      <c r="F14" s="2">
        <f>(21419-11043)+(14228-1018)+5+2352</f>
        <v>25943</v>
      </c>
      <c r="G14" s="2">
        <f>(21426-11289)+(14668-1095)+1976</f>
        <v>25686</v>
      </c>
      <c r="H14" s="2">
        <f>(24954+1067-11590)+(15339-1171)+715+1942</f>
        <v>31256</v>
      </c>
      <c r="I14" s="2">
        <f>(26021-11962)+(15339-1259)+2631</f>
        <v>30770</v>
      </c>
      <c r="J14" s="2">
        <f>(26021-12334)+(16559-1344)+2607</f>
        <v>31509</v>
      </c>
      <c r="K14" s="2">
        <f>(24954-1067-12706)+(16559-1432)+715+1892</f>
        <v>28915</v>
      </c>
      <c r="L14" s="2">
        <f>(24925+1067-13049)+(16562+0-1520)+(0+283+1881)</f>
        <v>30149</v>
      </c>
      <c r="M14" s="2">
        <f>(24925+1067-13421)+(16562-1603)+(5+1982)</f>
        <v>29517</v>
      </c>
      <c r="N14" s="2">
        <f>(24925+1067-13794)+(16588-1689)+(5+1541)</f>
        <v>28643</v>
      </c>
      <c r="O14" s="2">
        <f>(24925+1067-14166)+(16588-1772)+5+1540</f>
        <v>28187</v>
      </c>
      <c r="P14" s="2">
        <f>(24819+1067-14433)+(16942-1758)+854</f>
        <v>27491</v>
      </c>
      <c r="Q14" s="2"/>
      <c r="R14" s="17"/>
    </row>
    <row r="15" spans="1:18" ht="25.5">
      <c r="A15" s="8">
        <v>12</v>
      </c>
      <c r="B15" s="3" t="s">
        <v>16</v>
      </c>
      <c r="C15" s="3" t="s">
        <v>20</v>
      </c>
      <c r="D15" s="3" t="s">
        <v>20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/>
      <c r="R15" s="17"/>
    </row>
    <row r="16" spans="1:18" ht="140.25">
      <c r="A16" s="8">
        <v>13</v>
      </c>
      <c r="B16" s="3" t="s">
        <v>17</v>
      </c>
      <c r="C16" s="3" t="s">
        <v>33</v>
      </c>
      <c r="D16" s="19" t="s">
        <v>131</v>
      </c>
      <c r="E16" s="2">
        <f>1965+7+1640+9692+782-1640-1965-3517</f>
        <v>6964</v>
      </c>
      <c r="F16" s="2">
        <f>1945+6+1647+9181+584</f>
        <v>13363</v>
      </c>
      <c r="G16" s="2">
        <f>1891+4+1642+120+9903+424-1640-1891-3853+6</f>
        <v>6606</v>
      </c>
      <c r="H16" s="2">
        <f>1877+9559+172-1877-1228+7</f>
        <v>8510</v>
      </c>
      <c r="I16" s="2">
        <f>1883+16+8406+138-1883-1092+2645</f>
        <v>10113</v>
      </c>
      <c r="J16" s="2">
        <f>1868+2+110+8907-1868-917+3175</f>
        <v>11277</v>
      </c>
      <c r="K16" s="2">
        <f>1836+26+62+7946+22-1836-765+3432</f>
        <v>10723</v>
      </c>
      <c r="L16" s="2">
        <f>1908+0+0+(8+0+0+8107+0+30)-1908-1045+36</f>
        <v>7136</v>
      </c>
      <c r="M16" s="2">
        <f>1828+15+(229+8600+20)-229-1828-1046+45</f>
        <v>7634</v>
      </c>
      <c r="N16" s="2">
        <f>1846+0+7+7827+1</f>
        <v>9681</v>
      </c>
      <c r="O16" s="2">
        <f>1834+1+317+7+6946+1-317-1834-875+20</f>
        <v>6100</v>
      </c>
      <c r="P16" s="2">
        <f>1803+2+3+7734-1803-954+32</f>
        <v>6817</v>
      </c>
      <c r="Q16" s="2"/>
      <c r="R16" s="17"/>
    </row>
    <row r="17" spans="1:19" ht="38.25">
      <c r="A17" s="8">
        <v>14</v>
      </c>
      <c r="B17" s="3" t="s">
        <v>34</v>
      </c>
      <c r="C17" s="3" t="s">
        <v>35</v>
      </c>
      <c r="D17" s="3" t="s">
        <v>35</v>
      </c>
      <c r="E17" s="5">
        <f aca="true" t="shared" si="1" ref="E17:J17">E3+E4+E6+E7+E8+E9+E10+E11+E12+E13+E14+E15+E16</f>
        <v>14257062</v>
      </c>
      <c r="F17" s="5">
        <f t="shared" si="1"/>
        <v>12517514</v>
      </c>
      <c r="G17" s="5">
        <f t="shared" si="1"/>
        <v>16289754</v>
      </c>
      <c r="H17" s="5">
        <f t="shared" si="1"/>
        <v>15196324</v>
      </c>
      <c r="I17" s="5">
        <f t="shared" si="1"/>
        <v>14190857</v>
      </c>
      <c r="J17" s="5">
        <f t="shared" si="1"/>
        <v>13664722</v>
      </c>
      <c r="K17" s="5">
        <f aca="true" t="shared" si="2" ref="K17:P17">K3+K4+K6+K7+K8+K9+K10+K11+K12+K13+K14+K15+K16</f>
        <v>13739592</v>
      </c>
      <c r="L17" s="5">
        <f t="shared" si="2"/>
        <v>12605077</v>
      </c>
      <c r="M17" s="5">
        <f t="shared" si="2"/>
        <v>14381131</v>
      </c>
      <c r="N17" s="5">
        <f t="shared" si="2"/>
        <v>13839109</v>
      </c>
      <c r="O17" s="5">
        <f t="shared" si="2"/>
        <v>17696795</v>
      </c>
      <c r="P17" s="5">
        <f t="shared" si="2"/>
        <v>16880440</v>
      </c>
      <c r="Q17" s="5">
        <f>Q3+Q4+Q6+Q7+Q8+Q9+Q10+Q11+Q12+Q13+Q14+Q15+Q16</f>
        <v>0</v>
      </c>
      <c r="R17" s="18"/>
      <c r="S17" s="14">
        <f>(E17+F17+G17+H17+I17+J17)/6</f>
        <v>14352705.5</v>
      </c>
    </row>
    <row r="18" spans="1:18" ht="12.75">
      <c r="A18" s="8"/>
      <c r="B18" s="6" t="s">
        <v>36</v>
      </c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7"/>
    </row>
    <row r="19" spans="1:18" ht="38.25">
      <c r="A19" s="8">
        <v>15</v>
      </c>
      <c r="B19" s="3" t="s">
        <v>37</v>
      </c>
      <c r="C19" s="3" t="s">
        <v>0</v>
      </c>
      <c r="D19" s="3" t="s">
        <v>127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17"/>
    </row>
    <row r="20" spans="1:18" ht="38.25">
      <c r="A20" s="8">
        <v>16</v>
      </c>
      <c r="B20" s="3" t="s">
        <v>38</v>
      </c>
      <c r="C20" s="3" t="s">
        <v>39</v>
      </c>
      <c r="D20" s="3" t="s">
        <v>39</v>
      </c>
      <c r="E20" s="5">
        <f aca="true" t="shared" si="3" ref="E20:J20">E21+E22</f>
        <v>12822339</v>
      </c>
      <c r="F20" s="5">
        <f t="shared" si="3"/>
        <v>9653008</v>
      </c>
      <c r="G20" s="5">
        <f t="shared" si="3"/>
        <v>14802080</v>
      </c>
      <c r="H20" s="5">
        <f t="shared" si="3"/>
        <v>13734740</v>
      </c>
      <c r="I20" s="5">
        <f t="shared" si="3"/>
        <v>12691628</v>
      </c>
      <c r="J20" s="5">
        <f t="shared" si="3"/>
        <v>12125810</v>
      </c>
      <c r="K20" s="5">
        <f aca="true" t="shared" si="4" ref="K20:P20">K21+K22</f>
        <v>12188158</v>
      </c>
      <c r="L20" s="5">
        <f t="shared" si="4"/>
        <v>11063112</v>
      </c>
      <c r="M20" s="5">
        <f t="shared" si="4"/>
        <v>12708716</v>
      </c>
      <c r="N20" s="5">
        <f t="shared" si="4"/>
        <v>12007392</v>
      </c>
      <c r="O20" s="5">
        <f t="shared" si="4"/>
        <v>15913171</v>
      </c>
      <c r="P20" s="5">
        <f t="shared" si="4"/>
        <v>15317030</v>
      </c>
      <c r="Q20" s="5">
        <f>Q21+Q22</f>
        <v>0</v>
      </c>
      <c r="R20" s="18"/>
    </row>
    <row r="21" spans="1:18" ht="89.25">
      <c r="A21" s="9" t="s">
        <v>88</v>
      </c>
      <c r="B21" s="3" t="s">
        <v>40</v>
      </c>
      <c r="C21" s="3" t="s">
        <v>41</v>
      </c>
      <c r="D21" s="19" t="s">
        <v>132</v>
      </c>
      <c r="E21" s="2">
        <f>4609+154057+8900000+3347-2608</f>
        <v>9059405</v>
      </c>
      <c r="F21" s="2">
        <f>7900000+3969-3037+1</f>
        <v>7900933</v>
      </c>
      <c r="G21" s="2">
        <f>1084+1602649+7900000+8740-2964</f>
        <v>9509509</v>
      </c>
      <c r="H21" s="2">
        <f>337+1575048+7900000+10774-5088</f>
        <v>9481071</v>
      </c>
      <c r="I21" s="2">
        <f>119+682583+7900000+9826-6323+26</f>
        <v>8586231</v>
      </c>
      <c r="J21" s="2">
        <f>9324+115412+6900000+6313-4283+10</f>
        <v>7026776</v>
      </c>
      <c r="K21" s="2">
        <f>1025+116310+6900000+8009-7525+10</f>
        <v>7017829</v>
      </c>
      <c r="L21" s="2">
        <f>(1068+249126)+(1000000+5900000)+7663-7380+27</f>
        <v>7150504</v>
      </c>
      <c r="M21" s="2">
        <f>0+0+(18833+203600)+(1000000+7900000)+4695-4550+227</f>
        <v>9122805</v>
      </c>
      <c r="N21" s="2">
        <f>(1032+253746)+(1000000+7900000)+5886+4590+227</f>
        <v>9165481</v>
      </c>
      <c r="O21" s="2">
        <f>3397+11820000+4536-4341+226</f>
        <v>11823818</v>
      </c>
      <c r="P21" s="2">
        <f>(3342+180161)+11820000+3791-3567</f>
        <v>12003727</v>
      </c>
      <c r="Q21" s="2"/>
      <c r="R21" s="17"/>
    </row>
    <row r="22" spans="1:18" ht="135" customHeight="1">
      <c r="A22" s="9" t="s">
        <v>89</v>
      </c>
      <c r="B22" s="3" t="s">
        <v>42</v>
      </c>
      <c r="C22" s="3" t="s">
        <v>43</v>
      </c>
      <c r="D22" s="24" t="s">
        <v>133</v>
      </c>
      <c r="E22" s="2">
        <f>60+2296278+638+609814+937+520636+59+21+2195+124627+170000+35057+4+2608</f>
        <v>3762934</v>
      </c>
      <c r="F22" s="2">
        <f>61+293338+374+726476+937+1+394161+26+2173+124624+170000+36835+27+3+3+3037-1</f>
        <v>1752075</v>
      </c>
      <c r="G22" s="2">
        <f>60+1476387+342+605095+1364617+10+1507014+4150+124627+170000+37269+27+3+6+2964</f>
        <v>5292571</v>
      </c>
      <c r="H22" s="2">
        <f>58+1845423+72+730679+936+1018+1258149+2023+205077+170000+35116+27+3+5088</f>
        <v>4253669</v>
      </c>
      <c r="I22" s="2">
        <f>84+1530951+368+930797+935+1221255+3+1014+2030+205077+170000+36546+30+3+7+6323-26</f>
        <v>4105397</v>
      </c>
      <c r="J22" s="2">
        <f>65+3055779+516502+4+1014+1106220+205077+170000+40072+3+25+4283-10</f>
        <v>5099034</v>
      </c>
      <c r="K22" s="2">
        <f>66+3127813+68+576991+933+1053833+213+1014+189950+170000+41860+27+3+43+7525-10</f>
        <v>5170329</v>
      </c>
      <c r="L22" s="2">
        <f>0+84+1941558+(70+611840+933)+(0+985474+150+9008)+138456+170000+(47642+30)+3+7+7380-27</f>
        <v>3912608</v>
      </c>
      <c r="M22" s="2">
        <f>283+1768542+(8+519901+916)+(1+939752+144+1106)+132916+170000+(47960+30)+3+26+4550-227</f>
        <v>3585911</v>
      </c>
      <c r="N22" s="2">
        <f>282+1024120+(7+509149+916)+(1+942204+845+1168)+(2377+129240)+170000+(56707+30)+3+45+4590+227</f>
        <v>2841911</v>
      </c>
      <c r="O22" s="2">
        <f>282+1065317+6+499791+916+1+2157041+875+1168+141128+170000+53021+30+3-226</f>
        <v>4089353</v>
      </c>
      <c r="P22" s="2">
        <f>281+792378+6+367648+915+1+1779731+845+1168+141128+170000+55370+33+6+3567+226</f>
        <v>3313303</v>
      </c>
      <c r="Q22" s="2"/>
      <c r="R22" s="17"/>
    </row>
    <row r="23" spans="1:19" ht="63.75">
      <c r="A23" s="9" t="s">
        <v>90</v>
      </c>
      <c r="B23" s="3" t="s">
        <v>44</v>
      </c>
      <c r="C23" s="3" t="s">
        <v>45</v>
      </c>
      <c r="D23" s="20" t="s">
        <v>134</v>
      </c>
      <c r="E23" s="2">
        <f>35057+83</f>
        <v>35140</v>
      </c>
      <c r="F23" s="2">
        <f>36835+30+27</f>
        <v>36892</v>
      </c>
      <c r="G23" s="2">
        <f>37269+27+3+1507024</f>
        <v>1544323</v>
      </c>
      <c r="H23" s="2">
        <f>35116+27+3+1018</f>
        <v>36164</v>
      </c>
      <c r="I23" s="2">
        <f>36546+33+1017</f>
        <v>37596</v>
      </c>
      <c r="J23" s="2">
        <f>40072+3+1018</f>
        <v>41093</v>
      </c>
      <c r="K23" s="2">
        <f>41860+27+3+1227</f>
        <v>43117</v>
      </c>
      <c r="L23" s="2">
        <f>(47642+30)+3+9158</f>
        <v>56833</v>
      </c>
      <c r="M23" s="2">
        <f>(47960+30)+3+1251</f>
        <v>49244</v>
      </c>
      <c r="N23" s="2">
        <f>(56707+30)+3+2014</f>
        <v>58754</v>
      </c>
      <c r="O23" s="2">
        <f>53021+30+3+2044</f>
        <v>55098</v>
      </c>
      <c r="P23" s="2">
        <f>55370+33+6+2014</f>
        <v>57423</v>
      </c>
      <c r="Q23" s="2"/>
      <c r="R23" s="17"/>
      <c r="S23" s="1" t="s">
        <v>114</v>
      </c>
    </row>
    <row r="24" spans="1:19" ht="51">
      <c r="A24" s="8">
        <v>17</v>
      </c>
      <c r="B24" s="3" t="s">
        <v>1</v>
      </c>
      <c r="C24" s="3" t="s">
        <v>46</v>
      </c>
      <c r="D24" s="13" t="s">
        <v>46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/>
      <c r="R24" s="17"/>
      <c r="S24" s="1" t="s">
        <v>115</v>
      </c>
    </row>
    <row r="25" spans="1:19" ht="51">
      <c r="A25" s="9" t="s">
        <v>91</v>
      </c>
      <c r="B25" s="3" t="s">
        <v>44</v>
      </c>
      <c r="C25" s="3" t="s">
        <v>47</v>
      </c>
      <c r="D25" s="3" t="s">
        <v>47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/>
      <c r="R25" s="17"/>
      <c r="S25" s="1" t="s">
        <v>116</v>
      </c>
    </row>
    <row r="26" spans="1:19" ht="38.25">
      <c r="A26" s="8">
        <v>18</v>
      </c>
      <c r="B26" s="3" t="s">
        <v>48</v>
      </c>
      <c r="C26" s="3" t="s">
        <v>49</v>
      </c>
      <c r="D26" s="3" t="s">
        <v>49</v>
      </c>
      <c r="E26" s="5">
        <f aca="true" t="shared" si="5" ref="E26:J26">E27+E28</f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  <c r="J26" s="5">
        <f t="shared" si="5"/>
        <v>0</v>
      </c>
      <c r="K26" s="5">
        <f aca="true" t="shared" si="6" ref="K26:P26">K27+K28</f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  <c r="O26" s="5">
        <f t="shared" si="6"/>
        <v>0</v>
      </c>
      <c r="P26" s="5">
        <f t="shared" si="6"/>
        <v>0</v>
      </c>
      <c r="Q26" s="5">
        <f>Q27+Q28</f>
        <v>0</v>
      </c>
      <c r="R26" s="18"/>
      <c r="S26" s="1" t="s">
        <v>117</v>
      </c>
    </row>
    <row r="27" spans="1:19" ht="51">
      <c r="A27" s="9" t="s">
        <v>92</v>
      </c>
      <c r="B27" s="3" t="s">
        <v>50</v>
      </c>
      <c r="C27" s="3" t="s">
        <v>51</v>
      </c>
      <c r="D27" s="13" t="s">
        <v>51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/>
      <c r="R27" s="17"/>
      <c r="S27" s="1" t="s">
        <v>118</v>
      </c>
    </row>
    <row r="28" spans="1:20" ht="60.75" customHeight="1">
      <c r="A28" s="9" t="s">
        <v>93</v>
      </c>
      <c r="B28" s="3" t="s">
        <v>52</v>
      </c>
      <c r="C28" s="3" t="s">
        <v>53</v>
      </c>
      <c r="D28" s="13" t="s">
        <v>53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/>
      <c r="R28" s="17"/>
      <c r="S28" s="1" t="s">
        <v>119</v>
      </c>
      <c r="T28" s="1" t="s">
        <v>110</v>
      </c>
    </row>
    <row r="29" spans="1:19" ht="51">
      <c r="A29" s="8">
        <v>19</v>
      </c>
      <c r="B29" s="3" t="s">
        <v>54</v>
      </c>
      <c r="C29" s="3" t="s">
        <v>55</v>
      </c>
      <c r="D29" s="22" t="s">
        <v>55</v>
      </c>
      <c r="E29" s="2">
        <v>22</v>
      </c>
      <c r="F29" s="2">
        <v>19</v>
      </c>
      <c r="G29" s="2">
        <v>20</v>
      </c>
      <c r="H29" s="2">
        <v>21</v>
      </c>
      <c r="I29" s="2">
        <v>21</v>
      </c>
      <c r="J29" s="2">
        <v>19</v>
      </c>
      <c r="K29" s="2">
        <v>22</v>
      </c>
      <c r="L29" s="2">
        <v>20</v>
      </c>
      <c r="M29" s="2">
        <v>21</v>
      </c>
      <c r="N29" s="2">
        <v>21</v>
      </c>
      <c r="O29" s="2">
        <v>20</v>
      </c>
      <c r="P29" s="2">
        <v>21</v>
      </c>
      <c r="Q29" s="2"/>
      <c r="R29" s="17"/>
      <c r="S29" s="1" t="s">
        <v>120</v>
      </c>
    </row>
    <row r="30" spans="1:18" ht="25.5">
      <c r="A30" s="8">
        <v>20</v>
      </c>
      <c r="B30" s="3" t="s">
        <v>56</v>
      </c>
      <c r="C30" s="3">
        <v>61701</v>
      </c>
      <c r="D30" s="3">
        <v>61701</v>
      </c>
      <c r="E30" s="2">
        <v>2206</v>
      </c>
      <c r="F30" s="2">
        <v>2206</v>
      </c>
      <c r="G30" s="2">
        <v>2206</v>
      </c>
      <c r="H30" s="2">
        <v>2206</v>
      </c>
      <c r="I30" s="2">
        <v>7583</v>
      </c>
      <c r="J30" s="2">
        <v>7583</v>
      </c>
      <c r="K30" s="2">
        <v>7583</v>
      </c>
      <c r="L30" s="2">
        <v>9337</v>
      </c>
      <c r="M30" s="2">
        <v>9337</v>
      </c>
      <c r="N30" s="2">
        <v>11217</v>
      </c>
      <c r="O30" s="2">
        <v>11217</v>
      </c>
      <c r="P30" s="2">
        <v>11217</v>
      </c>
      <c r="Q30" s="2"/>
      <c r="R30" s="17"/>
    </row>
    <row r="31" spans="1:18" ht="105.75" customHeight="1">
      <c r="A31" s="8">
        <v>21</v>
      </c>
      <c r="B31" s="3" t="s">
        <v>2</v>
      </c>
      <c r="C31" s="3" t="s">
        <v>57</v>
      </c>
      <c r="D31" s="19" t="s">
        <v>135</v>
      </c>
      <c r="E31" s="2">
        <f>62+942+21908+286+2543+22+7780+4154-22</f>
        <v>37675</v>
      </c>
      <c r="F31" s="2">
        <f>391+58+548+20022+2621+2768+13+7458+4154-19</f>
        <v>38014</v>
      </c>
      <c r="G31" s="2">
        <f>91+4842+20104+714+7276+4237-20</f>
        <v>37244</v>
      </c>
      <c r="H31" s="2">
        <f>56+21+16785+853+185+3868+6192-21</f>
        <v>27939</v>
      </c>
      <c r="I31" s="2">
        <f>5448+21+17130+2706+206+3779+6192-21</f>
        <v>35461</v>
      </c>
      <c r="J31" s="2">
        <f>83+4705+20192+512+17+6916+9226-19</f>
        <v>41632</v>
      </c>
      <c r="K31" s="2">
        <f>100+544+18989+1628+118+19+6913+10717-22</f>
        <v>39006</v>
      </c>
      <c r="L31" s="2">
        <f>0+0+0+103+15957+(592-0)+(20+14284+0+2172+118+0+2399+12973)-20</f>
        <v>48598</v>
      </c>
      <c r="M31" s="2">
        <f>322078+15957+551+(2953+18237+3+395+8+4495+12848)-21</f>
        <v>377504</v>
      </c>
      <c r="N31" s="2">
        <f>74+508+(690+18284+1053+118+16+6027+15046)+21</f>
        <v>41837</v>
      </c>
      <c r="O31" s="2">
        <f>59+15957+466+20+14511+1211+143+2301+15046-20</f>
        <v>49694</v>
      </c>
      <c r="P31" s="2">
        <f>135+15957+424+2111+15062+2+551+2405+15335-21</f>
        <v>51961</v>
      </c>
      <c r="Q31" s="2"/>
      <c r="R31" s="17"/>
    </row>
    <row r="32" spans="1:18" ht="114.75">
      <c r="A32" s="8">
        <v>22</v>
      </c>
      <c r="B32" s="3" t="s">
        <v>3</v>
      </c>
      <c r="C32" s="3" t="s">
        <v>58</v>
      </c>
      <c r="D32" s="19" t="s">
        <v>136</v>
      </c>
      <c r="E32" s="2">
        <f>657+3510-3517</f>
        <v>650</v>
      </c>
      <c r="F32" s="2">
        <f>310+3371-3376</f>
        <v>305</v>
      </c>
      <c r="G32" s="2">
        <f>6+130+3851-3853</f>
        <v>134</v>
      </c>
      <c r="H32" s="2">
        <f>7+128+1228-1228</f>
        <v>135</v>
      </c>
      <c r="I32" s="2">
        <f>1326+135+1085-1092</f>
        <v>1454</v>
      </c>
      <c r="J32" s="2">
        <f>3161+129+916-917</f>
        <v>3289</v>
      </c>
      <c r="K32" s="2">
        <f>3432+154+739-765</f>
        <v>3560</v>
      </c>
      <c r="L32" s="2">
        <f>34+4370+15957+1045-1045</f>
        <v>20361</v>
      </c>
      <c r="M32" s="2">
        <f>41+4438-4695+15957+1031-53-50-1046</f>
        <v>15623</v>
      </c>
      <c r="N32" s="2">
        <f>12+4371+15957+973+974</f>
        <v>22287</v>
      </c>
      <c r="O32" s="2">
        <f>18+4371+874-875</f>
        <v>4388</v>
      </c>
      <c r="P32" s="2">
        <f>26+4243+953-954</f>
        <v>4268</v>
      </c>
      <c r="Q32" s="2"/>
      <c r="R32" s="17"/>
    </row>
    <row r="33" spans="1:18" ht="25.5">
      <c r="A33" s="8">
        <v>23</v>
      </c>
      <c r="B33" s="3" t="s">
        <v>94</v>
      </c>
      <c r="C33" s="3" t="s">
        <v>95</v>
      </c>
      <c r="D33" s="3" t="s">
        <v>95</v>
      </c>
      <c r="E33" s="5">
        <f aca="true" t="shared" si="7" ref="E33:J33">E19+E20+E24+E26+E29+E30+E31+E32</f>
        <v>12862892</v>
      </c>
      <c r="F33" s="5">
        <f t="shared" si="7"/>
        <v>9693552</v>
      </c>
      <c r="G33" s="5">
        <f t="shared" si="7"/>
        <v>14841684</v>
      </c>
      <c r="H33" s="5">
        <f t="shared" si="7"/>
        <v>13765041</v>
      </c>
      <c r="I33" s="5">
        <f t="shared" si="7"/>
        <v>12736147</v>
      </c>
      <c r="J33" s="5">
        <f t="shared" si="7"/>
        <v>12178333</v>
      </c>
      <c r="K33" s="5">
        <f aca="true" t="shared" si="8" ref="K33:P33">K19+K20+K24+K26+K29+K30+K31+K32</f>
        <v>12238329</v>
      </c>
      <c r="L33" s="5">
        <f t="shared" si="8"/>
        <v>11141428</v>
      </c>
      <c r="M33" s="5">
        <f t="shared" si="8"/>
        <v>13111201</v>
      </c>
      <c r="N33" s="5">
        <f t="shared" si="8"/>
        <v>12082754</v>
      </c>
      <c r="O33" s="5">
        <f t="shared" si="8"/>
        <v>15978490</v>
      </c>
      <c r="P33" s="5">
        <f t="shared" si="8"/>
        <v>15384497</v>
      </c>
      <c r="Q33" s="5">
        <f>Q19+Q20+Q24+Q26+Q29+Q30+Q31+Q32</f>
        <v>0</v>
      </c>
      <c r="R33" s="18"/>
    </row>
    <row r="34" spans="1:18" ht="115.5" customHeight="1">
      <c r="A34" s="11"/>
      <c r="B34" s="6" t="s">
        <v>98</v>
      </c>
      <c r="C34" s="6" t="s">
        <v>100</v>
      </c>
      <c r="D34" s="12" t="s">
        <v>100</v>
      </c>
      <c r="E34" s="5">
        <f aca="true" t="shared" si="9" ref="E34:J34">E33-E31-E32-E29-E30</f>
        <v>12822339</v>
      </c>
      <c r="F34" s="5">
        <f t="shared" si="9"/>
        <v>9653008</v>
      </c>
      <c r="G34" s="5">
        <f t="shared" si="9"/>
        <v>14802080</v>
      </c>
      <c r="H34" s="5">
        <f t="shared" si="9"/>
        <v>13734740</v>
      </c>
      <c r="I34" s="5">
        <f t="shared" si="9"/>
        <v>12691628</v>
      </c>
      <c r="J34" s="5">
        <f t="shared" si="9"/>
        <v>12125810</v>
      </c>
      <c r="K34" s="5">
        <f aca="true" t="shared" si="10" ref="K34:P34">K33-K31-K32-K29-K30</f>
        <v>12188158</v>
      </c>
      <c r="L34" s="5">
        <f t="shared" si="10"/>
        <v>11063112</v>
      </c>
      <c r="M34" s="5">
        <f t="shared" si="10"/>
        <v>12708716</v>
      </c>
      <c r="N34" s="5">
        <f t="shared" si="10"/>
        <v>12007392</v>
      </c>
      <c r="O34" s="5">
        <f t="shared" si="10"/>
        <v>15913171</v>
      </c>
      <c r="P34" s="5">
        <f t="shared" si="10"/>
        <v>15317030</v>
      </c>
      <c r="Q34" s="5">
        <f>Q33-Q31-Q32-Q29-Q30</f>
        <v>0</v>
      </c>
      <c r="R34" s="18"/>
    </row>
    <row r="35" spans="1:18" ht="82.5" customHeight="1">
      <c r="A35" s="11"/>
      <c r="B35" s="6" t="s">
        <v>99</v>
      </c>
      <c r="C35" s="6" t="s">
        <v>101</v>
      </c>
      <c r="D35" s="21" t="s">
        <v>101</v>
      </c>
      <c r="E35" s="5">
        <f aca="true" t="shared" si="11" ref="E35:J35">E33-E32-E29-E30</f>
        <v>12860014</v>
      </c>
      <c r="F35" s="5">
        <f t="shared" si="11"/>
        <v>9691022</v>
      </c>
      <c r="G35" s="5">
        <f t="shared" si="11"/>
        <v>14839324</v>
      </c>
      <c r="H35" s="5">
        <f t="shared" si="11"/>
        <v>13762679</v>
      </c>
      <c r="I35" s="5">
        <f t="shared" si="11"/>
        <v>12727089</v>
      </c>
      <c r="J35" s="5">
        <f t="shared" si="11"/>
        <v>12167442</v>
      </c>
      <c r="K35" s="5">
        <f aca="true" t="shared" si="12" ref="K35:P35">K33-K32-K29-K30</f>
        <v>12227164</v>
      </c>
      <c r="L35" s="5">
        <f t="shared" si="12"/>
        <v>11111710</v>
      </c>
      <c r="M35" s="5">
        <f t="shared" si="12"/>
        <v>13086220</v>
      </c>
      <c r="N35" s="5">
        <f t="shared" si="12"/>
        <v>12049229</v>
      </c>
      <c r="O35" s="5">
        <f t="shared" si="12"/>
        <v>15962865</v>
      </c>
      <c r="P35" s="5">
        <f t="shared" si="12"/>
        <v>15368991</v>
      </c>
      <c r="Q35" s="5">
        <f>Q33-Q32-Q29-Q30</f>
        <v>0</v>
      </c>
      <c r="R35" s="18"/>
    </row>
    <row r="36" spans="1:18" ht="25.5">
      <c r="A36" s="8"/>
      <c r="B36" s="6" t="s">
        <v>59</v>
      </c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7"/>
    </row>
    <row r="37" spans="1:18" ht="25.5">
      <c r="A37" s="8">
        <v>24</v>
      </c>
      <c r="B37" s="3" t="s">
        <v>60</v>
      </c>
      <c r="C37" s="3" t="s">
        <v>61</v>
      </c>
      <c r="D37" s="3" t="s">
        <v>61</v>
      </c>
      <c r="E37" s="2">
        <f aca="true" t="shared" si="13" ref="E37:K37">87684+0</f>
        <v>87684</v>
      </c>
      <c r="F37" s="2">
        <f t="shared" si="13"/>
        <v>87684</v>
      </c>
      <c r="G37" s="2">
        <f t="shared" si="13"/>
        <v>87684</v>
      </c>
      <c r="H37" s="2">
        <f t="shared" si="13"/>
        <v>87684</v>
      </c>
      <c r="I37" s="2">
        <f t="shared" si="13"/>
        <v>87684</v>
      </c>
      <c r="J37" s="2">
        <f t="shared" si="13"/>
        <v>87684</v>
      </c>
      <c r="K37" s="2">
        <f t="shared" si="13"/>
        <v>87684</v>
      </c>
      <c r="L37" s="2">
        <v>87684</v>
      </c>
      <c r="M37" s="2">
        <f>87684</f>
        <v>87684</v>
      </c>
      <c r="N37" s="2">
        <v>87684</v>
      </c>
      <c r="O37" s="2">
        <v>87684</v>
      </c>
      <c r="P37" s="2">
        <v>87684</v>
      </c>
      <c r="Q37" s="2"/>
      <c r="R37" s="17"/>
    </row>
    <row r="38" spans="1:18" ht="38.25">
      <c r="A38" s="8">
        <v>25</v>
      </c>
      <c r="B38" s="3" t="s">
        <v>62</v>
      </c>
      <c r="C38" s="3">
        <v>105</v>
      </c>
      <c r="D38" s="3">
        <v>105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/>
      <c r="R38" s="17"/>
    </row>
    <row r="39" spans="1:18" ht="12.75">
      <c r="A39" s="8">
        <v>26</v>
      </c>
      <c r="B39" s="3" t="s">
        <v>63</v>
      </c>
      <c r="C39" s="3">
        <v>10602</v>
      </c>
      <c r="D39" s="3">
        <v>10602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/>
      <c r="Q39" s="2"/>
      <c r="R39" s="17"/>
    </row>
    <row r="40" spans="1:18" ht="12.75">
      <c r="A40" s="8">
        <v>27</v>
      </c>
      <c r="B40" s="3" t="s">
        <v>64</v>
      </c>
      <c r="C40" s="3">
        <v>10701</v>
      </c>
      <c r="D40" s="3">
        <v>10701</v>
      </c>
      <c r="E40" s="2">
        <v>38653</v>
      </c>
      <c r="F40" s="2">
        <v>38653</v>
      </c>
      <c r="G40" s="2">
        <v>38653</v>
      </c>
      <c r="H40" s="2">
        <v>38653</v>
      </c>
      <c r="I40" s="2">
        <v>38653</v>
      </c>
      <c r="J40" s="2">
        <v>38653</v>
      </c>
      <c r="K40" s="2">
        <v>38653</v>
      </c>
      <c r="L40" s="2">
        <v>38653</v>
      </c>
      <c r="M40" s="2">
        <v>38653</v>
      </c>
      <c r="N40" s="2">
        <v>38653</v>
      </c>
      <c r="O40" s="2">
        <v>38653</v>
      </c>
      <c r="P40" s="2">
        <v>38653</v>
      </c>
      <c r="Q40" s="2"/>
      <c r="R40" s="17"/>
    </row>
    <row r="41" spans="1:18" ht="102">
      <c r="A41" s="8">
        <v>28</v>
      </c>
      <c r="B41" s="3" t="s">
        <v>65</v>
      </c>
      <c r="C41" s="3" t="s">
        <v>66</v>
      </c>
      <c r="D41" s="3" t="s">
        <v>66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/>
      <c r="R41" s="17"/>
    </row>
    <row r="42" spans="1:18" ht="51">
      <c r="A42" s="8">
        <v>29</v>
      </c>
      <c r="B42" s="3" t="s">
        <v>67</v>
      </c>
      <c r="C42" s="3" t="s">
        <v>68</v>
      </c>
      <c r="D42" s="3" t="s">
        <v>68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/>
      <c r="R42" s="17"/>
    </row>
    <row r="43" spans="1:18" ht="38.25">
      <c r="A43" s="8">
        <v>30</v>
      </c>
      <c r="B43" s="3" t="s">
        <v>69</v>
      </c>
      <c r="C43" s="3" t="s">
        <v>70</v>
      </c>
      <c r="D43" s="3" t="s">
        <v>70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/>
      <c r="R43" s="17"/>
    </row>
    <row r="44" spans="1:18" ht="25.5">
      <c r="A44" s="8">
        <v>31</v>
      </c>
      <c r="B44" s="3" t="s">
        <v>71</v>
      </c>
      <c r="C44" s="3" t="s">
        <v>72</v>
      </c>
      <c r="D44" s="3" t="s">
        <v>72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/>
      <c r="R44" s="17"/>
    </row>
    <row r="45" spans="1:18" ht="51">
      <c r="A45" s="8">
        <v>32</v>
      </c>
      <c r="B45" s="3" t="s">
        <v>73</v>
      </c>
      <c r="C45" s="3" t="s">
        <v>74</v>
      </c>
      <c r="D45" s="3" t="s">
        <v>74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/>
      <c r="R45" s="17"/>
    </row>
    <row r="46" spans="1:18" ht="51">
      <c r="A46" s="8">
        <v>33</v>
      </c>
      <c r="B46" s="3" t="s">
        <v>75</v>
      </c>
      <c r="C46" s="3" t="s">
        <v>76</v>
      </c>
      <c r="D46" s="3" t="s">
        <v>76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/>
      <c r="R46" s="17"/>
    </row>
    <row r="47" spans="1:18" ht="25.5">
      <c r="A47" s="8">
        <v>34</v>
      </c>
      <c r="B47" s="3" t="s">
        <v>77</v>
      </c>
      <c r="C47" s="3" t="s">
        <v>78</v>
      </c>
      <c r="D47" s="3" t="s">
        <v>78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/>
      <c r="R47" s="17"/>
    </row>
    <row r="48" spans="1:18" ht="63.75">
      <c r="A48" s="8">
        <v>35</v>
      </c>
      <c r="B48" s="3" t="s">
        <v>96</v>
      </c>
      <c r="C48" s="3" t="s">
        <v>79</v>
      </c>
      <c r="D48" s="20" t="s">
        <v>128</v>
      </c>
      <c r="E48" s="2">
        <f>1101970-233957</f>
        <v>868013</v>
      </c>
      <c r="F48" s="2">
        <f>1101970-233957</f>
        <v>868013</v>
      </c>
      <c r="G48" s="2">
        <f>1101970-233957</f>
        <v>868013</v>
      </c>
      <c r="H48" s="2">
        <f>1101970-233954</f>
        <v>868016</v>
      </c>
      <c r="I48" s="2">
        <f>1101970-233954</f>
        <v>868016</v>
      </c>
      <c r="J48" s="2">
        <f>1335923</f>
        <v>1335923</v>
      </c>
      <c r="K48" s="2">
        <f>1335924</f>
        <v>1335924</v>
      </c>
      <c r="L48" s="2">
        <f>1335924-79393</f>
        <v>1256531</v>
      </c>
      <c r="M48" s="2">
        <f>1398002-1284864</f>
        <v>113138</v>
      </c>
      <c r="N48" s="2">
        <f>(1219486+3531+454600)-(1082858+1+455099+27798+9011)</f>
        <v>102850</v>
      </c>
      <c r="O48" s="2">
        <f>(1310591+3546+469721)-(1162275+2+470224+27500+9011)</f>
        <v>114846</v>
      </c>
      <c r="P48" s="2">
        <f>1335924-79393</f>
        <v>1256531</v>
      </c>
      <c r="Q48" s="2"/>
      <c r="R48" s="17"/>
    </row>
    <row r="49" spans="1:18" ht="38.25">
      <c r="A49" s="8">
        <v>36</v>
      </c>
      <c r="B49" s="3" t="s">
        <v>80</v>
      </c>
      <c r="C49" s="3" t="s">
        <v>81</v>
      </c>
      <c r="D49" s="3" t="s">
        <v>81</v>
      </c>
      <c r="E49" s="5">
        <f aca="true" t="shared" si="14" ref="E49:J49">E37-E38+E39+E40+E41+E42+E43+E44+E45+E46+E47+E48</f>
        <v>994350</v>
      </c>
      <c r="F49" s="5">
        <f t="shared" si="14"/>
        <v>994350</v>
      </c>
      <c r="G49" s="5">
        <f t="shared" si="14"/>
        <v>994350</v>
      </c>
      <c r="H49" s="5">
        <f t="shared" si="14"/>
        <v>994353</v>
      </c>
      <c r="I49" s="5">
        <f t="shared" si="14"/>
        <v>994353</v>
      </c>
      <c r="J49" s="5">
        <f t="shared" si="14"/>
        <v>1462260</v>
      </c>
      <c r="K49" s="5">
        <f aca="true" t="shared" si="15" ref="K49:P49">K37-K38+K39+K40+K41+K42+K43+K44+K45+K46+K47+K48</f>
        <v>1462261</v>
      </c>
      <c r="L49" s="5">
        <f t="shared" si="15"/>
        <v>1382868</v>
      </c>
      <c r="M49" s="5">
        <f t="shared" si="15"/>
        <v>239475</v>
      </c>
      <c r="N49" s="5">
        <f t="shared" si="15"/>
        <v>229187</v>
      </c>
      <c r="O49" s="5">
        <f t="shared" si="15"/>
        <v>241183</v>
      </c>
      <c r="P49" s="5">
        <f t="shared" si="15"/>
        <v>1382868</v>
      </c>
      <c r="Q49" s="5">
        <f>Q37-Q38+Q39+Q40+Q41+Q42+Q43+Q44+Q45+Q46+Q47+Q48</f>
        <v>0</v>
      </c>
      <c r="R49" s="18"/>
    </row>
    <row r="50" spans="1:18" ht="25.5">
      <c r="A50" s="8"/>
      <c r="B50" s="6" t="s">
        <v>82</v>
      </c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7"/>
    </row>
    <row r="51" spans="1:18" ht="38.25">
      <c r="A51" s="8">
        <v>37</v>
      </c>
      <c r="B51" s="3" t="s">
        <v>83</v>
      </c>
      <c r="C51" s="3" t="s">
        <v>84</v>
      </c>
      <c r="D51" s="20" t="s">
        <v>84</v>
      </c>
      <c r="E51" s="2">
        <v>65000</v>
      </c>
      <c r="F51" s="2">
        <v>65000</v>
      </c>
      <c r="G51" s="2">
        <v>65000</v>
      </c>
      <c r="H51" s="2">
        <v>65000</v>
      </c>
      <c r="I51" s="2">
        <v>65000</v>
      </c>
      <c r="J51" s="2">
        <f>12780+0</f>
        <v>12780</v>
      </c>
      <c r="K51" s="2">
        <f>12780+0</f>
        <v>12780</v>
      </c>
      <c r="L51" s="2">
        <f>0+12780+0</f>
        <v>12780</v>
      </c>
      <c r="M51" s="2">
        <f>12780</f>
        <v>12780</v>
      </c>
      <c r="N51" s="2">
        <v>12780</v>
      </c>
      <c r="O51" s="2">
        <v>12780</v>
      </c>
      <c r="P51" s="2">
        <v>0</v>
      </c>
      <c r="Q51" s="2"/>
      <c r="R51" s="17"/>
    </row>
    <row r="52" spans="1:18" ht="38.25">
      <c r="A52" s="8">
        <v>38</v>
      </c>
      <c r="B52" s="3" t="s">
        <v>85</v>
      </c>
      <c r="C52" s="3">
        <v>91315</v>
      </c>
      <c r="D52" s="3">
        <v>91315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20199</v>
      </c>
      <c r="M52" s="2">
        <v>20199</v>
      </c>
      <c r="N52" s="2">
        <v>20199</v>
      </c>
      <c r="O52" s="2">
        <v>20199</v>
      </c>
      <c r="P52" s="2">
        <v>20199</v>
      </c>
      <c r="Q52" s="2"/>
      <c r="R52" s="17"/>
    </row>
    <row r="53" spans="1:18" ht="25.5">
      <c r="A53" s="8">
        <v>39</v>
      </c>
      <c r="B53" s="3" t="s">
        <v>86</v>
      </c>
      <c r="C53" s="3">
        <v>91318</v>
      </c>
      <c r="D53" s="3">
        <v>91318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/>
      <c r="R53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">
      <selection activeCell="H16" sqref="H16"/>
    </sheetView>
  </sheetViews>
  <sheetFormatPr defaultColWidth="9.00390625" defaultRowHeight="12.75"/>
  <sheetData>
    <row r="1" spans="1:2" ht="12.75">
      <c r="A1">
        <v>10901</v>
      </c>
      <c r="B1">
        <v>79393</v>
      </c>
    </row>
    <row r="2" spans="1:2" ht="12.75">
      <c r="A2">
        <v>20202</v>
      </c>
      <c r="B2">
        <v>17075</v>
      </c>
    </row>
    <row r="3" spans="1:2" ht="12.75">
      <c r="A3">
        <v>20209</v>
      </c>
      <c r="B3">
        <v>0</v>
      </c>
    </row>
    <row r="4" spans="1:2" ht="12.75">
      <c r="A4">
        <v>30102</v>
      </c>
      <c r="B4">
        <v>141399</v>
      </c>
    </row>
    <row r="5" spans="1:2" ht="12.75">
      <c r="A5">
        <v>30110</v>
      </c>
      <c r="B5">
        <v>265274</v>
      </c>
    </row>
    <row r="6" spans="1:2" ht="12.75">
      <c r="A6">
        <v>30202</v>
      </c>
      <c r="B6">
        <v>35388</v>
      </c>
    </row>
    <row r="7" spans="1:2" ht="12.75">
      <c r="A7">
        <v>30424</v>
      </c>
      <c r="B7">
        <v>2493</v>
      </c>
    </row>
    <row r="8" spans="1:2" ht="12.75">
      <c r="A8">
        <v>30425</v>
      </c>
      <c r="B8">
        <v>0</v>
      </c>
    </row>
    <row r="9" spans="1:2" ht="12.75">
      <c r="A9">
        <v>31902</v>
      </c>
      <c r="B9">
        <v>0</v>
      </c>
    </row>
    <row r="10" spans="1:2" ht="12.75">
      <c r="A10">
        <v>31903</v>
      </c>
      <c r="B10">
        <v>15906000</v>
      </c>
    </row>
    <row r="11" spans="1:2" ht="12.75">
      <c r="A11">
        <v>31904</v>
      </c>
      <c r="B11">
        <v>0</v>
      </c>
    </row>
    <row r="12" spans="1:2" ht="12.75">
      <c r="A12">
        <v>44608</v>
      </c>
      <c r="B12">
        <v>200000</v>
      </c>
    </row>
    <row r="13" spans="1:2" ht="12.75">
      <c r="A13">
        <v>45205</v>
      </c>
      <c r="B13">
        <v>18000</v>
      </c>
    </row>
    <row r="14" spans="1:2" ht="12.75">
      <c r="A14">
        <v>45206</v>
      </c>
      <c r="B14">
        <v>137000</v>
      </c>
    </row>
    <row r="15" spans="1:2" ht="12.75">
      <c r="A15">
        <v>45207</v>
      </c>
      <c r="B15">
        <v>259500</v>
      </c>
    </row>
    <row r="16" spans="1:2" ht="12.75">
      <c r="A16">
        <v>45216</v>
      </c>
      <c r="B16">
        <v>32253</v>
      </c>
    </row>
    <row r="17" spans="1:2" ht="12.75">
      <c r="A17">
        <v>45505</v>
      </c>
      <c r="B17">
        <v>50</v>
      </c>
    </row>
    <row r="18" spans="1:2" ht="12.75">
      <c r="A18">
        <v>45506</v>
      </c>
      <c r="B18">
        <v>1558</v>
      </c>
    </row>
    <row r="19" spans="1:2" ht="12.75">
      <c r="A19">
        <v>45507</v>
      </c>
      <c r="B19">
        <v>4812</v>
      </c>
    </row>
    <row r="20" spans="1:2" ht="12.75">
      <c r="A20">
        <v>45806</v>
      </c>
      <c r="B20">
        <v>8</v>
      </c>
    </row>
    <row r="21" spans="1:2" ht="12.75">
      <c r="A21">
        <v>45812</v>
      </c>
      <c r="B21">
        <v>26</v>
      </c>
    </row>
    <row r="22" spans="1:2" ht="12.75">
      <c r="A22">
        <v>45816</v>
      </c>
      <c r="B22">
        <v>5</v>
      </c>
    </row>
    <row r="23" spans="1:2" ht="12.75">
      <c r="A23">
        <v>47105</v>
      </c>
      <c r="B23">
        <v>3808</v>
      </c>
    </row>
    <row r="24" spans="1:2" ht="12.75">
      <c r="A24">
        <v>47404</v>
      </c>
      <c r="B24">
        <v>1805</v>
      </c>
    </row>
    <row r="25" spans="1:2" ht="12.75">
      <c r="A25">
        <v>47406</v>
      </c>
      <c r="B25">
        <v>0</v>
      </c>
    </row>
    <row r="26" spans="1:2" ht="12.75">
      <c r="A26">
        <v>47408</v>
      </c>
      <c r="B26">
        <v>0</v>
      </c>
    </row>
    <row r="27" spans="1:2" ht="12.75">
      <c r="A27">
        <v>47423</v>
      </c>
      <c r="B27">
        <v>2</v>
      </c>
    </row>
    <row r="28" spans="1:2" ht="12.75">
      <c r="A28">
        <v>47427</v>
      </c>
      <c r="B28">
        <v>4676</v>
      </c>
    </row>
    <row r="29" spans="1:2" ht="12.75">
      <c r="A29">
        <v>47465</v>
      </c>
      <c r="B29">
        <v>381</v>
      </c>
    </row>
    <row r="30" spans="1:2" ht="12.75">
      <c r="A30">
        <v>50104</v>
      </c>
      <c r="B30">
        <v>23638</v>
      </c>
    </row>
    <row r="31" spans="1:2" ht="12.75">
      <c r="A31">
        <v>50106</v>
      </c>
      <c r="B31">
        <v>71</v>
      </c>
    </row>
    <row r="32" spans="1:2" ht="12.75">
      <c r="A32">
        <v>50121</v>
      </c>
      <c r="B32">
        <v>1501</v>
      </c>
    </row>
    <row r="33" spans="1:2" ht="12.75">
      <c r="A33">
        <v>50606</v>
      </c>
      <c r="B33">
        <v>503</v>
      </c>
    </row>
    <row r="34" spans="1:2" ht="12.75">
      <c r="A34">
        <v>50706</v>
      </c>
      <c r="B34">
        <v>8301</v>
      </c>
    </row>
    <row r="35" spans="1:2" ht="12.75">
      <c r="A35">
        <v>60101</v>
      </c>
      <c r="B35">
        <v>10000</v>
      </c>
    </row>
    <row r="36" spans="1:2" ht="12.75">
      <c r="A36">
        <v>60302</v>
      </c>
      <c r="B36">
        <v>136</v>
      </c>
    </row>
    <row r="37" spans="1:2" ht="12.75">
      <c r="A37">
        <v>60306</v>
      </c>
      <c r="B37">
        <v>0</v>
      </c>
    </row>
    <row r="38" spans="1:2" ht="12.75">
      <c r="A38">
        <v>60308</v>
      </c>
      <c r="B38">
        <v>0</v>
      </c>
    </row>
    <row r="39" spans="1:2" ht="12.75">
      <c r="A39">
        <v>60310</v>
      </c>
      <c r="B39">
        <v>0</v>
      </c>
    </row>
    <row r="40" spans="1:2" ht="12.75">
      <c r="A40">
        <v>60312</v>
      </c>
      <c r="B40">
        <v>5245</v>
      </c>
    </row>
    <row r="41" spans="1:2" ht="12.75">
      <c r="A41">
        <v>60323</v>
      </c>
      <c r="B41">
        <v>0</v>
      </c>
    </row>
    <row r="42" spans="1:2" ht="12.75">
      <c r="A42">
        <v>60336</v>
      </c>
      <c r="B42">
        <v>0</v>
      </c>
    </row>
    <row r="43" spans="1:2" ht="12.75">
      <c r="A43">
        <v>60401</v>
      </c>
      <c r="B43">
        <v>24819</v>
      </c>
    </row>
    <row r="44" spans="1:2" ht="12.75">
      <c r="A44">
        <v>60415</v>
      </c>
      <c r="B44">
        <v>1067</v>
      </c>
    </row>
    <row r="45" spans="1:2" ht="12.75">
      <c r="A45">
        <v>60804</v>
      </c>
      <c r="B45">
        <v>85806</v>
      </c>
    </row>
    <row r="46" spans="1:2" ht="12.75">
      <c r="A46">
        <v>60807</v>
      </c>
      <c r="B46">
        <v>0</v>
      </c>
    </row>
    <row r="47" spans="1:2" ht="12.75">
      <c r="A47">
        <v>60901</v>
      </c>
      <c r="B47">
        <v>16942</v>
      </c>
    </row>
    <row r="48" spans="1:2" ht="12.75">
      <c r="A48">
        <v>61002</v>
      </c>
      <c r="B48">
        <v>0</v>
      </c>
    </row>
    <row r="49" spans="1:2" ht="12.75">
      <c r="A49">
        <v>61008</v>
      </c>
      <c r="B49">
        <v>18</v>
      </c>
    </row>
    <row r="50" spans="1:2" ht="12.75">
      <c r="A50">
        <v>61009</v>
      </c>
      <c r="B50">
        <v>363</v>
      </c>
    </row>
    <row r="51" spans="1:2" ht="12.75">
      <c r="A51">
        <v>70606</v>
      </c>
      <c r="B51">
        <v>88584</v>
      </c>
    </row>
    <row r="52" spans="1:2" ht="12.75">
      <c r="A52">
        <v>70607</v>
      </c>
      <c r="B52">
        <v>0</v>
      </c>
    </row>
    <row r="53" spans="1:2" ht="12.75">
      <c r="A53">
        <v>70608</v>
      </c>
      <c r="B53">
        <v>51218</v>
      </c>
    </row>
    <row r="54" spans="1:2" ht="12.75">
      <c r="A54">
        <v>70611</v>
      </c>
      <c r="B54">
        <v>22</v>
      </c>
    </row>
    <row r="55" spans="1:2" ht="12.75">
      <c r="A55">
        <v>70616</v>
      </c>
      <c r="B55">
        <v>0</v>
      </c>
    </row>
    <row r="56" spans="1:2" ht="12.75">
      <c r="A56">
        <v>70706</v>
      </c>
      <c r="B56">
        <v>0</v>
      </c>
    </row>
    <row r="57" spans="1:2" ht="12.75">
      <c r="A57">
        <v>70707</v>
      </c>
      <c r="B57">
        <v>0</v>
      </c>
    </row>
    <row r="58" spans="1:2" ht="12.75">
      <c r="A58">
        <v>70708</v>
      </c>
      <c r="B58">
        <v>0</v>
      </c>
    </row>
    <row r="59" spans="1:2" ht="12.75">
      <c r="A59">
        <v>70711</v>
      </c>
      <c r="B59">
        <v>0</v>
      </c>
    </row>
    <row r="60" spans="1:2" ht="12.75">
      <c r="A60">
        <v>70716</v>
      </c>
      <c r="B60">
        <v>0</v>
      </c>
    </row>
    <row r="61" spans="1:2" ht="12.75">
      <c r="A61" t="s">
        <v>137</v>
      </c>
      <c r="B61">
        <v>17429140</v>
      </c>
    </row>
    <row r="62" ht="12.75">
      <c r="A62" t="s">
        <v>138</v>
      </c>
    </row>
    <row r="63" spans="1:2" ht="12.75">
      <c r="A63">
        <v>10207</v>
      </c>
      <c r="B63">
        <v>87684</v>
      </c>
    </row>
    <row r="64" spans="1:2" ht="12.75">
      <c r="A64">
        <v>10701</v>
      </c>
      <c r="B64">
        <v>38653</v>
      </c>
    </row>
    <row r="65" spans="1:2" ht="12.75">
      <c r="A65">
        <v>10801</v>
      </c>
      <c r="B65">
        <v>1335924</v>
      </c>
    </row>
    <row r="66" spans="1:2" ht="12.75">
      <c r="A66">
        <v>30109</v>
      </c>
      <c r="B66">
        <v>836</v>
      </c>
    </row>
    <row r="67" spans="1:2" ht="12.75">
      <c r="A67">
        <v>30111</v>
      </c>
      <c r="B67">
        <v>1260992</v>
      </c>
    </row>
    <row r="68" spans="1:2" ht="12.75">
      <c r="A68">
        <v>30222</v>
      </c>
      <c r="B68">
        <v>0</v>
      </c>
    </row>
    <row r="69" spans="1:2" ht="12.75">
      <c r="A69">
        <v>30601</v>
      </c>
      <c r="B69">
        <v>280</v>
      </c>
    </row>
    <row r="70" spans="1:2" ht="12.75">
      <c r="A70">
        <v>31305</v>
      </c>
      <c r="B70">
        <v>10820000</v>
      </c>
    </row>
    <row r="71" spans="1:2" ht="12.75">
      <c r="A71">
        <v>40502</v>
      </c>
      <c r="B71">
        <v>807792</v>
      </c>
    </row>
    <row r="72" spans="1:2" ht="12.75">
      <c r="A72">
        <v>40701</v>
      </c>
      <c r="B72">
        <v>5</v>
      </c>
    </row>
    <row r="73" spans="1:2" ht="12.75">
      <c r="A73">
        <v>40702</v>
      </c>
      <c r="B73">
        <v>422782</v>
      </c>
    </row>
    <row r="74" spans="1:2" ht="12.75">
      <c r="A74">
        <v>40703</v>
      </c>
      <c r="B74">
        <v>915</v>
      </c>
    </row>
    <row r="75" spans="1:2" ht="12.75">
      <c r="A75">
        <v>40802</v>
      </c>
      <c r="B75">
        <v>0</v>
      </c>
    </row>
    <row r="76" spans="1:2" ht="12.75">
      <c r="A76">
        <v>40807</v>
      </c>
      <c r="B76">
        <v>1779567</v>
      </c>
    </row>
    <row r="77" spans="1:2" ht="12.75">
      <c r="A77">
        <v>40817</v>
      </c>
      <c r="B77">
        <v>845</v>
      </c>
    </row>
    <row r="78" spans="1:2" ht="12.75">
      <c r="A78">
        <v>40820</v>
      </c>
      <c r="B78">
        <v>1168</v>
      </c>
    </row>
    <row r="79" spans="1:2" ht="12.75">
      <c r="A79">
        <v>40902</v>
      </c>
      <c r="B79">
        <v>141128</v>
      </c>
    </row>
    <row r="80" spans="1:2" ht="12.75">
      <c r="A80">
        <v>41507</v>
      </c>
      <c r="B80">
        <v>170000</v>
      </c>
    </row>
    <row r="81" spans="1:2" ht="12.75">
      <c r="A81">
        <v>42304</v>
      </c>
      <c r="B81">
        <v>57573</v>
      </c>
    </row>
    <row r="82" spans="1:2" ht="12.75">
      <c r="A82">
        <v>42309</v>
      </c>
      <c r="B82">
        <v>39</v>
      </c>
    </row>
    <row r="83" spans="1:2" ht="12.75">
      <c r="A83">
        <v>42609</v>
      </c>
      <c r="B83">
        <v>6</v>
      </c>
    </row>
    <row r="84" spans="1:2" ht="12.75">
      <c r="A84">
        <v>43801</v>
      </c>
      <c r="B84">
        <v>6</v>
      </c>
    </row>
    <row r="85" spans="1:2" ht="12.75">
      <c r="A85">
        <v>44617</v>
      </c>
      <c r="B85">
        <v>1000</v>
      </c>
    </row>
    <row r="86" spans="1:2" ht="12.75">
      <c r="A86">
        <v>45215</v>
      </c>
      <c r="B86">
        <v>44075</v>
      </c>
    </row>
    <row r="87" spans="1:2" ht="12.75">
      <c r="A87">
        <v>45818</v>
      </c>
      <c r="B87">
        <v>32</v>
      </c>
    </row>
    <row r="88" spans="1:2" ht="12.75">
      <c r="A88">
        <v>47113</v>
      </c>
      <c r="B88">
        <v>19</v>
      </c>
    </row>
    <row r="89" spans="1:2" ht="12.75">
      <c r="A89">
        <v>47403</v>
      </c>
      <c r="B89">
        <v>0</v>
      </c>
    </row>
    <row r="90" spans="1:2" ht="12.75">
      <c r="A90">
        <v>47405</v>
      </c>
      <c r="B90">
        <v>0</v>
      </c>
    </row>
    <row r="91" spans="1:2" ht="12.75">
      <c r="A91">
        <v>47407</v>
      </c>
      <c r="B91">
        <v>0</v>
      </c>
    </row>
    <row r="92" spans="1:2" ht="12.75">
      <c r="A92">
        <v>47411</v>
      </c>
      <c r="B92">
        <v>0</v>
      </c>
    </row>
    <row r="93" spans="1:2" ht="12.75">
      <c r="A93">
        <v>47422</v>
      </c>
      <c r="B93">
        <v>2736</v>
      </c>
    </row>
    <row r="94" spans="1:2" ht="12.75">
      <c r="A94">
        <v>47425</v>
      </c>
      <c r="B94">
        <v>4243</v>
      </c>
    </row>
    <row r="95" spans="1:2" ht="12.75">
      <c r="A95">
        <v>47426</v>
      </c>
      <c r="B95">
        <v>3907</v>
      </c>
    </row>
    <row r="96" spans="1:2" ht="12.75">
      <c r="A96">
        <v>47466</v>
      </c>
      <c r="B96">
        <v>15957</v>
      </c>
    </row>
    <row r="97" spans="1:2" ht="12.75">
      <c r="A97">
        <v>47501</v>
      </c>
      <c r="B97">
        <v>381</v>
      </c>
    </row>
    <row r="98" spans="1:2" ht="12.75">
      <c r="A98">
        <v>50620</v>
      </c>
      <c r="B98">
        <v>153</v>
      </c>
    </row>
    <row r="99" spans="1:2" ht="12.75">
      <c r="A99">
        <v>50719</v>
      </c>
      <c r="B99">
        <v>8301</v>
      </c>
    </row>
    <row r="100" spans="1:2" ht="12.75">
      <c r="A100">
        <v>60301</v>
      </c>
      <c r="B100">
        <v>22</v>
      </c>
    </row>
    <row r="101" spans="1:2" ht="12.75">
      <c r="A101">
        <v>60305</v>
      </c>
      <c r="B101">
        <v>16144</v>
      </c>
    </row>
    <row r="102" spans="1:2" ht="12.75">
      <c r="A102">
        <v>60309</v>
      </c>
      <c r="B102">
        <v>1006</v>
      </c>
    </row>
    <row r="103" spans="1:2" ht="12.75">
      <c r="A103">
        <v>60311</v>
      </c>
      <c r="B103">
        <v>1595</v>
      </c>
    </row>
    <row r="104" spans="1:2" ht="12.75">
      <c r="A104">
        <v>60322</v>
      </c>
      <c r="B104">
        <v>0</v>
      </c>
    </row>
    <row r="105" spans="1:2" ht="12.75">
      <c r="A105">
        <v>60324</v>
      </c>
      <c r="B105">
        <v>1063</v>
      </c>
    </row>
    <row r="106" spans="1:2" ht="12.75">
      <c r="A106">
        <v>60335</v>
      </c>
      <c r="B106">
        <v>4880</v>
      </c>
    </row>
    <row r="107" spans="1:2" ht="12.75">
      <c r="A107">
        <v>60349</v>
      </c>
      <c r="B107">
        <v>15335</v>
      </c>
    </row>
    <row r="108" spans="1:2" ht="12.75">
      <c r="A108">
        <v>60414</v>
      </c>
      <c r="B108">
        <v>14805</v>
      </c>
    </row>
    <row r="109" spans="1:2" ht="12.75">
      <c r="A109">
        <v>60805</v>
      </c>
      <c r="B109">
        <v>3639</v>
      </c>
    </row>
    <row r="110" spans="1:2" ht="12.75">
      <c r="A110">
        <v>60806</v>
      </c>
      <c r="B110">
        <v>82445</v>
      </c>
    </row>
    <row r="111" spans="1:2" ht="12.75">
      <c r="A111">
        <v>60903</v>
      </c>
      <c r="B111">
        <v>1857</v>
      </c>
    </row>
    <row r="112" spans="1:2" ht="12.75">
      <c r="A112">
        <v>61701</v>
      </c>
      <c r="B112">
        <v>11136</v>
      </c>
    </row>
    <row r="113" spans="1:2" ht="12.75">
      <c r="A113">
        <v>70601</v>
      </c>
      <c r="B113">
        <v>102119</v>
      </c>
    </row>
    <row r="114" spans="1:2" ht="12.75">
      <c r="A114">
        <v>70602</v>
      </c>
      <c r="B114">
        <v>212</v>
      </c>
    </row>
    <row r="115" spans="1:2" ht="12.75">
      <c r="A115">
        <v>70603</v>
      </c>
      <c r="B115">
        <v>51309</v>
      </c>
    </row>
    <row r="116" spans="1:2" ht="12.75">
      <c r="A116">
        <v>70701</v>
      </c>
      <c r="B116">
        <v>0</v>
      </c>
    </row>
    <row r="117" spans="1:2" ht="12.75">
      <c r="A117">
        <v>70702</v>
      </c>
      <c r="B117">
        <v>0</v>
      </c>
    </row>
    <row r="118" spans="1:2" ht="12.75">
      <c r="A118">
        <v>70703</v>
      </c>
      <c r="B118">
        <v>0</v>
      </c>
    </row>
    <row r="119" spans="1:2" ht="12.75">
      <c r="A119">
        <v>70801</v>
      </c>
      <c r="B119">
        <v>114574</v>
      </c>
    </row>
    <row r="120" spans="1:2" ht="12.75">
      <c r="A120" t="s">
        <v>137</v>
      </c>
      <c r="B120">
        <v>17429140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U25" sqref="U25"/>
    </sheetView>
  </sheetViews>
  <sheetFormatPr defaultColWidth="9.00390625" defaultRowHeight="12.75"/>
  <sheetData>
    <row r="1" spans="1:2" ht="12.75">
      <c r="A1" t="s">
        <v>139</v>
      </c>
      <c r="B1">
        <v>52233</v>
      </c>
    </row>
    <row r="2" spans="1:2" ht="12.75">
      <c r="A2" t="s">
        <v>140</v>
      </c>
      <c r="B2">
        <v>2411</v>
      </c>
    </row>
    <row r="3" spans="1:2" ht="12.75">
      <c r="A3" t="s">
        <v>141</v>
      </c>
      <c r="B3">
        <v>0</v>
      </c>
    </row>
    <row r="4" spans="1:2" ht="12.75">
      <c r="A4" t="s">
        <v>142</v>
      </c>
      <c r="B4">
        <v>6354</v>
      </c>
    </row>
    <row r="5" spans="1:2" ht="12.75">
      <c r="A5" t="s">
        <v>143</v>
      </c>
      <c r="B5">
        <v>230</v>
      </c>
    </row>
    <row r="6" spans="1:2" ht="12.75">
      <c r="A6" t="s">
        <v>144</v>
      </c>
      <c r="B6">
        <v>2</v>
      </c>
    </row>
    <row r="7" spans="1:2" ht="12.75">
      <c r="A7" t="s">
        <v>145</v>
      </c>
      <c r="B7">
        <v>1656</v>
      </c>
    </row>
    <row r="8" spans="1:2" ht="12.75">
      <c r="A8" t="s">
        <v>146</v>
      </c>
      <c r="B8">
        <v>110</v>
      </c>
    </row>
    <row r="9" spans="1:2" ht="12.75">
      <c r="A9" t="s">
        <v>147</v>
      </c>
      <c r="B9">
        <v>30</v>
      </c>
    </row>
    <row r="10" spans="1:2" ht="12.75">
      <c r="A10" t="s">
        <v>148</v>
      </c>
      <c r="B10">
        <v>56</v>
      </c>
    </row>
    <row r="11" spans="1:2" ht="12.75">
      <c r="A11" t="s">
        <v>149</v>
      </c>
      <c r="B11">
        <v>45</v>
      </c>
    </row>
    <row r="12" spans="1:2" ht="12.75">
      <c r="A12" t="s">
        <v>150</v>
      </c>
      <c r="B12">
        <v>0</v>
      </c>
    </row>
    <row r="13" spans="1:2" ht="12.75">
      <c r="A13" t="s">
        <v>151</v>
      </c>
      <c r="B13">
        <v>0</v>
      </c>
    </row>
    <row r="14" spans="1:2" ht="12.75">
      <c r="A14" t="s">
        <v>152</v>
      </c>
      <c r="B14">
        <v>0</v>
      </c>
    </row>
    <row r="15" spans="1:2" ht="12.75">
      <c r="A15" t="s">
        <v>153</v>
      </c>
      <c r="B15">
        <v>0</v>
      </c>
    </row>
    <row r="16" spans="1:2" ht="12.75">
      <c r="A16" t="s">
        <v>154</v>
      </c>
      <c r="B1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petova@rusfincorp.ru</dc:creator>
  <cp:keywords/>
  <dc:description/>
  <cp:lastModifiedBy>Белозерцев Л.Н.</cp:lastModifiedBy>
  <cp:lastPrinted>2019-08-15T11:26:32Z</cp:lastPrinted>
  <dcterms:created xsi:type="dcterms:W3CDTF">2009-06-16T05:18:45Z</dcterms:created>
  <dcterms:modified xsi:type="dcterms:W3CDTF">2020-02-12T15:09:18Z</dcterms:modified>
  <cp:category/>
  <cp:version/>
  <cp:contentType/>
  <cp:contentStatus/>
</cp:coreProperties>
</file>