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4" sheetId="1" r:id="rId1"/>
  </sheets>
  <definedNames>
    <definedName name="_xlnm._FilterDatabase" localSheetId="0" hidden="1">'4'!$A$13:$Q$91</definedName>
  </definedNames>
  <calcPr calcId="125725"/>
  <pivotCaches>
    <pivotCache cacheId="3" r:id="rId2"/>
  </pivotCaches>
</workbook>
</file>

<file path=xl/calcChain.xml><?xml version="1.0" encoding="utf-8"?>
<calcChain xmlns="http://schemas.openxmlformats.org/spreadsheetml/2006/main">
  <c r="Q91" i="1"/>
  <c r="D91"/>
  <c r="Q90"/>
  <c r="D90"/>
  <c r="Q89"/>
  <c r="D89"/>
  <c r="Q88"/>
  <c r="D88"/>
  <c r="Q87"/>
  <c r="D87"/>
  <c r="Q86"/>
  <c r="D86"/>
  <c r="Q85"/>
  <c r="D85"/>
  <c r="Q84"/>
  <c r="D84"/>
  <c r="Q83"/>
  <c r="D83"/>
  <c r="Q82"/>
  <c r="D82"/>
  <c r="Q81"/>
  <c r="D81"/>
  <c r="Q80"/>
  <c r="D80"/>
  <c r="Q79"/>
  <c r="D79"/>
  <c r="Q78"/>
  <c r="D78"/>
  <c r="Q77"/>
  <c r="D77"/>
  <c r="Q76"/>
  <c r="D76"/>
  <c r="Q75"/>
  <c r="D75"/>
  <c r="Q74"/>
  <c r="D74"/>
  <c r="Q73"/>
  <c r="D73"/>
  <c r="Q72"/>
  <c r="D72"/>
  <c r="Q71"/>
  <c r="D71"/>
  <c r="Q70"/>
  <c r="D70"/>
  <c r="Q69"/>
  <c r="D69"/>
  <c r="Q68"/>
  <c r="D68"/>
  <c r="Q67"/>
  <c r="D67"/>
  <c r="Q66"/>
  <c r="D66"/>
  <c r="Q65"/>
  <c r="D65"/>
  <c r="Q64"/>
  <c r="D64"/>
  <c r="Q63"/>
  <c r="D63"/>
  <c r="Q62"/>
  <c r="D62"/>
  <c r="Q61"/>
  <c r="D61"/>
  <c r="Q60"/>
  <c r="D60"/>
  <c r="Q59"/>
  <c r="D59"/>
  <c r="Q58"/>
  <c r="D58"/>
  <c r="Q57"/>
  <c r="D57"/>
  <c r="Q56"/>
  <c r="D56"/>
  <c r="Q55"/>
  <c r="D55"/>
  <c r="Q54"/>
  <c r="D54"/>
  <c r="Q53"/>
  <c r="D53"/>
  <c r="Q52"/>
  <c r="D52"/>
  <c r="Q51"/>
  <c r="D51"/>
  <c r="Q50"/>
  <c r="D50"/>
  <c r="Q49"/>
  <c r="D49"/>
  <c r="Q48"/>
  <c r="D48"/>
  <c r="Q47"/>
  <c r="D47"/>
  <c r="Q46"/>
  <c r="D46"/>
  <c r="Q45"/>
  <c r="D45"/>
  <c r="Q44"/>
  <c r="D44"/>
  <c r="Q43"/>
  <c r="D43"/>
  <c r="Q42"/>
  <c r="D42"/>
  <c r="Q41"/>
  <c r="D41"/>
  <c r="Q40"/>
  <c r="D40"/>
  <c r="Q39"/>
  <c r="D39"/>
  <c r="Q38"/>
  <c r="D38"/>
  <c r="Q37"/>
  <c r="D37"/>
  <c r="Q36"/>
  <c r="D36"/>
  <c r="Q35"/>
  <c r="D35"/>
  <c r="Q34"/>
  <c r="D34"/>
  <c r="Q33"/>
  <c r="D33"/>
  <c r="Q32"/>
  <c r="D32"/>
  <c r="Q31"/>
  <c r="D31"/>
  <c r="Q30"/>
  <c r="D30"/>
  <c r="Q29"/>
  <c r="D29"/>
  <c r="Q28"/>
  <c r="D28"/>
  <c r="Q27"/>
  <c r="D27"/>
  <c r="Q26"/>
  <c r="D26"/>
  <c r="Q25"/>
  <c r="D25"/>
  <c r="Q24"/>
  <c r="D24"/>
  <c r="Q23"/>
  <c r="D23"/>
  <c r="Q22"/>
  <c r="D22"/>
  <c r="Q21"/>
  <c r="D21"/>
  <c r="Q20"/>
  <c r="D20"/>
  <c r="Q19"/>
  <c r="D19"/>
  <c r="Q18"/>
  <c r="D18"/>
  <c r="Q17"/>
  <c r="D17"/>
  <c r="Q16"/>
  <c r="D16"/>
  <c r="Q15"/>
  <c r="D15"/>
  <c r="Q14"/>
  <c r="D14"/>
  <c r="AB41"/>
  <c r="AC38"/>
  <c r="AD37"/>
  <c r="AB37"/>
  <c r="AC34"/>
  <c r="AD33"/>
  <c r="AB33"/>
  <c r="AC30"/>
  <c r="AD29"/>
  <c r="AB29"/>
  <c r="AC26"/>
  <c r="AD25"/>
  <c r="AB25"/>
  <c r="AC22"/>
  <c r="AD21"/>
  <c r="AC18"/>
  <c r="AB17"/>
  <c r="AC16"/>
  <c r="AD15"/>
  <c r="AB15"/>
  <c r="AD40"/>
  <c r="AB40"/>
  <c r="AC39"/>
  <c r="AD38"/>
  <c r="AB38"/>
  <c r="AC37"/>
  <c r="AD36"/>
  <c r="AB36"/>
  <c r="AC35"/>
  <c r="AD34"/>
  <c r="AB34"/>
  <c r="AC33"/>
  <c r="AD32"/>
  <c r="AB32"/>
  <c r="AC31"/>
  <c r="AD30"/>
  <c r="AB30"/>
  <c r="AC29"/>
  <c r="AD28"/>
  <c r="AB28"/>
  <c r="AC27"/>
  <c r="AD26"/>
  <c r="AB26"/>
  <c r="AC25"/>
  <c r="AD24"/>
  <c r="AB24"/>
  <c r="AC23"/>
  <c r="AD22"/>
  <c r="AB22"/>
  <c r="AC21"/>
  <c r="AD20"/>
  <c r="AB20"/>
  <c r="AC19"/>
  <c r="AD18"/>
  <c r="AB18"/>
  <c r="AC17"/>
  <c r="AD16"/>
  <c r="AB16"/>
  <c r="AC15"/>
  <c r="AC40"/>
  <c r="AD39"/>
  <c r="AB39"/>
  <c r="AC36"/>
  <c r="AD35"/>
  <c r="AB35"/>
  <c r="AC32"/>
  <c r="AD31"/>
  <c r="AB31"/>
  <c r="AC28"/>
  <c r="AD27"/>
  <c r="AB27"/>
  <c r="AC24"/>
  <c r="AD23"/>
  <c r="AB23"/>
  <c r="AB21"/>
  <c r="AC20"/>
  <c r="AD19"/>
  <c r="AB19"/>
  <c r="AD17"/>
  <c r="AC41" l="1"/>
</calcChain>
</file>

<file path=xl/sharedStrings.xml><?xml version="1.0" encoding="utf-8"?>
<sst xmlns="http://schemas.openxmlformats.org/spreadsheetml/2006/main" count="453" uniqueCount="65">
  <si>
    <t>Результат справа</t>
  </si>
  <si>
    <t>2) Рассчитать чистую прибыль по каждой ТМ .</t>
  </si>
  <si>
    <t>3) Каждой ТМ подтянуть ее уникальный номер из Таблицы 2.</t>
  </si>
  <si>
    <t>4) Высчитать Среднемесячную прибыль за год по каждой ТМ.</t>
  </si>
  <si>
    <t>5) Рассчитать какую долю занимает каждая ТМ среди всех по размеру прибыли .</t>
  </si>
  <si>
    <t>Таблица 1</t>
  </si>
  <si>
    <t>Таблица 2</t>
  </si>
  <si>
    <t xml:space="preserve"> ТМ</t>
  </si>
  <si>
    <t>Город</t>
  </si>
  <si>
    <t>Метрики</t>
  </si>
  <si>
    <t>Номер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</si>
  <si>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</si>
  <si>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</si>
  <si>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</si>
  <si>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</si>
  <si>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</si>
  <si>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</si>
  <si>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</si>
  <si>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</si>
  <si>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</si>
  <si>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</si>
  <si>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</si>
  <si>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</si>
  <si>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</si>
  <si>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Сумма по полю итого</t>
  </si>
  <si>
    <t>Obolon</t>
  </si>
  <si>
    <t>Zaporozhye</t>
  </si>
  <si>
    <t>Затраты</t>
  </si>
  <si>
    <t>Прибыль</t>
  </si>
  <si>
    <t>Средний чек</t>
  </si>
  <si>
    <t>Чистая прибыль</t>
  </si>
  <si>
    <t>Среднемес прибыль</t>
  </si>
  <si>
    <t>Доля</t>
  </si>
  <si>
    <t>Kharkiv</t>
  </si>
  <si>
    <t>Chumak</t>
  </si>
  <si>
    <t>Odessa</t>
  </si>
  <si>
    <t>Dobryana</t>
  </si>
  <si>
    <t>Torchin</t>
  </si>
  <si>
    <t>Dniprodzerzhinsk</t>
  </si>
  <si>
    <t>Fanni</t>
  </si>
  <si>
    <t>Lviv</t>
  </si>
  <si>
    <t>Galyccina</t>
  </si>
  <si>
    <t>Truskavets</t>
  </si>
  <si>
    <t>Jaffa</t>
  </si>
  <si>
    <t>Berdyansk</t>
  </si>
  <si>
    <t>Konti</t>
  </si>
  <si>
    <t>Korolivskiy Smak</t>
  </si>
  <si>
    <t>Korona</t>
  </si>
  <si>
    <t>Sadochok</t>
  </si>
  <si>
    <t>Lubimov</t>
  </si>
  <si>
    <t>Myrgorodska</t>
  </si>
  <si>
    <t>Oleyna</t>
  </si>
  <si>
    <t>Roshen</t>
  </si>
  <si>
    <t>Rud</t>
  </si>
  <si>
    <t>Runa</t>
  </si>
  <si>
    <t>Sandora</t>
  </si>
  <si>
    <t>Schedriy Dar</t>
  </si>
  <si>
    <t>Schedro</t>
  </si>
  <si>
    <t>Svitoch</t>
  </si>
  <si>
    <t>Yagotynske</t>
  </si>
  <si>
    <t>Tulchinka</t>
  </si>
  <si>
    <t>Veres</t>
  </si>
  <si>
    <t>Yatran</t>
  </si>
  <si>
    <t>Zhivchik</t>
  </si>
  <si>
    <t>Общий итог</t>
  </si>
</sst>
</file>

<file path=xl/styles.xml><?xml version="1.0" encoding="utf-8"?>
<styleSheet xmlns="http://schemas.openxmlformats.org/spreadsheetml/2006/main">
  <numFmts count="2">
    <numFmt numFmtId="164" formatCode="_-* #,##0.00_р_._-;\-* #,##0.00_р_._-;_-* \-??_р_._-;_-@_-"/>
    <numFmt numFmtId="165" formatCode="_-* #,##0_р_._-;\-* #,##0_р_._-;_-* \-??_р_._-;_-@_-"/>
  </numFmts>
  <fonts count="7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60"/>
      <name val="Comic Sans MS"/>
      <family val="4"/>
      <charset val="204"/>
    </font>
    <font>
      <b/>
      <sz val="11"/>
      <color rgb="FFFF0000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name val="Arial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ill="0" applyBorder="0" applyAlignment="0" applyProtection="0"/>
    <xf numFmtId="9" fontId="5" fillId="0" borderId="0" applyFill="0" applyBorder="0" applyAlignment="0" applyProtection="0"/>
  </cellStyleXfs>
  <cellXfs count="16">
    <xf numFmtId="0" fontId="0" fillId="0" borderId="0" xfId="0"/>
    <xf numFmtId="0" fontId="2" fillId="0" borderId="0" xfId="0" applyFont="1" applyFill="1" applyBorder="1"/>
    <xf numFmtId="0" fontId="0" fillId="0" borderId="0" xfId="0" applyFill="1"/>
    <xf numFmtId="0" fontId="3" fillId="0" borderId="0" xfId="0" applyFont="1" applyFill="1"/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Fill="1" applyBorder="1"/>
    <xf numFmtId="0" fontId="4" fillId="0" borderId="3" xfId="0" applyFont="1" applyFill="1" applyBorder="1"/>
    <xf numFmtId="0" fontId="4" fillId="0" borderId="0" xfId="0" applyFont="1" applyBorder="1"/>
    <xf numFmtId="0" fontId="0" fillId="2" borderId="0" xfId="0" applyFill="1"/>
    <xf numFmtId="0" fontId="0" fillId="0" borderId="1" xfId="0" applyBorder="1"/>
    <xf numFmtId="0" fontId="0" fillId="0" borderId="0" xfId="0" applyBorder="1"/>
    <xf numFmtId="0" fontId="4" fillId="2" borderId="0" xfId="0" applyFont="1" applyFill="1"/>
    <xf numFmtId="165" fontId="1" fillId="0" borderId="0" xfId="1" applyNumberFormat="1"/>
    <xf numFmtId="10" fontId="6" fillId="0" borderId="0" xfId="2" applyNumberFormat="1" applyFont="1"/>
    <xf numFmtId="165" fontId="1" fillId="2" borderId="0" xfId="1" applyNumberFormat="1" applyFill="1"/>
  </cellXfs>
  <cellStyles count="3">
    <cellStyle name="Обычный" xfId="0" builtinId="0"/>
    <cellStyle name="Процентный" xfId="2" builtinId="5"/>
    <cellStyle name="Финансовый" xfId="1" builtinId="3"/>
  </cellStyles>
  <dxfs count="9">
    <dxf>
      <numFmt numFmtId="165" formatCode="_-* #,##0_р_._-;\-* #,##0_р_._-;_-* \-??_р_._-;_-@_-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495300</xdr:colOff>
      <xdr:row>1</xdr:row>
      <xdr:rowOff>47625</xdr:rowOff>
    </xdr:from>
    <xdr:to>
      <xdr:col>20</xdr:col>
      <xdr:colOff>152400</xdr:colOff>
      <xdr:row>4</xdr:row>
      <xdr:rowOff>180975</xdr:rowOff>
    </xdr:to>
    <xdr:sp macro="" textlink="">
      <xdr:nvSpPr>
        <xdr:cNvPr id="5" name="Стрелка вправо 6"/>
        <xdr:cNvSpPr>
          <a:spLocks noChangeArrowheads="1"/>
        </xdr:cNvSpPr>
      </xdr:nvSpPr>
      <xdr:spPr bwMode="auto">
        <a:xfrm>
          <a:off x="10744200" y="276225"/>
          <a:ext cx="4695825" cy="742950"/>
        </a:xfrm>
        <a:prstGeom prst="rightArrow">
          <a:avLst>
            <a:gd name="adj1" fmla="val 50000"/>
            <a:gd name="adj2" fmla="val 49774"/>
          </a:avLst>
        </a:prstGeom>
        <a:solidFill>
          <a:srgbClr val="FF0000"/>
        </a:solidFill>
        <a:ln w="9525" algn="ctr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25</xdr:col>
      <xdr:colOff>257175</xdr:colOff>
      <xdr:row>1</xdr:row>
      <xdr:rowOff>190500</xdr:rowOff>
    </xdr:from>
    <xdr:to>
      <xdr:col>27</xdr:col>
      <xdr:colOff>38100</xdr:colOff>
      <xdr:row>9</xdr:row>
      <xdr:rowOff>66675</xdr:rowOff>
    </xdr:to>
    <xdr:sp macro="" textlink="">
      <xdr:nvSpPr>
        <xdr:cNvPr id="6" name="Стрелка вниз 7"/>
        <xdr:cNvSpPr>
          <a:spLocks noChangeArrowheads="1"/>
        </xdr:cNvSpPr>
      </xdr:nvSpPr>
      <xdr:spPr bwMode="auto">
        <a:xfrm>
          <a:off x="20126325" y="419100"/>
          <a:ext cx="828675" cy="1438275"/>
        </a:xfrm>
        <a:prstGeom prst="downArrow">
          <a:avLst>
            <a:gd name="adj1" fmla="val 50000"/>
            <a:gd name="adj2" fmla="val 50173"/>
          </a:avLst>
        </a:prstGeom>
        <a:solidFill>
          <a:srgbClr val="FF0000"/>
        </a:solidFill>
        <a:ln w="9525" algn="ctr">
          <a:solidFill>
            <a:srgbClr val="400000"/>
          </a:solidFill>
          <a:round/>
          <a:headEnd/>
          <a:tailEnd/>
        </a:ln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Homeuser/Downloads/111111.xls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omeuser" refreshedDate="43890.891241435187" createdVersion="1" refreshedVersion="3" recordCount="78" upgradeOnRefresh="1">
  <cacheSource type="worksheet">
    <worksheetSource ref="A13:Q91" sheet="4" r:id="rId2"/>
  </cacheSource>
  <cacheFields count="17">
    <cacheField name=" ТМ" numFmtId="0">
      <sharedItems count="26">
        <s v="Obolon"/>
        <s v="Torchin"/>
        <s v="Chumak"/>
        <s v="Sadochok"/>
        <s v="Myrgorodska"/>
        <s v="Oleyna"/>
        <s v="Jaffa"/>
        <s v="Yagotynske"/>
        <s v="Svitoch"/>
        <s v="Lubimov"/>
        <s v="Zhivchik"/>
        <s v="Roshen"/>
        <s v="Korona"/>
        <s v="Tulchinka"/>
        <s v="Sandora"/>
        <s v="Veres"/>
        <s v="Galyccina"/>
        <s v="Konti"/>
        <s v="Korolivskiy Smak"/>
        <s v="Yatran"/>
        <s v="Fanni"/>
        <s v="Schedriy Dar"/>
        <s v="Schedro"/>
        <s v="Runa"/>
        <s v="Rud"/>
        <s v="Dobryana"/>
      </sharedItems>
    </cacheField>
    <cacheField name="Город" numFmtId="0">
      <sharedItems/>
    </cacheField>
    <cacheField name="Метрики" numFmtId="0">
      <sharedItems count="3">
        <s v="Затраты"/>
        <s v="Прибыль"/>
        <s v="Средний чек"/>
      </sharedItems>
    </cacheField>
    <cacheField name="Номер" numFmtId="0">
      <sharedItems containsSemiMixedTypes="0" containsString="0" containsNumber="1" containsInteger="1" minValue="1366101" maxValue="17128981"/>
    </cacheField>
    <cacheField name="Январь" numFmtId="0">
      <sharedItems containsSemiMixedTypes="0" containsString="0" containsNumber="1" containsInteger="1" minValue="17" maxValue="9804790"/>
    </cacheField>
    <cacheField name="Февраль" numFmtId="0">
      <sharedItems containsSemiMixedTypes="0" containsString="0" containsNumber="1" containsInteger="1" minValue="19" maxValue="9754790"/>
    </cacheField>
    <cacheField name="Март" numFmtId="0">
      <sharedItems containsSemiMixedTypes="0" containsString="0" containsNumber="1" containsInteger="1" minValue="14" maxValue="9714790"/>
    </cacheField>
    <cacheField name="Апрель" numFmtId="0">
      <sharedItems containsSemiMixedTypes="0" containsString="0" containsNumber="1" containsInteger="1" minValue="19" maxValue="9754790"/>
    </cacheField>
    <cacheField name="Май" numFmtId="0">
      <sharedItems containsSemiMixedTypes="0" containsString="0" containsNumber="1" containsInteger="1" minValue="18" maxValue="9844790"/>
    </cacheField>
    <cacheField name="Июнь" numFmtId="0">
      <sharedItems containsSemiMixedTypes="0" containsString="0" containsNumber="1" containsInteger="1" minValue="23" maxValue="9134790"/>
    </cacheField>
    <cacheField name="Июль" numFmtId="0">
      <sharedItems containsSemiMixedTypes="0" containsString="0" containsNumber="1" containsInteger="1" minValue="16" maxValue="8424790"/>
    </cacheField>
    <cacheField name="Август" numFmtId="0">
      <sharedItems containsSemiMixedTypes="0" containsString="0" containsNumber="1" containsInteger="1" minValue="19" maxValue="9134790"/>
    </cacheField>
    <cacheField name="Сентябрь" numFmtId="0">
      <sharedItems containsSemiMixedTypes="0" containsString="0" containsNumber="1" containsInteger="1" minValue="18" maxValue="9844790"/>
    </cacheField>
    <cacheField name="Октябрь" numFmtId="0">
      <sharedItems containsSemiMixedTypes="0" containsString="0" containsNumber="1" containsInteger="1" minValue="23" maxValue="9134790"/>
    </cacheField>
    <cacheField name="Ноябрь" numFmtId="0">
      <sharedItems containsSemiMixedTypes="0" containsString="0" containsNumber="1" containsInteger="1" minValue="20" maxValue="9444790"/>
    </cacheField>
    <cacheField name="Декабрь" numFmtId="0">
      <sharedItems containsSemiMixedTypes="0" containsString="0" containsNumber="1" containsInteger="1" minValue="23" maxValue="9754790"/>
    </cacheField>
    <cacheField name="итого" numFmtId="0">
      <sharedItems containsSemiMixedTypes="0" containsString="0" containsNumber="1" containsInteger="1" minValue="229" maxValue="11374748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">
  <r>
    <x v="0"/>
    <s v="Zaporozhye"/>
    <x v="0"/>
    <n v="8210816"/>
    <n v="3007840"/>
    <n v="2957840"/>
    <n v="2917840"/>
    <n v="2957840"/>
    <n v="3047840"/>
    <n v="2337840"/>
    <n v="1627840"/>
    <n v="2337840"/>
    <n v="3047840"/>
    <n v="2337840"/>
    <n v="2647840"/>
    <n v="2957840"/>
    <n v="32184080"/>
  </r>
  <r>
    <x v="0"/>
    <s v="Zaporozhye"/>
    <x v="1"/>
    <n v="8210816"/>
    <n v="7088851"/>
    <n v="7038851"/>
    <n v="6998851"/>
    <n v="7038851"/>
    <n v="7128851"/>
    <n v="6418851"/>
    <n v="5708851"/>
    <n v="6418851"/>
    <n v="7128851"/>
    <n v="6418851"/>
    <n v="6728851"/>
    <n v="7038851"/>
    <n v="81156212"/>
  </r>
  <r>
    <x v="0"/>
    <s v="Zaporozhye"/>
    <x v="2"/>
    <n v="8210816"/>
    <n v="30"/>
    <n v="32"/>
    <n v="27"/>
    <n v="32"/>
    <n v="31"/>
    <n v="36"/>
    <n v="29"/>
    <n v="32"/>
    <n v="31"/>
    <n v="36"/>
    <n v="33"/>
    <n v="36"/>
    <n v="385"/>
  </r>
  <r>
    <x v="1"/>
    <s v="Kharkiv"/>
    <x v="0"/>
    <n v="17128981"/>
    <n v="2066800"/>
    <n v="2016800"/>
    <n v="1976800"/>
    <n v="2016800"/>
    <n v="2106800"/>
    <n v="1396800"/>
    <n v="686800"/>
    <n v="1396800"/>
    <n v="2106800"/>
    <n v="1396800"/>
    <n v="1706800"/>
    <n v="2016800"/>
    <n v="20891600"/>
  </r>
  <r>
    <x v="1"/>
    <s v="Kharkiv"/>
    <x v="1"/>
    <n v="17128981"/>
    <n v="4005894"/>
    <n v="3955894"/>
    <n v="3915894"/>
    <n v="3955894"/>
    <n v="4045894"/>
    <n v="3335894"/>
    <n v="2625894"/>
    <n v="3335894"/>
    <n v="4045894"/>
    <n v="3335894"/>
    <n v="3645894"/>
    <n v="3955894"/>
    <n v="44160728"/>
  </r>
  <r>
    <x v="1"/>
    <s v="Kharkiv"/>
    <x v="2"/>
    <n v="17128981"/>
    <n v="18"/>
    <n v="20"/>
    <n v="15"/>
    <n v="20"/>
    <n v="19"/>
    <n v="24"/>
    <n v="17"/>
    <n v="20"/>
    <n v="19"/>
    <n v="24"/>
    <n v="21"/>
    <n v="24"/>
    <n v="241"/>
  </r>
  <r>
    <x v="2"/>
    <s v="Dniprodzerzhinsk"/>
    <x v="0"/>
    <n v="9183131"/>
    <n v="3578900"/>
    <n v="3528900"/>
    <n v="3488900"/>
    <n v="3528900"/>
    <n v="3618900"/>
    <n v="2908900"/>
    <n v="2198900"/>
    <n v="2908900"/>
    <n v="3618900"/>
    <n v="2908900"/>
    <n v="3218900"/>
    <n v="3528900"/>
    <n v="39036800"/>
  </r>
  <r>
    <x v="2"/>
    <s v="Dniprodzerzhinsk"/>
    <x v="1"/>
    <n v="9183131"/>
    <n v="7568900"/>
    <n v="7518900"/>
    <n v="7478900"/>
    <n v="7518900"/>
    <n v="7608900"/>
    <n v="6898900"/>
    <n v="6188900"/>
    <n v="6898900"/>
    <n v="7608900"/>
    <n v="6898900"/>
    <n v="7208900"/>
    <n v="7518900"/>
    <n v="86916800"/>
  </r>
  <r>
    <x v="2"/>
    <s v="Dniprodzerzhinsk"/>
    <x v="2"/>
    <n v="9183131"/>
    <n v="28"/>
    <n v="30"/>
    <n v="25"/>
    <n v="30"/>
    <n v="29"/>
    <n v="34"/>
    <n v="27"/>
    <n v="30"/>
    <n v="29"/>
    <n v="34"/>
    <n v="31"/>
    <n v="34"/>
    <n v="361"/>
  </r>
  <r>
    <x v="3"/>
    <s v="Odessa"/>
    <x v="0"/>
    <n v="2721972"/>
    <n v="3400780"/>
    <n v="3350780"/>
    <n v="3310780"/>
    <n v="3350780"/>
    <n v="3440780"/>
    <n v="2730780"/>
    <n v="2020780"/>
    <n v="2730780"/>
    <n v="3440780"/>
    <n v="2730780"/>
    <n v="3040780"/>
    <n v="3350780"/>
    <n v="36899360"/>
  </r>
  <r>
    <x v="3"/>
    <s v="Odessa"/>
    <x v="1"/>
    <n v="2721972"/>
    <n v="6500954"/>
    <n v="6450954"/>
    <n v="6410954"/>
    <n v="6450954"/>
    <n v="6540954"/>
    <n v="5830954"/>
    <n v="5120954"/>
    <n v="5830954"/>
    <n v="6540954"/>
    <n v="5830954"/>
    <n v="6140954"/>
    <n v="6450954"/>
    <n v="74101448"/>
  </r>
  <r>
    <x v="3"/>
    <s v="Odessa"/>
    <x v="2"/>
    <n v="2721972"/>
    <n v="40"/>
    <n v="42"/>
    <n v="37"/>
    <n v="42"/>
    <n v="41"/>
    <n v="46"/>
    <n v="39"/>
    <n v="42"/>
    <n v="41"/>
    <n v="46"/>
    <n v="43"/>
    <n v="46"/>
    <n v="505"/>
  </r>
  <r>
    <x v="4"/>
    <s v="Lviv"/>
    <x v="0"/>
    <n v="2592116"/>
    <n v="4600100"/>
    <n v="4550100"/>
    <n v="4510100"/>
    <n v="4550100"/>
    <n v="4640100"/>
    <n v="3930100"/>
    <n v="3220100"/>
    <n v="3930100"/>
    <n v="4640100"/>
    <n v="3930100"/>
    <n v="4240100"/>
    <n v="4550100"/>
    <n v="51291200"/>
  </r>
  <r>
    <x v="4"/>
    <s v="Lviv"/>
    <x v="1"/>
    <n v="2592116"/>
    <n v="9505730"/>
    <n v="9455730"/>
    <n v="9415730"/>
    <n v="9455730"/>
    <n v="9545730"/>
    <n v="8835730"/>
    <n v="8125730"/>
    <n v="8835730"/>
    <n v="9545730"/>
    <n v="8835730"/>
    <n v="9145730"/>
    <n v="9455730"/>
    <n v="110158760"/>
  </r>
  <r>
    <x v="4"/>
    <s v="Lviv"/>
    <x v="2"/>
    <n v="2592116"/>
    <n v="17"/>
    <n v="19"/>
    <n v="14"/>
    <n v="19"/>
    <n v="18"/>
    <n v="23"/>
    <n v="16"/>
    <n v="19"/>
    <n v="18"/>
    <n v="23"/>
    <n v="20"/>
    <n v="23"/>
    <n v="229"/>
  </r>
  <r>
    <x v="5"/>
    <s v="Dniprodzerzhinsk"/>
    <x v="0"/>
    <n v="7044377"/>
    <n v="4807890"/>
    <n v="4757890"/>
    <n v="4717890"/>
    <n v="4757890"/>
    <n v="4847890"/>
    <n v="4137890"/>
    <n v="3427890"/>
    <n v="4137890"/>
    <n v="4847890"/>
    <n v="4137890"/>
    <n v="4447890"/>
    <n v="4757890"/>
    <n v="53784680"/>
  </r>
  <r>
    <x v="5"/>
    <s v="Dniprodzerzhinsk"/>
    <x v="1"/>
    <n v="7044377"/>
    <n v="9804790"/>
    <n v="9754790"/>
    <n v="9714790"/>
    <n v="9754790"/>
    <n v="9844790"/>
    <n v="9134790"/>
    <n v="8424790"/>
    <n v="9134790"/>
    <n v="9844790"/>
    <n v="9134790"/>
    <n v="9444790"/>
    <n v="9754790"/>
    <n v="113747480"/>
  </r>
  <r>
    <x v="5"/>
    <s v="Dniprodzerzhinsk"/>
    <x v="2"/>
    <n v="7044377"/>
    <n v="38"/>
    <n v="40"/>
    <n v="35"/>
    <n v="40"/>
    <n v="39"/>
    <n v="44"/>
    <n v="37"/>
    <n v="40"/>
    <n v="39"/>
    <n v="44"/>
    <n v="41"/>
    <n v="44"/>
    <n v="481"/>
  </r>
  <r>
    <x v="6"/>
    <s v="Kharkiv"/>
    <x v="0"/>
    <n v="6380365"/>
    <n v="3807060"/>
    <n v="3757060"/>
    <n v="3717060"/>
    <n v="3757060"/>
    <n v="3847060"/>
    <n v="3137060"/>
    <n v="2427060"/>
    <n v="3137060"/>
    <n v="3847060"/>
    <n v="3137060"/>
    <n v="3447060"/>
    <n v="3757060"/>
    <n v="41774720"/>
  </r>
  <r>
    <x v="6"/>
    <s v="Kharkiv"/>
    <x v="1"/>
    <n v="6380365"/>
    <n v="7900000"/>
    <n v="7850000"/>
    <n v="7810000"/>
    <n v="7850000"/>
    <n v="7940000"/>
    <n v="7230000"/>
    <n v="6520000"/>
    <n v="7230000"/>
    <n v="7940000"/>
    <n v="7230000"/>
    <n v="7540000"/>
    <n v="7850000"/>
    <n v="90890000"/>
  </r>
  <r>
    <x v="6"/>
    <s v="Kharkiv"/>
    <x v="2"/>
    <n v="6380365"/>
    <n v="45"/>
    <n v="47"/>
    <n v="42"/>
    <n v="47"/>
    <n v="46"/>
    <n v="51"/>
    <n v="44"/>
    <n v="47"/>
    <n v="46"/>
    <n v="51"/>
    <n v="48"/>
    <n v="51"/>
    <n v="565"/>
  </r>
  <r>
    <x v="7"/>
    <s v="Dniprodzerzhinsk"/>
    <x v="0"/>
    <n v="7945062"/>
    <n v="3806007"/>
    <n v="3756007"/>
    <n v="3716007"/>
    <n v="3756007"/>
    <n v="3846007"/>
    <n v="3136007"/>
    <n v="2426007"/>
    <n v="3136007"/>
    <n v="3846007"/>
    <n v="3136007"/>
    <n v="3446007"/>
    <n v="3756007"/>
    <n v="41762084"/>
  </r>
  <r>
    <x v="7"/>
    <s v="Dniprodzerzhinsk"/>
    <x v="1"/>
    <n v="7945062"/>
    <n v="8700190"/>
    <n v="8650190"/>
    <n v="8610190"/>
    <n v="8650190"/>
    <n v="8740190"/>
    <n v="8030190"/>
    <n v="7320190"/>
    <n v="8030190"/>
    <n v="8740190"/>
    <n v="8030190"/>
    <n v="8340190"/>
    <n v="8650190"/>
    <n v="100492280"/>
  </r>
  <r>
    <x v="7"/>
    <s v="Dniprodzerzhinsk"/>
    <x v="2"/>
    <n v="7945062"/>
    <n v="100"/>
    <n v="102"/>
    <n v="97"/>
    <n v="102"/>
    <n v="101"/>
    <n v="106"/>
    <n v="99"/>
    <n v="102"/>
    <n v="101"/>
    <n v="106"/>
    <n v="103"/>
    <n v="106"/>
    <n v="1225"/>
  </r>
  <r>
    <x v="8"/>
    <s v="Lviv"/>
    <x v="0"/>
    <n v="2636785"/>
    <n v="3108910"/>
    <n v="3058910"/>
    <n v="3018910"/>
    <n v="3058910"/>
    <n v="3148910"/>
    <n v="2438910"/>
    <n v="1728910"/>
    <n v="2438910"/>
    <n v="3148910"/>
    <n v="2438910"/>
    <n v="2748910"/>
    <n v="3058910"/>
    <n v="33396920"/>
  </r>
  <r>
    <x v="8"/>
    <s v="Lviv"/>
    <x v="1"/>
    <n v="2636785"/>
    <n v="6905890"/>
    <n v="6855890"/>
    <n v="6815890"/>
    <n v="6855890"/>
    <n v="6945890"/>
    <n v="6235890"/>
    <n v="5525890"/>
    <n v="6235890"/>
    <n v="6945890"/>
    <n v="6235890"/>
    <n v="6545890"/>
    <n v="6855890"/>
    <n v="78960680"/>
  </r>
  <r>
    <x v="8"/>
    <s v="Lviv"/>
    <x v="2"/>
    <n v="2636785"/>
    <n v="60"/>
    <n v="62"/>
    <n v="57"/>
    <n v="62"/>
    <n v="61"/>
    <n v="66"/>
    <n v="59"/>
    <n v="62"/>
    <n v="61"/>
    <n v="66"/>
    <n v="63"/>
    <n v="66"/>
    <n v="745"/>
  </r>
  <r>
    <x v="9"/>
    <s v="Zaporozhye"/>
    <x v="0"/>
    <n v="7759093"/>
    <n v="3400067"/>
    <n v="3350067"/>
    <n v="3310067"/>
    <n v="3350067"/>
    <n v="3440067"/>
    <n v="2730067"/>
    <n v="2020067"/>
    <n v="2730067"/>
    <n v="3440067"/>
    <n v="2730067"/>
    <n v="3040067"/>
    <n v="3350067"/>
    <n v="36890804"/>
  </r>
  <r>
    <x v="9"/>
    <s v="Zaporozhye"/>
    <x v="1"/>
    <n v="7759093"/>
    <n v="5174380"/>
    <n v="5124380"/>
    <n v="5084380"/>
    <n v="5124380"/>
    <n v="5214380"/>
    <n v="4504380"/>
    <n v="3794380"/>
    <n v="4504380"/>
    <n v="5214380"/>
    <n v="4504380"/>
    <n v="4814380"/>
    <n v="5124380"/>
    <n v="58182560"/>
  </r>
  <r>
    <x v="9"/>
    <s v="Zaporozhye"/>
    <x v="2"/>
    <n v="7759093"/>
    <n v="45"/>
    <n v="47"/>
    <n v="42"/>
    <n v="47"/>
    <n v="46"/>
    <n v="51"/>
    <n v="44"/>
    <n v="47"/>
    <n v="46"/>
    <n v="51"/>
    <n v="48"/>
    <n v="51"/>
    <n v="565"/>
  </r>
  <r>
    <x v="10"/>
    <s v="Truskavets"/>
    <x v="0"/>
    <n v="2306476"/>
    <n v="4486006"/>
    <n v="4436006"/>
    <n v="4396006"/>
    <n v="4436006"/>
    <n v="4526006"/>
    <n v="3816006"/>
    <n v="3106006"/>
    <n v="3816006"/>
    <n v="4526006"/>
    <n v="3816006"/>
    <n v="4126006"/>
    <n v="4436006"/>
    <n v="49922072"/>
  </r>
  <r>
    <x v="10"/>
    <s v="Truskavets"/>
    <x v="1"/>
    <n v="2306476"/>
    <n v="7107805"/>
    <n v="7057805"/>
    <n v="7017805"/>
    <n v="7057805"/>
    <n v="7147805"/>
    <n v="6437805"/>
    <n v="5727805"/>
    <n v="6437805"/>
    <n v="7147805"/>
    <n v="6437805"/>
    <n v="6747805"/>
    <n v="7057805"/>
    <n v="81383660"/>
  </r>
  <r>
    <x v="10"/>
    <s v="Truskavets"/>
    <x v="2"/>
    <n v="2306476"/>
    <n v="45"/>
    <n v="47"/>
    <n v="42"/>
    <n v="47"/>
    <n v="46"/>
    <n v="51"/>
    <n v="44"/>
    <n v="47"/>
    <n v="46"/>
    <n v="51"/>
    <n v="48"/>
    <n v="51"/>
    <n v="565"/>
  </r>
  <r>
    <x v="11"/>
    <s v="Kharkiv"/>
    <x v="0"/>
    <n v="1531442"/>
    <n v="3600780"/>
    <n v="3550780"/>
    <n v="3510780"/>
    <n v="3550780"/>
    <n v="3640780"/>
    <n v="2930780"/>
    <n v="2220780"/>
    <n v="2930780"/>
    <n v="3640780"/>
    <n v="2930780"/>
    <n v="3240780"/>
    <n v="3550780"/>
    <n v="39299360"/>
  </r>
  <r>
    <x v="11"/>
    <s v="Kharkiv"/>
    <x v="1"/>
    <n v="1531442"/>
    <n v="8100790"/>
    <n v="8050790"/>
    <n v="8010790"/>
    <n v="8050790"/>
    <n v="8140790"/>
    <n v="7430790"/>
    <n v="6720790"/>
    <n v="7430790"/>
    <n v="8140790"/>
    <n v="7430790"/>
    <n v="7740790"/>
    <n v="8050790"/>
    <n v="93299480"/>
  </r>
  <r>
    <x v="11"/>
    <s v="Kharkiv"/>
    <x v="2"/>
    <n v="1531442"/>
    <n v="55"/>
    <n v="57"/>
    <n v="52"/>
    <n v="57"/>
    <n v="56"/>
    <n v="61"/>
    <n v="54"/>
    <n v="57"/>
    <n v="56"/>
    <n v="61"/>
    <n v="58"/>
    <n v="61"/>
    <n v="685"/>
  </r>
  <r>
    <x v="12"/>
    <s v="Zaporozhye"/>
    <x v="0"/>
    <n v="2765772"/>
    <n v="3400964"/>
    <n v="3350964"/>
    <n v="3310964"/>
    <n v="3350964"/>
    <n v="3440964"/>
    <n v="2730964"/>
    <n v="2020964"/>
    <n v="2730964"/>
    <n v="3440964"/>
    <n v="2730964"/>
    <n v="3040964"/>
    <n v="3350964"/>
    <n v="36901568"/>
  </r>
  <r>
    <x v="12"/>
    <s v="Zaporozhye"/>
    <x v="1"/>
    <n v="2765772"/>
    <n v="6100843"/>
    <n v="6050843"/>
    <n v="6010843"/>
    <n v="6050843"/>
    <n v="6140843"/>
    <n v="5430843"/>
    <n v="4720843"/>
    <n v="5430843"/>
    <n v="6140843"/>
    <n v="5430843"/>
    <n v="5740843"/>
    <n v="6050843"/>
    <n v="69300116"/>
  </r>
  <r>
    <x v="12"/>
    <s v="Zaporozhye"/>
    <x v="2"/>
    <n v="2765772"/>
    <n v="40"/>
    <n v="42"/>
    <n v="37"/>
    <n v="42"/>
    <n v="41"/>
    <n v="46"/>
    <n v="39"/>
    <n v="42"/>
    <n v="41"/>
    <n v="46"/>
    <n v="43"/>
    <n v="46"/>
    <n v="505"/>
  </r>
  <r>
    <x v="13"/>
    <s v="Odessa"/>
    <x v="0"/>
    <n v="5365980"/>
    <n v="4488950"/>
    <n v="4438950"/>
    <n v="4398950"/>
    <n v="4438950"/>
    <n v="4528950"/>
    <n v="3818950"/>
    <n v="3108950"/>
    <n v="3818950"/>
    <n v="4528950"/>
    <n v="3818950"/>
    <n v="4128950"/>
    <n v="4438950"/>
    <n v="49957400"/>
  </r>
  <r>
    <x v="13"/>
    <s v="Odessa"/>
    <x v="1"/>
    <n v="5365980"/>
    <n v="7407890"/>
    <n v="7357890"/>
    <n v="7317890"/>
    <n v="7357890"/>
    <n v="7447890"/>
    <n v="6737890"/>
    <n v="6027890"/>
    <n v="6737890"/>
    <n v="7447890"/>
    <n v="6737890"/>
    <n v="7047890"/>
    <n v="7357890"/>
    <n v="84984680"/>
  </r>
  <r>
    <x v="13"/>
    <s v="Odessa"/>
    <x v="2"/>
    <n v="5365980"/>
    <n v="35"/>
    <n v="37"/>
    <n v="32"/>
    <n v="37"/>
    <n v="36"/>
    <n v="41"/>
    <n v="34"/>
    <n v="37"/>
    <n v="36"/>
    <n v="41"/>
    <n v="38"/>
    <n v="41"/>
    <n v="445"/>
  </r>
  <r>
    <x v="14"/>
    <s v="Zaporozhye"/>
    <x v="0"/>
    <n v="4498536"/>
    <n v="3800788"/>
    <n v="3750788"/>
    <n v="3710788"/>
    <n v="3750788"/>
    <n v="3840788"/>
    <n v="3130788"/>
    <n v="2420788"/>
    <n v="3130788"/>
    <n v="3840788"/>
    <n v="3130788"/>
    <n v="3440788"/>
    <n v="3750788"/>
    <n v="41699456"/>
  </r>
  <r>
    <x v="14"/>
    <s v="Zaporozhye"/>
    <x v="1"/>
    <n v="4498536"/>
    <n v="8708450"/>
    <n v="8658450"/>
    <n v="8618450"/>
    <n v="8658450"/>
    <n v="8748450"/>
    <n v="8038450"/>
    <n v="7328450"/>
    <n v="8038450"/>
    <n v="8748450"/>
    <n v="8038450"/>
    <n v="8348450"/>
    <n v="8658450"/>
    <n v="100591400"/>
  </r>
  <r>
    <x v="14"/>
    <s v="Zaporozhye"/>
    <x v="2"/>
    <n v="4498536"/>
    <n v="53"/>
    <n v="55"/>
    <n v="50"/>
    <n v="55"/>
    <n v="54"/>
    <n v="59"/>
    <n v="52"/>
    <n v="55"/>
    <n v="54"/>
    <n v="59"/>
    <n v="56"/>
    <n v="59"/>
    <n v="661"/>
  </r>
  <r>
    <x v="15"/>
    <s v="Truskavets"/>
    <x v="0"/>
    <n v="4312524"/>
    <n v="3155890"/>
    <n v="3105890"/>
    <n v="3065890"/>
    <n v="3105890"/>
    <n v="3195890"/>
    <n v="2485890"/>
    <n v="1775890"/>
    <n v="2485890"/>
    <n v="3195890"/>
    <n v="2485890"/>
    <n v="2795890"/>
    <n v="3105890"/>
    <n v="33960680"/>
  </r>
  <r>
    <x v="15"/>
    <s v="Truskavets"/>
    <x v="1"/>
    <n v="4312524"/>
    <n v="5670889"/>
    <n v="5620889"/>
    <n v="5580889"/>
    <n v="5620889"/>
    <n v="5710889"/>
    <n v="5000889"/>
    <n v="4290889"/>
    <n v="5000889"/>
    <n v="5710889"/>
    <n v="5000889"/>
    <n v="5310889"/>
    <n v="5620889"/>
    <n v="64140668"/>
  </r>
  <r>
    <x v="15"/>
    <s v="Truskavets"/>
    <x v="2"/>
    <n v="4312524"/>
    <n v="43"/>
    <n v="45"/>
    <n v="40"/>
    <n v="45"/>
    <n v="44"/>
    <n v="49"/>
    <n v="42"/>
    <n v="45"/>
    <n v="44"/>
    <n v="49"/>
    <n v="46"/>
    <n v="49"/>
    <n v="541"/>
  </r>
  <r>
    <x v="16"/>
    <s v="Lviv"/>
    <x v="0"/>
    <n v="5904640"/>
    <n v="2155000"/>
    <n v="2105000"/>
    <n v="2065000"/>
    <n v="2105000"/>
    <n v="2195000"/>
    <n v="1485000"/>
    <n v="775000"/>
    <n v="1485000"/>
    <n v="2195000"/>
    <n v="1485000"/>
    <n v="1795000"/>
    <n v="2105000"/>
    <n v="21950000"/>
  </r>
  <r>
    <x v="16"/>
    <s v="Lviv"/>
    <x v="1"/>
    <n v="5904640"/>
    <n v="5899758"/>
    <n v="5849758"/>
    <n v="5809758"/>
    <n v="5849758"/>
    <n v="5939758"/>
    <n v="5229758"/>
    <n v="4519758"/>
    <n v="5229758"/>
    <n v="5939758"/>
    <n v="5229758"/>
    <n v="5539758"/>
    <n v="5849758"/>
    <n v="66887096"/>
  </r>
  <r>
    <x v="16"/>
    <s v="Lviv"/>
    <x v="2"/>
    <n v="5904640"/>
    <n v="33"/>
    <n v="35"/>
    <n v="30"/>
    <n v="35"/>
    <n v="34"/>
    <n v="39"/>
    <n v="32"/>
    <n v="35"/>
    <n v="34"/>
    <n v="39"/>
    <n v="36"/>
    <n v="39"/>
    <n v="421"/>
  </r>
  <r>
    <x v="17"/>
    <s v="Berdyansk"/>
    <x v="0"/>
    <n v="7142646"/>
    <n v="5455890"/>
    <n v="5405890"/>
    <n v="5365890"/>
    <n v="5405890"/>
    <n v="5495890"/>
    <n v="4785890"/>
    <n v="4075890"/>
    <n v="4785890"/>
    <n v="5495890"/>
    <n v="4785890"/>
    <n v="5095890"/>
    <n v="5405890"/>
    <n v="61560680"/>
  </r>
  <r>
    <x v="17"/>
    <s v="Berdyansk"/>
    <x v="1"/>
    <n v="7142646"/>
    <n v="9670889"/>
    <n v="9620889"/>
    <n v="9580889"/>
    <n v="9620889"/>
    <n v="9710889"/>
    <n v="9000889"/>
    <n v="8290889"/>
    <n v="9000889"/>
    <n v="9710889"/>
    <n v="9000889"/>
    <n v="9310889"/>
    <n v="9620889"/>
    <n v="112140668"/>
  </r>
  <r>
    <x v="17"/>
    <s v="Berdyansk"/>
    <x v="2"/>
    <n v="7142646"/>
    <n v="20"/>
    <n v="22"/>
    <n v="17"/>
    <n v="22"/>
    <n v="21"/>
    <n v="26"/>
    <n v="19"/>
    <n v="22"/>
    <n v="21"/>
    <n v="26"/>
    <n v="23"/>
    <n v="26"/>
    <n v="265"/>
  </r>
  <r>
    <x v="18"/>
    <s v="Odessa"/>
    <x v="0"/>
    <n v="4285005"/>
    <n v="3159800"/>
    <n v="3109800"/>
    <n v="3069800"/>
    <n v="3109800"/>
    <n v="3199800"/>
    <n v="2489800"/>
    <n v="1779800"/>
    <n v="2489800"/>
    <n v="3199800"/>
    <n v="2489800"/>
    <n v="2799800"/>
    <n v="3109800"/>
    <n v="34007600"/>
  </r>
  <r>
    <x v="18"/>
    <s v="Odessa"/>
    <x v="1"/>
    <n v="4285005"/>
    <n v="8899758"/>
    <n v="8849758"/>
    <n v="8809758"/>
    <n v="8849758"/>
    <n v="8939758"/>
    <n v="8229758"/>
    <n v="7519758"/>
    <n v="8229758"/>
    <n v="8939758"/>
    <n v="8229758"/>
    <n v="8539758"/>
    <n v="8849758"/>
    <n v="102887096"/>
  </r>
  <r>
    <x v="18"/>
    <s v="Odessa"/>
    <x v="2"/>
    <n v="4285005"/>
    <n v="60"/>
    <n v="62"/>
    <n v="57"/>
    <n v="62"/>
    <n v="61"/>
    <n v="66"/>
    <n v="59"/>
    <n v="62"/>
    <n v="61"/>
    <n v="66"/>
    <n v="63"/>
    <n v="66"/>
    <n v="745"/>
  </r>
  <r>
    <x v="19"/>
    <s v="Berdyansk"/>
    <x v="0"/>
    <n v="1839794"/>
    <n v="4400067"/>
    <n v="4350067"/>
    <n v="4310067"/>
    <n v="4350067"/>
    <n v="4440067"/>
    <n v="3730067"/>
    <n v="3020067"/>
    <n v="3730067"/>
    <n v="4440067"/>
    <n v="3730067"/>
    <n v="4040067"/>
    <n v="4350067"/>
    <n v="48890804"/>
  </r>
  <r>
    <x v="19"/>
    <s v="Berdyansk"/>
    <x v="1"/>
    <n v="1839794"/>
    <n v="9174380"/>
    <n v="9124380"/>
    <n v="9084380"/>
    <n v="9124380"/>
    <n v="9214380"/>
    <n v="8504380"/>
    <n v="7794380"/>
    <n v="8504380"/>
    <n v="9214380"/>
    <n v="8504380"/>
    <n v="8814380"/>
    <n v="9124380"/>
    <n v="106182560"/>
  </r>
  <r>
    <x v="19"/>
    <s v="Berdyansk"/>
    <x v="2"/>
    <n v="1839794"/>
    <n v="85"/>
    <n v="87"/>
    <n v="82"/>
    <n v="87"/>
    <n v="86"/>
    <n v="91"/>
    <n v="84"/>
    <n v="87"/>
    <n v="86"/>
    <n v="91"/>
    <n v="88"/>
    <n v="91"/>
    <n v="1045"/>
  </r>
  <r>
    <x v="20"/>
    <s v="Dniprodzerzhinsk"/>
    <x v="0"/>
    <n v="1366101"/>
    <n v="3456006"/>
    <n v="3406006"/>
    <n v="3366006"/>
    <n v="3406006"/>
    <n v="3496006"/>
    <n v="2786006"/>
    <n v="2076006"/>
    <n v="2786006"/>
    <n v="3496006"/>
    <n v="2786006"/>
    <n v="3096006"/>
    <n v="3406006"/>
    <n v="37562072"/>
  </r>
  <r>
    <x v="20"/>
    <s v="Dniprodzerzhinsk"/>
    <x v="1"/>
    <n v="1366101"/>
    <n v="7889805"/>
    <n v="7839805"/>
    <n v="7799805"/>
    <n v="7839805"/>
    <n v="7929805"/>
    <n v="7219805"/>
    <n v="6509805"/>
    <n v="7219805"/>
    <n v="7929805"/>
    <n v="7219805"/>
    <n v="7529805"/>
    <n v="7839805"/>
    <n v="90767660"/>
  </r>
  <r>
    <x v="20"/>
    <s v="Dniprodzerzhinsk"/>
    <x v="2"/>
    <n v="1366101"/>
    <n v="35"/>
    <n v="37"/>
    <n v="32"/>
    <n v="37"/>
    <n v="36"/>
    <n v="41"/>
    <n v="34"/>
    <n v="37"/>
    <n v="36"/>
    <n v="41"/>
    <n v="38"/>
    <n v="41"/>
    <n v="445"/>
  </r>
  <r>
    <x v="21"/>
    <s v="Lviv"/>
    <x v="0"/>
    <n v="1784855"/>
    <n v="2787805"/>
    <n v="2737805"/>
    <n v="2697805"/>
    <n v="2737805"/>
    <n v="2827805"/>
    <n v="2117805"/>
    <n v="1407805"/>
    <n v="2117805"/>
    <n v="2827805"/>
    <n v="2117805"/>
    <n v="2427805"/>
    <n v="2737805"/>
    <n v="29543660"/>
  </r>
  <r>
    <x v="21"/>
    <s v="Lviv"/>
    <x v="1"/>
    <n v="1784855"/>
    <n v="4570790"/>
    <n v="4520790"/>
    <n v="4480790"/>
    <n v="4520790"/>
    <n v="4610790"/>
    <n v="3900790"/>
    <n v="3190790"/>
    <n v="3900790"/>
    <n v="4610790"/>
    <n v="3900790"/>
    <n v="4210790"/>
    <n v="4520790"/>
    <n v="50939480"/>
  </r>
  <r>
    <x v="21"/>
    <s v="Lviv"/>
    <x v="2"/>
    <n v="1784855"/>
    <n v="35"/>
    <n v="37"/>
    <n v="32"/>
    <n v="37"/>
    <n v="36"/>
    <n v="41"/>
    <n v="34"/>
    <n v="37"/>
    <n v="36"/>
    <n v="41"/>
    <n v="38"/>
    <n v="41"/>
    <n v="445"/>
  </r>
  <r>
    <x v="22"/>
    <s v="Odessa"/>
    <x v="0"/>
    <n v="1543948"/>
    <n v="2400964"/>
    <n v="2350964"/>
    <n v="2310964"/>
    <n v="2350964"/>
    <n v="2440964"/>
    <n v="1730964"/>
    <n v="1020964"/>
    <n v="1730964"/>
    <n v="2440964"/>
    <n v="1730964"/>
    <n v="2040964"/>
    <n v="2350964"/>
    <n v="24901568"/>
  </r>
  <r>
    <x v="22"/>
    <s v="Odessa"/>
    <x v="1"/>
    <n v="1543948"/>
    <n v="3500843"/>
    <n v="3450843"/>
    <n v="3410843"/>
    <n v="3450843"/>
    <n v="3540843"/>
    <n v="2830843"/>
    <n v="2120843"/>
    <n v="2830843"/>
    <n v="3540843"/>
    <n v="2830843"/>
    <n v="3140843"/>
    <n v="3450843"/>
    <n v="38100116"/>
  </r>
  <r>
    <x v="22"/>
    <s v="Odessa"/>
    <x v="2"/>
    <n v="1543948"/>
    <n v="18"/>
    <n v="20"/>
    <n v="15"/>
    <n v="20"/>
    <n v="19"/>
    <n v="24"/>
    <n v="17"/>
    <n v="20"/>
    <n v="19"/>
    <n v="24"/>
    <n v="21"/>
    <n v="24"/>
    <n v="241"/>
  </r>
  <r>
    <x v="23"/>
    <s v="Kharkiv"/>
    <x v="0"/>
    <n v="4080024"/>
    <n v="3088950"/>
    <n v="3038950"/>
    <n v="2998950"/>
    <n v="3038950"/>
    <n v="3128950"/>
    <n v="2418950"/>
    <n v="1708950"/>
    <n v="2418950"/>
    <n v="3128950"/>
    <n v="2418950"/>
    <n v="2728950"/>
    <n v="3038950"/>
    <n v="33157400"/>
  </r>
  <r>
    <x v="23"/>
    <s v="Kharkiv"/>
    <x v="1"/>
    <n v="4080024"/>
    <n v="5607890"/>
    <n v="5557890"/>
    <n v="5517890"/>
    <n v="5557890"/>
    <n v="5647890"/>
    <n v="4937890"/>
    <n v="4227890"/>
    <n v="4937890"/>
    <n v="5647890"/>
    <n v="4937890"/>
    <n v="5247890"/>
    <n v="5557890"/>
    <n v="63384680"/>
  </r>
  <r>
    <x v="23"/>
    <s v="Kharkiv"/>
    <x v="2"/>
    <n v="4080024"/>
    <n v="29"/>
    <n v="31"/>
    <n v="26"/>
    <n v="31"/>
    <n v="30"/>
    <n v="35"/>
    <n v="28"/>
    <n v="31"/>
    <n v="30"/>
    <n v="35"/>
    <n v="32"/>
    <n v="35"/>
    <n v="373"/>
  </r>
  <r>
    <x v="24"/>
    <s v="Berdyansk"/>
    <x v="0"/>
    <n v="2861134"/>
    <n v="2878788"/>
    <n v="2828788"/>
    <n v="2788788"/>
    <n v="2828788"/>
    <n v="2918788"/>
    <n v="2208788"/>
    <n v="1498788"/>
    <n v="2208788"/>
    <n v="2918788"/>
    <n v="2208788"/>
    <n v="2518788"/>
    <n v="2828788"/>
    <n v="30635456"/>
  </r>
  <r>
    <x v="24"/>
    <s v="Berdyansk"/>
    <x v="1"/>
    <n v="2861134"/>
    <n v="5989450"/>
    <n v="5939450"/>
    <n v="5899450"/>
    <n v="5939450"/>
    <n v="6029450"/>
    <n v="5319450"/>
    <n v="4609450"/>
    <n v="5319450"/>
    <n v="6029450"/>
    <n v="5319450"/>
    <n v="5629450"/>
    <n v="5939450"/>
    <n v="67963400"/>
  </r>
  <r>
    <x v="24"/>
    <s v="Berdyansk"/>
    <x v="2"/>
    <n v="2861134"/>
    <n v="43"/>
    <n v="45"/>
    <n v="40"/>
    <n v="45"/>
    <n v="44"/>
    <n v="49"/>
    <n v="42"/>
    <n v="45"/>
    <n v="44"/>
    <n v="49"/>
    <n v="46"/>
    <n v="49"/>
    <n v="541"/>
  </r>
  <r>
    <x v="25"/>
    <s v="Lviv"/>
    <x v="0"/>
    <n v="8278436"/>
    <n v="4555890"/>
    <n v="4505890"/>
    <n v="4465890"/>
    <n v="4505890"/>
    <n v="4595890"/>
    <n v="3885890"/>
    <n v="3175890"/>
    <n v="3885890"/>
    <n v="4595890"/>
    <n v="3885890"/>
    <n v="4195890"/>
    <n v="4505890"/>
    <n v="50760680"/>
  </r>
  <r>
    <x v="25"/>
    <s v="Lviv"/>
    <x v="1"/>
    <n v="8278436"/>
    <n v="6070889"/>
    <n v="6020889"/>
    <n v="5980889"/>
    <n v="6020889"/>
    <n v="6110889"/>
    <n v="5400889"/>
    <n v="4690889"/>
    <n v="5400889"/>
    <n v="6110889"/>
    <n v="5400889"/>
    <n v="5710889"/>
    <n v="6020889"/>
    <n v="68940668"/>
  </r>
  <r>
    <x v="25"/>
    <s v="Lviv"/>
    <x v="2"/>
    <n v="8278436"/>
    <n v="37"/>
    <n v="39"/>
    <n v="34"/>
    <n v="39"/>
    <n v="38"/>
    <n v="43"/>
    <n v="36"/>
    <n v="39"/>
    <n v="38"/>
    <n v="43"/>
    <n v="40"/>
    <n v="43"/>
    <n v="46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0" cacheId="3" dataOnRows="1" applyNumberFormats="0" applyBorderFormats="0" applyFontFormats="0" applyPatternFormats="0" applyAlignmentFormats="0" applyWidthHeightFormats="1" dataCaption="Данные" updatedVersion="3" showMemberPropertyTips="0" useAutoFormatting="1" colGrandTotals="0" itemPrintTitles="1" createdVersion="1" indent="0" compact="0" compactData="0" gridDropZones="1">
  <location ref="X13:AA41" firstHeaderRow="1" firstDataRow="2" firstDataCol="1"/>
  <pivotFields count="17">
    <pivotField axis="axisRow" compact="0" outline="0" subtotalTop="0" showAll="0" includeNewItemsInFilter="1">
      <items count="27">
        <item x="2"/>
        <item x="25"/>
        <item x="20"/>
        <item x="16"/>
        <item x="6"/>
        <item x="17"/>
        <item x="18"/>
        <item x="12"/>
        <item x="9"/>
        <item x="4"/>
        <item x="0"/>
        <item x="5"/>
        <item x="11"/>
        <item x="24"/>
        <item x="23"/>
        <item x="3"/>
        <item x="14"/>
        <item x="21"/>
        <item x="22"/>
        <item x="8"/>
        <item x="1"/>
        <item x="13"/>
        <item x="15"/>
        <item x="7"/>
        <item x="19"/>
        <item x="10"/>
        <item t="default"/>
      </items>
    </pivotField>
    <pivotField compact="0" outline="0" subtotalTop="0" showAll="0" includeNewItemsInFilter="1"/>
    <pivotField axis="axisCol" compact="0" outline="0" subtotalTop="0" showAll="0" includeNewItemsInFilter="1">
      <items count="4">
        <item x="0"/>
        <item x="1"/>
        <item x="2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</pivotFields>
  <rowFields count="1">
    <field x="0"/>
  </rowFields>
  <rowItems count="2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 t="grand">
      <x/>
    </i>
  </rowItems>
  <colFields count="1">
    <field x="2"/>
  </colFields>
  <colItems count="3">
    <i>
      <x/>
    </i>
    <i>
      <x v="1"/>
    </i>
    <i>
      <x v="2"/>
    </i>
  </colItems>
  <dataFields count="1">
    <dataField name="Сумма по полю итого" fld="16" baseField="0" baseItem="0" numFmtId="165"/>
  </dataFields>
  <formats count="1">
    <format dxfId="0">
      <pivotArea outline="0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59999389629810485"/>
  </sheetPr>
  <dimension ref="A1:AD93"/>
  <sheetViews>
    <sheetView tabSelected="1" zoomScale="85" zoomScaleNormal="85" workbookViewId="0">
      <selection activeCell="H10" sqref="H10"/>
    </sheetView>
  </sheetViews>
  <sheetFormatPr defaultRowHeight="15"/>
  <cols>
    <col min="1" max="2" width="17.42578125" customWidth="1"/>
    <col min="3" max="3" width="14.7109375" customWidth="1"/>
    <col min="4" max="4" width="12.5703125" customWidth="1"/>
    <col min="5" max="5" width="10.28515625" bestFit="1" customWidth="1"/>
    <col min="12" max="12" width="8.140625" bestFit="1" customWidth="1"/>
    <col min="17" max="17" width="9.28515625" bestFit="1" customWidth="1"/>
    <col min="18" max="18" width="14.28515625" customWidth="1"/>
    <col min="19" max="19" width="16.42578125" bestFit="1" customWidth="1"/>
    <col min="20" max="20" width="17.28515625" bestFit="1" customWidth="1"/>
    <col min="21" max="21" width="11.28515625" bestFit="1" customWidth="1"/>
    <col min="22" max="22" width="11.28515625" customWidth="1"/>
    <col min="24" max="24" width="21.28515625" bestFit="1" customWidth="1"/>
    <col min="25" max="26" width="15.7109375" bestFit="1" customWidth="1"/>
    <col min="27" max="27" width="12.85546875" hidden="1" customWidth="1"/>
    <col min="28" max="28" width="18.5703125" bestFit="1" customWidth="1"/>
    <col min="29" max="29" width="19.28515625" customWidth="1"/>
  </cols>
  <sheetData>
    <row r="1" spans="1:30" ht="18">
      <c r="A1" s="1"/>
      <c r="B1" s="1"/>
      <c r="K1" s="2"/>
      <c r="L1" s="2"/>
      <c r="M1" s="2"/>
      <c r="N1" s="2"/>
    </row>
    <row r="2" spans="1:30" ht="18">
      <c r="A2" s="1"/>
      <c r="B2" s="1"/>
      <c r="K2" s="2"/>
      <c r="N2" s="2"/>
      <c r="R2" s="3" t="s">
        <v>0</v>
      </c>
      <c r="S2" s="2"/>
    </row>
    <row r="3" spans="1:30">
      <c r="K3" s="2"/>
      <c r="L3" s="2"/>
      <c r="M3" s="2"/>
      <c r="N3" s="2"/>
    </row>
    <row r="4" spans="1:30">
      <c r="K4" s="2"/>
      <c r="L4" s="2"/>
      <c r="M4" s="2"/>
      <c r="N4" s="2"/>
    </row>
    <row r="5" spans="1:30">
      <c r="K5" s="2"/>
      <c r="L5" s="2"/>
      <c r="M5" s="2"/>
      <c r="N5" s="2"/>
    </row>
    <row r="7" spans="1:30">
      <c r="A7" t="s">
        <v>1</v>
      </c>
    </row>
    <row r="8" spans="1:30">
      <c r="A8" t="s">
        <v>2</v>
      </c>
    </row>
    <row r="9" spans="1:30">
      <c r="A9" t="s">
        <v>3</v>
      </c>
    </row>
    <row r="10" spans="1:30">
      <c r="A10" t="s">
        <v>4</v>
      </c>
    </row>
    <row r="12" spans="1:30">
      <c r="A12" t="s">
        <v>5</v>
      </c>
      <c r="S12" t="s">
        <v>6</v>
      </c>
    </row>
    <row r="13" spans="1:30">
      <c r="A13" s="4" t="s">
        <v>7</v>
      </c>
      <c r="B13" s="5" t="s">
        <v>8</v>
      </c>
      <c r="C13" s="5" t="s">
        <v>9</v>
      </c>
      <c r="D13" s="5" t="s">
        <v>10</v>
      </c>
      <c r="E13" s="5" t="s">
        <v>11</v>
      </c>
      <c r="F13" s="5" t="s">
        <v>12</v>
      </c>
      <c r="G13" s="4" t="s">
        <v>13</v>
      </c>
      <c r="H13" s="4" t="s">
        <v>14</v>
      </c>
      <c r="I13" s="4" t="s">
        <v>15</v>
      </c>
      <c r="J13" s="4" t="s">
        <v>16</v>
      </c>
      <c r="K13" s="4" t="s">
        <v>17</v>
      </c>
      <c r="L13" s="4" t="s">
        <v>18</v>
      </c>
      <c r="M13" s="4" t="s">
        <v>19</v>
      </c>
      <c r="N13" s="4" t="s">
        <v>20</v>
      </c>
      <c r="O13" s="4" t="s">
        <v>21</v>
      </c>
      <c r="P13" s="4" t="s">
        <v>22</v>
      </c>
      <c r="Q13" s="6" t="s">
        <v>23</v>
      </c>
      <c r="R13" s="7"/>
      <c r="S13" s="4" t="s">
        <v>7</v>
      </c>
      <c r="T13" s="4" t="s">
        <v>8</v>
      </c>
      <c r="U13" s="4" t="s">
        <v>10</v>
      </c>
      <c r="V13" s="8"/>
      <c r="X13" t="s">
        <v>24</v>
      </c>
      <c r="Y13" t="s">
        <v>9</v>
      </c>
      <c r="AB13" s="9"/>
      <c r="AC13" s="9"/>
      <c r="AD13" s="9"/>
    </row>
    <row r="14" spans="1:30">
      <c r="A14" s="10" t="s">
        <v>25</v>
      </c>
      <c r="B14" s="10" t="s">
        <v>26</v>
      </c>
      <c r="C14" s="10" t="s">
        <v>27</v>
      </c>
      <c r="D14" s="10">
        <f t="shared" ref="D14:D77" si="0">SUMIFS($U$14:$U$91,$S$14:$S$91,A14,$T$14:$T$91,B14)</f>
        <v>8210816</v>
      </c>
      <c r="E14" s="10">
        <v>3007840</v>
      </c>
      <c r="F14" s="10">
        <v>2957840</v>
      </c>
      <c r="G14" s="10">
        <v>2917840</v>
      </c>
      <c r="H14" s="10">
        <v>2957840</v>
      </c>
      <c r="I14" s="10">
        <v>3047840</v>
      </c>
      <c r="J14" s="10">
        <v>2337840</v>
      </c>
      <c r="K14" s="10">
        <v>1627840</v>
      </c>
      <c r="L14" s="10">
        <v>2337840</v>
      </c>
      <c r="M14" s="10">
        <v>3047840</v>
      </c>
      <c r="N14" s="10">
        <v>2337840</v>
      </c>
      <c r="O14" s="10">
        <v>2647840</v>
      </c>
      <c r="P14" s="10">
        <v>2957840</v>
      </c>
      <c r="Q14" s="10">
        <f>SUM(E14:P14)</f>
        <v>32184080</v>
      </c>
      <c r="S14" s="10" t="s">
        <v>25</v>
      </c>
      <c r="T14" s="10" t="s">
        <v>26</v>
      </c>
      <c r="U14" s="10">
        <v>8210816</v>
      </c>
      <c r="V14" s="11"/>
      <c r="X14" t="s">
        <v>7</v>
      </c>
      <c r="Y14" t="s">
        <v>27</v>
      </c>
      <c r="Z14" t="s">
        <v>28</v>
      </c>
      <c r="AA14" t="s">
        <v>29</v>
      </c>
      <c r="AB14" s="12" t="s">
        <v>30</v>
      </c>
      <c r="AC14" s="12" t="s">
        <v>31</v>
      </c>
      <c r="AD14" s="12" t="s">
        <v>32</v>
      </c>
    </row>
    <row r="15" spans="1:30">
      <c r="A15" s="10" t="s">
        <v>25</v>
      </c>
      <c r="B15" s="10" t="s">
        <v>26</v>
      </c>
      <c r="C15" s="10" t="s">
        <v>28</v>
      </c>
      <c r="D15" s="10">
        <f t="shared" si="0"/>
        <v>8210816</v>
      </c>
      <c r="E15" s="10">
        <v>7088851</v>
      </c>
      <c r="F15" s="10">
        <v>7038851</v>
      </c>
      <c r="G15" s="10">
        <v>6998851</v>
      </c>
      <c r="H15" s="10">
        <v>7038851</v>
      </c>
      <c r="I15" s="10">
        <v>7128851</v>
      </c>
      <c r="J15" s="10">
        <v>6418851</v>
      </c>
      <c r="K15" s="10">
        <v>5708851</v>
      </c>
      <c r="L15" s="10">
        <v>6418851</v>
      </c>
      <c r="M15" s="10">
        <v>7128851</v>
      </c>
      <c r="N15" s="10">
        <v>6418851</v>
      </c>
      <c r="O15" s="10">
        <v>6728851</v>
      </c>
      <c r="P15" s="10">
        <v>7038851</v>
      </c>
      <c r="Q15" s="10">
        <f t="shared" ref="Q15:Q78" si="1">SUM(E15:P15)</f>
        <v>81156212</v>
      </c>
      <c r="S15" s="10" t="s">
        <v>25</v>
      </c>
      <c r="T15" s="10" t="s">
        <v>33</v>
      </c>
      <c r="U15" s="10">
        <v>8648710</v>
      </c>
      <c r="V15" s="11"/>
      <c r="X15" t="s">
        <v>34</v>
      </c>
      <c r="Y15" s="13">
        <v>39036800</v>
      </c>
      <c r="Z15" s="13">
        <v>86916800</v>
      </c>
      <c r="AA15" s="13">
        <v>361</v>
      </c>
      <c r="AB15" s="13">
        <f>GETPIVOTDATA("итого",$X$13," ТМ","Chumak","Метрики","Прибыль")-GETPIVOTDATA("итого",$X$13," ТМ","Chumak","Метрики","Затраты")</f>
        <v>47880000</v>
      </c>
      <c r="AC15" s="13">
        <f>GETPIVOTDATA("итого",$X$13," ТМ","Chumak","Метрики","Прибыль")/12</f>
        <v>7243066.666666667</v>
      </c>
      <c r="AD15" s="14">
        <f>GETPIVOTDATA("итого",$X$13," ТМ","Chumak","Метрики","Прибыль")/GETPIVOTDATA("итого",$X$13,"Метрики","Прибыль")</f>
        <v>4.1375941105484058E-2</v>
      </c>
    </row>
    <row r="16" spans="1:30">
      <c r="A16" s="10" t="s">
        <v>25</v>
      </c>
      <c r="B16" s="10" t="s">
        <v>26</v>
      </c>
      <c r="C16" s="10" t="s">
        <v>29</v>
      </c>
      <c r="D16" s="10">
        <f t="shared" si="0"/>
        <v>8210816</v>
      </c>
      <c r="E16" s="10">
        <v>30</v>
      </c>
      <c r="F16" s="10">
        <v>32</v>
      </c>
      <c r="G16" s="10">
        <v>27</v>
      </c>
      <c r="H16" s="10">
        <v>32</v>
      </c>
      <c r="I16" s="10">
        <v>31</v>
      </c>
      <c r="J16" s="10">
        <v>36</v>
      </c>
      <c r="K16" s="10">
        <v>29</v>
      </c>
      <c r="L16" s="10">
        <v>32</v>
      </c>
      <c r="M16" s="10">
        <v>31</v>
      </c>
      <c r="N16" s="10">
        <v>36</v>
      </c>
      <c r="O16" s="10">
        <v>33</v>
      </c>
      <c r="P16" s="10">
        <v>36</v>
      </c>
      <c r="Q16" s="10">
        <f t="shared" si="1"/>
        <v>385</v>
      </c>
      <c r="S16" s="10" t="s">
        <v>25</v>
      </c>
      <c r="T16" s="10" t="s">
        <v>35</v>
      </c>
      <c r="U16" s="10">
        <v>8508134</v>
      </c>
      <c r="V16" s="11"/>
      <c r="X16" t="s">
        <v>36</v>
      </c>
      <c r="Y16" s="13">
        <v>50760680</v>
      </c>
      <c r="Z16" s="13">
        <v>68940668</v>
      </c>
      <c r="AA16" s="13">
        <v>469</v>
      </c>
      <c r="AB16" s="13">
        <f>GETPIVOTDATA("итого",$X$13," ТМ","Dobryana","Метрики","Прибыль")-GETPIVOTDATA("итого",$X$13," ТМ","Dobryana","Метрики","Затраты")</f>
        <v>18179988</v>
      </c>
      <c r="AC16" s="13">
        <f>GETPIVOTDATA("итого",$X$13," ТМ","Dobryana","Метрики","Прибыль")/12</f>
        <v>5745055.666666667</v>
      </c>
      <c r="AD16" s="14">
        <f>GETPIVOTDATA("итого",$X$13," ТМ","Dobryana","Метрики","Прибыль")/GETPIVOTDATA("итого",$X$13,"Метрики","Прибыль")</f>
        <v>3.2818569240247335E-2</v>
      </c>
    </row>
    <row r="17" spans="1:30">
      <c r="A17" s="10" t="s">
        <v>37</v>
      </c>
      <c r="B17" s="10" t="s">
        <v>33</v>
      </c>
      <c r="C17" s="10" t="s">
        <v>27</v>
      </c>
      <c r="D17" s="10">
        <f t="shared" si="0"/>
        <v>17128981</v>
      </c>
      <c r="E17" s="10">
        <v>2066800</v>
      </c>
      <c r="F17" s="10">
        <v>2016800</v>
      </c>
      <c r="G17" s="10">
        <v>1976800</v>
      </c>
      <c r="H17" s="10">
        <v>2016800</v>
      </c>
      <c r="I17" s="10">
        <v>2106800</v>
      </c>
      <c r="J17" s="10">
        <v>1396800</v>
      </c>
      <c r="K17" s="10">
        <v>686800</v>
      </c>
      <c r="L17" s="10">
        <v>1396800</v>
      </c>
      <c r="M17" s="10">
        <v>2106800</v>
      </c>
      <c r="N17" s="10">
        <v>1396800</v>
      </c>
      <c r="O17" s="10">
        <v>1706800</v>
      </c>
      <c r="P17" s="10">
        <v>2016800</v>
      </c>
      <c r="Q17" s="10">
        <f t="shared" si="1"/>
        <v>20891600</v>
      </c>
      <c r="S17" s="10" t="s">
        <v>25</v>
      </c>
      <c r="T17" s="10" t="s">
        <v>38</v>
      </c>
      <c r="U17" s="10">
        <v>9579476</v>
      </c>
      <c r="V17" s="11"/>
      <c r="X17" t="s">
        <v>39</v>
      </c>
      <c r="Y17" s="13">
        <v>37562072</v>
      </c>
      <c r="Z17" s="13">
        <v>90767660</v>
      </c>
      <c r="AA17" s="13">
        <v>445</v>
      </c>
      <c r="AB17" s="13">
        <f>GETPIVOTDATA("итого",$X$13," ТМ","Fanni","Метрики","Прибыль")-GETPIVOTDATA("итого",$X$13," ТМ","Fanni","Метрики","Затраты")</f>
        <v>53205588</v>
      </c>
      <c r="AC17" s="13">
        <f>GETPIVOTDATA("итого",$X$13," ТМ","Fanni","Метрики","Прибыль")/12</f>
        <v>7563971.666666667</v>
      </c>
      <c r="AD17" s="14">
        <f>GETPIVOTDATA("итого",$X$13," ТМ","Fanni","Метрики","Прибыль")/GETPIVOTDATA("итого",$X$13,"Метрики","Прибыль")</f>
        <v>4.320910749639427E-2</v>
      </c>
    </row>
    <row r="18" spans="1:30">
      <c r="A18" s="10" t="s">
        <v>37</v>
      </c>
      <c r="B18" s="10" t="s">
        <v>33</v>
      </c>
      <c r="C18" s="10" t="s">
        <v>28</v>
      </c>
      <c r="D18" s="10">
        <f t="shared" si="0"/>
        <v>17128981</v>
      </c>
      <c r="E18" s="10">
        <v>4005894</v>
      </c>
      <c r="F18" s="10">
        <v>3955894</v>
      </c>
      <c r="G18" s="10">
        <v>3915894</v>
      </c>
      <c r="H18" s="10">
        <v>3955894</v>
      </c>
      <c r="I18" s="10">
        <v>4045894</v>
      </c>
      <c r="J18" s="10">
        <v>3335894</v>
      </c>
      <c r="K18" s="10">
        <v>2625894</v>
      </c>
      <c r="L18" s="10">
        <v>3335894</v>
      </c>
      <c r="M18" s="10">
        <v>4045894</v>
      </c>
      <c r="N18" s="10">
        <v>3335894</v>
      </c>
      <c r="O18" s="10">
        <v>3645894</v>
      </c>
      <c r="P18" s="10">
        <v>3955894</v>
      </c>
      <c r="Q18" s="10">
        <f t="shared" si="1"/>
        <v>44160728</v>
      </c>
      <c r="S18" s="10" t="s">
        <v>25</v>
      </c>
      <c r="T18" s="10" t="s">
        <v>40</v>
      </c>
      <c r="U18" s="10">
        <v>8071295</v>
      </c>
      <c r="V18" s="11"/>
      <c r="X18" t="s">
        <v>41</v>
      </c>
      <c r="Y18" s="13">
        <v>21950000</v>
      </c>
      <c r="Z18" s="13">
        <v>66887096</v>
      </c>
      <c r="AA18" s="13">
        <v>421</v>
      </c>
      <c r="AB18" s="13">
        <f>GETPIVOTDATA("итого",$X$13," ТМ","Galyccina","Метрики","Прибыль")-GETPIVOTDATA("итого",$X$13," ТМ","Galyccina","Метрики","Затраты")</f>
        <v>44937096</v>
      </c>
      <c r="AC18" s="13">
        <f>GETPIVOTDATA("итого",$X$13," ТМ","Galyccina","Метрики","Прибыль")/12</f>
        <v>5573924.666666667</v>
      </c>
      <c r="AD18" s="14">
        <f>GETPIVOTDATA("итого",$X$13," ТМ","Galyccina","Метрики","Прибыль")/GETPIVOTDATA("итого",$X$13,"Метрики","Прибыль")</f>
        <v>3.1840985227399747E-2</v>
      </c>
    </row>
    <row r="19" spans="1:30">
      <c r="A19" s="10" t="s">
        <v>37</v>
      </c>
      <c r="B19" s="10" t="s">
        <v>33</v>
      </c>
      <c r="C19" s="10" t="s">
        <v>29</v>
      </c>
      <c r="D19" s="10">
        <f t="shared" si="0"/>
        <v>17128981</v>
      </c>
      <c r="E19" s="10">
        <v>18</v>
      </c>
      <c r="F19" s="10">
        <v>20</v>
      </c>
      <c r="G19" s="10">
        <v>15</v>
      </c>
      <c r="H19" s="10">
        <v>20</v>
      </c>
      <c r="I19" s="10">
        <v>19</v>
      </c>
      <c r="J19" s="10">
        <v>24</v>
      </c>
      <c r="K19" s="10">
        <v>17</v>
      </c>
      <c r="L19" s="10">
        <v>20</v>
      </c>
      <c r="M19" s="10">
        <v>19</v>
      </c>
      <c r="N19" s="10">
        <v>24</v>
      </c>
      <c r="O19" s="10">
        <v>21</v>
      </c>
      <c r="P19" s="10">
        <v>24</v>
      </c>
      <c r="Q19" s="10">
        <f t="shared" si="1"/>
        <v>241</v>
      </c>
      <c r="S19" s="10" t="s">
        <v>25</v>
      </c>
      <c r="T19" s="10" t="s">
        <v>42</v>
      </c>
      <c r="U19" s="10">
        <v>9635061</v>
      </c>
      <c r="V19" s="11"/>
      <c r="X19" t="s">
        <v>43</v>
      </c>
      <c r="Y19" s="13">
        <v>41774720</v>
      </c>
      <c r="Z19" s="13">
        <v>90890000</v>
      </c>
      <c r="AA19" s="13">
        <v>565</v>
      </c>
      <c r="AB19" s="13">
        <f>GETPIVOTDATA("итого",$X$13," ТМ","Jaffa","Метрики","Прибыль")-GETPIVOTDATA("итого",$X$13," ТМ","Jaffa","Метрики","Затраты")</f>
        <v>49115280</v>
      </c>
      <c r="AC19" s="13">
        <f>GETPIVOTDATA("итого",$X$13," ТМ","Jaffa","Метрики","Прибыль")/12</f>
        <v>7574166.666666667</v>
      </c>
      <c r="AD19" s="14">
        <f>GETPIVOTDATA("итого",$X$13," ТМ","Jaffa","Метрики","Прибыль")/GETPIVOTDATA("итого",$X$13,"Метрики","Прибыль")</f>
        <v>4.3267346325191976E-2</v>
      </c>
    </row>
    <row r="20" spans="1:30">
      <c r="A20" s="10" t="s">
        <v>34</v>
      </c>
      <c r="B20" s="10" t="s">
        <v>38</v>
      </c>
      <c r="C20" s="10" t="s">
        <v>27</v>
      </c>
      <c r="D20" s="10">
        <f t="shared" si="0"/>
        <v>9183131</v>
      </c>
      <c r="E20" s="10">
        <v>3578900</v>
      </c>
      <c r="F20" s="10">
        <v>3528900</v>
      </c>
      <c r="G20" s="10">
        <v>3488900</v>
      </c>
      <c r="H20" s="10">
        <v>3528900</v>
      </c>
      <c r="I20" s="10">
        <v>3618900</v>
      </c>
      <c r="J20" s="10">
        <v>2908900</v>
      </c>
      <c r="K20" s="10">
        <v>2198900</v>
      </c>
      <c r="L20" s="10">
        <v>2908900</v>
      </c>
      <c r="M20" s="10">
        <v>3618900</v>
      </c>
      <c r="N20" s="10">
        <v>2908900</v>
      </c>
      <c r="O20" s="10">
        <v>3218900</v>
      </c>
      <c r="P20" s="10">
        <v>3528900</v>
      </c>
      <c r="Q20" s="10">
        <f t="shared" si="1"/>
        <v>39036800</v>
      </c>
      <c r="S20" s="10" t="s">
        <v>25</v>
      </c>
      <c r="T20" s="10" t="s">
        <v>44</v>
      </c>
      <c r="U20" s="10">
        <v>8452010</v>
      </c>
      <c r="V20" s="11"/>
      <c r="X20" t="s">
        <v>45</v>
      </c>
      <c r="Y20" s="13">
        <v>61560680</v>
      </c>
      <c r="Z20" s="13">
        <v>112140668</v>
      </c>
      <c r="AA20" s="13">
        <v>265</v>
      </c>
      <c r="AB20" s="13">
        <f>GETPIVOTDATA("итого",$X$13," ТМ","Konti","Метрики","Прибыль")-GETPIVOTDATA("итого",$X$13," ТМ","Konti","Метрики","Затраты")</f>
        <v>50579988</v>
      </c>
      <c r="AC20" s="13">
        <f>GETPIVOTDATA("итого",$X$13," ТМ","Konti","Метрики","Прибыль")/12</f>
        <v>9345055.666666666</v>
      </c>
      <c r="AD20" s="14">
        <f>GETPIVOTDATA("итого",$X$13," ТМ","Konti","Метрики","Прибыль")/GETPIVOTDATA("итого",$X$13,"Метрики","Прибыль")</f>
        <v>5.3383530855917856E-2</v>
      </c>
    </row>
    <row r="21" spans="1:30">
      <c r="A21" s="10" t="s">
        <v>34</v>
      </c>
      <c r="B21" s="10" t="s">
        <v>38</v>
      </c>
      <c r="C21" s="10" t="s">
        <v>28</v>
      </c>
      <c r="D21" s="10">
        <f t="shared" si="0"/>
        <v>9183131</v>
      </c>
      <c r="E21" s="10">
        <v>7568900</v>
      </c>
      <c r="F21" s="10">
        <v>7518900</v>
      </c>
      <c r="G21" s="10">
        <v>7478900</v>
      </c>
      <c r="H21" s="10">
        <v>7518900</v>
      </c>
      <c r="I21" s="10">
        <v>7608900</v>
      </c>
      <c r="J21" s="10">
        <v>6898900</v>
      </c>
      <c r="K21" s="10">
        <v>6188900</v>
      </c>
      <c r="L21" s="10">
        <v>6898900</v>
      </c>
      <c r="M21" s="10">
        <v>7608900</v>
      </c>
      <c r="N21" s="10">
        <v>6898900</v>
      </c>
      <c r="O21" s="10">
        <v>7208900</v>
      </c>
      <c r="P21" s="10">
        <v>7518900</v>
      </c>
      <c r="Q21" s="10">
        <f t="shared" si="1"/>
        <v>86916800</v>
      </c>
      <c r="S21" s="10" t="s">
        <v>37</v>
      </c>
      <c r="T21" s="10" t="s">
        <v>33</v>
      </c>
      <c r="U21" s="10">
        <v>8839965</v>
      </c>
      <c r="V21" s="11"/>
      <c r="X21" t="s">
        <v>46</v>
      </c>
      <c r="Y21" s="13">
        <v>34007600</v>
      </c>
      <c r="Z21" s="13">
        <v>102887096</v>
      </c>
      <c r="AA21" s="13">
        <v>745</v>
      </c>
      <c r="AB21" s="13">
        <f>GETPIVOTDATA("итого",$X$13," ТМ","Korolivskiy Smak","Метрики","Прибыль")-GETPIVOTDATA("итого",$X$13," ТМ","Korolivskiy Smak","Метрики","Затраты")</f>
        <v>68879496</v>
      </c>
      <c r="AC21" s="13">
        <f>GETPIVOTDATA("итого",$X$13," ТМ","Korolivskiy Smak","Метрики","Прибыль")/12</f>
        <v>8573924.666666666</v>
      </c>
      <c r="AD21" s="14">
        <f>GETPIVOTDATA("итого",$X$13," ТМ","Korolivskiy Smak","Метрики","Прибыль")/GETPIVOTDATA("итого",$X$13,"Метрики","Прибыль")</f>
        <v>4.8978453240458512E-2</v>
      </c>
    </row>
    <row r="22" spans="1:30">
      <c r="A22" s="10" t="s">
        <v>34</v>
      </c>
      <c r="B22" s="10" t="s">
        <v>38</v>
      </c>
      <c r="C22" s="10" t="s">
        <v>29</v>
      </c>
      <c r="D22" s="10">
        <f t="shared" si="0"/>
        <v>9183131</v>
      </c>
      <c r="E22" s="10">
        <v>28</v>
      </c>
      <c r="F22" s="10">
        <v>30</v>
      </c>
      <c r="G22" s="10">
        <v>25</v>
      </c>
      <c r="H22" s="10">
        <v>30</v>
      </c>
      <c r="I22" s="10">
        <v>29</v>
      </c>
      <c r="J22" s="10">
        <v>34</v>
      </c>
      <c r="K22" s="10">
        <v>27</v>
      </c>
      <c r="L22" s="10">
        <v>30</v>
      </c>
      <c r="M22" s="10">
        <v>29</v>
      </c>
      <c r="N22" s="10">
        <v>34</v>
      </c>
      <c r="O22" s="10">
        <v>31</v>
      </c>
      <c r="P22" s="10">
        <v>34</v>
      </c>
      <c r="Q22" s="10">
        <f t="shared" si="1"/>
        <v>361</v>
      </c>
      <c r="S22" s="10" t="s">
        <v>37</v>
      </c>
      <c r="T22" s="10" t="s">
        <v>26</v>
      </c>
      <c r="U22" s="10">
        <v>9288040</v>
      </c>
      <c r="V22" s="11"/>
      <c r="X22" t="s">
        <v>47</v>
      </c>
      <c r="Y22" s="13">
        <v>36901568</v>
      </c>
      <c r="Z22" s="13">
        <v>69300116</v>
      </c>
      <c r="AA22" s="13">
        <v>505</v>
      </c>
      <c r="AB22" s="13">
        <f>GETPIVOTDATA("итого",$X$13," ТМ","Korona","Метрики","Прибыль")-GETPIVOTDATA("итого",$X$13," ТМ","Korona","Метрики","Затраты")</f>
        <v>32398548</v>
      </c>
      <c r="AC22" s="13">
        <f>GETPIVOTDATA("итого",$X$13," ТМ","Korona","Метрики","Прибыль")/12</f>
        <v>5775009.666666667</v>
      </c>
      <c r="AD22" s="14">
        <f>GETPIVOTDATA("итого",$X$13," ТМ","Korona","Метрики","Прибыль")/GETPIVOTDATA("итого",$X$13,"Метрики","Прибыль")</f>
        <v>3.2989681145868387E-2</v>
      </c>
    </row>
    <row r="23" spans="1:30">
      <c r="A23" s="10" t="s">
        <v>48</v>
      </c>
      <c r="B23" s="10" t="s">
        <v>35</v>
      </c>
      <c r="C23" s="10" t="s">
        <v>27</v>
      </c>
      <c r="D23" s="10">
        <f t="shared" si="0"/>
        <v>2721972</v>
      </c>
      <c r="E23" s="10">
        <v>3400780</v>
      </c>
      <c r="F23" s="10">
        <v>3350780</v>
      </c>
      <c r="G23" s="10">
        <v>3310780</v>
      </c>
      <c r="H23" s="10">
        <v>3350780</v>
      </c>
      <c r="I23" s="10">
        <v>3440780</v>
      </c>
      <c r="J23" s="10">
        <v>2730780</v>
      </c>
      <c r="K23" s="10">
        <v>2020780</v>
      </c>
      <c r="L23" s="10">
        <v>2730780</v>
      </c>
      <c r="M23" s="10">
        <v>3440780</v>
      </c>
      <c r="N23" s="10">
        <v>2730780</v>
      </c>
      <c r="O23" s="10">
        <v>3040780</v>
      </c>
      <c r="P23" s="10">
        <v>3350780</v>
      </c>
      <c r="Q23" s="10">
        <f t="shared" si="1"/>
        <v>36899360</v>
      </c>
      <c r="S23" s="10" t="s">
        <v>37</v>
      </c>
      <c r="T23" s="10" t="s">
        <v>33</v>
      </c>
      <c r="U23" s="10">
        <v>8289016</v>
      </c>
      <c r="V23" s="11"/>
      <c r="X23" t="s">
        <v>49</v>
      </c>
      <c r="Y23" s="13">
        <v>36890804</v>
      </c>
      <c r="Z23" s="13">
        <v>58182560</v>
      </c>
      <c r="AA23" s="13">
        <v>565</v>
      </c>
      <c r="AB23" s="13">
        <f>GETPIVOTDATA("итого",$X$13," ТМ","Lubimov","Метрики","Прибыль")-GETPIVOTDATA("итого",$X$13," ТМ","Lubimov","Метрики","Затраты")</f>
        <v>21291756</v>
      </c>
      <c r="AC23" s="13">
        <f>GETPIVOTDATA("итого",$X$13," ТМ","Lubimov","Метрики","Прибыль")/12</f>
        <v>4848546.666666667</v>
      </c>
      <c r="AD23" s="14">
        <f>GETPIVOTDATA("итого",$X$13," ТМ","Lubimov","Метрики","Прибыль")/GETPIVOTDATA("итого",$X$13,"Метрики","Прибыль")</f>
        <v>2.7697271136607568E-2</v>
      </c>
    </row>
    <row r="24" spans="1:30">
      <c r="A24" s="10" t="s">
        <v>48</v>
      </c>
      <c r="B24" s="10" t="s">
        <v>35</v>
      </c>
      <c r="C24" s="10" t="s">
        <v>28</v>
      </c>
      <c r="D24" s="10">
        <f t="shared" si="0"/>
        <v>2721972</v>
      </c>
      <c r="E24" s="10">
        <v>6500954</v>
      </c>
      <c r="F24" s="10">
        <v>6450954</v>
      </c>
      <c r="G24" s="10">
        <v>6410954</v>
      </c>
      <c r="H24" s="10">
        <v>6450954</v>
      </c>
      <c r="I24" s="10">
        <v>6540954</v>
      </c>
      <c r="J24" s="10">
        <v>5830954</v>
      </c>
      <c r="K24" s="10">
        <v>5120954</v>
      </c>
      <c r="L24" s="10">
        <v>5830954</v>
      </c>
      <c r="M24" s="10">
        <v>6540954</v>
      </c>
      <c r="N24" s="10">
        <v>5830954</v>
      </c>
      <c r="O24" s="10">
        <v>6140954</v>
      </c>
      <c r="P24" s="10">
        <v>6450954</v>
      </c>
      <c r="Q24" s="10">
        <f t="shared" si="1"/>
        <v>74101448</v>
      </c>
      <c r="S24" s="10" t="s">
        <v>37</v>
      </c>
      <c r="T24" s="10" t="s">
        <v>35</v>
      </c>
      <c r="U24" s="10">
        <v>8801440</v>
      </c>
      <c r="V24" s="11"/>
      <c r="X24" t="s">
        <v>50</v>
      </c>
      <c r="Y24" s="13">
        <v>51291200</v>
      </c>
      <c r="Z24" s="13">
        <v>110158760</v>
      </c>
      <c r="AA24" s="13">
        <v>229</v>
      </c>
      <c r="AB24" s="13">
        <f>GETPIVOTDATA("итого",$X$13," ТМ","Myrgorodska","Метрики","Прибыль")-GETPIVOTDATA("итого",$X$13," ТМ","Myrgorodska","Метрики","Затраты")</f>
        <v>58867560</v>
      </c>
      <c r="AC24" s="13">
        <f>GETPIVOTDATA("итого",$X$13," ТМ","Myrgorodska","Метрики","Прибыль")/12</f>
        <v>9179896.666666666</v>
      </c>
      <c r="AD24" s="14">
        <f>GETPIVOTDATA("итого",$X$13," ТМ","Myrgorodska","Метрики","Прибыль")/GETPIVOTDATA("итого",$X$13,"Метрики","Прибыль")</f>
        <v>5.2440061829394931E-2</v>
      </c>
    </row>
    <row r="25" spans="1:30">
      <c r="A25" s="10" t="s">
        <v>48</v>
      </c>
      <c r="B25" s="10" t="s">
        <v>35</v>
      </c>
      <c r="C25" s="10" t="s">
        <v>29</v>
      </c>
      <c r="D25" s="10">
        <f t="shared" si="0"/>
        <v>2721972</v>
      </c>
      <c r="E25" s="10">
        <v>40</v>
      </c>
      <c r="F25" s="10">
        <v>42</v>
      </c>
      <c r="G25" s="10">
        <v>37</v>
      </c>
      <c r="H25" s="10">
        <v>42</v>
      </c>
      <c r="I25" s="10">
        <v>41</v>
      </c>
      <c r="J25" s="10">
        <v>46</v>
      </c>
      <c r="K25" s="10">
        <v>39</v>
      </c>
      <c r="L25" s="10">
        <v>42</v>
      </c>
      <c r="M25" s="10">
        <v>41</v>
      </c>
      <c r="N25" s="10">
        <v>46</v>
      </c>
      <c r="O25" s="10">
        <v>43</v>
      </c>
      <c r="P25" s="10">
        <v>46</v>
      </c>
      <c r="Q25" s="10">
        <f t="shared" si="1"/>
        <v>505</v>
      </c>
      <c r="S25" s="10" t="s">
        <v>34</v>
      </c>
      <c r="T25" s="10" t="s">
        <v>35</v>
      </c>
      <c r="U25" s="10">
        <v>8373959</v>
      </c>
      <c r="V25" s="11"/>
      <c r="X25" t="s">
        <v>25</v>
      </c>
      <c r="Y25" s="13">
        <v>32184080</v>
      </c>
      <c r="Z25" s="13">
        <v>81156212</v>
      </c>
      <c r="AA25" s="13">
        <v>385</v>
      </c>
      <c r="AB25" s="13">
        <f>GETPIVOTDATA("итого",$X$13," ТМ","Obolon","Метрики","Прибыль")-GETPIVOTDATA("итого",$X$13," ТМ","Obolon","Метрики","Затраты")</f>
        <v>48972132</v>
      </c>
      <c r="AC25" s="13">
        <f>GETPIVOTDATA("итого",$X$13," ТМ","Obolon","Метрики","Прибыль")/12</f>
        <v>6763017.666666667</v>
      </c>
      <c r="AD25" s="14">
        <f>GETPIVOTDATA("итого",$X$13," ТМ","Obolon","Метрики","Прибыль")/GETPIVOTDATA("итого",$X$13,"Метрики","Прибыль")</f>
        <v>3.8633666311417111E-2</v>
      </c>
    </row>
    <row r="26" spans="1:30">
      <c r="A26" s="10" t="s">
        <v>50</v>
      </c>
      <c r="B26" s="10" t="s">
        <v>40</v>
      </c>
      <c r="C26" s="10" t="s">
        <v>27</v>
      </c>
      <c r="D26" s="10">
        <f t="shared" si="0"/>
        <v>2592116</v>
      </c>
      <c r="E26" s="10">
        <v>4600100</v>
      </c>
      <c r="F26" s="10">
        <v>4550100</v>
      </c>
      <c r="G26" s="10">
        <v>4510100</v>
      </c>
      <c r="H26" s="10">
        <v>4550100</v>
      </c>
      <c r="I26" s="10">
        <v>4640100</v>
      </c>
      <c r="J26" s="10">
        <v>3930100</v>
      </c>
      <c r="K26" s="10">
        <v>3220100</v>
      </c>
      <c r="L26" s="10">
        <v>3930100</v>
      </c>
      <c r="M26" s="10">
        <v>4640100</v>
      </c>
      <c r="N26" s="10">
        <v>3930100</v>
      </c>
      <c r="O26" s="10">
        <v>4240100</v>
      </c>
      <c r="P26" s="10">
        <v>4550100</v>
      </c>
      <c r="Q26" s="10">
        <f t="shared" si="1"/>
        <v>51291200</v>
      </c>
      <c r="S26" s="10" t="s">
        <v>34</v>
      </c>
      <c r="T26" s="10" t="s">
        <v>40</v>
      </c>
      <c r="U26" s="10">
        <v>9456712</v>
      </c>
      <c r="V26" s="11"/>
      <c r="X26" t="s">
        <v>51</v>
      </c>
      <c r="Y26" s="13">
        <v>53784680</v>
      </c>
      <c r="Z26" s="13">
        <v>113747480</v>
      </c>
      <c r="AA26" s="13">
        <v>481</v>
      </c>
      <c r="AB26" s="13">
        <f>GETPIVOTDATA("итого",$X$13," ТМ","Oleyna","Метрики","Прибыль")-GETPIVOTDATA("итого",$X$13," ТМ","Oleyna","Метрики","Затраты")</f>
        <v>59962800</v>
      </c>
      <c r="AC26" s="13">
        <f>GETPIVOTDATA("итого",$X$13," ТМ","Oleyna","Метрики","Прибыль")/12</f>
        <v>9478956.666666666</v>
      </c>
      <c r="AD26" s="14">
        <f>GETPIVOTDATA("итого",$X$13," ТМ","Oleyna","Метрики","Прибыль")/GETPIVOTDATA("итого",$X$13,"Метрики","Прибыль")</f>
        <v>5.4148438890723384E-2</v>
      </c>
    </row>
    <row r="27" spans="1:30">
      <c r="A27" s="10" t="s">
        <v>50</v>
      </c>
      <c r="B27" s="10" t="s">
        <v>40</v>
      </c>
      <c r="C27" s="10" t="s">
        <v>28</v>
      </c>
      <c r="D27" s="10">
        <f t="shared" si="0"/>
        <v>2592116</v>
      </c>
      <c r="E27" s="10">
        <v>9505730</v>
      </c>
      <c r="F27" s="10">
        <v>9455730</v>
      </c>
      <c r="G27" s="10">
        <v>9415730</v>
      </c>
      <c r="H27" s="10">
        <v>9455730</v>
      </c>
      <c r="I27" s="10">
        <v>9545730</v>
      </c>
      <c r="J27" s="10">
        <v>8835730</v>
      </c>
      <c r="K27" s="10">
        <v>8125730</v>
      </c>
      <c r="L27" s="10">
        <v>8835730</v>
      </c>
      <c r="M27" s="10">
        <v>9545730</v>
      </c>
      <c r="N27" s="10">
        <v>8835730</v>
      </c>
      <c r="O27" s="10">
        <v>9145730</v>
      </c>
      <c r="P27" s="10">
        <v>9455730</v>
      </c>
      <c r="Q27" s="10">
        <f t="shared" si="1"/>
        <v>110158760</v>
      </c>
      <c r="S27" s="10" t="s">
        <v>34</v>
      </c>
      <c r="T27" s="10" t="s">
        <v>42</v>
      </c>
      <c r="U27" s="10">
        <v>8486182</v>
      </c>
      <c r="V27" s="11"/>
      <c r="X27" t="s">
        <v>52</v>
      </c>
      <c r="Y27" s="13">
        <v>39299360</v>
      </c>
      <c r="Z27" s="13">
        <v>93299480</v>
      </c>
      <c r="AA27" s="13">
        <v>685</v>
      </c>
      <c r="AB27" s="13">
        <f>GETPIVOTDATA("итого",$X$13," ТМ","Roshen","Метрики","Прибыль")-GETPIVOTDATA("итого",$X$13," ТМ","Roshen","Метрики","Затраты")</f>
        <v>54000120</v>
      </c>
      <c r="AC27" s="13">
        <f>GETPIVOTDATA("итого",$X$13," ТМ","Roshen","Метрики","Прибыль")/12</f>
        <v>7774956.666666667</v>
      </c>
      <c r="AD27" s="14">
        <f>GETPIVOTDATA("итого",$X$13," ТМ","Roshen","Метрики","Прибыль")/GETPIVOTDATA("итого",$X$13,"Метрики","Прибыль")</f>
        <v>4.4414357059305999E-2</v>
      </c>
    </row>
    <row r="28" spans="1:30">
      <c r="A28" s="10" t="s">
        <v>50</v>
      </c>
      <c r="B28" s="10" t="s">
        <v>40</v>
      </c>
      <c r="C28" s="10" t="s">
        <v>29</v>
      </c>
      <c r="D28" s="10">
        <f t="shared" si="0"/>
        <v>2592116</v>
      </c>
      <c r="E28" s="10">
        <v>17</v>
      </c>
      <c r="F28" s="10">
        <v>19</v>
      </c>
      <c r="G28" s="10">
        <v>14</v>
      </c>
      <c r="H28" s="10">
        <v>19</v>
      </c>
      <c r="I28" s="10">
        <v>18</v>
      </c>
      <c r="J28" s="10">
        <v>23</v>
      </c>
      <c r="K28" s="10">
        <v>16</v>
      </c>
      <c r="L28" s="10">
        <v>19</v>
      </c>
      <c r="M28" s="10">
        <v>18</v>
      </c>
      <c r="N28" s="10">
        <v>23</v>
      </c>
      <c r="O28" s="10">
        <v>20</v>
      </c>
      <c r="P28" s="10">
        <v>23</v>
      </c>
      <c r="Q28" s="10">
        <f t="shared" si="1"/>
        <v>229</v>
      </c>
      <c r="S28" s="10" t="s">
        <v>34</v>
      </c>
      <c r="T28" s="10" t="s">
        <v>38</v>
      </c>
      <c r="U28" s="10">
        <v>9183131</v>
      </c>
      <c r="V28" s="11"/>
      <c r="X28" t="s">
        <v>53</v>
      </c>
      <c r="Y28" s="13">
        <v>30635456</v>
      </c>
      <c r="Z28" s="13">
        <v>67963400</v>
      </c>
      <c r="AA28" s="13">
        <v>541</v>
      </c>
      <c r="AB28" s="13">
        <f>GETPIVOTDATA("итого",$X$13," ТМ","Rud","Метрики","Прибыль")-GETPIVOTDATA("итого",$X$13," ТМ","Rud","Метрики","Затраты")</f>
        <v>37327944</v>
      </c>
      <c r="AC28" s="13">
        <f>GETPIVOTDATA("итого",$X$13," ТМ","Rud","Метрики","Прибыль")/12</f>
        <v>5663616.666666667</v>
      </c>
      <c r="AD28" s="14">
        <f>GETPIVOTDATA("итого",$X$13," ТМ","Rud","Метрики","Прибыль")/GETPIVOTDATA("итого",$X$13,"Метрики","Прибыль")</f>
        <v>3.2353349821075503E-2</v>
      </c>
    </row>
    <row r="29" spans="1:30">
      <c r="A29" s="10" t="s">
        <v>51</v>
      </c>
      <c r="B29" s="10" t="s">
        <v>38</v>
      </c>
      <c r="C29" s="10" t="s">
        <v>27</v>
      </c>
      <c r="D29" s="10">
        <f t="shared" si="0"/>
        <v>7044377</v>
      </c>
      <c r="E29" s="10">
        <v>4807890</v>
      </c>
      <c r="F29" s="10">
        <v>4757890</v>
      </c>
      <c r="G29" s="10">
        <v>4717890</v>
      </c>
      <c r="H29" s="10">
        <v>4757890</v>
      </c>
      <c r="I29" s="10">
        <v>4847890</v>
      </c>
      <c r="J29" s="10">
        <v>4137890</v>
      </c>
      <c r="K29" s="10">
        <v>3427890</v>
      </c>
      <c r="L29" s="10">
        <v>4137890</v>
      </c>
      <c r="M29" s="10">
        <v>4847890</v>
      </c>
      <c r="N29" s="10">
        <v>4137890</v>
      </c>
      <c r="O29" s="10">
        <v>4447890</v>
      </c>
      <c r="P29" s="10">
        <v>4757890</v>
      </c>
      <c r="Q29" s="10">
        <f t="shared" si="1"/>
        <v>53784680</v>
      </c>
      <c r="S29" s="10" t="s">
        <v>48</v>
      </c>
      <c r="T29" s="10" t="s">
        <v>35</v>
      </c>
      <c r="U29" s="10">
        <v>2721972</v>
      </c>
      <c r="V29" s="11"/>
      <c r="X29" t="s">
        <v>54</v>
      </c>
      <c r="Y29" s="13">
        <v>33157400</v>
      </c>
      <c r="Z29" s="13">
        <v>63384680</v>
      </c>
      <c r="AA29" s="13">
        <v>373</v>
      </c>
      <c r="AB29" s="13">
        <f>GETPIVOTDATA("итого",$X$13," ТМ","Runa","Метрики","Прибыль")-GETPIVOTDATA("итого",$X$13," ТМ","Runa","Метрики","Затраты")</f>
        <v>30227280</v>
      </c>
      <c r="AC29" s="13">
        <f>GETPIVOTDATA("итого",$X$13," ТМ","Runa","Метрики","Прибыль")/12</f>
        <v>5282056.666666667</v>
      </c>
      <c r="AD29" s="14">
        <f>GETPIVOTDATA("итого",$X$13," ТМ","Runa","Метрики","Прибыль")/GETPIVOTDATA("итого",$X$13,"Метрики","Прибыль")</f>
        <v>3.0173692389387937E-2</v>
      </c>
    </row>
    <row r="30" spans="1:30">
      <c r="A30" s="10" t="s">
        <v>51</v>
      </c>
      <c r="B30" s="10" t="s">
        <v>38</v>
      </c>
      <c r="C30" s="10" t="s">
        <v>28</v>
      </c>
      <c r="D30" s="10">
        <f t="shared" si="0"/>
        <v>7044377</v>
      </c>
      <c r="E30" s="10">
        <v>9804790</v>
      </c>
      <c r="F30" s="10">
        <v>9754790</v>
      </c>
      <c r="G30" s="10">
        <v>9714790</v>
      </c>
      <c r="H30" s="10">
        <v>9754790</v>
      </c>
      <c r="I30" s="10">
        <v>9844790</v>
      </c>
      <c r="J30" s="10">
        <v>9134790</v>
      </c>
      <c r="K30" s="10">
        <v>8424790</v>
      </c>
      <c r="L30" s="10">
        <v>9134790</v>
      </c>
      <c r="M30" s="10">
        <v>9844790</v>
      </c>
      <c r="N30" s="10">
        <v>9134790</v>
      </c>
      <c r="O30" s="10">
        <v>9444790</v>
      </c>
      <c r="P30" s="10">
        <v>9754790</v>
      </c>
      <c r="Q30" s="10">
        <f t="shared" si="1"/>
        <v>113747480</v>
      </c>
      <c r="S30" s="10" t="s">
        <v>50</v>
      </c>
      <c r="T30" s="10" t="s">
        <v>40</v>
      </c>
      <c r="U30" s="10">
        <v>2592116</v>
      </c>
      <c r="V30" s="11"/>
      <c r="X30" t="s">
        <v>48</v>
      </c>
      <c r="Y30" s="13">
        <v>36899360</v>
      </c>
      <c r="Z30" s="13">
        <v>74101448</v>
      </c>
      <c r="AA30" s="13">
        <v>505</v>
      </c>
      <c r="AB30" s="13">
        <f>GETPIVOTDATA("итого",$X$13," ТМ","Sadochok","Метрики","Прибыль")-GETPIVOTDATA("итого",$X$13," ТМ","Sadochok","Метрики","Затраты")</f>
        <v>37202088</v>
      </c>
      <c r="AC30" s="13">
        <f>GETPIVOTDATA("итого",$X$13," ТМ","Sadochok","Метрики","Прибыль")/12</f>
        <v>6175120.666666667</v>
      </c>
      <c r="AD30" s="14">
        <f>GETPIVOTDATA("итого",$X$13," ТМ","Sadochok","Метрики","Прибыль")/GETPIVOTDATA("итого",$X$13,"Метрики","Прибыль")</f>
        <v>3.5275310967259374E-2</v>
      </c>
    </row>
    <row r="31" spans="1:30">
      <c r="A31" s="10" t="s">
        <v>51</v>
      </c>
      <c r="B31" s="10" t="s">
        <v>38</v>
      </c>
      <c r="C31" s="10" t="s">
        <v>29</v>
      </c>
      <c r="D31" s="10">
        <f t="shared" si="0"/>
        <v>7044377</v>
      </c>
      <c r="E31" s="10">
        <v>38</v>
      </c>
      <c r="F31" s="10">
        <v>40</v>
      </c>
      <c r="G31" s="10">
        <v>35</v>
      </c>
      <c r="H31" s="10">
        <v>40</v>
      </c>
      <c r="I31" s="10">
        <v>39</v>
      </c>
      <c r="J31" s="10">
        <v>44</v>
      </c>
      <c r="K31" s="10">
        <v>37</v>
      </c>
      <c r="L31" s="10">
        <v>40</v>
      </c>
      <c r="M31" s="10">
        <v>39</v>
      </c>
      <c r="N31" s="10">
        <v>44</v>
      </c>
      <c r="O31" s="10">
        <v>41</v>
      </c>
      <c r="P31" s="10">
        <v>44</v>
      </c>
      <c r="Q31" s="10">
        <f t="shared" si="1"/>
        <v>481</v>
      </c>
      <c r="S31" s="10" t="s">
        <v>50</v>
      </c>
      <c r="T31" s="10" t="s">
        <v>42</v>
      </c>
      <c r="U31" s="10">
        <v>6889894</v>
      </c>
      <c r="V31" s="11"/>
      <c r="X31" t="s">
        <v>55</v>
      </c>
      <c r="Y31" s="13">
        <v>41699456</v>
      </c>
      <c r="Z31" s="13">
        <v>100591400</v>
      </c>
      <c r="AA31" s="13">
        <v>661</v>
      </c>
      <c r="AB31" s="13">
        <f>GETPIVOTDATA("итого",$X$13," ТМ","Sandora","Метрики","Прибыль")-GETPIVOTDATA("итого",$X$13," ТМ","Sandora","Метрики","Затраты")</f>
        <v>58891944</v>
      </c>
      <c r="AC31" s="13">
        <f>GETPIVOTDATA("итого",$X$13," ТМ","Sandora","Метрики","Прибыль")/12</f>
        <v>8382616.666666667</v>
      </c>
      <c r="AD31" s="14">
        <f>GETPIVOTDATA("итого",$X$13," ТМ","Sandora","Метрики","Прибыль")/GETPIVOTDATA("итого",$X$13,"Метрики","Прибыль")</f>
        <v>4.7885608330244432E-2</v>
      </c>
    </row>
    <row r="32" spans="1:30">
      <c r="A32" s="10" t="s">
        <v>43</v>
      </c>
      <c r="B32" s="10" t="s">
        <v>33</v>
      </c>
      <c r="C32" s="10" t="s">
        <v>27</v>
      </c>
      <c r="D32" s="10">
        <f t="shared" si="0"/>
        <v>6380365</v>
      </c>
      <c r="E32" s="10">
        <v>3807060</v>
      </c>
      <c r="F32" s="10">
        <v>3757060</v>
      </c>
      <c r="G32" s="10">
        <v>3717060</v>
      </c>
      <c r="H32" s="10">
        <v>3757060</v>
      </c>
      <c r="I32" s="10">
        <v>3847060</v>
      </c>
      <c r="J32" s="10">
        <v>3137060</v>
      </c>
      <c r="K32" s="10">
        <v>2427060</v>
      </c>
      <c r="L32" s="10">
        <v>3137060</v>
      </c>
      <c r="M32" s="10">
        <v>3847060</v>
      </c>
      <c r="N32" s="10">
        <v>3137060</v>
      </c>
      <c r="O32" s="10">
        <v>3447060</v>
      </c>
      <c r="P32" s="10">
        <v>3757060</v>
      </c>
      <c r="Q32" s="10">
        <f t="shared" si="1"/>
        <v>41774720</v>
      </c>
      <c r="S32" s="10" t="s">
        <v>51</v>
      </c>
      <c r="T32" s="10" t="s">
        <v>38</v>
      </c>
      <c r="U32" s="10">
        <v>7044377</v>
      </c>
      <c r="V32" s="11"/>
      <c r="X32" t="s">
        <v>56</v>
      </c>
      <c r="Y32" s="13">
        <v>29543660</v>
      </c>
      <c r="Z32" s="13">
        <v>50939480</v>
      </c>
      <c r="AA32" s="13">
        <v>445</v>
      </c>
      <c r="AB32" s="13">
        <f>GETPIVOTDATA("итого",$X$13," ТМ","Schedriy Dar","Метрики","Прибыль")-GETPIVOTDATA("итого",$X$13," ТМ","Schedriy Dar","Метрики","Затраты")</f>
        <v>21395820</v>
      </c>
      <c r="AC32" s="13">
        <f>GETPIVOTDATA("итого",$X$13," ТМ","Schedriy Dar","Метрики","Прибыль")/12</f>
        <v>4244956.666666667</v>
      </c>
      <c r="AD32" s="14">
        <f>GETPIVOTDATA("итого",$X$13," ТМ","Schedriy Dar","Метрики","Прибыль")/GETPIVOTDATA("итого",$X$13,"Метрики","Прибыль")</f>
        <v>2.4249269697273521E-2</v>
      </c>
    </row>
    <row r="33" spans="1:30">
      <c r="A33" s="10" t="s">
        <v>43</v>
      </c>
      <c r="B33" s="10" t="s">
        <v>33</v>
      </c>
      <c r="C33" s="10" t="s">
        <v>28</v>
      </c>
      <c r="D33" s="10">
        <f t="shared" si="0"/>
        <v>6380365</v>
      </c>
      <c r="E33" s="10">
        <v>7900000</v>
      </c>
      <c r="F33" s="10">
        <v>7850000</v>
      </c>
      <c r="G33" s="10">
        <v>7810000</v>
      </c>
      <c r="H33" s="10">
        <v>7850000</v>
      </c>
      <c r="I33" s="10">
        <v>7940000</v>
      </c>
      <c r="J33" s="10">
        <v>7230000</v>
      </c>
      <c r="K33" s="10">
        <v>6520000</v>
      </c>
      <c r="L33" s="10">
        <v>7230000</v>
      </c>
      <c r="M33" s="10">
        <v>7940000</v>
      </c>
      <c r="N33" s="10">
        <v>7230000</v>
      </c>
      <c r="O33" s="10">
        <v>7540000</v>
      </c>
      <c r="P33" s="10">
        <v>7850000</v>
      </c>
      <c r="Q33" s="10">
        <f t="shared" si="1"/>
        <v>90890000</v>
      </c>
      <c r="S33" s="10" t="s">
        <v>43</v>
      </c>
      <c r="T33" s="10" t="s">
        <v>33</v>
      </c>
      <c r="U33" s="10">
        <v>6380365</v>
      </c>
      <c r="V33" s="11"/>
      <c r="X33" t="s">
        <v>57</v>
      </c>
      <c r="Y33" s="13">
        <v>24901568</v>
      </c>
      <c r="Z33" s="13">
        <v>38100116</v>
      </c>
      <c r="AA33" s="13">
        <v>241</v>
      </c>
      <c r="AB33" s="13">
        <f>GETPIVOTDATA("итого",$X$13," ТМ","Schedro","Метрики","Прибыль")-GETPIVOTDATA("итого",$X$13," ТМ","Schedro","Метрики","Затраты")</f>
        <v>13198548</v>
      </c>
      <c r="AC33" s="13">
        <f>GETPIVOTDATA("итого",$X$13," ТМ","Schedro","Метрики","Прибыль")/12</f>
        <v>3175009.6666666665</v>
      </c>
      <c r="AD33" s="14">
        <f>GETPIVOTDATA("итого",$X$13," ТМ","Schedro","Метрики","Прибыль")/GETPIVOTDATA("итого",$X$13,"Метрики","Прибыль")</f>
        <v>1.8137208867884124E-2</v>
      </c>
    </row>
    <row r="34" spans="1:30">
      <c r="A34" s="10" t="s">
        <v>43</v>
      </c>
      <c r="B34" s="10" t="s">
        <v>33</v>
      </c>
      <c r="C34" s="10" t="s">
        <v>29</v>
      </c>
      <c r="D34" s="10">
        <f t="shared" si="0"/>
        <v>6380365</v>
      </c>
      <c r="E34" s="10">
        <v>45</v>
      </c>
      <c r="F34" s="10">
        <v>47</v>
      </c>
      <c r="G34" s="10">
        <v>42</v>
      </c>
      <c r="H34" s="10">
        <v>47</v>
      </c>
      <c r="I34" s="10">
        <v>46</v>
      </c>
      <c r="J34" s="10">
        <v>51</v>
      </c>
      <c r="K34" s="10">
        <v>44</v>
      </c>
      <c r="L34" s="10">
        <v>47</v>
      </c>
      <c r="M34" s="10">
        <v>46</v>
      </c>
      <c r="N34" s="10">
        <v>51</v>
      </c>
      <c r="O34" s="10">
        <v>48</v>
      </c>
      <c r="P34" s="10">
        <v>51</v>
      </c>
      <c r="Q34" s="10">
        <f t="shared" si="1"/>
        <v>565</v>
      </c>
      <c r="S34" s="10" t="s">
        <v>43</v>
      </c>
      <c r="T34" s="10" t="s">
        <v>35</v>
      </c>
      <c r="U34" s="10">
        <v>6035628</v>
      </c>
      <c r="V34" s="11"/>
      <c r="X34" t="s">
        <v>58</v>
      </c>
      <c r="Y34" s="13">
        <v>33396920</v>
      </c>
      <c r="Z34" s="13">
        <v>78960680</v>
      </c>
      <c r="AA34" s="13">
        <v>745</v>
      </c>
      <c r="AB34" s="13">
        <f>GETPIVOTDATA("итого",$X$13," ТМ","Svitoch","Метрики","Прибыль")-GETPIVOTDATA("итого",$X$13," ТМ","Svitoch","Метрики","Затраты")</f>
        <v>45563760</v>
      </c>
      <c r="AC34" s="13">
        <f>GETPIVOTDATA("итого",$X$13," ТМ","Svitoch","Метрики","Прибыль")/12</f>
        <v>6580056.666666667</v>
      </c>
      <c r="AD34" s="14">
        <f>GETPIVOTDATA("итого",$X$13," ТМ","Svitoch","Метрики","Прибыль")/GETPIVOTDATA("итого",$X$13,"Метрики","Прибыль")</f>
        <v>3.7588503549704694E-2</v>
      </c>
    </row>
    <row r="35" spans="1:30">
      <c r="A35" s="10" t="s">
        <v>59</v>
      </c>
      <c r="B35" s="10" t="s">
        <v>38</v>
      </c>
      <c r="C35" s="10" t="s">
        <v>27</v>
      </c>
      <c r="D35" s="10">
        <f t="shared" si="0"/>
        <v>7945062</v>
      </c>
      <c r="E35" s="10">
        <v>3806007</v>
      </c>
      <c r="F35" s="10">
        <v>3756007</v>
      </c>
      <c r="G35" s="10">
        <v>3716007</v>
      </c>
      <c r="H35" s="10">
        <v>3756007</v>
      </c>
      <c r="I35" s="10">
        <v>3846007</v>
      </c>
      <c r="J35" s="10">
        <v>3136007</v>
      </c>
      <c r="K35" s="10">
        <v>2426007</v>
      </c>
      <c r="L35" s="10">
        <v>3136007</v>
      </c>
      <c r="M35" s="10">
        <v>3846007</v>
      </c>
      <c r="N35" s="10">
        <v>3136007</v>
      </c>
      <c r="O35" s="10">
        <v>3446007</v>
      </c>
      <c r="P35" s="10">
        <v>3756007</v>
      </c>
      <c r="Q35" s="10">
        <f t="shared" si="1"/>
        <v>41762084</v>
      </c>
      <c r="S35" s="10" t="s">
        <v>43</v>
      </c>
      <c r="T35" s="10" t="s">
        <v>40</v>
      </c>
      <c r="U35" s="10">
        <v>3251264</v>
      </c>
      <c r="V35" s="11"/>
      <c r="X35" t="s">
        <v>37</v>
      </c>
      <c r="Y35" s="13">
        <v>20891600</v>
      </c>
      <c r="Z35" s="13">
        <v>44160728</v>
      </c>
      <c r="AA35" s="13">
        <v>241</v>
      </c>
      <c r="AB35" s="13">
        <f>GETPIVOTDATA("итого",$X$13," ТМ","Torchin","Метрики","Прибыль")-GETPIVOTDATA("итого",$X$13," ТМ","Torchin","Метрики","Затраты")</f>
        <v>23269128</v>
      </c>
      <c r="AC35" s="13">
        <f>GETPIVOTDATA("итого",$X$13," ТМ","Torchin","Метрики","Прибыль")/12</f>
        <v>3680060.6666666665</v>
      </c>
      <c r="AD35" s="14">
        <f>GETPIVOTDATA("итого",$X$13," ТМ","Torchin","Метрики","Прибыль")/GETPIVOTDATA("итого",$X$13,"Метрики","Прибыль")</f>
        <v>2.1022307320371907E-2</v>
      </c>
    </row>
    <row r="36" spans="1:30">
      <c r="A36" s="10" t="s">
        <v>59</v>
      </c>
      <c r="B36" s="10" t="s">
        <v>38</v>
      </c>
      <c r="C36" s="10" t="s">
        <v>28</v>
      </c>
      <c r="D36" s="10">
        <f t="shared" si="0"/>
        <v>7945062</v>
      </c>
      <c r="E36" s="10">
        <v>8700190</v>
      </c>
      <c r="F36" s="10">
        <v>8650190</v>
      </c>
      <c r="G36" s="10">
        <v>8610190</v>
      </c>
      <c r="H36" s="10">
        <v>8650190</v>
      </c>
      <c r="I36" s="10">
        <v>8740190</v>
      </c>
      <c r="J36" s="10">
        <v>8030190</v>
      </c>
      <c r="K36" s="10">
        <v>7320190</v>
      </c>
      <c r="L36" s="10">
        <v>8030190</v>
      </c>
      <c r="M36" s="10">
        <v>8740190</v>
      </c>
      <c r="N36" s="10">
        <v>8030190</v>
      </c>
      <c r="O36" s="10">
        <v>8340190</v>
      </c>
      <c r="P36" s="10">
        <v>8650190</v>
      </c>
      <c r="Q36" s="10">
        <f t="shared" si="1"/>
        <v>100492280</v>
      </c>
      <c r="S36" s="10" t="s">
        <v>43</v>
      </c>
      <c r="T36" s="10" t="s">
        <v>38</v>
      </c>
      <c r="U36" s="10">
        <v>5554789</v>
      </c>
      <c r="V36" s="11"/>
      <c r="X36" t="s">
        <v>60</v>
      </c>
      <c r="Y36" s="13">
        <v>49957400</v>
      </c>
      <c r="Z36" s="13">
        <v>84984680</v>
      </c>
      <c r="AA36" s="13">
        <v>445</v>
      </c>
      <c r="AB36" s="13">
        <f>GETPIVOTDATA("итого",$X$13," ТМ","Tulchinka","Метрики","Прибыль")-GETPIVOTDATA("итого",$X$13," ТМ","Tulchinka","Метрики","Затраты")</f>
        <v>35027280</v>
      </c>
      <c r="AC36" s="13">
        <f>GETPIVOTDATA("итого",$X$13," ТМ","Tulchinka","Метрики","Прибыль")/12</f>
        <v>7082056.666666667</v>
      </c>
      <c r="AD36" s="14">
        <f>GETPIVOTDATA("итого",$X$13," ТМ","Tulchinka","Метрики","Прибыль")/GETPIVOTDATA("итого",$X$13,"Метрики","Прибыль")</f>
        <v>4.0456173197223194E-2</v>
      </c>
    </row>
    <row r="37" spans="1:30">
      <c r="A37" s="10" t="s">
        <v>59</v>
      </c>
      <c r="B37" s="10" t="s">
        <v>38</v>
      </c>
      <c r="C37" s="10" t="s">
        <v>29</v>
      </c>
      <c r="D37" s="10">
        <f t="shared" si="0"/>
        <v>7945062</v>
      </c>
      <c r="E37" s="10">
        <v>100</v>
      </c>
      <c r="F37" s="10">
        <v>102</v>
      </c>
      <c r="G37" s="10">
        <v>97</v>
      </c>
      <c r="H37" s="10">
        <v>102</v>
      </c>
      <c r="I37" s="10">
        <v>101</v>
      </c>
      <c r="J37" s="10">
        <v>106</v>
      </c>
      <c r="K37" s="10">
        <v>99</v>
      </c>
      <c r="L37" s="10">
        <v>102</v>
      </c>
      <c r="M37" s="10">
        <v>101</v>
      </c>
      <c r="N37" s="10">
        <v>106</v>
      </c>
      <c r="O37" s="10">
        <v>103</v>
      </c>
      <c r="P37" s="10">
        <v>106</v>
      </c>
      <c r="Q37" s="10">
        <f t="shared" si="1"/>
        <v>1225</v>
      </c>
      <c r="S37" s="10" t="s">
        <v>59</v>
      </c>
      <c r="T37" s="10" t="s">
        <v>33</v>
      </c>
      <c r="U37" s="10">
        <v>4187828</v>
      </c>
      <c r="V37" s="11"/>
      <c r="X37" t="s">
        <v>61</v>
      </c>
      <c r="Y37" s="13">
        <v>33960680</v>
      </c>
      <c r="Z37" s="13">
        <v>64140668</v>
      </c>
      <c r="AA37" s="13">
        <v>541</v>
      </c>
      <c r="AB37" s="13">
        <f>GETPIVOTDATA("итого",$X$13," ТМ","Veres","Метрики","Прибыль")-GETPIVOTDATA("итого",$X$13," ТМ","Veres","Метрики","Затраты")</f>
        <v>30179988</v>
      </c>
      <c r="AC37" s="13">
        <f>GETPIVOTDATA("итого",$X$13," ТМ","Veres","Метрики","Прибыль")/12</f>
        <v>5345055.666666667</v>
      </c>
      <c r="AD37" s="14">
        <f>GETPIVOTDATA("итого",$X$13," ТМ","Veres","Метрики","Прибыль")/GETPIVOTDATA("итого",$X$13,"Метрики","Прибыль")</f>
        <v>3.0533573505172832E-2</v>
      </c>
    </row>
    <row r="38" spans="1:30">
      <c r="A38" s="10" t="s">
        <v>58</v>
      </c>
      <c r="B38" s="10" t="s">
        <v>40</v>
      </c>
      <c r="C38" s="10" t="s">
        <v>27</v>
      </c>
      <c r="D38" s="10">
        <f t="shared" si="0"/>
        <v>2636785</v>
      </c>
      <c r="E38" s="10">
        <v>3108910</v>
      </c>
      <c r="F38" s="10">
        <v>3058910</v>
      </c>
      <c r="G38" s="10">
        <v>3018910</v>
      </c>
      <c r="H38" s="10">
        <v>3058910</v>
      </c>
      <c r="I38" s="10">
        <v>3148910</v>
      </c>
      <c r="J38" s="10">
        <v>2438910</v>
      </c>
      <c r="K38" s="10">
        <v>1728910</v>
      </c>
      <c r="L38" s="10">
        <v>2438910</v>
      </c>
      <c r="M38" s="10">
        <v>3148910</v>
      </c>
      <c r="N38" s="10">
        <v>2438910</v>
      </c>
      <c r="O38" s="10">
        <v>2748910</v>
      </c>
      <c r="P38" s="10">
        <v>3058910</v>
      </c>
      <c r="Q38" s="10">
        <f t="shared" si="1"/>
        <v>33396920</v>
      </c>
      <c r="S38" s="10" t="s">
        <v>59</v>
      </c>
      <c r="T38" s="10" t="s">
        <v>35</v>
      </c>
      <c r="U38" s="10">
        <v>7081720</v>
      </c>
      <c r="V38" s="11"/>
      <c r="X38" t="s">
        <v>59</v>
      </c>
      <c r="Y38" s="13">
        <v>41762084</v>
      </c>
      <c r="Z38" s="13">
        <v>100492280</v>
      </c>
      <c r="AA38" s="13">
        <v>1225</v>
      </c>
      <c r="AB38" s="13">
        <f>GETPIVOTDATA("итого",$X$13," ТМ","Yagotynske","Метрики","Прибыль")-GETPIVOTDATA("итого",$X$13," ТМ","Yagotynske","Метрики","Затраты")</f>
        <v>58730196</v>
      </c>
      <c r="AC38" s="13">
        <f>GETPIVOTDATA("итого",$X$13," ТМ","Yagotynske","Метрики","Прибыль")/12</f>
        <v>8374356.666666667</v>
      </c>
      <c r="AD38" s="14">
        <f>GETPIVOTDATA("итого",$X$13," ТМ","Yagotynske","Метрики","Прибыль")/GETPIVOTDATA("итого",$X$13,"Метрики","Прибыль")</f>
        <v>4.7838423168315145E-2</v>
      </c>
    </row>
    <row r="39" spans="1:30">
      <c r="A39" s="10" t="s">
        <v>58</v>
      </c>
      <c r="B39" s="10" t="s">
        <v>40</v>
      </c>
      <c r="C39" s="10" t="s">
        <v>28</v>
      </c>
      <c r="D39" s="10">
        <f t="shared" si="0"/>
        <v>2636785</v>
      </c>
      <c r="E39" s="10">
        <v>6905890</v>
      </c>
      <c r="F39" s="10">
        <v>6855890</v>
      </c>
      <c r="G39" s="10">
        <v>6815890</v>
      </c>
      <c r="H39" s="10">
        <v>6855890</v>
      </c>
      <c r="I39" s="10">
        <v>6945890</v>
      </c>
      <c r="J39" s="10">
        <v>6235890</v>
      </c>
      <c r="K39" s="10">
        <v>5525890</v>
      </c>
      <c r="L39" s="10">
        <v>6235890</v>
      </c>
      <c r="M39" s="10">
        <v>6945890</v>
      </c>
      <c r="N39" s="10">
        <v>6235890</v>
      </c>
      <c r="O39" s="10">
        <v>6545890</v>
      </c>
      <c r="P39" s="10">
        <v>6855890</v>
      </c>
      <c r="Q39" s="10">
        <f t="shared" si="1"/>
        <v>78960680</v>
      </c>
      <c r="S39" s="10" t="s">
        <v>59</v>
      </c>
      <c r="T39" s="10" t="s">
        <v>38</v>
      </c>
      <c r="U39" s="10">
        <v>7945062</v>
      </c>
      <c r="V39" s="11"/>
      <c r="X39" t="s">
        <v>62</v>
      </c>
      <c r="Y39" s="13">
        <v>48890804</v>
      </c>
      <c r="Z39" s="13">
        <v>106182560</v>
      </c>
      <c r="AA39" s="13">
        <v>1045</v>
      </c>
      <c r="AB39" s="13">
        <f>GETPIVOTDATA("итого",$X$13," ТМ","Yatran","Метрики","Прибыль")-GETPIVOTDATA("итого",$X$13," ТМ","Yatran","Метрики","Затраты")</f>
        <v>57291756</v>
      </c>
      <c r="AC39" s="13">
        <f>GETPIVOTDATA("итого",$X$13," ТМ","Yatran","Метрики","Прибыль")/12</f>
        <v>8848546.666666666</v>
      </c>
      <c r="AD39" s="14">
        <f>GETPIVOTDATA("итого",$X$13," ТМ","Yatran","Метрики","Прибыль")/GETPIVOTDATA("итого",$X$13,"Метрики","Прибыль")</f>
        <v>5.0547228487352588E-2</v>
      </c>
    </row>
    <row r="40" spans="1:30">
      <c r="A40" s="10" t="s">
        <v>58</v>
      </c>
      <c r="B40" s="10" t="s">
        <v>40</v>
      </c>
      <c r="C40" s="10" t="s">
        <v>29</v>
      </c>
      <c r="D40" s="10">
        <f t="shared" si="0"/>
        <v>2636785</v>
      </c>
      <c r="E40" s="10">
        <v>60</v>
      </c>
      <c r="F40" s="10">
        <v>62</v>
      </c>
      <c r="G40" s="10">
        <v>57</v>
      </c>
      <c r="H40" s="10">
        <v>62</v>
      </c>
      <c r="I40" s="10">
        <v>61</v>
      </c>
      <c r="J40" s="10">
        <v>66</v>
      </c>
      <c r="K40" s="10">
        <v>59</v>
      </c>
      <c r="L40" s="10">
        <v>62</v>
      </c>
      <c r="M40" s="10">
        <v>61</v>
      </c>
      <c r="N40" s="10">
        <v>66</v>
      </c>
      <c r="O40" s="10">
        <v>63</v>
      </c>
      <c r="P40" s="10">
        <v>66</v>
      </c>
      <c r="Q40" s="10">
        <f t="shared" si="1"/>
        <v>745</v>
      </c>
      <c r="S40" s="10" t="s">
        <v>59</v>
      </c>
      <c r="T40" s="10" t="s">
        <v>40</v>
      </c>
      <c r="U40" s="10">
        <v>2407445</v>
      </c>
      <c r="V40" s="11"/>
      <c r="X40" t="s">
        <v>63</v>
      </c>
      <c r="Y40" s="13">
        <v>49922072</v>
      </c>
      <c r="Z40" s="13">
        <v>81383660</v>
      </c>
      <c r="AA40" s="13">
        <v>565</v>
      </c>
      <c r="AB40" s="13">
        <f>GETPIVOTDATA("итого",$X$13," ТМ","Zhivchik","Метрики","Прибыль")-GETPIVOTDATA("итого",$X$13," ТМ","Zhivchik","Метрики","Затраты")</f>
        <v>31461588</v>
      </c>
      <c r="AC40" s="13">
        <f>GETPIVOTDATA("итого",$X$13," ТМ","Zhivchik","Метрики","Прибыль")/12</f>
        <v>6781971.666666667</v>
      </c>
      <c r="AD40" s="14">
        <f>GETPIVOTDATA("итого",$X$13," ТМ","Zhivchik","Метрики","Прибыль")/GETPIVOTDATA("итого",$X$13,"Метрики","Прибыль")</f>
        <v>3.8741940834323613E-2</v>
      </c>
    </row>
    <row r="41" spans="1:30">
      <c r="A41" s="10" t="s">
        <v>49</v>
      </c>
      <c r="B41" s="10" t="s">
        <v>26</v>
      </c>
      <c r="C41" s="10" t="s">
        <v>27</v>
      </c>
      <c r="D41" s="10">
        <f t="shared" si="0"/>
        <v>7759093</v>
      </c>
      <c r="E41" s="10">
        <v>3400067</v>
      </c>
      <c r="F41" s="10">
        <v>3350067</v>
      </c>
      <c r="G41" s="10">
        <v>3310067</v>
      </c>
      <c r="H41" s="10">
        <v>3350067</v>
      </c>
      <c r="I41" s="10">
        <v>3440067</v>
      </c>
      <c r="J41" s="10">
        <v>2730067</v>
      </c>
      <c r="K41" s="10">
        <v>2020067</v>
      </c>
      <c r="L41" s="10">
        <v>2730067</v>
      </c>
      <c r="M41" s="10">
        <v>3440067</v>
      </c>
      <c r="N41" s="10">
        <v>2730067</v>
      </c>
      <c r="O41" s="10">
        <v>3040067</v>
      </c>
      <c r="P41" s="10">
        <v>3350067</v>
      </c>
      <c r="Q41" s="10">
        <f t="shared" si="1"/>
        <v>36890804</v>
      </c>
      <c r="S41" s="10" t="s">
        <v>58</v>
      </c>
      <c r="T41" s="10" t="s">
        <v>40</v>
      </c>
      <c r="U41" s="10">
        <v>2636785</v>
      </c>
      <c r="V41" s="11"/>
      <c r="X41" t="s">
        <v>64</v>
      </c>
      <c r="Y41" s="13">
        <v>1012622704</v>
      </c>
      <c r="Z41" s="13">
        <v>2100660376</v>
      </c>
      <c r="AA41" s="13">
        <v>13694</v>
      </c>
      <c r="AB41" s="15">
        <f>GETPIVOTDATA("итого",$X$13,"Метрики","Прибыль")-GETPIVOTDATA("итого",$X$13,"Метрики","Затраты")</f>
        <v>1088037672</v>
      </c>
      <c r="AC41" s="15">
        <f>SUM(AC15:AC40)</f>
        <v>175055031.33333331</v>
      </c>
      <c r="AD41" s="9"/>
    </row>
    <row r="42" spans="1:30">
      <c r="A42" s="10" t="s">
        <v>49</v>
      </c>
      <c r="B42" s="10" t="s">
        <v>26</v>
      </c>
      <c r="C42" s="10" t="s">
        <v>28</v>
      </c>
      <c r="D42" s="10">
        <f t="shared" si="0"/>
        <v>7759093</v>
      </c>
      <c r="E42" s="10">
        <v>5174380</v>
      </c>
      <c r="F42" s="10">
        <v>5124380</v>
      </c>
      <c r="G42" s="10">
        <v>5084380</v>
      </c>
      <c r="H42" s="10">
        <v>5124380</v>
      </c>
      <c r="I42" s="10">
        <v>5214380</v>
      </c>
      <c r="J42" s="10">
        <v>4504380</v>
      </c>
      <c r="K42" s="10">
        <v>3794380</v>
      </c>
      <c r="L42" s="10">
        <v>4504380</v>
      </c>
      <c r="M42" s="10">
        <v>5214380</v>
      </c>
      <c r="N42" s="10">
        <v>4504380</v>
      </c>
      <c r="O42" s="10">
        <v>4814380</v>
      </c>
      <c r="P42" s="10">
        <v>5124380</v>
      </c>
      <c r="Q42" s="10">
        <f t="shared" si="1"/>
        <v>58182560</v>
      </c>
      <c r="S42" s="10" t="s">
        <v>49</v>
      </c>
      <c r="T42" s="10" t="s">
        <v>26</v>
      </c>
      <c r="U42" s="10">
        <v>7759093</v>
      </c>
      <c r="V42" s="11"/>
    </row>
    <row r="43" spans="1:30">
      <c r="A43" s="10" t="s">
        <v>49</v>
      </c>
      <c r="B43" s="10" t="s">
        <v>26</v>
      </c>
      <c r="C43" s="10" t="s">
        <v>29</v>
      </c>
      <c r="D43" s="10">
        <f t="shared" si="0"/>
        <v>7759093</v>
      </c>
      <c r="E43" s="10">
        <v>45</v>
      </c>
      <c r="F43" s="10">
        <v>47</v>
      </c>
      <c r="G43" s="10">
        <v>42</v>
      </c>
      <c r="H43" s="10">
        <v>47</v>
      </c>
      <c r="I43" s="10">
        <v>46</v>
      </c>
      <c r="J43" s="10">
        <v>51</v>
      </c>
      <c r="K43" s="10">
        <v>44</v>
      </c>
      <c r="L43" s="10">
        <v>47</v>
      </c>
      <c r="M43" s="10">
        <v>46</v>
      </c>
      <c r="N43" s="10">
        <v>51</v>
      </c>
      <c r="O43" s="10">
        <v>48</v>
      </c>
      <c r="P43" s="10">
        <v>51</v>
      </c>
      <c r="Q43" s="10">
        <f t="shared" si="1"/>
        <v>565</v>
      </c>
      <c r="S43" s="10" t="s">
        <v>63</v>
      </c>
      <c r="T43" s="10" t="s">
        <v>42</v>
      </c>
      <c r="U43" s="10">
        <v>2306476</v>
      </c>
      <c r="V43" s="11"/>
    </row>
    <row r="44" spans="1:30">
      <c r="A44" s="10" t="s">
        <v>63</v>
      </c>
      <c r="B44" s="10" t="s">
        <v>42</v>
      </c>
      <c r="C44" s="10" t="s">
        <v>27</v>
      </c>
      <c r="D44" s="10">
        <f t="shared" si="0"/>
        <v>2306476</v>
      </c>
      <c r="E44" s="10">
        <v>4486006</v>
      </c>
      <c r="F44" s="10">
        <v>4436006</v>
      </c>
      <c r="G44" s="10">
        <v>4396006</v>
      </c>
      <c r="H44" s="10">
        <v>4436006</v>
      </c>
      <c r="I44" s="10">
        <v>4526006</v>
      </c>
      <c r="J44" s="10">
        <v>3816006</v>
      </c>
      <c r="K44" s="10">
        <v>3106006</v>
      </c>
      <c r="L44" s="10">
        <v>3816006</v>
      </c>
      <c r="M44" s="10">
        <v>4526006</v>
      </c>
      <c r="N44" s="10">
        <v>3816006</v>
      </c>
      <c r="O44" s="10">
        <v>4126006</v>
      </c>
      <c r="P44" s="10">
        <v>4436006</v>
      </c>
      <c r="Q44" s="10">
        <f t="shared" si="1"/>
        <v>49922072</v>
      </c>
      <c r="S44" s="10" t="s">
        <v>52</v>
      </c>
      <c r="T44" s="10" t="s">
        <v>33</v>
      </c>
      <c r="U44" s="10">
        <v>1531442</v>
      </c>
      <c r="V44" s="11"/>
    </row>
    <row r="45" spans="1:30">
      <c r="A45" s="10" t="s">
        <v>63</v>
      </c>
      <c r="B45" s="10" t="s">
        <v>42</v>
      </c>
      <c r="C45" s="10" t="s">
        <v>28</v>
      </c>
      <c r="D45" s="10">
        <f t="shared" si="0"/>
        <v>2306476</v>
      </c>
      <c r="E45" s="10">
        <v>7107805</v>
      </c>
      <c r="F45" s="10">
        <v>7057805</v>
      </c>
      <c r="G45" s="10">
        <v>7017805</v>
      </c>
      <c r="H45" s="10">
        <v>7057805</v>
      </c>
      <c r="I45" s="10">
        <v>7147805</v>
      </c>
      <c r="J45" s="10">
        <v>6437805</v>
      </c>
      <c r="K45" s="10">
        <v>5727805</v>
      </c>
      <c r="L45" s="10">
        <v>6437805</v>
      </c>
      <c r="M45" s="10">
        <v>7147805</v>
      </c>
      <c r="N45" s="10">
        <v>6437805</v>
      </c>
      <c r="O45" s="10">
        <v>6747805</v>
      </c>
      <c r="P45" s="10">
        <v>7057805</v>
      </c>
      <c r="Q45" s="10">
        <f t="shared" si="1"/>
        <v>81383660</v>
      </c>
      <c r="S45" s="10" t="s">
        <v>47</v>
      </c>
      <c r="T45" s="10" t="s">
        <v>26</v>
      </c>
      <c r="U45" s="10">
        <v>2765772</v>
      </c>
      <c r="V45" s="11"/>
    </row>
    <row r="46" spans="1:30">
      <c r="A46" s="10" t="s">
        <v>63</v>
      </c>
      <c r="B46" s="10" t="s">
        <v>42</v>
      </c>
      <c r="C46" s="10" t="s">
        <v>29</v>
      </c>
      <c r="D46" s="10">
        <f t="shared" si="0"/>
        <v>2306476</v>
      </c>
      <c r="E46" s="10">
        <v>45</v>
      </c>
      <c r="F46" s="10">
        <v>47</v>
      </c>
      <c r="G46" s="10">
        <v>42</v>
      </c>
      <c r="H46" s="10">
        <v>47</v>
      </c>
      <c r="I46" s="10">
        <v>46</v>
      </c>
      <c r="J46" s="10">
        <v>51</v>
      </c>
      <c r="K46" s="10">
        <v>44</v>
      </c>
      <c r="L46" s="10">
        <v>47</v>
      </c>
      <c r="M46" s="10">
        <v>46</v>
      </c>
      <c r="N46" s="10">
        <v>51</v>
      </c>
      <c r="O46" s="10">
        <v>48</v>
      </c>
      <c r="P46" s="10">
        <v>51</v>
      </c>
      <c r="Q46" s="10">
        <f t="shared" si="1"/>
        <v>565</v>
      </c>
      <c r="S46" s="10" t="s">
        <v>47</v>
      </c>
      <c r="T46" s="10" t="s">
        <v>33</v>
      </c>
      <c r="U46" s="10">
        <v>4706959</v>
      </c>
      <c r="V46" s="11"/>
    </row>
    <row r="47" spans="1:30">
      <c r="A47" s="10" t="s">
        <v>52</v>
      </c>
      <c r="B47" s="10" t="s">
        <v>33</v>
      </c>
      <c r="C47" s="10" t="s">
        <v>27</v>
      </c>
      <c r="D47" s="10">
        <f t="shared" si="0"/>
        <v>1531442</v>
      </c>
      <c r="E47" s="10">
        <v>3600780</v>
      </c>
      <c r="F47" s="10">
        <v>3550780</v>
      </c>
      <c r="G47" s="10">
        <v>3510780</v>
      </c>
      <c r="H47" s="10">
        <v>3550780</v>
      </c>
      <c r="I47" s="10">
        <v>3640780</v>
      </c>
      <c r="J47" s="10">
        <v>2930780</v>
      </c>
      <c r="K47" s="10">
        <v>2220780</v>
      </c>
      <c r="L47" s="10">
        <v>2930780</v>
      </c>
      <c r="M47" s="10">
        <v>3640780</v>
      </c>
      <c r="N47" s="10">
        <v>2930780</v>
      </c>
      <c r="O47" s="10">
        <v>3240780</v>
      </c>
      <c r="P47" s="10">
        <v>3550780</v>
      </c>
      <c r="Q47" s="10">
        <f t="shared" si="1"/>
        <v>39299360</v>
      </c>
      <c r="S47" s="10" t="s">
        <v>47</v>
      </c>
      <c r="T47" s="10" t="s">
        <v>35</v>
      </c>
      <c r="U47" s="10">
        <v>6934935</v>
      </c>
      <c r="V47" s="11"/>
    </row>
    <row r="48" spans="1:30">
      <c r="A48" s="10" t="s">
        <v>52</v>
      </c>
      <c r="B48" s="10" t="s">
        <v>33</v>
      </c>
      <c r="C48" s="10" t="s">
        <v>28</v>
      </c>
      <c r="D48" s="10">
        <f t="shared" si="0"/>
        <v>1531442</v>
      </c>
      <c r="E48" s="10">
        <v>8100790</v>
      </c>
      <c r="F48" s="10">
        <v>8050790</v>
      </c>
      <c r="G48" s="10">
        <v>8010790</v>
      </c>
      <c r="H48" s="10">
        <v>8050790</v>
      </c>
      <c r="I48" s="10">
        <v>8140790</v>
      </c>
      <c r="J48" s="10">
        <v>7430790</v>
      </c>
      <c r="K48" s="10">
        <v>6720790</v>
      </c>
      <c r="L48" s="10">
        <v>7430790</v>
      </c>
      <c r="M48" s="10">
        <v>8140790</v>
      </c>
      <c r="N48" s="10">
        <v>7430790</v>
      </c>
      <c r="O48" s="10">
        <v>7740790</v>
      </c>
      <c r="P48" s="10">
        <v>8050790</v>
      </c>
      <c r="Q48" s="10">
        <f t="shared" si="1"/>
        <v>93299480</v>
      </c>
      <c r="S48" s="10" t="s">
        <v>47</v>
      </c>
      <c r="T48" s="10" t="s">
        <v>38</v>
      </c>
      <c r="U48" s="10">
        <v>2855426</v>
      </c>
      <c r="V48" s="11"/>
    </row>
    <row r="49" spans="1:22">
      <c r="A49" s="10" t="s">
        <v>52</v>
      </c>
      <c r="B49" s="10" t="s">
        <v>33</v>
      </c>
      <c r="C49" s="10" t="s">
        <v>29</v>
      </c>
      <c r="D49" s="10">
        <f t="shared" si="0"/>
        <v>1531442</v>
      </c>
      <c r="E49" s="10">
        <v>55</v>
      </c>
      <c r="F49" s="10">
        <v>57</v>
      </c>
      <c r="G49" s="10">
        <v>52</v>
      </c>
      <c r="H49" s="10">
        <v>57</v>
      </c>
      <c r="I49" s="10">
        <v>56</v>
      </c>
      <c r="J49" s="10">
        <v>61</v>
      </c>
      <c r="K49" s="10">
        <v>54</v>
      </c>
      <c r="L49" s="10">
        <v>57</v>
      </c>
      <c r="M49" s="10">
        <v>56</v>
      </c>
      <c r="N49" s="10">
        <v>61</v>
      </c>
      <c r="O49" s="10">
        <v>58</v>
      </c>
      <c r="P49" s="10">
        <v>61</v>
      </c>
      <c r="Q49" s="10">
        <f t="shared" si="1"/>
        <v>685</v>
      </c>
      <c r="S49" s="10" t="s">
        <v>47</v>
      </c>
      <c r="T49" s="10" t="s">
        <v>40</v>
      </c>
      <c r="U49" s="10">
        <v>5708172</v>
      </c>
      <c r="V49" s="11"/>
    </row>
    <row r="50" spans="1:22">
      <c r="A50" s="10" t="s">
        <v>47</v>
      </c>
      <c r="B50" s="10" t="s">
        <v>26</v>
      </c>
      <c r="C50" s="10" t="s">
        <v>27</v>
      </c>
      <c r="D50" s="10">
        <f t="shared" si="0"/>
        <v>2765772</v>
      </c>
      <c r="E50" s="10">
        <v>3400964</v>
      </c>
      <c r="F50" s="10">
        <v>3350964</v>
      </c>
      <c r="G50" s="10">
        <v>3310964</v>
      </c>
      <c r="H50" s="10">
        <v>3350964</v>
      </c>
      <c r="I50" s="10">
        <v>3440964</v>
      </c>
      <c r="J50" s="10">
        <v>2730964</v>
      </c>
      <c r="K50" s="10">
        <v>2020964</v>
      </c>
      <c r="L50" s="10">
        <v>2730964</v>
      </c>
      <c r="M50" s="10">
        <v>3440964</v>
      </c>
      <c r="N50" s="10">
        <v>2730964</v>
      </c>
      <c r="O50" s="10">
        <v>3040964</v>
      </c>
      <c r="P50" s="10">
        <v>3350964</v>
      </c>
      <c r="Q50" s="10">
        <f t="shared" si="1"/>
        <v>36901568</v>
      </c>
      <c r="S50" s="10" t="s">
        <v>47</v>
      </c>
      <c r="T50" s="10" t="s">
        <v>44</v>
      </c>
      <c r="U50" s="10">
        <v>2381315</v>
      </c>
      <c r="V50" s="11"/>
    </row>
    <row r="51" spans="1:22">
      <c r="A51" s="10" t="s">
        <v>47</v>
      </c>
      <c r="B51" s="10" t="s">
        <v>26</v>
      </c>
      <c r="C51" s="10" t="s">
        <v>28</v>
      </c>
      <c r="D51" s="10">
        <f t="shared" si="0"/>
        <v>2765772</v>
      </c>
      <c r="E51" s="10">
        <v>6100843</v>
      </c>
      <c r="F51" s="10">
        <v>6050843</v>
      </c>
      <c r="G51" s="10">
        <v>6010843</v>
      </c>
      <c r="H51" s="10">
        <v>6050843</v>
      </c>
      <c r="I51" s="10">
        <v>6140843</v>
      </c>
      <c r="J51" s="10">
        <v>5430843</v>
      </c>
      <c r="K51" s="10">
        <v>4720843</v>
      </c>
      <c r="L51" s="10">
        <v>5430843</v>
      </c>
      <c r="M51" s="10">
        <v>6140843</v>
      </c>
      <c r="N51" s="10">
        <v>5430843</v>
      </c>
      <c r="O51" s="10">
        <v>5740843</v>
      </c>
      <c r="P51" s="10">
        <v>6050843</v>
      </c>
      <c r="Q51" s="10">
        <f t="shared" si="1"/>
        <v>69300116</v>
      </c>
      <c r="S51" s="10" t="s">
        <v>60</v>
      </c>
      <c r="T51" s="10" t="s">
        <v>33</v>
      </c>
      <c r="U51" s="10">
        <v>7947855</v>
      </c>
      <c r="V51" s="11"/>
    </row>
    <row r="52" spans="1:22">
      <c r="A52" s="10" t="s">
        <v>47</v>
      </c>
      <c r="B52" s="10" t="s">
        <v>26</v>
      </c>
      <c r="C52" s="10" t="s">
        <v>29</v>
      </c>
      <c r="D52" s="10">
        <f t="shared" si="0"/>
        <v>2765772</v>
      </c>
      <c r="E52" s="10">
        <v>40</v>
      </c>
      <c r="F52" s="10">
        <v>42</v>
      </c>
      <c r="G52" s="10">
        <v>37</v>
      </c>
      <c r="H52" s="10">
        <v>42</v>
      </c>
      <c r="I52" s="10">
        <v>41</v>
      </c>
      <c r="J52" s="10">
        <v>46</v>
      </c>
      <c r="K52" s="10">
        <v>39</v>
      </c>
      <c r="L52" s="10">
        <v>42</v>
      </c>
      <c r="M52" s="10">
        <v>41</v>
      </c>
      <c r="N52" s="10">
        <v>46</v>
      </c>
      <c r="O52" s="10">
        <v>43</v>
      </c>
      <c r="P52" s="10">
        <v>46</v>
      </c>
      <c r="Q52" s="10">
        <f t="shared" si="1"/>
        <v>505</v>
      </c>
      <c r="S52" s="10" t="s">
        <v>60</v>
      </c>
      <c r="T52" s="10" t="s">
        <v>35</v>
      </c>
      <c r="U52" s="10">
        <v>5365980</v>
      </c>
      <c r="V52" s="11"/>
    </row>
    <row r="53" spans="1:22">
      <c r="A53" s="10" t="s">
        <v>60</v>
      </c>
      <c r="B53" s="10" t="s">
        <v>35</v>
      </c>
      <c r="C53" s="10" t="s">
        <v>27</v>
      </c>
      <c r="D53" s="10">
        <f t="shared" si="0"/>
        <v>5365980</v>
      </c>
      <c r="E53" s="10">
        <v>4488950</v>
      </c>
      <c r="F53" s="10">
        <v>4438950</v>
      </c>
      <c r="G53" s="10">
        <v>4398950</v>
      </c>
      <c r="H53" s="10">
        <v>4438950</v>
      </c>
      <c r="I53" s="10">
        <v>4528950</v>
      </c>
      <c r="J53" s="10">
        <v>3818950</v>
      </c>
      <c r="K53" s="10">
        <v>3108950</v>
      </c>
      <c r="L53" s="10">
        <v>3818950</v>
      </c>
      <c r="M53" s="10">
        <v>4528950</v>
      </c>
      <c r="N53" s="10">
        <v>3818950</v>
      </c>
      <c r="O53" s="10">
        <v>4128950</v>
      </c>
      <c r="P53" s="10">
        <v>4438950</v>
      </c>
      <c r="Q53" s="10">
        <f t="shared" si="1"/>
        <v>49957400</v>
      </c>
      <c r="S53" s="10" t="s">
        <v>60</v>
      </c>
      <c r="T53" s="10" t="s">
        <v>38</v>
      </c>
      <c r="U53" s="10">
        <v>2709987</v>
      </c>
      <c r="V53" s="11"/>
    </row>
    <row r="54" spans="1:22">
      <c r="A54" s="10" t="s">
        <v>60</v>
      </c>
      <c r="B54" s="10" t="s">
        <v>35</v>
      </c>
      <c r="C54" s="10" t="s">
        <v>28</v>
      </c>
      <c r="D54" s="10">
        <f t="shared" si="0"/>
        <v>5365980</v>
      </c>
      <c r="E54" s="10">
        <v>7407890</v>
      </c>
      <c r="F54" s="10">
        <v>7357890</v>
      </c>
      <c r="G54" s="10">
        <v>7317890</v>
      </c>
      <c r="H54" s="10">
        <v>7357890</v>
      </c>
      <c r="I54" s="10">
        <v>7447890</v>
      </c>
      <c r="J54" s="10">
        <v>6737890</v>
      </c>
      <c r="K54" s="10">
        <v>6027890</v>
      </c>
      <c r="L54" s="10">
        <v>6737890</v>
      </c>
      <c r="M54" s="10">
        <v>7447890</v>
      </c>
      <c r="N54" s="10">
        <v>6737890</v>
      </c>
      <c r="O54" s="10">
        <v>7047890</v>
      </c>
      <c r="P54" s="10">
        <v>7357890</v>
      </c>
      <c r="Q54" s="10">
        <f t="shared" si="1"/>
        <v>84984680</v>
      </c>
      <c r="S54" s="10" t="s">
        <v>60</v>
      </c>
      <c r="T54" s="10" t="s">
        <v>40</v>
      </c>
      <c r="U54" s="10">
        <v>8898072</v>
      </c>
      <c r="V54" s="11"/>
    </row>
    <row r="55" spans="1:22">
      <c r="A55" s="10" t="s">
        <v>60</v>
      </c>
      <c r="B55" s="10" t="s">
        <v>35</v>
      </c>
      <c r="C55" s="10" t="s">
        <v>29</v>
      </c>
      <c r="D55" s="10">
        <f t="shared" si="0"/>
        <v>5365980</v>
      </c>
      <c r="E55" s="10">
        <v>35</v>
      </c>
      <c r="F55" s="10">
        <v>37</v>
      </c>
      <c r="G55" s="10">
        <v>32</v>
      </c>
      <c r="H55" s="10">
        <v>37</v>
      </c>
      <c r="I55" s="10">
        <v>36</v>
      </c>
      <c r="J55" s="10">
        <v>41</v>
      </c>
      <c r="K55" s="10">
        <v>34</v>
      </c>
      <c r="L55" s="10">
        <v>37</v>
      </c>
      <c r="M55" s="10">
        <v>36</v>
      </c>
      <c r="N55" s="10">
        <v>41</v>
      </c>
      <c r="O55" s="10">
        <v>38</v>
      </c>
      <c r="P55" s="10">
        <v>41</v>
      </c>
      <c r="Q55" s="10">
        <f t="shared" si="1"/>
        <v>445</v>
      </c>
      <c r="S55" s="10" t="s">
        <v>55</v>
      </c>
      <c r="T55" s="10" t="s">
        <v>26</v>
      </c>
      <c r="U55" s="10">
        <v>4498536</v>
      </c>
      <c r="V55" s="11"/>
    </row>
    <row r="56" spans="1:22">
      <c r="A56" s="10" t="s">
        <v>55</v>
      </c>
      <c r="B56" s="10" t="s">
        <v>26</v>
      </c>
      <c r="C56" s="10" t="s">
        <v>27</v>
      </c>
      <c r="D56" s="10">
        <f t="shared" si="0"/>
        <v>4498536</v>
      </c>
      <c r="E56" s="10">
        <v>3800788</v>
      </c>
      <c r="F56" s="10">
        <v>3750788</v>
      </c>
      <c r="G56" s="10">
        <v>3710788</v>
      </c>
      <c r="H56" s="10">
        <v>3750788</v>
      </c>
      <c r="I56" s="10">
        <v>3840788</v>
      </c>
      <c r="J56" s="10">
        <v>3130788</v>
      </c>
      <c r="K56" s="10">
        <v>2420788</v>
      </c>
      <c r="L56" s="10">
        <v>3130788</v>
      </c>
      <c r="M56" s="10">
        <v>3840788</v>
      </c>
      <c r="N56" s="10">
        <v>3130788</v>
      </c>
      <c r="O56" s="10">
        <v>3440788</v>
      </c>
      <c r="P56" s="10">
        <v>3750788</v>
      </c>
      <c r="Q56" s="10">
        <f t="shared" si="1"/>
        <v>41699456</v>
      </c>
      <c r="S56" s="10" t="s">
        <v>55</v>
      </c>
      <c r="T56" s="10" t="s">
        <v>33</v>
      </c>
      <c r="U56" s="10">
        <v>2455370</v>
      </c>
      <c r="V56" s="11"/>
    </row>
    <row r="57" spans="1:22">
      <c r="A57" s="10" t="s">
        <v>55</v>
      </c>
      <c r="B57" s="10" t="s">
        <v>26</v>
      </c>
      <c r="C57" s="10" t="s">
        <v>28</v>
      </c>
      <c r="D57" s="10">
        <f t="shared" si="0"/>
        <v>4498536</v>
      </c>
      <c r="E57" s="10">
        <v>8708450</v>
      </c>
      <c r="F57" s="10">
        <v>8658450</v>
      </c>
      <c r="G57" s="10">
        <v>8618450</v>
      </c>
      <c r="H57" s="10">
        <v>8658450</v>
      </c>
      <c r="I57" s="10">
        <v>8748450</v>
      </c>
      <c r="J57" s="10">
        <v>8038450</v>
      </c>
      <c r="K57" s="10">
        <v>7328450</v>
      </c>
      <c r="L57" s="10">
        <v>8038450</v>
      </c>
      <c r="M57" s="10">
        <v>8748450</v>
      </c>
      <c r="N57" s="10">
        <v>8038450</v>
      </c>
      <c r="O57" s="10">
        <v>8348450</v>
      </c>
      <c r="P57" s="10">
        <v>8658450</v>
      </c>
      <c r="Q57" s="10">
        <f t="shared" si="1"/>
        <v>100591400</v>
      </c>
      <c r="S57" s="10" t="s">
        <v>55</v>
      </c>
      <c r="T57" s="10" t="s">
        <v>35</v>
      </c>
      <c r="U57" s="10">
        <v>6463880</v>
      </c>
      <c r="V57" s="11"/>
    </row>
    <row r="58" spans="1:22">
      <c r="A58" s="10" t="s">
        <v>55</v>
      </c>
      <c r="B58" s="10" t="s">
        <v>26</v>
      </c>
      <c r="C58" s="10" t="s">
        <v>29</v>
      </c>
      <c r="D58" s="10">
        <f t="shared" si="0"/>
        <v>4498536</v>
      </c>
      <c r="E58" s="10">
        <v>53</v>
      </c>
      <c r="F58" s="10">
        <v>55</v>
      </c>
      <c r="G58" s="10">
        <v>50</v>
      </c>
      <c r="H58" s="10">
        <v>55</v>
      </c>
      <c r="I58" s="10">
        <v>54</v>
      </c>
      <c r="J58" s="10">
        <v>59</v>
      </c>
      <c r="K58" s="10">
        <v>52</v>
      </c>
      <c r="L58" s="10">
        <v>55</v>
      </c>
      <c r="M58" s="10">
        <v>54</v>
      </c>
      <c r="N58" s="10">
        <v>59</v>
      </c>
      <c r="O58" s="10">
        <v>56</v>
      </c>
      <c r="P58" s="10">
        <v>59</v>
      </c>
      <c r="Q58" s="10">
        <f t="shared" si="1"/>
        <v>661</v>
      </c>
      <c r="S58" s="10" t="s">
        <v>55</v>
      </c>
      <c r="T58" s="10" t="s">
        <v>38</v>
      </c>
      <c r="U58" s="10">
        <v>1524139</v>
      </c>
      <c r="V58" s="11"/>
    </row>
    <row r="59" spans="1:22">
      <c r="A59" s="10" t="s">
        <v>61</v>
      </c>
      <c r="B59" s="10" t="s">
        <v>42</v>
      </c>
      <c r="C59" s="10" t="s">
        <v>27</v>
      </c>
      <c r="D59" s="10">
        <f t="shared" si="0"/>
        <v>4312524</v>
      </c>
      <c r="E59" s="10">
        <v>3155890</v>
      </c>
      <c r="F59" s="10">
        <v>3105890</v>
      </c>
      <c r="G59" s="10">
        <v>3065890</v>
      </c>
      <c r="H59" s="10">
        <v>3105890</v>
      </c>
      <c r="I59" s="10">
        <v>3195890</v>
      </c>
      <c r="J59" s="10">
        <v>2485890</v>
      </c>
      <c r="K59" s="10">
        <v>1775890</v>
      </c>
      <c r="L59" s="10">
        <v>2485890</v>
      </c>
      <c r="M59" s="10">
        <v>3195890</v>
      </c>
      <c r="N59" s="10">
        <v>2485890</v>
      </c>
      <c r="O59" s="10">
        <v>2795890</v>
      </c>
      <c r="P59" s="10">
        <v>3105890</v>
      </c>
      <c r="Q59" s="10">
        <f t="shared" si="1"/>
        <v>33960680</v>
      </c>
      <c r="S59" s="10" t="s">
        <v>61</v>
      </c>
      <c r="T59" s="10" t="s">
        <v>42</v>
      </c>
      <c r="U59" s="10">
        <v>4312524</v>
      </c>
      <c r="V59" s="11"/>
    </row>
    <row r="60" spans="1:22">
      <c r="A60" s="10" t="s">
        <v>61</v>
      </c>
      <c r="B60" s="10" t="s">
        <v>42</v>
      </c>
      <c r="C60" s="10" t="s">
        <v>28</v>
      </c>
      <c r="D60" s="10">
        <f t="shared" si="0"/>
        <v>4312524</v>
      </c>
      <c r="E60" s="10">
        <v>5670889</v>
      </c>
      <c r="F60" s="10">
        <v>5620889</v>
      </c>
      <c r="G60" s="10">
        <v>5580889</v>
      </c>
      <c r="H60" s="10">
        <v>5620889</v>
      </c>
      <c r="I60" s="10">
        <v>5710889</v>
      </c>
      <c r="J60" s="10">
        <v>5000889</v>
      </c>
      <c r="K60" s="10">
        <v>4290889</v>
      </c>
      <c r="L60" s="10">
        <v>5000889</v>
      </c>
      <c r="M60" s="10">
        <v>5710889</v>
      </c>
      <c r="N60" s="10">
        <v>5000889</v>
      </c>
      <c r="O60" s="10">
        <v>5310889</v>
      </c>
      <c r="P60" s="10">
        <v>5620889</v>
      </c>
      <c r="Q60" s="10">
        <f t="shared" si="1"/>
        <v>64140668</v>
      </c>
      <c r="S60" s="10" t="s">
        <v>61</v>
      </c>
      <c r="T60" s="10" t="s">
        <v>38</v>
      </c>
      <c r="U60" s="10">
        <v>1252751</v>
      </c>
      <c r="V60" s="11"/>
    </row>
    <row r="61" spans="1:22">
      <c r="A61" s="10" t="s">
        <v>61</v>
      </c>
      <c r="B61" s="10" t="s">
        <v>42</v>
      </c>
      <c r="C61" s="10" t="s">
        <v>29</v>
      </c>
      <c r="D61" s="10">
        <f t="shared" si="0"/>
        <v>4312524</v>
      </c>
      <c r="E61" s="10">
        <v>43</v>
      </c>
      <c r="F61" s="10">
        <v>45</v>
      </c>
      <c r="G61" s="10">
        <v>40</v>
      </c>
      <c r="H61" s="10">
        <v>45</v>
      </c>
      <c r="I61" s="10">
        <v>44</v>
      </c>
      <c r="J61" s="10">
        <v>49</v>
      </c>
      <c r="K61" s="10">
        <v>42</v>
      </c>
      <c r="L61" s="10">
        <v>45</v>
      </c>
      <c r="M61" s="10">
        <v>44</v>
      </c>
      <c r="N61" s="10">
        <v>49</v>
      </c>
      <c r="O61" s="10">
        <v>46</v>
      </c>
      <c r="P61" s="10">
        <v>49</v>
      </c>
      <c r="Q61" s="10">
        <f t="shared" si="1"/>
        <v>541</v>
      </c>
      <c r="S61" s="10" t="s">
        <v>61</v>
      </c>
      <c r="T61" s="10" t="s">
        <v>35</v>
      </c>
      <c r="U61" s="10">
        <v>3246111</v>
      </c>
      <c r="V61" s="11"/>
    </row>
    <row r="62" spans="1:22">
      <c r="A62" s="10" t="s">
        <v>41</v>
      </c>
      <c r="B62" s="10" t="s">
        <v>40</v>
      </c>
      <c r="C62" s="10" t="s">
        <v>27</v>
      </c>
      <c r="D62" s="10">
        <f t="shared" si="0"/>
        <v>5904640</v>
      </c>
      <c r="E62" s="10">
        <v>2155000</v>
      </c>
      <c r="F62" s="10">
        <v>2105000</v>
      </c>
      <c r="G62" s="10">
        <v>2065000</v>
      </c>
      <c r="H62" s="10">
        <v>2105000</v>
      </c>
      <c r="I62" s="10">
        <v>2195000</v>
      </c>
      <c r="J62" s="10">
        <v>1485000</v>
      </c>
      <c r="K62" s="10">
        <v>775000</v>
      </c>
      <c r="L62" s="10">
        <v>1485000</v>
      </c>
      <c r="M62" s="10">
        <v>2195000</v>
      </c>
      <c r="N62" s="10">
        <v>1485000</v>
      </c>
      <c r="O62" s="10">
        <v>1795000</v>
      </c>
      <c r="P62" s="10">
        <v>2105000</v>
      </c>
      <c r="Q62" s="10">
        <f t="shared" si="1"/>
        <v>21950000</v>
      </c>
      <c r="S62" s="10" t="s">
        <v>41</v>
      </c>
      <c r="T62" s="10" t="s">
        <v>40</v>
      </c>
      <c r="U62" s="10">
        <v>5904640</v>
      </c>
      <c r="V62" s="11"/>
    </row>
    <row r="63" spans="1:22">
      <c r="A63" s="10" t="s">
        <v>41</v>
      </c>
      <c r="B63" s="10" t="s">
        <v>40</v>
      </c>
      <c r="C63" s="10" t="s">
        <v>28</v>
      </c>
      <c r="D63" s="10">
        <f t="shared" si="0"/>
        <v>5904640</v>
      </c>
      <c r="E63" s="10">
        <v>5899758</v>
      </c>
      <c r="F63" s="10">
        <v>5849758</v>
      </c>
      <c r="G63" s="10">
        <v>5809758</v>
      </c>
      <c r="H63" s="10">
        <v>5849758</v>
      </c>
      <c r="I63" s="10">
        <v>5939758</v>
      </c>
      <c r="J63" s="10">
        <v>5229758</v>
      </c>
      <c r="K63" s="10">
        <v>4519758</v>
      </c>
      <c r="L63" s="10">
        <v>5229758</v>
      </c>
      <c r="M63" s="10">
        <v>5939758</v>
      </c>
      <c r="N63" s="10">
        <v>5229758</v>
      </c>
      <c r="O63" s="10">
        <v>5539758</v>
      </c>
      <c r="P63" s="10">
        <v>5849758</v>
      </c>
      <c r="Q63" s="10">
        <f t="shared" si="1"/>
        <v>66887096</v>
      </c>
      <c r="S63" s="10" t="s">
        <v>45</v>
      </c>
      <c r="T63" s="10" t="s">
        <v>44</v>
      </c>
      <c r="U63" s="10">
        <v>7142646</v>
      </c>
      <c r="V63" s="11"/>
    </row>
    <row r="64" spans="1:22">
      <c r="A64" s="10" t="s">
        <v>41</v>
      </c>
      <c r="B64" s="10" t="s">
        <v>40</v>
      </c>
      <c r="C64" s="10" t="s">
        <v>29</v>
      </c>
      <c r="D64" s="10">
        <f t="shared" si="0"/>
        <v>5904640</v>
      </c>
      <c r="E64" s="10">
        <v>33</v>
      </c>
      <c r="F64" s="10">
        <v>35</v>
      </c>
      <c r="G64" s="10">
        <v>30</v>
      </c>
      <c r="H64" s="10">
        <v>35</v>
      </c>
      <c r="I64" s="10">
        <v>34</v>
      </c>
      <c r="J64" s="10">
        <v>39</v>
      </c>
      <c r="K64" s="10">
        <v>32</v>
      </c>
      <c r="L64" s="10">
        <v>35</v>
      </c>
      <c r="M64" s="10">
        <v>34</v>
      </c>
      <c r="N64" s="10">
        <v>39</v>
      </c>
      <c r="O64" s="10">
        <v>36</v>
      </c>
      <c r="P64" s="10">
        <v>39</v>
      </c>
      <c r="Q64" s="10">
        <f t="shared" si="1"/>
        <v>421</v>
      </c>
      <c r="S64" s="10" t="s">
        <v>46</v>
      </c>
      <c r="T64" s="10" t="s">
        <v>33</v>
      </c>
      <c r="U64" s="10">
        <v>2290488</v>
      </c>
      <c r="V64" s="11"/>
    </row>
    <row r="65" spans="1:22">
      <c r="A65" s="10" t="s">
        <v>45</v>
      </c>
      <c r="B65" s="10" t="s">
        <v>44</v>
      </c>
      <c r="C65" s="10" t="s">
        <v>27</v>
      </c>
      <c r="D65" s="10">
        <f t="shared" si="0"/>
        <v>7142646</v>
      </c>
      <c r="E65" s="10">
        <v>5455890</v>
      </c>
      <c r="F65" s="10">
        <v>5405890</v>
      </c>
      <c r="G65" s="10">
        <v>5365890</v>
      </c>
      <c r="H65" s="10">
        <v>5405890</v>
      </c>
      <c r="I65" s="10">
        <v>5495890</v>
      </c>
      <c r="J65" s="10">
        <v>4785890</v>
      </c>
      <c r="K65" s="10">
        <v>4075890</v>
      </c>
      <c r="L65" s="10">
        <v>4785890</v>
      </c>
      <c r="M65" s="10">
        <v>5495890</v>
      </c>
      <c r="N65" s="10">
        <v>4785890</v>
      </c>
      <c r="O65" s="10">
        <v>5095890</v>
      </c>
      <c r="P65" s="10">
        <v>5405890</v>
      </c>
      <c r="Q65" s="10">
        <f t="shared" si="1"/>
        <v>61560680</v>
      </c>
      <c r="S65" s="10" t="s">
        <v>46</v>
      </c>
      <c r="T65" s="10" t="s">
        <v>35</v>
      </c>
      <c r="U65" s="10">
        <v>4285005</v>
      </c>
      <c r="V65" s="11"/>
    </row>
    <row r="66" spans="1:22">
      <c r="A66" s="10" t="s">
        <v>45</v>
      </c>
      <c r="B66" s="10" t="s">
        <v>44</v>
      </c>
      <c r="C66" s="10" t="s">
        <v>28</v>
      </c>
      <c r="D66" s="10">
        <f t="shared" si="0"/>
        <v>7142646</v>
      </c>
      <c r="E66" s="10">
        <v>9670889</v>
      </c>
      <c r="F66" s="10">
        <v>9620889</v>
      </c>
      <c r="G66" s="10">
        <v>9580889</v>
      </c>
      <c r="H66" s="10">
        <v>9620889</v>
      </c>
      <c r="I66" s="10">
        <v>9710889</v>
      </c>
      <c r="J66" s="10">
        <v>9000889</v>
      </c>
      <c r="K66" s="10">
        <v>8290889</v>
      </c>
      <c r="L66" s="10">
        <v>9000889</v>
      </c>
      <c r="M66" s="10">
        <v>9710889</v>
      </c>
      <c r="N66" s="10">
        <v>9000889</v>
      </c>
      <c r="O66" s="10">
        <v>9310889</v>
      </c>
      <c r="P66" s="10">
        <v>9620889</v>
      </c>
      <c r="Q66" s="10">
        <f t="shared" si="1"/>
        <v>112140668</v>
      </c>
      <c r="S66" s="10" t="s">
        <v>46</v>
      </c>
      <c r="T66" s="10" t="s">
        <v>38</v>
      </c>
      <c r="U66" s="10">
        <v>5178274</v>
      </c>
      <c r="V66" s="11"/>
    </row>
    <row r="67" spans="1:22">
      <c r="A67" s="10" t="s">
        <v>45</v>
      </c>
      <c r="B67" s="10" t="s">
        <v>44</v>
      </c>
      <c r="C67" s="10" t="s">
        <v>29</v>
      </c>
      <c r="D67" s="10">
        <f t="shared" si="0"/>
        <v>7142646</v>
      </c>
      <c r="E67" s="10">
        <v>20</v>
      </c>
      <c r="F67" s="10">
        <v>22</v>
      </c>
      <c r="G67" s="10">
        <v>17</v>
      </c>
      <c r="H67" s="10">
        <v>22</v>
      </c>
      <c r="I67" s="10">
        <v>21</v>
      </c>
      <c r="J67" s="10">
        <v>26</v>
      </c>
      <c r="K67" s="10">
        <v>19</v>
      </c>
      <c r="L67" s="10">
        <v>22</v>
      </c>
      <c r="M67" s="10">
        <v>21</v>
      </c>
      <c r="N67" s="10">
        <v>26</v>
      </c>
      <c r="O67" s="10">
        <v>23</v>
      </c>
      <c r="P67" s="10">
        <v>26</v>
      </c>
      <c r="Q67" s="10">
        <f t="shared" si="1"/>
        <v>265</v>
      </c>
      <c r="S67" s="10" t="s">
        <v>62</v>
      </c>
      <c r="T67" s="10" t="s">
        <v>33</v>
      </c>
      <c r="U67" s="10">
        <v>4541753</v>
      </c>
      <c r="V67" s="11"/>
    </row>
    <row r="68" spans="1:22">
      <c r="A68" s="10" t="s">
        <v>46</v>
      </c>
      <c r="B68" s="10" t="s">
        <v>35</v>
      </c>
      <c r="C68" s="10" t="s">
        <v>27</v>
      </c>
      <c r="D68" s="10">
        <f t="shared" si="0"/>
        <v>4285005</v>
      </c>
      <c r="E68" s="10">
        <v>3159800</v>
      </c>
      <c r="F68" s="10">
        <v>3109800</v>
      </c>
      <c r="G68" s="10">
        <v>3069800</v>
      </c>
      <c r="H68" s="10">
        <v>3109800</v>
      </c>
      <c r="I68" s="10">
        <v>3199800</v>
      </c>
      <c r="J68" s="10">
        <v>2489800</v>
      </c>
      <c r="K68" s="10">
        <v>1779800</v>
      </c>
      <c r="L68" s="10">
        <v>2489800</v>
      </c>
      <c r="M68" s="10">
        <v>3199800</v>
      </c>
      <c r="N68" s="10">
        <v>2489800</v>
      </c>
      <c r="O68" s="10">
        <v>2799800</v>
      </c>
      <c r="P68" s="10">
        <v>3109800</v>
      </c>
      <c r="Q68" s="10">
        <f t="shared" si="1"/>
        <v>34007600</v>
      </c>
      <c r="S68" s="10" t="s">
        <v>62</v>
      </c>
      <c r="T68" s="10" t="s">
        <v>44</v>
      </c>
      <c r="U68" s="10">
        <v>1839794</v>
      </c>
      <c r="V68" s="11"/>
    </row>
    <row r="69" spans="1:22">
      <c r="A69" s="10" t="s">
        <v>46</v>
      </c>
      <c r="B69" s="10" t="s">
        <v>35</v>
      </c>
      <c r="C69" s="10" t="s">
        <v>28</v>
      </c>
      <c r="D69" s="10">
        <f t="shared" si="0"/>
        <v>4285005</v>
      </c>
      <c r="E69" s="10">
        <v>8899758</v>
      </c>
      <c r="F69" s="10">
        <v>8849758</v>
      </c>
      <c r="G69" s="10">
        <v>8809758</v>
      </c>
      <c r="H69" s="10">
        <v>8849758</v>
      </c>
      <c r="I69" s="10">
        <v>8939758</v>
      </c>
      <c r="J69" s="10">
        <v>8229758</v>
      </c>
      <c r="K69" s="10">
        <v>7519758</v>
      </c>
      <c r="L69" s="10">
        <v>8229758</v>
      </c>
      <c r="M69" s="10">
        <v>8939758</v>
      </c>
      <c r="N69" s="10">
        <v>8229758</v>
      </c>
      <c r="O69" s="10">
        <v>8539758</v>
      </c>
      <c r="P69" s="10">
        <v>8849758</v>
      </c>
      <c r="Q69" s="10">
        <f t="shared" si="1"/>
        <v>102887096</v>
      </c>
      <c r="S69" s="10" t="s">
        <v>39</v>
      </c>
      <c r="T69" s="10" t="s">
        <v>38</v>
      </c>
      <c r="U69" s="10">
        <v>1366101</v>
      </c>
      <c r="V69" s="11"/>
    </row>
    <row r="70" spans="1:22">
      <c r="A70" s="10" t="s">
        <v>46</v>
      </c>
      <c r="B70" s="10" t="s">
        <v>35</v>
      </c>
      <c r="C70" s="10" t="s">
        <v>29</v>
      </c>
      <c r="D70" s="10">
        <f t="shared" si="0"/>
        <v>4285005</v>
      </c>
      <c r="E70" s="10">
        <v>60</v>
      </c>
      <c r="F70" s="10">
        <v>62</v>
      </c>
      <c r="G70" s="10">
        <v>57</v>
      </c>
      <c r="H70" s="10">
        <v>62</v>
      </c>
      <c r="I70" s="10">
        <v>61</v>
      </c>
      <c r="J70" s="10">
        <v>66</v>
      </c>
      <c r="K70" s="10">
        <v>59</v>
      </c>
      <c r="L70" s="10">
        <v>62</v>
      </c>
      <c r="M70" s="10">
        <v>61</v>
      </c>
      <c r="N70" s="10">
        <v>66</v>
      </c>
      <c r="O70" s="10">
        <v>63</v>
      </c>
      <c r="P70" s="10">
        <v>66</v>
      </c>
      <c r="Q70" s="10">
        <f t="shared" si="1"/>
        <v>745</v>
      </c>
      <c r="S70" s="10" t="s">
        <v>56</v>
      </c>
      <c r="T70" s="10" t="s">
        <v>35</v>
      </c>
      <c r="U70" s="10">
        <v>3623473</v>
      </c>
      <c r="V70" s="11"/>
    </row>
    <row r="71" spans="1:22">
      <c r="A71" s="10" t="s">
        <v>62</v>
      </c>
      <c r="B71" s="10" t="s">
        <v>44</v>
      </c>
      <c r="C71" s="10" t="s">
        <v>27</v>
      </c>
      <c r="D71" s="10">
        <f t="shared" si="0"/>
        <v>1839794</v>
      </c>
      <c r="E71" s="10">
        <v>4400067</v>
      </c>
      <c r="F71" s="10">
        <v>4350067</v>
      </c>
      <c r="G71" s="10">
        <v>4310067</v>
      </c>
      <c r="H71" s="10">
        <v>4350067</v>
      </c>
      <c r="I71" s="10">
        <v>4440067</v>
      </c>
      <c r="J71" s="10">
        <v>3730067</v>
      </c>
      <c r="K71" s="10">
        <v>3020067</v>
      </c>
      <c r="L71" s="10">
        <v>3730067</v>
      </c>
      <c r="M71" s="10">
        <v>4440067</v>
      </c>
      <c r="N71" s="10">
        <v>3730067</v>
      </c>
      <c r="O71" s="10">
        <v>4040067</v>
      </c>
      <c r="P71" s="10">
        <v>4350067</v>
      </c>
      <c r="Q71" s="10">
        <f t="shared" si="1"/>
        <v>48890804</v>
      </c>
      <c r="S71" s="10" t="s">
        <v>56</v>
      </c>
      <c r="T71" s="10" t="s">
        <v>40</v>
      </c>
      <c r="U71" s="10">
        <v>1784855</v>
      </c>
      <c r="V71" s="11"/>
    </row>
    <row r="72" spans="1:22">
      <c r="A72" s="10" t="s">
        <v>62</v>
      </c>
      <c r="B72" s="10" t="s">
        <v>44</v>
      </c>
      <c r="C72" s="10" t="s">
        <v>28</v>
      </c>
      <c r="D72" s="10">
        <f t="shared" si="0"/>
        <v>1839794</v>
      </c>
      <c r="E72" s="10">
        <v>9174380</v>
      </c>
      <c r="F72" s="10">
        <v>9124380</v>
      </c>
      <c r="G72" s="10">
        <v>9084380</v>
      </c>
      <c r="H72" s="10">
        <v>9124380</v>
      </c>
      <c r="I72" s="10">
        <v>9214380</v>
      </c>
      <c r="J72" s="10">
        <v>8504380</v>
      </c>
      <c r="K72" s="10">
        <v>7794380</v>
      </c>
      <c r="L72" s="10">
        <v>8504380</v>
      </c>
      <c r="M72" s="10">
        <v>9214380</v>
      </c>
      <c r="N72" s="10">
        <v>8504380</v>
      </c>
      <c r="O72" s="10">
        <v>8814380</v>
      </c>
      <c r="P72" s="10">
        <v>9124380</v>
      </c>
      <c r="Q72" s="10">
        <f t="shared" si="1"/>
        <v>106182560</v>
      </c>
      <c r="S72" s="10" t="s">
        <v>57</v>
      </c>
      <c r="T72" s="10" t="s">
        <v>26</v>
      </c>
      <c r="U72" s="10">
        <v>2773547</v>
      </c>
      <c r="V72" s="11"/>
    </row>
    <row r="73" spans="1:22">
      <c r="A73" s="10" t="s">
        <v>62</v>
      </c>
      <c r="B73" s="10" t="s">
        <v>44</v>
      </c>
      <c r="C73" s="10" t="s">
        <v>29</v>
      </c>
      <c r="D73" s="10">
        <f t="shared" si="0"/>
        <v>1839794</v>
      </c>
      <c r="E73" s="10">
        <v>85</v>
      </c>
      <c r="F73" s="10">
        <v>87</v>
      </c>
      <c r="G73" s="10">
        <v>82</v>
      </c>
      <c r="H73" s="10">
        <v>87</v>
      </c>
      <c r="I73" s="10">
        <v>86</v>
      </c>
      <c r="J73" s="10">
        <v>91</v>
      </c>
      <c r="K73" s="10">
        <v>84</v>
      </c>
      <c r="L73" s="10">
        <v>87</v>
      </c>
      <c r="M73" s="10">
        <v>86</v>
      </c>
      <c r="N73" s="10">
        <v>91</v>
      </c>
      <c r="O73" s="10">
        <v>88</v>
      </c>
      <c r="P73" s="10">
        <v>91</v>
      </c>
      <c r="Q73" s="10">
        <f t="shared" si="1"/>
        <v>1045</v>
      </c>
      <c r="S73" s="10" t="s">
        <v>57</v>
      </c>
      <c r="T73" s="10" t="s">
        <v>33</v>
      </c>
      <c r="U73" s="10">
        <v>5260258</v>
      </c>
      <c r="V73" s="11"/>
    </row>
    <row r="74" spans="1:22">
      <c r="A74" s="10" t="s">
        <v>39</v>
      </c>
      <c r="B74" s="10" t="s">
        <v>38</v>
      </c>
      <c r="C74" s="10" t="s">
        <v>27</v>
      </c>
      <c r="D74" s="10">
        <f t="shared" si="0"/>
        <v>1366101</v>
      </c>
      <c r="E74" s="10">
        <v>3456006</v>
      </c>
      <c r="F74" s="10">
        <v>3406006</v>
      </c>
      <c r="G74" s="10">
        <v>3366006</v>
      </c>
      <c r="H74" s="10">
        <v>3406006</v>
      </c>
      <c r="I74" s="10">
        <v>3496006</v>
      </c>
      <c r="J74" s="10">
        <v>2786006</v>
      </c>
      <c r="K74" s="10">
        <v>2076006</v>
      </c>
      <c r="L74" s="10">
        <v>2786006</v>
      </c>
      <c r="M74" s="10">
        <v>3496006</v>
      </c>
      <c r="N74" s="10">
        <v>2786006</v>
      </c>
      <c r="O74" s="10">
        <v>3096006</v>
      </c>
      <c r="P74" s="10">
        <v>3406006</v>
      </c>
      <c r="Q74" s="10">
        <f t="shared" si="1"/>
        <v>37562072</v>
      </c>
      <c r="S74" s="10" t="s">
        <v>57</v>
      </c>
      <c r="T74" s="10" t="s">
        <v>35</v>
      </c>
      <c r="U74" s="10">
        <v>1543948</v>
      </c>
      <c r="V74" s="11"/>
    </row>
    <row r="75" spans="1:22">
      <c r="A75" s="10" t="s">
        <v>39</v>
      </c>
      <c r="B75" s="10" t="s">
        <v>38</v>
      </c>
      <c r="C75" s="10" t="s">
        <v>28</v>
      </c>
      <c r="D75" s="10">
        <f t="shared" si="0"/>
        <v>1366101</v>
      </c>
      <c r="E75" s="10">
        <v>7889805</v>
      </c>
      <c r="F75" s="10">
        <v>7839805</v>
      </c>
      <c r="G75" s="10">
        <v>7799805</v>
      </c>
      <c r="H75" s="10">
        <v>7839805</v>
      </c>
      <c r="I75" s="10">
        <v>7929805</v>
      </c>
      <c r="J75" s="10">
        <v>7219805</v>
      </c>
      <c r="K75" s="10">
        <v>6509805</v>
      </c>
      <c r="L75" s="10">
        <v>7219805</v>
      </c>
      <c r="M75" s="10">
        <v>7929805</v>
      </c>
      <c r="N75" s="10">
        <v>7219805</v>
      </c>
      <c r="O75" s="10">
        <v>7529805</v>
      </c>
      <c r="P75" s="10">
        <v>7839805</v>
      </c>
      <c r="Q75" s="10">
        <f t="shared" si="1"/>
        <v>90767660</v>
      </c>
      <c r="S75" s="10" t="s">
        <v>54</v>
      </c>
      <c r="T75" s="10" t="s">
        <v>33</v>
      </c>
      <c r="U75" s="10">
        <v>4080024</v>
      </c>
      <c r="V75" s="11"/>
    </row>
    <row r="76" spans="1:22">
      <c r="A76" s="10" t="s">
        <v>39</v>
      </c>
      <c r="B76" s="10" t="s">
        <v>38</v>
      </c>
      <c r="C76" s="10" t="s">
        <v>29</v>
      </c>
      <c r="D76" s="10">
        <f t="shared" si="0"/>
        <v>1366101</v>
      </c>
      <c r="E76" s="10">
        <v>35</v>
      </c>
      <c r="F76" s="10">
        <v>37</v>
      </c>
      <c r="G76" s="10">
        <v>32</v>
      </c>
      <c r="H76" s="10">
        <v>37</v>
      </c>
      <c r="I76" s="10">
        <v>36</v>
      </c>
      <c r="J76" s="10">
        <v>41</v>
      </c>
      <c r="K76" s="10">
        <v>34</v>
      </c>
      <c r="L76" s="10">
        <v>37</v>
      </c>
      <c r="M76" s="10">
        <v>36</v>
      </c>
      <c r="N76" s="10">
        <v>41</v>
      </c>
      <c r="O76" s="10">
        <v>38</v>
      </c>
      <c r="P76" s="10">
        <v>41</v>
      </c>
      <c r="Q76" s="10">
        <f t="shared" si="1"/>
        <v>445</v>
      </c>
      <c r="S76" s="10" t="s">
        <v>54</v>
      </c>
      <c r="T76" s="10" t="s">
        <v>35</v>
      </c>
      <c r="U76" s="10">
        <v>5791701</v>
      </c>
      <c r="V76" s="11"/>
    </row>
    <row r="77" spans="1:22">
      <c r="A77" s="10" t="s">
        <v>56</v>
      </c>
      <c r="B77" s="10" t="s">
        <v>40</v>
      </c>
      <c r="C77" s="10" t="s">
        <v>27</v>
      </c>
      <c r="D77" s="10">
        <f t="shared" si="0"/>
        <v>1784855</v>
      </c>
      <c r="E77" s="10">
        <v>2787805</v>
      </c>
      <c r="F77" s="10">
        <v>2737805</v>
      </c>
      <c r="G77" s="10">
        <v>2697805</v>
      </c>
      <c r="H77" s="10">
        <v>2737805</v>
      </c>
      <c r="I77" s="10">
        <v>2827805</v>
      </c>
      <c r="J77" s="10">
        <v>2117805</v>
      </c>
      <c r="K77" s="10">
        <v>1407805</v>
      </c>
      <c r="L77" s="10">
        <v>2117805</v>
      </c>
      <c r="M77" s="10">
        <v>2827805</v>
      </c>
      <c r="N77" s="10">
        <v>2117805</v>
      </c>
      <c r="O77" s="10">
        <v>2427805</v>
      </c>
      <c r="P77" s="10">
        <v>2737805</v>
      </c>
      <c r="Q77" s="10">
        <f t="shared" si="1"/>
        <v>29543660</v>
      </c>
      <c r="S77" s="10" t="s">
        <v>54</v>
      </c>
      <c r="T77" s="10" t="s">
        <v>38</v>
      </c>
      <c r="U77" s="10">
        <v>3309721</v>
      </c>
      <c r="V77" s="11"/>
    </row>
    <row r="78" spans="1:22">
      <c r="A78" s="10" t="s">
        <v>56</v>
      </c>
      <c r="B78" s="10" t="s">
        <v>40</v>
      </c>
      <c r="C78" s="10" t="s">
        <v>28</v>
      </c>
      <c r="D78" s="10">
        <f t="shared" ref="D78:D91" si="2">SUMIFS($U$14:$U$91,$S$14:$S$91,A78,$T$14:$T$91,B78)</f>
        <v>1784855</v>
      </c>
      <c r="E78" s="10">
        <v>4570790</v>
      </c>
      <c r="F78" s="10">
        <v>4520790</v>
      </c>
      <c r="G78" s="10">
        <v>4480790</v>
      </c>
      <c r="H78" s="10">
        <v>4520790</v>
      </c>
      <c r="I78" s="10">
        <v>4610790</v>
      </c>
      <c r="J78" s="10">
        <v>3900790</v>
      </c>
      <c r="K78" s="10">
        <v>3190790</v>
      </c>
      <c r="L78" s="10">
        <v>3900790</v>
      </c>
      <c r="M78" s="10">
        <v>4610790</v>
      </c>
      <c r="N78" s="10">
        <v>3900790</v>
      </c>
      <c r="O78" s="10">
        <v>4210790</v>
      </c>
      <c r="P78" s="10">
        <v>4520790</v>
      </c>
      <c r="Q78" s="10">
        <f t="shared" si="1"/>
        <v>50939480</v>
      </c>
      <c r="S78" s="10" t="s">
        <v>53</v>
      </c>
      <c r="T78" s="10" t="s">
        <v>35</v>
      </c>
      <c r="U78" s="10">
        <v>7786983</v>
      </c>
      <c r="V78" s="11"/>
    </row>
    <row r="79" spans="1:22">
      <c r="A79" s="10" t="s">
        <v>56</v>
      </c>
      <c r="B79" s="10" t="s">
        <v>40</v>
      </c>
      <c r="C79" s="10" t="s">
        <v>29</v>
      </c>
      <c r="D79" s="10">
        <f t="shared" si="2"/>
        <v>1784855</v>
      </c>
      <c r="E79" s="10">
        <v>35</v>
      </c>
      <c r="F79" s="10">
        <v>37</v>
      </c>
      <c r="G79" s="10">
        <v>32</v>
      </c>
      <c r="H79" s="10">
        <v>37</v>
      </c>
      <c r="I79" s="10">
        <v>36</v>
      </c>
      <c r="J79" s="10">
        <v>41</v>
      </c>
      <c r="K79" s="10">
        <v>34</v>
      </c>
      <c r="L79" s="10">
        <v>37</v>
      </c>
      <c r="M79" s="10">
        <v>36</v>
      </c>
      <c r="N79" s="10">
        <v>41</v>
      </c>
      <c r="O79" s="10">
        <v>38</v>
      </c>
      <c r="P79" s="10">
        <v>41</v>
      </c>
      <c r="Q79" s="10">
        <f t="shared" ref="Q79:Q91" si="3">SUM(E79:P79)</f>
        <v>445</v>
      </c>
      <c r="S79" s="10" t="s">
        <v>53</v>
      </c>
      <c r="T79" s="10" t="s">
        <v>38</v>
      </c>
      <c r="U79" s="10">
        <v>4726635</v>
      </c>
      <c r="V79" s="11"/>
    </row>
    <row r="80" spans="1:22">
      <c r="A80" s="10" t="s">
        <v>57</v>
      </c>
      <c r="B80" s="10" t="s">
        <v>35</v>
      </c>
      <c r="C80" s="10" t="s">
        <v>27</v>
      </c>
      <c r="D80" s="10">
        <f t="shared" si="2"/>
        <v>1543948</v>
      </c>
      <c r="E80" s="10">
        <v>2400964</v>
      </c>
      <c r="F80" s="10">
        <v>2350964</v>
      </c>
      <c r="G80" s="10">
        <v>2310964</v>
      </c>
      <c r="H80" s="10">
        <v>2350964</v>
      </c>
      <c r="I80" s="10">
        <v>2440964</v>
      </c>
      <c r="J80" s="10">
        <v>1730964</v>
      </c>
      <c r="K80" s="10">
        <v>1020964</v>
      </c>
      <c r="L80" s="10">
        <v>1730964</v>
      </c>
      <c r="M80" s="10">
        <v>2440964</v>
      </c>
      <c r="N80" s="10">
        <v>1730964</v>
      </c>
      <c r="O80" s="10">
        <v>2040964</v>
      </c>
      <c r="P80" s="10">
        <v>2350964</v>
      </c>
      <c r="Q80" s="10">
        <f t="shared" si="3"/>
        <v>24901568</v>
      </c>
      <c r="S80" s="10" t="s">
        <v>53</v>
      </c>
      <c r="T80" s="10" t="s">
        <v>33</v>
      </c>
      <c r="U80" s="10">
        <v>5165148</v>
      </c>
      <c r="V80" s="11"/>
    </row>
    <row r="81" spans="1:22">
      <c r="A81" s="10" t="s">
        <v>57</v>
      </c>
      <c r="B81" s="10" t="s">
        <v>35</v>
      </c>
      <c r="C81" s="10" t="s">
        <v>28</v>
      </c>
      <c r="D81" s="10">
        <f t="shared" si="2"/>
        <v>1543948</v>
      </c>
      <c r="E81" s="10">
        <v>3500843</v>
      </c>
      <c r="F81" s="10">
        <v>3450843</v>
      </c>
      <c r="G81" s="10">
        <v>3410843</v>
      </c>
      <c r="H81" s="10">
        <v>3450843</v>
      </c>
      <c r="I81" s="10">
        <v>3540843</v>
      </c>
      <c r="J81" s="10">
        <v>2830843</v>
      </c>
      <c r="K81" s="10">
        <v>2120843</v>
      </c>
      <c r="L81" s="10">
        <v>2830843</v>
      </c>
      <c r="M81" s="10">
        <v>3540843</v>
      </c>
      <c r="N81" s="10">
        <v>2830843</v>
      </c>
      <c r="O81" s="10">
        <v>3140843</v>
      </c>
      <c r="P81" s="10">
        <v>3450843</v>
      </c>
      <c r="Q81" s="10">
        <f t="shared" si="3"/>
        <v>38100116</v>
      </c>
      <c r="S81" s="10" t="s">
        <v>53</v>
      </c>
      <c r="T81" s="10" t="s">
        <v>40</v>
      </c>
      <c r="U81" s="10">
        <v>5495154</v>
      </c>
      <c r="V81" s="11"/>
    </row>
    <row r="82" spans="1:22">
      <c r="A82" s="10" t="s">
        <v>57</v>
      </c>
      <c r="B82" s="10" t="s">
        <v>35</v>
      </c>
      <c r="C82" s="10" t="s">
        <v>29</v>
      </c>
      <c r="D82" s="10">
        <f t="shared" si="2"/>
        <v>1543948</v>
      </c>
      <c r="E82" s="10">
        <v>18</v>
      </c>
      <c r="F82" s="10">
        <v>20</v>
      </c>
      <c r="G82" s="10">
        <v>15</v>
      </c>
      <c r="H82" s="10">
        <v>20</v>
      </c>
      <c r="I82" s="10">
        <v>19</v>
      </c>
      <c r="J82" s="10">
        <v>24</v>
      </c>
      <c r="K82" s="10">
        <v>17</v>
      </c>
      <c r="L82" s="10">
        <v>20</v>
      </c>
      <c r="M82" s="10">
        <v>19</v>
      </c>
      <c r="N82" s="10">
        <v>24</v>
      </c>
      <c r="O82" s="10">
        <v>21</v>
      </c>
      <c r="P82" s="10">
        <v>24</v>
      </c>
      <c r="Q82" s="10">
        <f t="shared" si="3"/>
        <v>241</v>
      </c>
      <c r="S82" s="10" t="s">
        <v>53</v>
      </c>
      <c r="T82" s="10" t="s">
        <v>26</v>
      </c>
      <c r="U82" s="10">
        <v>6107951</v>
      </c>
      <c r="V82" s="11"/>
    </row>
    <row r="83" spans="1:22">
      <c r="A83" s="10" t="s">
        <v>54</v>
      </c>
      <c r="B83" s="10" t="s">
        <v>33</v>
      </c>
      <c r="C83" s="10" t="s">
        <v>27</v>
      </c>
      <c r="D83" s="10">
        <f t="shared" si="2"/>
        <v>4080024</v>
      </c>
      <c r="E83" s="10">
        <v>3088950</v>
      </c>
      <c r="F83" s="10">
        <v>3038950</v>
      </c>
      <c r="G83" s="10">
        <v>2998950</v>
      </c>
      <c r="H83" s="10">
        <v>3038950</v>
      </c>
      <c r="I83" s="10">
        <v>3128950</v>
      </c>
      <c r="J83" s="10">
        <v>2418950</v>
      </c>
      <c r="K83" s="10">
        <v>1708950</v>
      </c>
      <c r="L83" s="10">
        <v>2418950</v>
      </c>
      <c r="M83" s="10">
        <v>3128950</v>
      </c>
      <c r="N83" s="10">
        <v>2418950</v>
      </c>
      <c r="O83" s="10">
        <v>2728950</v>
      </c>
      <c r="P83" s="10">
        <v>3038950</v>
      </c>
      <c r="Q83" s="10">
        <f t="shared" si="3"/>
        <v>33157400</v>
      </c>
      <c r="S83" s="10" t="s">
        <v>53</v>
      </c>
      <c r="T83" s="10" t="s">
        <v>42</v>
      </c>
      <c r="U83" s="10">
        <v>5113002</v>
      </c>
      <c r="V83" s="11"/>
    </row>
    <row r="84" spans="1:22">
      <c r="A84" s="10" t="s">
        <v>54</v>
      </c>
      <c r="B84" s="10" t="s">
        <v>33</v>
      </c>
      <c r="C84" s="10" t="s">
        <v>28</v>
      </c>
      <c r="D84" s="10">
        <f t="shared" si="2"/>
        <v>4080024</v>
      </c>
      <c r="E84" s="10">
        <v>5607890</v>
      </c>
      <c r="F84" s="10">
        <v>5557890</v>
      </c>
      <c r="G84" s="10">
        <v>5517890</v>
      </c>
      <c r="H84" s="10">
        <v>5557890</v>
      </c>
      <c r="I84" s="10">
        <v>5647890</v>
      </c>
      <c r="J84" s="10">
        <v>4937890</v>
      </c>
      <c r="K84" s="10">
        <v>4227890</v>
      </c>
      <c r="L84" s="10">
        <v>4937890</v>
      </c>
      <c r="M84" s="10">
        <v>5647890</v>
      </c>
      <c r="N84" s="10">
        <v>4937890</v>
      </c>
      <c r="O84" s="10">
        <v>5247890</v>
      </c>
      <c r="P84" s="10">
        <v>5557890</v>
      </c>
      <c r="Q84" s="10">
        <f t="shared" si="3"/>
        <v>63384680</v>
      </c>
      <c r="S84" s="10" t="s">
        <v>53</v>
      </c>
      <c r="T84" s="10" t="s">
        <v>44</v>
      </c>
      <c r="U84" s="10">
        <v>2861134</v>
      </c>
      <c r="V84" s="11"/>
    </row>
    <row r="85" spans="1:22">
      <c r="A85" s="10" t="s">
        <v>54</v>
      </c>
      <c r="B85" s="10" t="s">
        <v>33</v>
      </c>
      <c r="C85" s="10" t="s">
        <v>29</v>
      </c>
      <c r="D85" s="10">
        <f t="shared" si="2"/>
        <v>4080024</v>
      </c>
      <c r="E85" s="10">
        <v>29</v>
      </c>
      <c r="F85" s="10">
        <v>31</v>
      </c>
      <c r="G85" s="10">
        <v>26</v>
      </c>
      <c r="H85" s="10">
        <v>31</v>
      </c>
      <c r="I85" s="10">
        <v>30</v>
      </c>
      <c r="J85" s="10">
        <v>35</v>
      </c>
      <c r="K85" s="10">
        <v>28</v>
      </c>
      <c r="L85" s="10">
        <v>31</v>
      </c>
      <c r="M85" s="10">
        <v>30</v>
      </c>
      <c r="N85" s="10">
        <v>35</v>
      </c>
      <c r="O85" s="10">
        <v>32</v>
      </c>
      <c r="P85" s="10">
        <v>35</v>
      </c>
      <c r="Q85" s="10">
        <f t="shared" si="3"/>
        <v>373</v>
      </c>
      <c r="S85" s="10" t="s">
        <v>36</v>
      </c>
      <c r="T85" s="10" t="s">
        <v>35</v>
      </c>
      <c r="U85" s="10">
        <v>7817939</v>
      </c>
      <c r="V85" s="11"/>
    </row>
    <row r="86" spans="1:22">
      <c r="A86" s="10" t="s">
        <v>53</v>
      </c>
      <c r="B86" s="10" t="s">
        <v>44</v>
      </c>
      <c r="C86" s="10" t="s">
        <v>27</v>
      </c>
      <c r="D86" s="10">
        <f t="shared" si="2"/>
        <v>2861134</v>
      </c>
      <c r="E86" s="10">
        <v>2878788</v>
      </c>
      <c r="F86" s="10">
        <v>2828788</v>
      </c>
      <c r="G86" s="10">
        <v>2788788</v>
      </c>
      <c r="H86" s="10">
        <v>2828788</v>
      </c>
      <c r="I86" s="10">
        <v>2918788</v>
      </c>
      <c r="J86" s="10">
        <v>2208788</v>
      </c>
      <c r="K86" s="10">
        <v>1498788</v>
      </c>
      <c r="L86" s="10">
        <v>2208788</v>
      </c>
      <c r="M86" s="10">
        <v>2918788</v>
      </c>
      <c r="N86" s="10">
        <v>2208788</v>
      </c>
      <c r="O86" s="10">
        <v>2518788</v>
      </c>
      <c r="P86" s="10">
        <v>2828788</v>
      </c>
      <c r="Q86" s="10">
        <f t="shared" si="3"/>
        <v>30635456</v>
      </c>
      <c r="S86" s="10" t="s">
        <v>36</v>
      </c>
      <c r="T86" s="10" t="s">
        <v>38</v>
      </c>
      <c r="U86" s="10">
        <v>1611538</v>
      </c>
      <c r="V86" s="11"/>
    </row>
    <row r="87" spans="1:22">
      <c r="A87" s="10" t="s">
        <v>53</v>
      </c>
      <c r="B87" s="10" t="s">
        <v>44</v>
      </c>
      <c r="C87" s="10" t="s">
        <v>28</v>
      </c>
      <c r="D87" s="10">
        <f t="shared" si="2"/>
        <v>2861134</v>
      </c>
      <c r="E87" s="10">
        <v>5989450</v>
      </c>
      <c r="F87" s="10">
        <v>5939450</v>
      </c>
      <c r="G87" s="10">
        <v>5899450</v>
      </c>
      <c r="H87" s="10">
        <v>5939450</v>
      </c>
      <c r="I87" s="10">
        <v>6029450</v>
      </c>
      <c r="J87" s="10">
        <v>5319450</v>
      </c>
      <c r="K87" s="10">
        <v>4609450</v>
      </c>
      <c r="L87" s="10">
        <v>5319450</v>
      </c>
      <c r="M87" s="10">
        <v>6029450</v>
      </c>
      <c r="N87" s="10">
        <v>5319450</v>
      </c>
      <c r="O87" s="10">
        <v>5629450</v>
      </c>
      <c r="P87" s="10">
        <v>5939450</v>
      </c>
      <c r="Q87" s="10">
        <f t="shared" si="3"/>
        <v>67963400</v>
      </c>
      <c r="S87" s="10" t="s">
        <v>36</v>
      </c>
      <c r="T87" s="10" t="s">
        <v>33</v>
      </c>
      <c r="U87" s="10">
        <v>9733884</v>
      </c>
      <c r="V87" s="11"/>
    </row>
    <row r="88" spans="1:22">
      <c r="A88" s="10" t="s">
        <v>53</v>
      </c>
      <c r="B88" s="10" t="s">
        <v>44</v>
      </c>
      <c r="C88" s="10" t="s">
        <v>29</v>
      </c>
      <c r="D88" s="10">
        <f t="shared" si="2"/>
        <v>2861134</v>
      </c>
      <c r="E88" s="10">
        <v>43</v>
      </c>
      <c r="F88" s="10">
        <v>45</v>
      </c>
      <c r="G88" s="10">
        <v>40</v>
      </c>
      <c r="H88" s="10">
        <v>45</v>
      </c>
      <c r="I88" s="10">
        <v>44</v>
      </c>
      <c r="J88" s="10">
        <v>49</v>
      </c>
      <c r="K88" s="10">
        <v>42</v>
      </c>
      <c r="L88" s="10">
        <v>45</v>
      </c>
      <c r="M88" s="10">
        <v>44</v>
      </c>
      <c r="N88" s="10">
        <v>49</v>
      </c>
      <c r="O88" s="10">
        <v>46</v>
      </c>
      <c r="P88" s="10">
        <v>49</v>
      </c>
      <c r="Q88" s="10">
        <f t="shared" si="3"/>
        <v>541</v>
      </c>
      <c r="S88" s="10" t="s">
        <v>36</v>
      </c>
      <c r="T88" s="10" t="s">
        <v>40</v>
      </c>
      <c r="U88" s="10">
        <v>8278436</v>
      </c>
      <c r="V88" s="11"/>
    </row>
    <row r="89" spans="1:22">
      <c r="A89" s="10" t="s">
        <v>36</v>
      </c>
      <c r="B89" s="10" t="s">
        <v>40</v>
      </c>
      <c r="C89" s="10" t="s">
        <v>27</v>
      </c>
      <c r="D89" s="10">
        <f t="shared" si="2"/>
        <v>8278436</v>
      </c>
      <c r="E89" s="10">
        <v>4555890</v>
      </c>
      <c r="F89" s="10">
        <v>4505890</v>
      </c>
      <c r="G89" s="10">
        <v>4465890</v>
      </c>
      <c r="H89" s="10">
        <v>4505890</v>
      </c>
      <c r="I89" s="10">
        <v>4595890</v>
      </c>
      <c r="J89" s="10">
        <v>3885890</v>
      </c>
      <c r="K89" s="10">
        <v>3175890</v>
      </c>
      <c r="L89" s="10">
        <v>3885890</v>
      </c>
      <c r="M89" s="10">
        <v>4595890</v>
      </c>
      <c r="N89" s="10">
        <v>3885890</v>
      </c>
      <c r="O89" s="10">
        <v>4195890</v>
      </c>
      <c r="P89" s="10">
        <v>4505890</v>
      </c>
      <c r="Q89" s="10">
        <f t="shared" si="3"/>
        <v>50760680</v>
      </c>
      <c r="S89" s="10" t="s">
        <v>36</v>
      </c>
      <c r="T89" s="10" t="s">
        <v>26</v>
      </c>
      <c r="U89" s="10">
        <v>9696169</v>
      </c>
      <c r="V89" s="11"/>
    </row>
    <row r="90" spans="1:22">
      <c r="A90" s="10" t="s">
        <v>36</v>
      </c>
      <c r="B90" s="10" t="s">
        <v>40</v>
      </c>
      <c r="C90" s="10" t="s">
        <v>28</v>
      </c>
      <c r="D90" s="10">
        <f t="shared" si="2"/>
        <v>8278436</v>
      </c>
      <c r="E90" s="10">
        <v>6070889</v>
      </c>
      <c r="F90" s="10">
        <v>6020889</v>
      </c>
      <c r="G90" s="10">
        <v>5980889</v>
      </c>
      <c r="H90" s="10">
        <v>6020889</v>
      </c>
      <c r="I90" s="10">
        <v>6110889</v>
      </c>
      <c r="J90" s="10">
        <v>5400889</v>
      </c>
      <c r="K90" s="10">
        <v>4690889</v>
      </c>
      <c r="L90" s="10">
        <v>5400889</v>
      </c>
      <c r="M90" s="10">
        <v>6110889</v>
      </c>
      <c r="N90" s="10">
        <v>5400889</v>
      </c>
      <c r="O90" s="10">
        <v>5710889</v>
      </c>
      <c r="P90" s="10">
        <v>6020889</v>
      </c>
      <c r="Q90" s="10">
        <f t="shared" si="3"/>
        <v>68940668</v>
      </c>
      <c r="S90" s="10" t="s">
        <v>36</v>
      </c>
      <c r="T90" s="10" t="s">
        <v>42</v>
      </c>
      <c r="U90" s="10">
        <v>8875334</v>
      </c>
      <c r="V90" s="11"/>
    </row>
    <row r="91" spans="1:22">
      <c r="A91" s="10" t="s">
        <v>36</v>
      </c>
      <c r="B91" s="10" t="s">
        <v>40</v>
      </c>
      <c r="C91" s="10" t="s">
        <v>29</v>
      </c>
      <c r="D91" s="10">
        <f t="shared" si="2"/>
        <v>8278436</v>
      </c>
      <c r="E91" s="10">
        <v>37</v>
      </c>
      <c r="F91" s="10">
        <v>39</v>
      </c>
      <c r="G91" s="10">
        <v>34</v>
      </c>
      <c r="H91" s="10">
        <v>39</v>
      </c>
      <c r="I91" s="10">
        <v>38</v>
      </c>
      <c r="J91" s="10">
        <v>43</v>
      </c>
      <c r="K91" s="10">
        <v>36</v>
      </c>
      <c r="L91" s="10">
        <v>39</v>
      </c>
      <c r="M91" s="10">
        <v>38</v>
      </c>
      <c r="N91" s="10">
        <v>43</v>
      </c>
      <c r="O91" s="10">
        <v>40</v>
      </c>
      <c r="P91" s="10">
        <v>43</v>
      </c>
      <c r="Q91" s="10">
        <f t="shared" si="3"/>
        <v>469</v>
      </c>
      <c r="S91" s="10" t="s">
        <v>36</v>
      </c>
      <c r="T91" s="10" t="s">
        <v>44</v>
      </c>
      <c r="U91" s="10">
        <v>8978093</v>
      </c>
      <c r="V91" s="11"/>
    </row>
    <row r="92" spans="1:22">
      <c r="D92" s="10"/>
    </row>
    <row r="93" spans="1:22">
      <c r="D93" s="10"/>
    </row>
  </sheetData>
  <autoFilter ref="A13:Q91"/>
  <conditionalFormatting sqref="U92:V96">
    <cfRule type="duplicateValues" dxfId="8" priority="7" stopIfTrue="1"/>
    <cfRule type="duplicateValues" dxfId="7" priority="8" stopIfTrue="1"/>
  </conditionalFormatting>
  <conditionalFormatting sqref="U29:V53 U55:V86 U97:V65536 U1:V13">
    <cfRule type="duplicateValues" dxfId="6" priority="5" stopIfTrue="1"/>
    <cfRule type="duplicateValues" dxfId="5" priority="6" stopIfTrue="1"/>
  </conditionalFormatting>
  <conditionalFormatting sqref="U55:V65536 U1:V53">
    <cfRule type="duplicateValues" dxfId="4" priority="4" stopIfTrue="1"/>
  </conditionalFormatting>
  <conditionalFormatting sqref="U54:V54">
    <cfRule type="duplicateValues" dxfId="3" priority="2" stopIfTrue="1"/>
    <cfRule type="duplicateValues" dxfId="2" priority="3" stopIfTrue="1"/>
  </conditionalFormatting>
  <conditionalFormatting sqref="U54:V54">
    <cfRule type="duplicateValues" dxfId="1" priority="1" stopIfTrue="1"/>
  </conditionalFormatting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Homeuser</dc:creator>
  <cp:lastModifiedBy>Homeuser</cp:lastModifiedBy>
  <dcterms:created xsi:type="dcterms:W3CDTF">2020-02-29T22:00:59Z</dcterms:created>
  <dcterms:modified xsi:type="dcterms:W3CDTF">2020-02-29T22:01:53Z</dcterms:modified>
</cp:coreProperties>
</file>