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falex\Desktop\"/>
    </mc:Choice>
  </mc:AlternateContent>
  <xr:revisionPtr revIDLastSave="0" documentId="8_{C8C5180F-D37A-4C84-ADBF-27FD6BBD501C}" xr6:coauthVersionLast="45" xr6:coauthVersionMax="45" xr10:uidLastSave="{00000000-0000-0000-0000-000000000000}"/>
  <bookViews>
    <workbookView xWindow="-120" yWindow="-120" windowWidth="29040" windowHeight="15840" xr2:uid="{8284099E-6B59-4DC5-8C89-26C572C2AAC3}"/>
  </bookViews>
  <sheets>
    <sheet name="Материальная ведомость" sheetId="1" r:id="rId1"/>
  </sheets>
  <externalReferences>
    <externalReference r:id="rId2"/>
    <externalReference r:id="rId3"/>
  </externalReferences>
  <definedNames>
    <definedName name="Абразивность">'[2]Подбор роликов'!$O$82:$O$84</definedName>
    <definedName name="Влажность">'[2]Подбор роликов'!$O$89:$O$92</definedName>
    <definedName name="время_работы">'[2]Подбор роликов'!$O$79:$O$81</definedName>
    <definedName name="Запыленность">'[2]Подбор роликов'!$O$85:$O$88</definedName>
    <definedName name="Защита">'[2]Подбор роликов'!$O$96:$O$98</definedName>
    <definedName name="Температура">'[2]Подбор роликов'!$O$93:$O$95</definedName>
    <definedName name="ширина">'[1]Расчет вала барабана'!$M$69:$M$78</definedName>
  </definedNames>
  <calcPr calcId="18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55" i="1" l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299" i="1"/>
  <c r="AO298" i="1"/>
  <c r="AO297" i="1"/>
  <c r="AO296" i="1"/>
  <c r="AO295" i="1"/>
  <c r="AO294" i="1"/>
  <c r="AO293" i="1"/>
  <c r="G239" i="1"/>
  <c r="C238" i="1"/>
  <c r="D235" i="1"/>
  <c r="D233" i="1"/>
  <c r="J228" i="1"/>
  <c r="I228" i="1"/>
  <c r="H228" i="1"/>
  <c r="I226" i="1"/>
  <c r="J226" i="1" s="1"/>
  <c r="H226" i="1"/>
  <c r="D226" i="1"/>
  <c r="D223" i="1"/>
  <c r="D224" i="1" s="1"/>
  <c r="D222" i="1"/>
  <c r="C222" i="1"/>
  <c r="D219" i="1"/>
  <c r="D220" i="1" s="1"/>
  <c r="D218" i="1"/>
  <c r="B217" i="1"/>
  <c r="D216" i="1"/>
  <c r="I215" i="1"/>
  <c r="I214" i="1"/>
  <c r="J214" i="1" s="1"/>
  <c r="H214" i="1"/>
  <c r="D214" i="1"/>
  <c r="D215" i="1" s="1"/>
  <c r="H215" i="1" s="1"/>
  <c r="D210" i="1"/>
  <c r="J210" i="1" s="1"/>
  <c r="J209" i="1"/>
  <c r="D209" i="1"/>
  <c r="H209" i="1" s="1"/>
  <c r="D208" i="1"/>
  <c r="J208" i="1" s="1"/>
  <c r="J207" i="1"/>
  <c r="H207" i="1"/>
  <c r="J206" i="1"/>
  <c r="D206" i="1"/>
  <c r="H206" i="1" s="1"/>
  <c r="I205" i="1"/>
  <c r="J205" i="1" s="1"/>
  <c r="D205" i="1"/>
  <c r="D212" i="1" s="1"/>
  <c r="J203" i="1"/>
  <c r="H203" i="1"/>
  <c r="D203" i="1"/>
  <c r="J201" i="1"/>
  <c r="H201" i="1"/>
  <c r="D201" i="1"/>
  <c r="H200" i="1"/>
  <c r="D200" i="1"/>
  <c r="J200" i="1" s="1"/>
  <c r="H199" i="1"/>
  <c r="D199" i="1"/>
  <c r="J199" i="1" s="1"/>
  <c r="J198" i="1"/>
  <c r="H198" i="1"/>
  <c r="H197" i="1"/>
  <c r="D197" i="1"/>
  <c r="D202" i="1" s="1"/>
  <c r="I196" i="1"/>
  <c r="J196" i="1" s="1"/>
  <c r="H196" i="1"/>
  <c r="I179" i="1"/>
  <c r="J179" i="1" s="1"/>
  <c r="H179" i="1"/>
  <c r="J178" i="1"/>
  <c r="I178" i="1"/>
  <c r="D178" i="1"/>
  <c r="H178" i="1" s="1"/>
  <c r="I177" i="1"/>
  <c r="J177" i="1" s="1"/>
  <c r="D177" i="1"/>
  <c r="H177" i="1" s="1"/>
  <c r="J176" i="1"/>
  <c r="I176" i="1"/>
  <c r="D176" i="1"/>
  <c r="H176" i="1" s="1"/>
  <c r="D172" i="1"/>
  <c r="C172" i="1"/>
  <c r="D171" i="1"/>
  <c r="C171" i="1"/>
  <c r="D170" i="1"/>
  <c r="C170" i="1"/>
  <c r="D169" i="1"/>
  <c r="G169" i="1" s="1"/>
  <c r="C169" i="1"/>
  <c r="D168" i="1"/>
  <c r="C168" i="1"/>
  <c r="D167" i="1"/>
  <c r="B167" i="1"/>
  <c r="D166" i="1"/>
  <c r="G166" i="1" s="1"/>
  <c r="C166" i="1"/>
  <c r="D165" i="1"/>
  <c r="D164" i="1"/>
  <c r="B164" i="1"/>
  <c r="C165" i="1" s="1"/>
  <c r="H163" i="1"/>
  <c r="G163" i="1"/>
  <c r="I163" i="1" s="1"/>
  <c r="J163" i="1" s="1"/>
  <c r="D163" i="1"/>
  <c r="D162" i="1"/>
  <c r="D161" i="1"/>
  <c r="B161" i="1"/>
  <c r="C163" i="1" s="1"/>
  <c r="D160" i="1"/>
  <c r="G160" i="1" s="1"/>
  <c r="D159" i="1"/>
  <c r="D158" i="1"/>
  <c r="B158" i="1"/>
  <c r="C160" i="1" s="1"/>
  <c r="D157" i="1"/>
  <c r="G157" i="1" s="1"/>
  <c r="C157" i="1"/>
  <c r="D156" i="1"/>
  <c r="C156" i="1"/>
  <c r="D155" i="1"/>
  <c r="B155" i="1"/>
  <c r="D154" i="1"/>
  <c r="G154" i="1" s="1"/>
  <c r="C154" i="1"/>
  <c r="D153" i="1"/>
  <c r="D152" i="1"/>
  <c r="B152" i="1"/>
  <c r="C153" i="1" s="1"/>
  <c r="H151" i="1"/>
  <c r="G151" i="1"/>
  <c r="I151" i="1" s="1"/>
  <c r="J151" i="1" s="1"/>
  <c r="D151" i="1"/>
  <c r="D150" i="1"/>
  <c r="D149" i="1"/>
  <c r="B149" i="1"/>
  <c r="C151" i="1" s="1"/>
  <c r="D145" i="1"/>
  <c r="D144" i="1"/>
  <c r="D146" i="1" s="1"/>
  <c r="G146" i="1" s="1"/>
  <c r="B144" i="1"/>
  <c r="C148" i="1" s="1"/>
  <c r="D148" i="1" s="1"/>
  <c r="C141" i="1"/>
  <c r="C142" i="1" s="1"/>
  <c r="D140" i="1"/>
  <c r="D141" i="1" s="1"/>
  <c r="D142" i="1" s="1"/>
  <c r="B140" i="1"/>
  <c r="G141" i="1" s="1"/>
  <c r="D137" i="1"/>
  <c r="D138" i="1" s="1"/>
  <c r="C137" i="1"/>
  <c r="C138" i="1" s="1"/>
  <c r="C223" i="1" s="1"/>
  <c r="D136" i="1"/>
  <c r="B136" i="1"/>
  <c r="C133" i="1"/>
  <c r="E133" i="1" s="1"/>
  <c r="G132" i="1"/>
  <c r="D132" i="1"/>
  <c r="D131" i="1"/>
  <c r="C131" i="1"/>
  <c r="G128" i="1"/>
  <c r="I128" i="1" s="1"/>
  <c r="J128" i="1" s="1"/>
  <c r="D128" i="1"/>
  <c r="D130" i="1" s="1"/>
  <c r="C128" i="1"/>
  <c r="C134" i="1" s="1"/>
  <c r="D127" i="1"/>
  <c r="C132" i="1" s="1"/>
  <c r="B127" i="1"/>
  <c r="G131" i="1" s="1"/>
  <c r="C124" i="1"/>
  <c r="E124" i="1" s="1"/>
  <c r="G123" i="1"/>
  <c r="G122" i="1"/>
  <c r="I122" i="1" s="1"/>
  <c r="J122" i="1" s="1"/>
  <c r="D122" i="1"/>
  <c r="D123" i="1" s="1"/>
  <c r="D119" i="1"/>
  <c r="D121" i="1" s="1"/>
  <c r="D118" i="1"/>
  <c r="C123" i="1" s="1"/>
  <c r="B118" i="1"/>
  <c r="C117" i="1"/>
  <c r="E117" i="1" s="1"/>
  <c r="G116" i="1"/>
  <c r="G241" i="1" s="1"/>
  <c r="C116" i="1"/>
  <c r="C241" i="1" s="1"/>
  <c r="G115" i="1"/>
  <c r="G240" i="1" s="1"/>
  <c r="D115" i="1"/>
  <c r="D116" i="1" s="1"/>
  <c r="C115" i="1"/>
  <c r="C240" i="1" s="1"/>
  <c r="G114" i="1"/>
  <c r="I114" i="1" s="1"/>
  <c r="J114" i="1" s="1"/>
  <c r="C114" i="1"/>
  <c r="D113" i="1"/>
  <c r="D114" i="1" s="1"/>
  <c r="B113" i="1"/>
  <c r="E112" i="1"/>
  <c r="C112" i="1"/>
  <c r="D112" i="1" s="1"/>
  <c r="C111" i="1"/>
  <c r="G111" i="1" s="1"/>
  <c r="I110" i="1"/>
  <c r="G110" i="1"/>
  <c r="H109" i="1"/>
  <c r="G109" i="1"/>
  <c r="I109" i="1" s="1"/>
  <c r="J109" i="1" s="1"/>
  <c r="D109" i="1"/>
  <c r="C109" i="1"/>
  <c r="D108" i="1"/>
  <c r="D110" i="1" s="1"/>
  <c r="B108" i="1"/>
  <c r="C110" i="1" s="1"/>
  <c r="C107" i="1"/>
  <c r="E106" i="1"/>
  <c r="D106" i="1"/>
  <c r="C106" i="1"/>
  <c r="C105" i="1"/>
  <c r="G105" i="1" s="1"/>
  <c r="G104" i="1" s="1"/>
  <c r="C104" i="1"/>
  <c r="G103" i="1"/>
  <c r="I103" i="1" s="1"/>
  <c r="J103" i="1" s="1"/>
  <c r="D103" i="1"/>
  <c r="D104" i="1" s="1"/>
  <c r="C103" i="1"/>
  <c r="D102" i="1"/>
  <c r="B102" i="1"/>
  <c r="E101" i="1"/>
  <c r="C101" i="1"/>
  <c r="C100" i="1"/>
  <c r="D98" i="1"/>
  <c r="D99" i="1" s="1"/>
  <c r="D100" i="1" s="1"/>
  <c r="D101" i="1" s="1"/>
  <c r="D97" i="1"/>
  <c r="B97" i="1"/>
  <c r="G98" i="1" s="1"/>
  <c r="E96" i="1"/>
  <c r="D96" i="1"/>
  <c r="C96" i="1"/>
  <c r="G95" i="1"/>
  <c r="G220" i="1" s="1"/>
  <c r="C95" i="1"/>
  <c r="C239" i="1" s="1"/>
  <c r="G94" i="1"/>
  <c r="G238" i="1" s="1"/>
  <c r="C94" i="1"/>
  <c r="C219" i="1" s="1"/>
  <c r="G93" i="1"/>
  <c r="G218" i="1" s="1"/>
  <c r="D93" i="1"/>
  <c r="D94" i="1" s="1"/>
  <c r="C93" i="1"/>
  <c r="C218" i="1" s="1"/>
  <c r="D92" i="1"/>
  <c r="B92" i="1"/>
  <c r="H90" i="1"/>
  <c r="G90" i="1"/>
  <c r="I90" i="1" s="1"/>
  <c r="J90" i="1" s="1"/>
  <c r="D90" i="1"/>
  <c r="C90" i="1"/>
  <c r="H88" i="1"/>
  <c r="G88" i="1"/>
  <c r="I88" i="1" s="1"/>
  <c r="J88" i="1" s="1"/>
  <c r="D88" i="1"/>
  <c r="C88" i="1"/>
  <c r="D87" i="1"/>
  <c r="D91" i="1" s="1"/>
  <c r="B87" i="1"/>
  <c r="C91" i="1" s="1"/>
  <c r="H86" i="1"/>
  <c r="G86" i="1"/>
  <c r="I86" i="1" s="1"/>
  <c r="J86" i="1" s="1"/>
  <c r="D86" i="1"/>
  <c r="B86" i="1"/>
  <c r="G85" i="1"/>
  <c r="I85" i="1" s="1"/>
  <c r="J85" i="1" s="1"/>
  <c r="D85" i="1"/>
  <c r="B85" i="1"/>
  <c r="I84" i="1"/>
  <c r="J84" i="1" s="1"/>
  <c r="G84" i="1"/>
  <c r="H84" i="1" s="1"/>
  <c r="D84" i="1"/>
  <c r="B84" i="1"/>
  <c r="D83" i="1"/>
  <c r="B83" i="1"/>
  <c r="G82" i="1"/>
  <c r="I82" i="1" s="1"/>
  <c r="J82" i="1" s="1"/>
  <c r="D82" i="1"/>
  <c r="B82" i="1"/>
  <c r="D81" i="1"/>
  <c r="B81" i="1"/>
  <c r="D80" i="1"/>
  <c r="B80" i="1"/>
  <c r="G79" i="1"/>
  <c r="I79" i="1" s="1"/>
  <c r="J79" i="1" s="1"/>
  <c r="D79" i="1"/>
  <c r="B79" i="1"/>
  <c r="I78" i="1"/>
  <c r="J78" i="1" s="1"/>
  <c r="G78" i="1"/>
  <c r="H78" i="1" s="1"/>
  <c r="D78" i="1"/>
  <c r="C78" i="1"/>
  <c r="D77" i="1"/>
  <c r="C77" i="1"/>
  <c r="I76" i="1"/>
  <c r="J76" i="1" s="1"/>
  <c r="G76" i="1"/>
  <c r="H76" i="1" s="1"/>
  <c r="D76" i="1"/>
  <c r="C76" i="1"/>
  <c r="D75" i="1"/>
  <c r="C75" i="1"/>
  <c r="I74" i="1"/>
  <c r="J74" i="1" s="1"/>
  <c r="G74" i="1"/>
  <c r="H74" i="1" s="1"/>
  <c r="D74" i="1"/>
  <c r="C74" i="1"/>
  <c r="J73" i="1"/>
  <c r="I73" i="1"/>
  <c r="G73" i="1"/>
  <c r="H73" i="1" s="1"/>
  <c r="D73" i="1"/>
  <c r="C73" i="1"/>
  <c r="D72" i="1"/>
  <c r="C72" i="1"/>
  <c r="J71" i="1"/>
  <c r="I71" i="1"/>
  <c r="G71" i="1"/>
  <c r="H71" i="1" s="1"/>
  <c r="D71" i="1"/>
  <c r="C71" i="1"/>
  <c r="I69" i="1"/>
  <c r="H68" i="1"/>
  <c r="G68" i="1"/>
  <c r="D68" i="1"/>
  <c r="D67" i="1"/>
  <c r="D69" i="1" s="1"/>
  <c r="J69" i="1" s="1"/>
  <c r="C67" i="1"/>
  <c r="C66" i="1"/>
  <c r="G69" i="1" s="1"/>
  <c r="J65" i="1"/>
  <c r="I65" i="1"/>
  <c r="D65" i="1"/>
  <c r="D66" i="1" s="1"/>
  <c r="D70" i="1" s="1"/>
  <c r="C65" i="1"/>
  <c r="G65" i="1" s="1"/>
  <c r="H65" i="1" s="1"/>
  <c r="D64" i="1"/>
  <c r="B64" i="1"/>
  <c r="C59" i="1"/>
  <c r="C63" i="1" s="1"/>
  <c r="D57" i="1"/>
  <c r="D58" i="1" s="1"/>
  <c r="B57" i="1"/>
  <c r="C58" i="1" s="1"/>
  <c r="C55" i="1"/>
  <c r="G54" i="1"/>
  <c r="I53" i="1"/>
  <c r="G52" i="1"/>
  <c r="C52" i="1"/>
  <c r="C56" i="1" s="1"/>
  <c r="D51" i="1"/>
  <c r="D52" i="1" s="1"/>
  <c r="D56" i="1" s="1"/>
  <c r="C51" i="1"/>
  <c r="D50" i="1"/>
  <c r="B50" i="1"/>
  <c r="G48" i="1"/>
  <c r="D47" i="1"/>
  <c r="C47" i="1"/>
  <c r="I45" i="1"/>
  <c r="J45" i="1" s="1"/>
  <c r="C45" i="1"/>
  <c r="C48" i="1" s="1"/>
  <c r="G44" i="1"/>
  <c r="H44" i="1" s="1"/>
  <c r="D44" i="1"/>
  <c r="D45" i="1" s="1"/>
  <c r="D49" i="1" s="1"/>
  <c r="D43" i="1"/>
  <c r="B43" i="1"/>
  <c r="C44" i="1" s="1"/>
  <c r="I44" i="1" s="1"/>
  <c r="J44" i="1" s="1"/>
  <c r="I40" i="1"/>
  <c r="K38" i="1"/>
  <c r="C38" i="1"/>
  <c r="B38" i="1"/>
  <c r="D38" i="1" s="1"/>
  <c r="I39" i="1" s="1"/>
  <c r="I36" i="1"/>
  <c r="G36" i="1"/>
  <c r="C36" i="1"/>
  <c r="G35" i="1"/>
  <c r="H35" i="1" s="1"/>
  <c r="C35" i="1"/>
  <c r="I34" i="1"/>
  <c r="J34" i="1" s="1"/>
  <c r="D34" i="1"/>
  <c r="C34" i="1"/>
  <c r="I33" i="1"/>
  <c r="G33" i="1"/>
  <c r="C33" i="1"/>
  <c r="C37" i="1" s="1"/>
  <c r="J32" i="1"/>
  <c r="I32" i="1"/>
  <c r="D32" i="1"/>
  <c r="D35" i="1" s="1"/>
  <c r="C32" i="1"/>
  <c r="G32" i="1" s="1"/>
  <c r="H32" i="1" s="1"/>
  <c r="D31" i="1"/>
  <c r="B31" i="1"/>
  <c r="D30" i="1"/>
  <c r="E30" i="1" s="1"/>
  <c r="C30" i="1"/>
  <c r="E28" i="1"/>
  <c r="D28" i="1"/>
  <c r="C28" i="1"/>
  <c r="D27" i="1"/>
  <c r="C27" i="1"/>
  <c r="D26" i="1"/>
  <c r="E26" i="1" s="1"/>
  <c r="C26" i="1"/>
  <c r="E25" i="1"/>
  <c r="D25" i="1"/>
  <c r="C25" i="1"/>
  <c r="D24" i="1"/>
  <c r="E24" i="1" s="1"/>
  <c r="C24" i="1"/>
  <c r="J22" i="1"/>
  <c r="I22" i="1"/>
  <c r="H22" i="1"/>
  <c r="I21" i="1"/>
  <c r="J21" i="1" s="1"/>
  <c r="H21" i="1"/>
  <c r="I20" i="1"/>
  <c r="J20" i="1" s="1"/>
  <c r="H20" i="1"/>
  <c r="I19" i="1"/>
  <c r="J19" i="1" s="1"/>
  <c r="H19" i="1"/>
  <c r="D18" i="1"/>
  <c r="I17" i="1"/>
  <c r="J17" i="1" s="1"/>
  <c r="H17" i="1"/>
  <c r="D16" i="1"/>
  <c r="I15" i="1"/>
  <c r="J15" i="1" s="1"/>
  <c r="H15" i="1"/>
  <c r="J14" i="1"/>
  <c r="I14" i="1"/>
  <c r="H14" i="1"/>
  <c r="J13" i="1"/>
  <c r="I13" i="1"/>
  <c r="H13" i="1"/>
  <c r="J12" i="1"/>
  <c r="I12" i="1"/>
  <c r="H12" i="1"/>
  <c r="I11" i="1"/>
  <c r="J11" i="1" s="1"/>
  <c r="H11" i="1"/>
  <c r="J10" i="1"/>
  <c r="I10" i="1"/>
  <c r="H10" i="1"/>
  <c r="I9" i="1"/>
  <c r="J9" i="1" s="1"/>
  <c r="H9" i="1"/>
  <c r="I8" i="1"/>
  <c r="J8" i="1" s="1"/>
  <c r="H8" i="1"/>
  <c r="I238" i="1" l="1"/>
  <c r="H110" i="1"/>
  <c r="J110" i="1"/>
  <c r="D240" i="1"/>
  <c r="D241" i="1" s="1"/>
  <c r="D111" i="1"/>
  <c r="I240" i="1"/>
  <c r="D139" i="1"/>
  <c r="C139" i="1"/>
  <c r="D105" i="1"/>
  <c r="D107" i="1"/>
  <c r="H52" i="1"/>
  <c r="I141" i="1"/>
  <c r="J141" i="1" s="1"/>
  <c r="H141" i="1"/>
  <c r="I154" i="1"/>
  <c r="J154" i="1" s="1"/>
  <c r="H154" i="1"/>
  <c r="H104" i="1"/>
  <c r="I104" i="1"/>
  <c r="J104" i="1" s="1"/>
  <c r="D143" i="1"/>
  <c r="C143" i="1"/>
  <c r="G143" i="1" s="1"/>
  <c r="G142" i="1" s="1"/>
  <c r="J215" i="1"/>
  <c r="I131" i="1"/>
  <c r="J131" i="1" s="1"/>
  <c r="H131" i="1"/>
  <c r="I160" i="1"/>
  <c r="J160" i="1" s="1"/>
  <c r="H160" i="1"/>
  <c r="I169" i="1"/>
  <c r="J169" i="1" s="1"/>
  <c r="H169" i="1"/>
  <c r="I58" i="1"/>
  <c r="J58" i="1" s="1"/>
  <c r="G58" i="1"/>
  <c r="H58" i="1" s="1"/>
  <c r="H94" i="1"/>
  <c r="D95" i="1"/>
  <c r="D238" i="1"/>
  <c r="D239" i="1" s="1"/>
  <c r="I146" i="1"/>
  <c r="J146" i="1" s="1"/>
  <c r="H146" i="1"/>
  <c r="J212" i="1"/>
  <c r="H212" i="1"/>
  <c r="I51" i="1"/>
  <c r="J51" i="1" s="1"/>
  <c r="G51" i="1"/>
  <c r="H51" i="1" s="1"/>
  <c r="D60" i="1"/>
  <c r="D62" i="1" s="1"/>
  <c r="D59" i="1"/>
  <c r="D63" i="1" s="1"/>
  <c r="D61" i="1"/>
  <c r="H69" i="1"/>
  <c r="I218" i="1"/>
  <c r="J218" i="1" s="1"/>
  <c r="H218" i="1"/>
  <c r="I98" i="1"/>
  <c r="J98" i="1" s="1"/>
  <c r="H98" i="1"/>
  <c r="I166" i="1"/>
  <c r="J166" i="1" s="1"/>
  <c r="H166" i="1"/>
  <c r="I157" i="1"/>
  <c r="J157" i="1" s="1"/>
  <c r="H157" i="1"/>
  <c r="I35" i="1"/>
  <c r="J35" i="1" s="1"/>
  <c r="I41" i="1"/>
  <c r="G47" i="1"/>
  <c r="H47" i="1" s="1"/>
  <c r="I68" i="1"/>
  <c r="J68" i="1" s="1"/>
  <c r="C70" i="1"/>
  <c r="I94" i="1"/>
  <c r="J94" i="1" s="1"/>
  <c r="C99" i="1"/>
  <c r="G100" i="1"/>
  <c r="D117" i="1"/>
  <c r="D124" i="1"/>
  <c r="H128" i="1"/>
  <c r="G137" i="1"/>
  <c r="C145" i="1"/>
  <c r="C147" i="1"/>
  <c r="D147" i="1" s="1"/>
  <c r="G147" i="1" s="1"/>
  <c r="C159" i="1"/>
  <c r="J197" i="1"/>
  <c r="H210" i="1"/>
  <c r="G219" i="1"/>
  <c r="G34" i="1"/>
  <c r="H34" i="1" s="1"/>
  <c r="C46" i="1"/>
  <c r="I48" i="1"/>
  <c r="J48" i="1" s="1"/>
  <c r="I52" i="1"/>
  <c r="J52" i="1" s="1"/>
  <c r="C54" i="1"/>
  <c r="G55" i="1"/>
  <c r="G59" i="1"/>
  <c r="H59" i="1" s="1"/>
  <c r="I60" i="1"/>
  <c r="J60" i="1" s="1"/>
  <c r="C62" i="1"/>
  <c r="G67" i="1"/>
  <c r="H67" i="1" s="1"/>
  <c r="D33" i="1"/>
  <c r="D37" i="1" s="1"/>
  <c r="I42" i="1"/>
  <c r="D46" i="1"/>
  <c r="D48" i="1" s="1"/>
  <c r="H48" i="1" s="1"/>
  <c r="D54" i="1"/>
  <c r="H54" i="1" s="1"/>
  <c r="H79" i="1"/>
  <c r="H85" i="1"/>
  <c r="H93" i="1"/>
  <c r="H103" i="1"/>
  <c r="H115" i="1"/>
  <c r="H122" i="1"/>
  <c r="D133" i="1"/>
  <c r="H205" i="1"/>
  <c r="G46" i="1"/>
  <c r="H46" i="1" s="1"/>
  <c r="I47" i="1"/>
  <c r="J47" i="1" s="1"/>
  <c r="C49" i="1"/>
  <c r="C53" i="1"/>
  <c r="I55" i="1"/>
  <c r="J55" i="1" s="1"/>
  <c r="I59" i="1"/>
  <c r="J59" i="1" s="1"/>
  <c r="C61" i="1"/>
  <c r="G66" i="1"/>
  <c r="H66" i="1" s="1"/>
  <c r="I67" i="1"/>
  <c r="J67" i="1" s="1"/>
  <c r="C69" i="1"/>
  <c r="C89" i="1"/>
  <c r="I93" i="1"/>
  <c r="J93" i="1" s="1"/>
  <c r="C98" i="1"/>
  <c r="G99" i="1"/>
  <c r="I115" i="1"/>
  <c r="J115" i="1" s="1"/>
  <c r="C120" i="1"/>
  <c r="C146" i="1"/>
  <c r="C150" i="1"/>
  <c r="C162" i="1"/>
  <c r="H208" i="1"/>
  <c r="D211" i="1"/>
  <c r="G62" i="1"/>
  <c r="H62" i="1" s="1"/>
  <c r="D36" i="1"/>
  <c r="J36" i="1" s="1"/>
  <c r="D53" i="1"/>
  <c r="D55" i="1" s="1"/>
  <c r="H82" i="1"/>
  <c r="D89" i="1"/>
  <c r="H114" i="1"/>
  <c r="D120" i="1"/>
  <c r="D125" i="1"/>
  <c r="C129" i="1"/>
  <c r="G45" i="1"/>
  <c r="H45" i="1" s="1"/>
  <c r="I46" i="1"/>
  <c r="J46" i="1" s="1"/>
  <c r="G53" i="1"/>
  <c r="H53" i="1" s="1"/>
  <c r="I54" i="1"/>
  <c r="J54" i="1" s="1"/>
  <c r="C60" i="1"/>
  <c r="G61" i="1"/>
  <c r="H61" i="1" s="1"/>
  <c r="I62" i="1"/>
  <c r="J62" i="1" s="1"/>
  <c r="I66" i="1"/>
  <c r="J66" i="1" s="1"/>
  <c r="C68" i="1"/>
  <c r="C119" i="1"/>
  <c r="C121" i="1"/>
  <c r="C122" i="1" s="1"/>
  <c r="D129" i="1"/>
  <c r="D134" i="1"/>
  <c r="C220" i="1"/>
  <c r="C130" i="1"/>
  <c r="G60" i="1"/>
  <c r="H60" i="1" s="1"/>
  <c r="I61" i="1"/>
  <c r="J61" i="1" s="1"/>
  <c r="D135" i="1" l="1"/>
  <c r="C135" i="1"/>
  <c r="G135" i="1" s="1"/>
  <c r="G134" i="1" s="1"/>
  <c r="J240" i="1"/>
  <c r="I219" i="1"/>
  <c r="J219" i="1" s="1"/>
  <c r="H219" i="1"/>
  <c r="J53" i="1"/>
  <c r="H33" i="1"/>
  <c r="H36" i="1"/>
  <c r="G119" i="1"/>
  <c r="C125" i="1"/>
  <c r="G125" i="1" s="1"/>
  <c r="H55" i="1"/>
  <c r="J33" i="1"/>
  <c r="I147" i="1"/>
  <c r="J147" i="1" s="1"/>
  <c r="H147" i="1"/>
  <c r="I142" i="1"/>
  <c r="J142" i="1" s="1"/>
  <c r="H142" i="1"/>
  <c r="G139" i="1"/>
  <c r="C224" i="1"/>
  <c r="H238" i="1"/>
  <c r="D126" i="1"/>
  <c r="G126" i="1" s="1"/>
  <c r="C126" i="1"/>
  <c r="J238" i="1"/>
  <c r="I99" i="1"/>
  <c r="J99" i="1" s="1"/>
  <c r="H99" i="1"/>
  <c r="I137" i="1"/>
  <c r="J137" i="1" s="1"/>
  <c r="G222" i="1"/>
  <c r="H137" i="1"/>
  <c r="H240" i="1"/>
  <c r="I125" i="1" l="1"/>
  <c r="J125" i="1" s="1"/>
  <c r="H125" i="1"/>
  <c r="I222" i="1"/>
  <c r="J222" i="1" s="1"/>
  <c r="H222" i="1"/>
  <c r="H134" i="1"/>
  <c r="I134" i="1"/>
  <c r="J134" i="1" s="1"/>
  <c r="G138" i="1"/>
  <c r="G224" i="1"/>
  <c r="H119" i="1"/>
  <c r="I119" i="1"/>
  <c r="J119" i="1" s="1"/>
  <c r="H138" i="1" l="1"/>
  <c r="I138" i="1"/>
  <c r="J138" i="1" s="1"/>
  <c r="G223" i="1"/>
  <c r="I223" i="1" l="1"/>
  <c r="J223" i="1" s="1"/>
  <c r="H223" i="1"/>
  <c r="H247" i="1" s="1"/>
  <c r="J2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frick</author>
  </authors>
  <commentList>
    <comment ref="C66" authorId="0" shapeId="0" xr:uid="{2F0D0839-F2CA-45E4-BFF0-B76E2436B4AA}">
      <text>
        <r>
          <rPr>
            <b/>
            <sz val="9"/>
            <color indexed="81"/>
            <rFont val="Tahoma"/>
            <family val="2"/>
            <charset val="204"/>
          </rPr>
          <t>frick:</t>
        </r>
        <r>
          <rPr>
            <sz val="9"/>
            <color indexed="81"/>
            <rFont val="Tahoma"/>
            <family val="2"/>
            <charset val="204"/>
          </rPr>
          <t xml:space="preserve">
если не прописывает значит не подходит выбранный барабан или способ натяжки</t>
        </r>
      </text>
    </comment>
  </commentList>
</comments>
</file>

<file path=xl/sharedStrings.xml><?xml version="1.0" encoding="utf-8"?>
<sst xmlns="http://schemas.openxmlformats.org/spreadsheetml/2006/main" count="693" uniqueCount="420">
  <si>
    <t xml:space="preserve"> </t>
  </si>
  <si>
    <t>Детальный расчет по конвейеру В-1000 ( L= 162м)</t>
  </si>
  <si>
    <t>Наименование изделия</t>
  </si>
  <si>
    <t>Входящие изделия</t>
  </si>
  <si>
    <t>Кол-во</t>
  </si>
  <si>
    <t>Покупное</t>
  </si>
  <si>
    <t>Изготавливаемое</t>
  </si>
  <si>
    <t>Масса на ед. продукции (примерная),кг</t>
  </si>
  <si>
    <t>Масса общая, кг</t>
  </si>
  <si>
    <t>норма расхода на узел, кг</t>
  </si>
  <si>
    <t>норма расхода на изд., кг</t>
  </si>
  <si>
    <t>Металлоконструкции</t>
  </si>
  <si>
    <t>Рама под приводной барабан</t>
  </si>
  <si>
    <t>+</t>
  </si>
  <si>
    <t>Рама направляющих под натяжную станцию</t>
  </si>
  <si>
    <t>Рама отклоняющего барабана</t>
  </si>
  <si>
    <t>Рама концевого барабана</t>
  </si>
  <si>
    <t>Моментный рычаг</t>
  </si>
  <si>
    <t xml:space="preserve">Лоток загрузочный 3,5м </t>
  </si>
  <si>
    <t xml:space="preserve">Лоток загрузочный 8,5м </t>
  </si>
  <si>
    <t>Ограждение става сетчатое уголок 25х25х3, комплект</t>
  </si>
  <si>
    <t>Сетка электросварная неоцинкованная на сетчатое ограждение 25х25х2,5 (размеры 1000х1000), м2</t>
  </si>
  <si>
    <t>Ограждение натяжной станции сетчатое уголок 25х25х3, комплект</t>
  </si>
  <si>
    <t>Укрытие приводного барабана</t>
  </si>
  <si>
    <t>Линейный став с опорными стойками (гнутый швеллер 140х60х5), 3м</t>
  </si>
  <si>
    <t>Воронка разгрузочная</t>
  </si>
  <si>
    <t>Футеровка лотков загрузки и разгрузочной воронки Hardox 6мм</t>
  </si>
  <si>
    <t>Привод</t>
  </si>
  <si>
    <t xml:space="preserve"> - площадь обечайки одного барабана</t>
  </si>
  <si>
    <t>Резиновая ремонтная масса Elastosal</t>
  </si>
  <si>
    <t xml:space="preserve">Грунтовка TRS MP </t>
  </si>
  <si>
    <t>Клей TRS 2002 new  + Отвердитель 1000M</t>
  </si>
  <si>
    <t>Очиститель Elastosal</t>
  </si>
  <si>
    <t>УПП</t>
  </si>
  <si>
    <t>Тележка разгрузочная Б-10050-Л-Iф-127</t>
  </si>
  <si>
    <t>Рама</t>
  </si>
  <si>
    <t>Укрытие</t>
  </si>
  <si>
    <t>Течка с разгрузкой на две стороны и вперёд</t>
  </si>
  <si>
    <t>Футеровочные пластины для течки Hardox 8мм</t>
  </si>
  <si>
    <t>Рельсы под тележку Р-18, п.м.</t>
  </si>
  <si>
    <t>Привод передвижения тележки</t>
  </si>
  <si>
    <t>Принята скорость передвижения тележки 0,3 м/с</t>
  </si>
  <si>
    <t>Мотор-редуктор SEW-Eurodrive  коническо-цилиндрический, полый вал, моментный рычаг, встроеный тормоз, общепромышленный (мощность устанавливаемая 3кВт, скорость вращения выходного вала 11,5 об/мин, 690В, 50 Гц, IP55, У1, S4, прямой пуск (N=3кВт, n=1500об/мин))</t>
  </si>
  <si>
    <t>Барабан неприводной 10050-80</t>
  </si>
  <si>
    <t>Корпус подш. узла ПТКБ.301119.301-116</t>
  </si>
  <si>
    <t>Крышка проходная ПТКБ.301261.301-16</t>
  </si>
  <si>
    <t>Крышка глухая ПТКБ.301265.301-16</t>
  </si>
  <si>
    <t>Втулка лабиринтная ПТКБ.305314.103-616</t>
  </si>
  <si>
    <t>Подшипник 3616 ГОСТ 5721-75 (22316)</t>
  </si>
  <si>
    <t>Футеровка общепромышленная, толщина 10 мм, барабан Ø=500 мм, футеровка L= 1200 мм</t>
  </si>
  <si>
    <t>Колеса приводные Ø500мм</t>
  </si>
  <si>
    <t>Колесо</t>
  </si>
  <si>
    <t>Корпус подшипникового узла ПТКБ.301119.301-116</t>
  </si>
  <si>
    <t>Ось</t>
  </si>
  <si>
    <t>Подшипник 3616 ГОСТ</t>
  </si>
  <si>
    <t>Укрытие колёс</t>
  </si>
  <si>
    <t>Колеса неприводные Ø400мм</t>
  </si>
  <si>
    <t>Рельсозахват</t>
  </si>
  <si>
    <t>Зажим</t>
  </si>
  <si>
    <t>Кронштейн</t>
  </si>
  <si>
    <t>Электрогидравлический толкатель ТЭ-200/100</t>
  </si>
  <si>
    <t>Роликоопора дефлекторная верхняя желобчатая ДЖ140-159-30</t>
  </si>
  <si>
    <t>Шибер перекидной</t>
  </si>
  <si>
    <t>Металлоконструкция с шибером</t>
  </si>
  <si>
    <t>МЭП-C1 3/44-800-ЦШ-ТП-НП-А-ОГ-Д-Г эксплуатация в галерее, температура -20…+30°С, IP55</t>
  </si>
  <si>
    <t>Футеровка шибера Hardox t=10мм</t>
  </si>
  <si>
    <t>Устройство токоподачи, ход конвейера, м</t>
  </si>
  <si>
    <t>Каретка гибкого кабеля подбирается отделом АСУ</t>
  </si>
  <si>
    <t>Обойма концевая подбирается отделом АСУ</t>
  </si>
  <si>
    <t>Каретка гибкого кабеля ведущая подбирается отделом АСУ</t>
  </si>
  <si>
    <t>Обойма для круглого кабеля подбирается отделом АСУ</t>
  </si>
  <si>
    <t>Штанга токопровода (швеллер 5П), м</t>
  </si>
  <si>
    <t>Монорельс (двутавр №10), м</t>
  </si>
  <si>
    <t>ЗИПы</t>
  </si>
  <si>
    <t>чистый вес</t>
  </si>
  <si>
    <t>вес заготовок</t>
  </si>
  <si>
    <t>Обозначение подшипникового узла</t>
  </si>
  <si>
    <t>вес заготовки</t>
  </si>
  <si>
    <t>ширина ленты</t>
  </si>
  <si>
    <t>масса стола</t>
  </si>
  <si>
    <t>Масса верхней роликоопоры</t>
  </si>
  <si>
    <t>ловитель</t>
  </si>
  <si>
    <t>плужок</t>
  </si>
  <si>
    <t>очиститель барабана</t>
  </si>
  <si>
    <t>натяжки</t>
  </si>
  <si>
    <t>демпферы</t>
  </si>
  <si>
    <t>Барабан приводной 8080Ф-160-2</t>
  </si>
  <si>
    <t>Барабан неприводной 12031,5-50</t>
  </si>
  <si>
    <t>Корпус подш. узла ПТКБ.301119.301-110</t>
  </si>
  <si>
    <t>В</t>
  </si>
  <si>
    <t>ТГ, Л, Р</t>
  </si>
  <si>
    <t>Барабан приводной 8080Ф-160</t>
  </si>
  <si>
    <t>Корпус подш. узла ПТКБ.301119.301-112</t>
  </si>
  <si>
    <t>гидромуфта</t>
  </si>
  <si>
    <t>Корпус подш. узла ПТКБ.301119.003-110</t>
  </si>
  <si>
    <t>-</t>
  </si>
  <si>
    <t>Барабан приводной 8080Ф-120-2</t>
  </si>
  <si>
    <t>Барабан неприводной 100100-180</t>
  </si>
  <si>
    <t>Муфта быстроходная -</t>
  </si>
  <si>
    <t>Корпус подш. узла ПТКБ.301119.003-112</t>
  </si>
  <si>
    <t>Барабан приводной 8080Ф-120</t>
  </si>
  <si>
    <t>Барабан неприводной 100125-200</t>
  </si>
  <si>
    <t>Корпус подш. узла ПТКБ.301119.301-120</t>
  </si>
  <si>
    <t>Муфта быстроходная МУВП-6,3</t>
  </si>
  <si>
    <t>Корпус подш. узла ПТКБ.301119.003-116</t>
  </si>
  <si>
    <t>Барабан приводной 8063Ф-120-2</t>
  </si>
  <si>
    <t>Барабан неприводной 10031,5-50</t>
  </si>
  <si>
    <t>Корпус подш. узла ПТКБ.301119.301-124</t>
  </si>
  <si>
    <t>Муфта быстроходная МУВП-16</t>
  </si>
  <si>
    <t>Корпус подш. узла ПТКБ.301119.003-120</t>
  </si>
  <si>
    <t>Барабан приводной 8063Ф-120</t>
  </si>
  <si>
    <t>Барабан неприводной 10031,5-60</t>
  </si>
  <si>
    <t>Корпус ПУБ 160</t>
  </si>
  <si>
    <t>Муфта быстроходная МУВП-31,5</t>
  </si>
  <si>
    <t>Барабан приводной 8063Ф-100-2</t>
  </si>
  <si>
    <t>Барабан неприводной 10040-60</t>
  </si>
  <si>
    <t>Корпус ПУБ 180</t>
  </si>
  <si>
    <t>Муфта быстроходная МУВП-63</t>
  </si>
  <si>
    <t>Барабан приводной 8063Ф-100</t>
  </si>
  <si>
    <t>Барабан неприводной 10040-80</t>
  </si>
  <si>
    <t>Корпус ПУБ 200</t>
  </si>
  <si>
    <t>масса амортизирующих роликов</t>
  </si>
  <si>
    <t>Муфта быстроходная МУВП-125</t>
  </si>
  <si>
    <t>Барабан приводной 8050Ф-80</t>
  </si>
  <si>
    <t>Барабан неприводной 10050-100</t>
  </si>
  <si>
    <t>Корпус ПУБ 220</t>
  </si>
  <si>
    <t>Муфта быстроходная МУВП-250</t>
  </si>
  <si>
    <t>Барабан приводной 8050Ф-100</t>
  </si>
  <si>
    <t>Муфта быстроходная МУВП-500</t>
  </si>
  <si>
    <t>Барабан приводной 8040Ф-80</t>
  </si>
  <si>
    <t>Барабан неприводной 10063-100</t>
  </si>
  <si>
    <t>Роторные уплотнения подшипников</t>
  </si>
  <si>
    <t>Муфта быстроходная МУВП-710</t>
  </si>
  <si>
    <t>Барабан приводной 8040Ф-60</t>
  </si>
  <si>
    <t>Барабан неприводной 10063-120</t>
  </si>
  <si>
    <t>VR06-32</t>
  </si>
  <si>
    <t>Муфта быстроходная МУВП-1000</t>
  </si>
  <si>
    <t>Барабан приводной 6563Ф-80</t>
  </si>
  <si>
    <t>Барабан неприводной 10080-120</t>
  </si>
  <si>
    <t>VR06-38</t>
  </si>
  <si>
    <t>Муфта быстроходная МУВП-2000</t>
  </si>
  <si>
    <t>Барабан приводной 6563Ф-100-2</t>
  </si>
  <si>
    <t>Барабан неприводной 10080-160</t>
  </si>
  <si>
    <t>VR06-40</t>
  </si>
  <si>
    <t>Муфта быстроходная МУВП-4000</t>
  </si>
  <si>
    <t>Барабан приводной 6563Ф-100</t>
  </si>
  <si>
    <t>Барабан неприводной 120100-180</t>
  </si>
  <si>
    <t>VR06-45</t>
  </si>
  <si>
    <t>Муфта быстроходная МУВП-8000</t>
  </si>
  <si>
    <t>Барабан приводной 6550Ф-80</t>
  </si>
  <si>
    <t>Барабан неприводной 120125-200</t>
  </si>
  <si>
    <t>VR06-60</t>
  </si>
  <si>
    <t>Муфта быстроходная МУВП-16000</t>
  </si>
  <si>
    <t>Барабан приводной 6540Ф-60</t>
  </si>
  <si>
    <t>Барабан неприводной 120160-220</t>
  </si>
  <si>
    <t>Муфта быстроходная МУВПТ-6,3</t>
  </si>
  <si>
    <t>Барабан приводной 6531,5Ф-50</t>
  </si>
  <si>
    <t>Барабан неприводной 12031,5-60</t>
  </si>
  <si>
    <t>Муфта быстроходная МУВПТ-16</t>
  </si>
  <si>
    <t>Барабан приводной 6525-40</t>
  </si>
  <si>
    <t>Барабан неприводной 12040-60</t>
  </si>
  <si>
    <t>Муфта быстроходная МУВПТ-31,5</t>
  </si>
  <si>
    <t>Барабан приводной 16080Ф-120-2</t>
  </si>
  <si>
    <t>Барабан неприводной 12040-80</t>
  </si>
  <si>
    <t>Муфта быстроходная МУВПТ-63</t>
  </si>
  <si>
    <t>Барабан приводной 16080Ф-120</t>
  </si>
  <si>
    <t>Барабан неприводной 12050-100</t>
  </si>
  <si>
    <t>Муфта быстроходная МУВПТ-125</t>
  </si>
  <si>
    <t>Барабан приводной 16063Ф-100</t>
  </si>
  <si>
    <t>Барабан неприводной 12050-80</t>
  </si>
  <si>
    <t>Муфта быстроходная МУВПТ-250</t>
  </si>
  <si>
    <t>вес детали</t>
  </si>
  <si>
    <t>Барабан приводной 16050Ф-100</t>
  </si>
  <si>
    <t>Барабан неприводной 12063-100</t>
  </si>
  <si>
    <t>Муфта быстроходная МУВПТ-500</t>
  </si>
  <si>
    <t>Барабан приводной 16040Ф-80</t>
  </si>
  <si>
    <t>Барабан неприводной 12063-120</t>
  </si>
  <si>
    <t>Муфта быстроходная МУВПТ-710</t>
  </si>
  <si>
    <t>Барабан приводной 160160Ф-220-2</t>
  </si>
  <si>
    <t>Барабан неприводной 12080-120</t>
  </si>
  <si>
    <t>Муфта быстроходная МУВПТ-1000</t>
  </si>
  <si>
    <t>Барабан приводной 160160Ф-220</t>
  </si>
  <si>
    <t>Барабан неприводной 12080-160</t>
  </si>
  <si>
    <t>Муфта быстроходная МУВПТ-2000</t>
  </si>
  <si>
    <t>Барабан приводной 160125Ф-200-2</t>
  </si>
  <si>
    <t>Барабан неприводной 140100-160</t>
  </si>
  <si>
    <t>Муфта быстроходная МУВПТ-4000</t>
  </si>
  <si>
    <t>Барабан приводной 160125Ф-200</t>
  </si>
  <si>
    <t>Барабан неприводной 140100-180</t>
  </si>
  <si>
    <t>Муфта быстроходная МУВПТ-8000</t>
  </si>
  <si>
    <t>Барабан приводной 160100Ф-180-2</t>
  </si>
  <si>
    <t>Барабан неприводной 140100-200</t>
  </si>
  <si>
    <t>Муфта быстроходная МУВПТ-16000</t>
  </si>
  <si>
    <t>Барабан приводной 160100Ф-180</t>
  </si>
  <si>
    <t>Барабан неприводной 140100-220</t>
  </si>
  <si>
    <t>Муфта быстроходная МЛ-1</t>
  </si>
  <si>
    <t>Барабан приводной 160100Ф-160-2</t>
  </si>
  <si>
    <t>Барабан неприводной 140125-200</t>
  </si>
  <si>
    <t>Муфта быстроходная МЛ-2</t>
  </si>
  <si>
    <t>Барабан приводной 160100Ф-160</t>
  </si>
  <si>
    <t>Барабан неприводной 140125-220</t>
  </si>
  <si>
    <t>Муфта быстроходная МЛ-3</t>
  </si>
  <si>
    <t>Барабан приводной 14080Ф-220-2</t>
  </si>
  <si>
    <t>Барабан неприводной 140160-220</t>
  </si>
  <si>
    <t>Муфта быстроходная МЛ-4</t>
  </si>
  <si>
    <t>Барабан приводной 14080Ф-220</t>
  </si>
  <si>
    <t>Барабан неприводной 14031,5-50</t>
  </si>
  <si>
    <t>Муфта быстроходная МЛ-5</t>
  </si>
  <si>
    <t>Барабан приводной 14080Ф-200-2</t>
  </si>
  <si>
    <t>Барабан неприводной 14031,5-60</t>
  </si>
  <si>
    <t>Муфта быстроходная МЛ-6</t>
  </si>
  <si>
    <t>Барабан приводной 14080Ф-200</t>
  </si>
  <si>
    <t>Барабан неприводной 14040-100</t>
  </si>
  <si>
    <t>Муфта быстроходная МЛ-7</t>
  </si>
  <si>
    <t>Барабан приводной 14080Ф-180-2</t>
  </si>
  <si>
    <t>Барабан неприводной 14040-60</t>
  </si>
  <si>
    <t>Муфта быстроходная МЛ-8</t>
  </si>
  <si>
    <t>Барабан приводной 14080Ф-180</t>
  </si>
  <si>
    <t>Барабан неприводной 14040-80</t>
  </si>
  <si>
    <t>Муфта быстроходная МЛТ-3</t>
  </si>
  <si>
    <t>Барабан приводной 14080Ф-160-2</t>
  </si>
  <si>
    <t>Барабан неприводной 14050-100</t>
  </si>
  <si>
    <t>Муфта быстроходная МЛТ-4</t>
  </si>
  <si>
    <t>Барабан приводной 14080Ф-160</t>
  </si>
  <si>
    <t>Барабан неприводной 14050-120</t>
  </si>
  <si>
    <t>Муфта быстроходная МЛТ-5</t>
  </si>
  <si>
    <t>Барабан приводной 14080Ф-120-2</t>
  </si>
  <si>
    <t>Барабан неприводной 14050-80</t>
  </si>
  <si>
    <t>Муфта быстроходная МЛТ-6</t>
  </si>
  <si>
    <t>Барабан приводной 14080Ф-120</t>
  </si>
  <si>
    <t>Барабан неприводной 14063-100</t>
  </si>
  <si>
    <t>Барабан приводной 14063Ф-180-2</t>
  </si>
  <si>
    <t>Барабан неприводной 14063-120</t>
  </si>
  <si>
    <t>Барабан приводной 14063Ф-180</t>
  </si>
  <si>
    <t>Барабан неприводной 14063-140</t>
  </si>
  <si>
    <t>Барабан приводной 14063Ф-160-2</t>
  </si>
  <si>
    <t>Барабан неприводной 14063-160</t>
  </si>
  <si>
    <t>Барабан приводной 14063Ф-160</t>
  </si>
  <si>
    <t>Барабан неприводной 14063-180</t>
  </si>
  <si>
    <t>Барабан приводной 14063Ф-140-2</t>
  </si>
  <si>
    <t>Барабан неприводной 14080-120</t>
  </si>
  <si>
    <t>Барабан приводной 14063Ф-140</t>
  </si>
  <si>
    <t>Барабан неприводной 14080-160</t>
  </si>
  <si>
    <t>подшипник</t>
  </si>
  <si>
    <t>крышка проходная</t>
  </si>
  <si>
    <t>крышка глухая</t>
  </si>
  <si>
    <t>втулка лабиринтная</t>
  </si>
  <si>
    <t>Барабан приводной 14063Ф-120-2</t>
  </si>
  <si>
    <t>Барабан неприводной 14080-180</t>
  </si>
  <si>
    <t>Подшипник 3610 ГОСТ 5721-75 (22310)</t>
  </si>
  <si>
    <t>Крышка проходная ПТКБ.301261.303-110</t>
  </si>
  <si>
    <t>Крышка глухая ПТКБ.301265.303-110</t>
  </si>
  <si>
    <t>Втулка лабиринтная ПТКБ.305314.303-110</t>
  </si>
  <si>
    <t>Барабан приводной 14063Ф-120</t>
  </si>
  <si>
    <t>Барабан неприводной 14080-200</t>
  </si>
  <si>
    <t>Подшипник 3612 ГОСТ 5721-75 (22312)</t>
  </si>
  <si>
    <t>Крышка проходная ПТКБ.301261.303-112</t>
  </si>
  <si>
    <t>Крышка глухая ПТКБ.301265.303-112</t>
  </si>
  <si>
    <t>Втулка лабиринтная ПТКБ.305314.303-112</t>
  </si>
  <si>
    <t>Барабан приводной 14063Ф-100-2</t>
  </si>
  <si>
    <t>Барабан неприводной 14080-220</t>
  </si>
  <si>
    <t>Крышка проходная ПТКБ.301261.303-116</t>
  </si>
  <si>
    <t>Крышка глухая ПТКБ.301265.303-116</t>
  </si>
  <si>
    <t>Втулка лабиринтная ПТКБ.305314.303-116</t>
  </si>
  <si>
    <t>Барабан приводной 14063Ф-100</t>
  </si>
  <si>
    <t>Барабан неприводной 160100-160</t>
  </si>
  <si>
    <t>Подшипник 3620 ГОСТ 5721-75 (22320)</t>
  </si>
  <si>
    <t>Крышка проходная ПТКБ.301261.303-120</t>
  </si>
  <si>
    <t>Крышка глухая ПТКБ.301265.303-120</t>
  </si>
  <si>
    <t>Втулка лабиринтная ПТКБ.305314.303-120</t>
  </si>
  <si>
    <t>Барабан приводной 14050Ф-80</t>
  </si>
  <si>
    <t>Барабан неприводной 160100-180</t>
  </si>
  <si>
    <t>Крышка проходная ПТКБ.301261.301-10</t>
  </si>
  <si>
    <t>Крышка глухая ПТКБ.301265.301-10</t>
  </si>
  <si>
    <t>Втулка лабиринтная ПТКБ.305314.103-610</t>
  </si>
  <si>
    <t>Барабан приводной 14050Ф-120</t>
  </si>
  <si>
    <t>Барабан неприводной 160125-200</t>
  </si>
  <si>
    <t>Крышка проходная ПТКБ.301261.301-12</t>
  </si>
  <si>
    <t>Крышка глухая ПТКБ.301265.301-12</t>
  </si>
  <si>
    <t>Втулка лабиринтная ПТКБ.305314.103-612</t>
  </si>
  <si>
    <t>Барабан приводной 14050Ф-100</t>
  </si>
  <si>
    <t>Барабан неприводной 16031,5-50</t>
  </si>
  <si>
    <t>Барабан приводной 14040Ф-80</t>
  </si>
  <si>
    <t>Барабан неприводной 16040-80</t>
  </si>
  <si>
    <t>Крышка проходная ПТКБ.301261.301-20</t>
  </si>
  <si>
    <t>Крышка глухая ПТКБ.301265.301-20</t>
  </si>
  <si>
    <t>Втулка лабиринтная ПТКБ.305314.103-620</t>
  </si>
  <si>
    <t>Барабан приводной 14040Ф-60</t>
  </si>
  <si>
    <t>Барабан неприводной 16050-100</t>
  </si>
  <si>
    <t>Подшипник 3624 ГОСТ 5721-75 (22324)</t>
  </si>
  <si>
    <t>Крышка проходная ПТКБ.301261.301-24</t>
  </si>
  <si>
    <t>Крышка глухая ПТКБ.301265.301-24</t>
  </si>
  <si>
    <t>Втулка лабиринтная ПТКБ.305314.103-624</t>
  </si>
  <si>
    <t>Барабан приводной 14040Ф-100</t>
  </si>
  <si>
    <t>Барабан неприводной 16063-100</t>
  </si>
  <si>
    <t>Подшипник 3632 ГОСТ 5721-75 (22332)</t>
  </si>
  <si>
    <t>Крышка проходная ПУБ 160</t>
  </si>
  <si>
    <t>Крышка глухая ПУБ 160</t>
  </si>
  <si>
    <t>Втулка лабиринтная ПУБ 160</t>
  </si>
  <si>
    <t>Барабан приводной 140160Ф-220-2</t>
  </si>
  <si>
    <t>Барабан неприводной 16080-120</t>
  </si>
  <si>
    <t>Подшипник 3636 ГОСТ 5721-75 (22336)</t>
  </si>
  <si>
    <t>Крышка проходная ПУБ 180</t>
  </si>
  <si>
    <t>Крышка глухая ПУБ 180</t>
  </si>
  <si>
    <t>Втулка лабиринтная ПУБ 180</t>
  </si>
  <si>
    <t>Барабан приводной 140160Ф-220</t>
  </si>
  <si>
    <t>Барабан неприводной 16080-160</t>
  </si>
  <si>
    <t>Подшипник 3640 ГОСТ 5721-75 (22340)</t>
  </si>
  <si>
    <t>Крышка проходная ПУБ 200</t>
  </si>
  <si>
    <t>Крышка глухая ПУБ 200</t>
  </si>
  <si>
    <t>Втулка лабиринтная ПУБ 200</t>
  </si>
  <si>
    <t>Барабан приводной 140125Ф-220-2</t>
  </si>
  <si>
    <t>Барабан неприводной 6531,5-50</t>
  </si>
  <si>
    <t>Подшипник 3644 ГОСТ 5721-75 (22344)</t>
  </si>
  <si>
    <t>Крышка проходная ПУБ 220</t>
  </si>
  <si>
    <t>Крышка глухая ПУБ 220</t>
  </si>
  <si>
    <t>Втулка лабиринтная ПУБ 220</t>
  </si>
  <si>
    <t>Барабан приводной 140125Ф-220</t>
  </si>
  <si>
    <t>Барабан неприводной 6540-60</t>
  </si>
  <si>
    <t>Барабан приводной 140125Ф-200-2</t>
  </si>
  <si>
    <t>Барабан неприводной 6550-80</t>
  </si>
  <si>
    <t>Барабан приводной 140125Ф-200</t>
  </si>
  <si>
    <t>Барабан неприводной 6563-100</t>
  </si>
  <si>
    <t>Барабан приводной 140100Ф-220-2</t>
  </si>
  <si>
    <t>Барабан неприводной 6563-80</t>
  </si>
  <si>
    <t>Роликоопора верхняя центрирующая</t>
  </si>
  <si>
    <t>масса</t>
  </si>
  <si>
    <t>Роликоопора нижняя центрирующая</t>
  </si>
  <si>
    <t>Барабан приводной 140100Ф-220</t>
  </si>
  <si>
    <t>Барабан неприводной 8031,5-50</t>
  </si>
  <si>
    <t>Роликоопора ЖЦ80.127.30</t>
  </si>
  <si>
    <t>НЦГ80-127</t>
  </si>
  <si>
    <t>Барабан приводной 140100Ф-200-2</t>
  </si>
  <si>
    <t>Барабан неприводной 8031,5-60</t>
  </si>
  <si>
    <t>Роликоопора ЖЦ80.159.30</t>
  </si>
  <si>
    <t>НЦГ80-127-10</t>
  </si>
  <si>
    <t>Барабан приводной 140100Ф-200</t>
  </si>
  <si>
    <t>Барабан неприводной 8040-60</t>
  </si>
  <si>
    <t>Роликоопора ЖЦ100.127.30</t>
  </si>
  <si>
    <t>НЦГ80-159</t>
  </si>
  <si>
    <t>Барабан приводной 140100Ф-180-2</t>
  </si>
  <si>
    <t>Барабан неприводной 8040-80</t>
  </si>
  <si>
    <t>Роликоопора ЖЦ100.159.30</t>
  </si>
  <si>
    <t>НЦГ80-159-10</t>
  </si>
  <si>
    <t>Барабан приводной 140100Ф-180</t>
  </si>
  <si>
    <t>Барабан неприводной 8050-100</t>
  </si>
  <si>
    <t>Роликоопора ЖЦ120.127.30</t>
  </si>
  <si>
    <t>НЦГ100-127</t>
  </si>
  <si>
    <t>Барабан приводной 12080Ф-160-2</t>
  </si>
  <si>
    <t>Барабан неприводной 8050-80</t>
  </si>
  <si>
    <t>Роликоопора ЖЦ120.159.30</t>
  </si>
  <si>
    <t>НЦГ100-127-10</t>
  </si>
  <si>
    <t>Барабан приводной 12080Ф-160</t>
  </si>
  <si>
    <t>Барабан неприводной 8063-100</t>
  </si>
  <si>
    <t>Роликоопора ЖЦ140.194.30</t>
  </si>
  <si>
    <t>НЦГ100-159</t>
  </si>
  <si>
    <t>Барабан приводной 12080Ф-120-2</t>
  </si>
  <si>
    <t>Барабан неприводной 8063-120</t>
  </si>
  <si>
    <t>Роликоопора ЖЦ140.159.30</t>
  </si>
  <si>
    <t>НЦГ100-159-10</t>
  </si>
  <si>
    <t>Барабан приводной 12080Ф-120</t>
  </si>
  <si>
    <t>Барабан неприводной 8080-120</t>
  </si>
  <si>
    <t>Роликоопора ЖЦ160.194.30</t>
  </si>
  <si>
    <t>НЦГ120-127</t>
  </si>
  <si>
    <t>Барабан приводной 12063Ф-120-2</t>
  </si>
  <si>
    <t>Барабан неприводной 8080-160</t>
  </si>
  <si>
    <t>Роликоопора ЖЦ160.159.30</t>
  </si>
  <si>
    <t>НЦГ120-127-10</t>
  </si>
  <si>
    <t>Барабан приводной 12063Ф-120</t>
  </si>
  <si>
    <t>Роликоопора ЖЦ65.108.30</t>
  </si>
  <si>
    <t>НЦГ120-159</t>
  </si>
  <si>
    <t>Барабан приводной 12063Ф-100-2</t>
  </si>
  <si>
    <t>Роликоопора ЖЦ65.127.30</t>
  </si>
  <si>
    <t>НЦГ120-159-10</t>
  </si>
  <si>
    <t>Барабан приводной 12063Ф-100</t>
  </si>
  <si>
    <t>НЦГ140-159</t>
  </si>
  <si>
    <t>Барабан приводной 12050Ф-80</t>
  </si>
  <si>
    <t>НЦГ140-159-10</t>
  </si>
  <si>
    <t>Барабан приводной 12050Ф-100</t>
  </si>
  <si>
    <t>НЦГ140-194</t>
  </si>
  <si>
    <t>Барабан приводной 12040Ф-80</t>
  </si>
  <si>
    <t>Роликоопора ДЖ80-127-30</t>
  </si>
  <si>
    <t>НЦГ140-194-10</t>
  </si>
  <si>
    <t>Барабан приводной 12040Ф-60</t>
  </si>
  <si>
    <t>Роликоопора ДЖ80-159-30</t>
  </si>
  <si>
    <t>НЦГ160-159</t>
  </si>
  <si>
    <t>Барабан приводной 120160Ф-220-2</t>
  </si>
  <si>
    <t>НЦГ160-159-10</t>
  </si>
  <si>
    <t>Барабан приводной 120160Ф-220</t>
  </si>
  <si>
    <t>Роликоопора ДЖ100-159-30</t>
  </si>
  <si>
    <t>НЦГ160-194</t>
  </si>
  <si>
    <t>Барабан приводной 120125Ф-200-2</t>
  </si>
  <si>
    <t>Роликоопора ДЖ120-127-30</t>
  </si>
  <si>
    <t>НЦГ160-194-10</t>
  </si>
  <si>
    <t>Барабан приводной 120125Ф-200</t>
  </si>
  <si>
    <t>Роликоопора ДЖ120-159-30</t>
  </si>
  <si>
    <t>НЦГ65-108</t>
  </si>
  <si>
    <t>Барабан приводной 120100Ф-180-2</t>
  </si>
  <si>
    <t>Роликоопора ДЖ140-159-30</t>
  </si>
  <si>
    <t>НЦГ65-127</t>
  </si>
  <si>
    <t>Барабан приводной 120100Ф-180</t>
  </si>
  <si>
    <t>Роликоопора ДЖ160-159-30</t>
  </si>
  <si>
    <t>Барабан приводной 10080Ф-160-2</t>
  </si>
  <si>
    <t>Роликоопора ДЖ65-108-30</t>
  </si>
  <si>
    <t>Барабан приводной 10080Ф-160</t>
  </si>
  <si>
    <t>Роликоопора ДЖ65-127-30</t>
  </si>
  <si>
    <t>Барабан приводной 10080Ф-120-2</t>
  </si>
  <si>
    <t>Барабан приводной 10080Ф-120</t>
  </si>
  <si>
    <t>Барабан приводной 10063Ф-120-2</t>
  </si>
  <si>
    <t>Барабан приводной 10063Ф-120</t>
  </si>
  <si>
    <t>Барабан приводной 10063Ф-100-2</t>
  </si>
  <si>
    <t>Барабан приводной 10063Ф-100</t>
  </si>
  <si>
    <t>Барабан приводной 10050Ф-80</t>
  </si>
  <si>
    <t>Барабан приводной 10050Ф-100</t>
  </si>
  <si>
    <t>Барабан приводной 10040Ф-80</t>
  </si>
  <si>
    <t>Барабан приводной 10040Ф-60</t>
  </si>
  <si>
    <t>Барабан приводной 100125Ф-200-2</t>
  </si>
  <si>
    <t>Барабан приводной 100125Ф-200</t>
  </si>
  <si>
    <t>Барабан приводной 100100Ф-180-2</t>
  </si>
  <si>
    <t>Барабан приводной 100100Ф-180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</si>
</sst>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sz val="12"/>
      <name val="Arial 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  <font>
      <b/>
      <sz val="12"/>
      <name val="Arial "/>
      <family val="2"/>
      <charset val="204"/>
    </font>
    <font>
      <b/>
      <sz val="12"/>
      <name val="Arial "/>
      <charset val="204"/>
    </font>
    <font>
      <b/>
      <i/>
      <u/>
      <sz val="12"/>
      <name val="Arial"/>
      <family val="2"/>
      <charset val="204"/>
    </font>
    <font>
      <sz val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34"/>
      </patternFill>
    </fill>
    <fill>
      <patternFill patternType="solid">
        <fgColor indexed="22"/>
        <bgColor indexed="47"/>
      </patternFill>
    </fill>
    <fill>
      <patternFill patternType="solid">
        <fgColor rgb="FFFFFF66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7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2" fillId="4" borderId="13" xfId="0" applyFont="1" applyFill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4" borderId="1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11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9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2" fillId="2" borderId="28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6" borderId="19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64" fontId="2" fillId="5" borderId="9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6" fillId="0" borderId="0" xfId="0" applyFont="1"/>
    <xf numFmtId="0" fontId="1" fillId="0" borderId="14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2" borderId="35" xfId="0" applyFont="1" applyFill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2" borderId="16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4" borderId="35" xfId="0" applyFont="1" applyFill="1" applyBorder="1" applyAlignment="1">
      <alignment horizontal="left" vertical="center"/>
    </xf>
    <xf numFmtId="0" fontId="2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164" fontId="2" fillId="8" borderId="8" xfId="0" applyNumberFormat="1" applyFont="1" applyFill="1" applyBorder="1" applyAlignment="1">
      <alignment horizontal="center" vertical="center"/>
    </xf>
    <xf numFmtId="164" fontId="1" fillId="8" borderId="8" xfId="0" applyNumberFormat="1" applyFont="1" applyFill="1" applyBorder="1" applyAlignment="1">
      <alignment horizontal="center" vertical="center"/>
    </xf>
    <xf numFmtId="164" fontId="1" fillId="8" borderId="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8" xfId="0" applyFont="1" applyFill="1" applyBorder="1" applyAlignment="1">
      <alignment vertical="center"/>
    </xf>
    <xf numFmtId="164" fontId="2" fillId="8" borderId="8" xfId="0" applyNumberFormat="1" applyFont="1" applyFill="1" applyBorder="1" applyAlignment="1">
      <alignment vertical="center"/>
    </xf>
    <xf numFmtId="164" fontId="1" fillId="8" borderId="8" xfId="0" applyNumberFormat="1" applyFont="1" applyFill="1" applyBorder="1" applyAlignment="1">
      <alignment vertical="center"/>
    </xf>
    <xf numFmtId="164" fontId="1" fillId="8" borderId="9" xfId="0" applyNumberFormat="1" applyFont="1" applyFill="1" applyBorder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8" borderId="39" xfId="0" applyFont="1" applyFill="1" applyBorder="1" applyAlignment="1">
      <alignment vertical="center"/>
    </xf>
    <xf numFmtId="0" fontId="2" fillId="8" borderId="40" xfId="0" applyFont="1" applyFill="1" applyBorder="1" applyAlignment="1">
      <alignment vertical="center"/>
    </xf>
    <xf numFmtId="0" fontId="2" fillId="8" borderId="17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164" fontId="2" fillId="8" borderId="17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1" fillId="8" borderId="18" xfId="0" applyNumberFormat="1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vertical="center"/>
    </xf>
    <xf numFmtId="0" fontId="2" fillId="9" borderId="21" xfId="0" applyFont="1" applyFill="1" applyBorder="1" applyAlignment="1">
      <alignment vertical="center"/>
    </xf>
    <xf numFmtId="0" fontId="2" fillId="9" borderId="34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1" fillId="4" borderId="35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4" borderId="42" xfId="0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" fillId="10" borderId="7" xfId="0" applyFont="1" applyFill="1" applyBorder="1"/>
    <xf numFmtId="0" fontId="2" fillId="10" borderId="8" xfId="0" applyFont="1" applyFill="1" applyBorder="1"/>
    <xf numFmtId="0" fontId="2" fillId="10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164" fontId="1" fillId="10" borderId="8" xfId="0" applyNumberFormat="1" applyFont="1" applyFill="1" applyBorder="1" applyAlignment="1">
      <alignment horizontal="center" vertical="center"/>
    </xf>
    <xf numFmtId="164" fontId="1" fillId="10" borderId="9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/>
    </xf>
    <xf numFmtId="0" fontId="1" fillId="0" borderId="11" xfId="0" applyFont="1" applyBorder="1"/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4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3" borderId="11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center"/>
    </xf>
    <xf numFmtId="0" fontId="2" fillId="8" borderId="1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164" fontId="1" fillId="8" borderId="11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9" fillId="3" borderId="7" xfId="0" applyFont="1" applyFill="1" applyBorder="1"/>
    <xf numFmtId="0" fontId="5" fillId="3" borderId="8" xfId="0" applyFont="1" applyFill="1" applyBorder="1"/>
    <xf numFmtId="0" fontId="9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9" fillId="0" borderId="34" xfId="0" applyFont="1" applyBorder="1"/>
    <xf numFmtId="0" fontId="5" fillId="0" borderId="35" xfId="0" applyFont="1" applyBorder="1"/>
    <xf numFmtId="0" fontId="5" fillId="0" borderId="35" xfId="0" applyFont="1" applyBorder="1" applyAlignment="1">
      <alignment horizontal="center"/>
    </xf>
    <xf numFmtId="164" fontId="5" fillId="0" borderId="35" xfId="0" applyNumberFormat="1" applyFont="1" applyBorder="1" applyAlignment="1">
      <alignment horizontal="center" vertical="center"/>
    </xf>
    <xf numFmtId="0" fontId="2" fillId="12" borderId="7" xfId="0" applyFont="1" applyFill="1" applyBorder="1" applyAlignment="1">
      <alignment vertical="center"/>
    </xf>
    <xf numFmtId="0" fontId="1" fillId="12" borderId="8" xfId="0" applyFont="1" applyFill="1" applyBorder="1" applyAlignment="1">
      <alignment vertical="center"/>
    </xf>
    <xf numFmtId="0" fontId="1" fillId="12" borderId="8" xfId="0" applyFont="1" applyFill="1" applyBorder="1" applyAlignment="1">
      <alignment horizontal="center" vertical="center"/>
    </xf>
    <xf numFmtId="164" fontId="1" fillId="12" borderId="8" xfId="0" applyNumberFormat="1" applyFont="1" applyFill="1" applyBorder="1" applyAlignment="1">
      <alignment horizontal="center" vertical="center"/>
    </xf>
    <xf numFmtId="164" fontId="1" fillId="12" borderId="9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2" fillId="13" borderId="11" xfId="0" applyFont="1" applyFill="1" applyBorder="1" applyAlignment="1">
      <alignment vertical="center"/>
    </xf>
    <xf numFmtId="0" fontId="1" fillId="13" borderId="11" xfId="0" applyFont="1" applyFill="1" applyBorder="1" applyAlignment="1">
      <alignment vertical="center"/>
    </xf>
    <xf numFmtId="0" fontId="1" fillId="13" borderId="11" xfId="0" applyFont="1" applyFill="1" applyBorder="1" applyAlignment="1">
      <alignment horizontal="center" vertical="center"/>
    </xf>
    <xf numFmtId="164" fontId="1" fillId="13" borderId="11" xfId="0" applyNumberFormat="1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vertical="center"/>
    </xf>
    <xf numFmtId="0" fontId="1" fillId="13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2" fillId="14" borderId="11" xfId="0" applyFont="1" applyFill="1" applyBorder="1" applyAlignment="1">
      <alignment vertical="center"/>
    </xf>
    <xf numFmtId="0" fontId="1" fillId="14" borderId="13" xfId="0" applyFont="1" applyFill="1" applyBorder="1" applyAlignment="1">
      <alignment vertical="center"/>
    </xf>
    <xf numFmtId="0" fontId="2" fillId="14" borderId="13" xfId="0" applyFont="1" applyFill="1" applyBorder="1" applyAlignment="1">
      <alignment horizontal="center" vertical="center"/>
    </xf>
    <xf numFmtId="0" fontId="1" fillId="14" borderId="13" xfId="0" applyFont="1" applyFill="1" applyBorder="1" applyAlignment="1">
      <alignment horizontal="center" vertical="center"/>
    </xf>
    <xf numFmtId="164" fontId="1" fillId="14" borderId="13" xfId="0" applyNumberFormat="1" applyFont="1" applyFill="1" applyBorder="1" applyAlignment="1">
      <alignment horizontal="center" vertical="center"/>
    </xf>
    <xf numFmtId="164" fontId="1" fillId="14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11" xfId="0" applyFont="1" applyBorder="1"/>
    <xf numFmtId="0" fontId="2" fillId="13" borderId="7" xfId="0" applyFont="1" applyFill="1" applyBorder="1"/>
    <xf numFmtId="0" fontId="1" fillId="13" borderId="8" xfId="0" applyFont="1" applyFill="1" applyBorder="1"/>
    <xf numFmtId="0" fontId="2" fillId="13" borderId="8" xfId="0" applyFont="1" applyFill="1" applyBorder="1" applyAlignment="1">
      <alignment horizontal="center" vertical="center"/>
    </xf>
    <xf numFmtId="0" fontId="1" fillId="13" borderId="9" xfId="0" applyFont="1" applyFill="1" applyBorder="1"/>
    <xf numFmtId="0" fontId="2" fillId="4" borderId="48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164" fontId="1" fillId="8" borderId="1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1" fillId="15" borderId="0" xfId="0" applyNumberFormat="1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45" xfId="0" applyFont="1" applyBorder="1"/>
    <xf numFmtId="0" fontId="1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6" xfId="0" applyFont="1" applyBorder="1" applyAlignment="1">
      <alignment horizontal="left" vertical="center"/>
    </xf>
  </cellXfs>
  <cellStyles count="2">
    <cellStyle name="Обычный" xfId="0" builtinId="0"/>
    <cellStyle name="Обычный 25" xfId="1" xr:uid="{2BA67973-5745-479F-A173-82E681147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74;&#1077;&#1081;&#1077;&#1088;%20201%20&#1088;&#1072;&#1079;&#1075;&#1088;&#1091;&#1079;&#1086;&#1095;&#1085;&#1072;&#1103;%20&#1090;&#1077;&#1083;&#1077;&#1078;&#1082;&#1072;%20&#1042;-1000%20L-1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s/CONSTR/&#1056;&#1040;&#1057;&#1063;&#1045;&#1058;&#1067;,%20&#1053;&#1054;&#1056;&#1052;&#1048;&#1056;&#1054;&#1042;&#1040;&#1053;&#1048;&#1045;%20(&#1090;&#1088;&#1091;&#1076;%20&#1080;%20&#1084;&#1072;&#1090;)%20&#1048;&#1047;&#1044;&#1045;&#1051;&#1048;&#1049;/&#1050;&#1054;&#1053;&#1042;&#1045;&#1049;&#1045;&#1056;&#1067;/&#1064;&#1072;&#1073;&#1083;&#1086;&#1085;%20&#1086;&#1087;&#1088;&#1077;&#1076;&#1077;&#1083;&#1077;&#1085;&#1080;&#1103;%20&#1076;&#1080;&#1072;&#1084;&#1077;&#1090;&#1088;&#1086;&#1074;%20&#1088;&#1086;&#1083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тивные данные"/>
      <sheetName val="Тяговый расчет"/>
      <sheetName val="Подбор роликов"/>
      <sheetName val="Опросной лист"/>
      <sheetName val="Материальная ведомость"/>
      <sheetName val="Расчет вала барабана"/>
    </sheetNames>
    <sheetDataSet>
      <sheetData sheetId="0">
        <row r="210">
          <cell r="B210" t="str">
            <v>left</v>
          </cell>
          <cell r="C210" t="str">
            <v>middle</v>
          </cell>
          <cell r="D210" t="str">
            <v>right</v>
          </cell>
          <cell r="E210" t="str">
            <v>left</v>
          </cell>
          <cell r="F210" t="str">
            <v>rght</v>
          </cell>
        </row>
        <row r="211">
          <cell r="A211">
            <v>650</v>
          </cell>
          <cell r="B211">
            <v>2</v>
          </cell>
          <cell r="C211">
            <v>2</v>
          </cell>
          <cell r="D211">
            <v>2</v>
          </cell>
          <cell r="E211">
            <v>3</v>
          </cell>
          <cell r="F211">
            <v>3</v>
          </cell>
          <cell r="G211" t="str">
            <v>2+2+2</v>
          </cell>
        </row>
        <row r="212">
          <cell r="A212">
            <v>800</v>
          </cell>
          <cell r="B212">
            <v>2</v>
          </cell>
          <cell r="C212">
            <v>3</v>
          </cell>
          <cell r="D212">
            <v>2</v>
          </cell>
          <cell r="E212">
            <v>4</v>
          </cell>
          <cell r="F212">
            <v>4</v>
          </cell>
          <cell r="G212" t="str">
            <v>2+3+2</v>
          </cell>
        </row>
        <row r="213">
          <cell r="A213">
            <v>1000</v>
          </cell>
          <cell r="B213">
            <v>3</v>
          </cell>
          <cell r="C213">
            <v>3</v>
          </cell>
          <cell r="D213">
            <v>3</v>
          </cell>
          <cell r="E213">
            <v>5</v>
          </cell>
          <cell r="F213">
            <v>5</v>
          </cell>
          <cell r="G213" t="str">
            <v>3+3+3</v>
          </cell>
        </row>
        <row r="214">
          <cell r="A214">
            <v>1200</v>
          </cell>
          <cell r="B214">
            <v>3</v>
          </cell>
          <cell r="C214">
            <v>4</v>
          </cell>
          <cell r="D214">
            <v>3</v>
          </cell>
          <cell r="E214">
            <v>6</v>
          </cell>
          <cell r="F214">
            <v>6</v>
          </cell>
          <cell r="G214" t="str">
            <v>3+4+3</v>
          </cell>
        </row>
        <row r="215">
          <cell r="A215">
            <v>1400</v>
          </cell>
          <cell r="B215">
            <v>4</v>
          </cell>
          <cell r="C215">
            <v>5</v>
          </cell>
          <cell r="D215">
            <v>4</v>
          </cell>
          <cell r="E215">
            <v>7</v>
          </cell>
          <cell r="F215">
            <v>7</v>
          </cell>
          <cell r="G215" t="str">
            <v>4+5+4</v>
          </cell>
        </row>
        <row r="216">
          <cell r="A216">
            <v>1600</v>
          </cell>
          <cell r="B216">
            <v>5</v>
          </cell>
          <cell r="C216">
            <v>5</v>
          </cell>
          <cell r="D216">
            <v>5</v>
          </cell>
          <cell r="E216">
            <v>8</v>
          </cell>
          <cell r="F216">
            <v>8</v>
          </cell>
          <cell r="G216" t="str">
            <v>5+5+5</v>
          </cell>
        </row>
      </sheetData>
      <sheetData sheetId="1">
        <row r="3">
          <cell r="F3">
            <v>1000</v>
          </cell>
        </row>
        <row r="12">
          <cell r="F12" t="str">
            <v>атм.</v>
          </cell>
        </row>
        <row r="43">
          <cell r="C43" t="str">
            <v>ГФУ 127х380 подш.305</v>
          </cell>
        </row>
        <row r="46">
          <cell r="A46" t="str">
            <v>Роликоопора желобчатая верхняя гладкая</v>
          </cell>
        </row>
        <row r="47">
          <cell r="B47" t="str">
            <v>ЖГ100-127-30</v>
          </cell>
          <cell r="F47">
            <v>122</v>
          </cell>
        </row>
        <row r="50">
          <cell r="M50" t="str">
            <v>НЕТ</v>
          </cell>
        </row>
        <row r="52">
          <cell r="M52">
            <v>1</v>
          </cell>
        </row>
        <row r="55">
          <cell r="A55" t="str">
            <v>Роликоопора желобчатая амортизирующая</v>
          </cell>
        </row>
        <row r="56">
          <cell r="B56" t="str">
            <v>ЖА100-127-30</v>
          </cell>
          <cell r="F56">
            <v>0</v>
          </cell>
          <cell r="H56">
            <v>0</v>
          </cell>
        </row>
        <row r="58">
          <cell r="A58" t="str">
            <v>Роликоопора желобчатая верхняя центрирующая</v>
          </cell>
          <cell r="H58" t="str">
            <v>одинарная</v>
          </cell>
        </row>
        <row r="59">
          <cell r="B59" t="str">
            <v>ЖЦГ100-127-30</v>
          </cell>
          <cell r="F59">
            <v>11</v>
          </cell>
        </row>
        <row r="60">
          <cell r="A60" t="str">
            <v>Роликоопора дефлекторная верхняя желобчатая</v>
          </cell>
        </row>
        <row r="61">
          <cell r="B61" t="str">
            <v>ДЖ100-127-30</v>
          </cell>
          <cell r="F61">
            <v>11</v>
          </cell>
        </row>
        <row r="63">
          <cell r="A63" t="str">
            <v>Роликоопора прямая верхняя</v>
          </cell>
          <cell r="H63" t="str">
            <v>НЕТ</v>
          </cell>
        </row>
        <row r="64">
          <cell r="B64" t="str">
            <v>-</v>
          </cell>
          <cell r="F64" t="str">
            <v>0</v>
          </cell>
        </row>
        <row r="66">
          <cell r="A66" t="str">
            <v>Роликоопора выполаживающая верхняя</v>
          </cell>
          <cell r="H66" t="str">
            <v>НЕТ</v>
          </cell>
        </row>
        <row r="67">
          <cell r="B67" t="str">
            <v>-</v>
          </cell>
          <cell r="F67">
            <v>0</v>
          </cell>
          <cell r="H67">
            <v>15</v>
          </cell>
        </row>
        <row r="72">
          <cell r="C72" t="str">
            <v>ГФУ 127х1150 подш.305</v>
          </cell>
        </row>
        <row r="75">
          <cell r="A75" t="str">
            <v>Роликоопора нижняя</v>
          </cell>
        </row>
        <row r="76">
          <cell r="B76" t="str">
            <v>НГ100-127</v>
          </cell>
          <cell r="F76">
            <v>54</v>
          </cell>
        </row>
        <row r="78">
          <cell r="A78" t="str">
            <v>Роликоопора нижняя центрирующая</v>
          </cell>
        </row>
        <row r="79">
          <cell r="B79" t="str">
            <v>НЦГ100-127</v>
          </cell>
          <cell r="F79">
            <v>6</v>
          </cell>
          <cell r="I79" t="str">
            <v>одинарная</v>
          </cell>
        </row>
        <row r="81">
          <cell r="A81" t="str">
            <v>Роликоопора дефлекторная нижняя</v>
          </cell>
        </row>
        <row r="82">
          <cell r="B82" t="str">
            <v>ДН100-127</v>
          </cell>
          <cell r="F82">
            <v>12</v>
          </cell>
        </row>
        <row r="105">
          <cell r="D105" t="str">
            <v>2.1-1000-3-ТК-200-6-2-Б-РБ</v>
          </cell>
          <cell r="H105">
            <v>330</v>
          </cell>
        </row>
        <row r="146">
          <cell r="M146" t="str">
            <v>ОБ</v>
          </cell>
          <cell r="N146" t="str">
            <v>общепромышленная</v>
          </cell>
        </row>
        <row r="147">
          <cell r="B147">
            <v>630</v>
          </cell>
          <cell r="D147">
            <v>100</v>
          </cell>
          <cell r="F147" t="str">
            <v>Ф</v>
          </cell>
          <cell r="G147" t="str">
            <v>ОБ</v>
          </cell>
          <cell r="M147" t="str">
            <v>ТВС</v>
          </cell>
          <cell r="N147" t="str">
            <v>трудновоспламенимая</v>
          </cell>
        </row>
        <row r="148">
          <cell r="M148" t="str">
            <v>СМУ</v>
          </cell>
          <cell r="N148" t="str">
            <v>самоугасающая</v>
          </cell>
        </row>
        <row r="152">
          <cell r="F152">
            <v>650</v>
          </cell>
        </row>
        <row r="161">
          <cell r="B161" t="str">
            <v>Барабан приводной 10063Ф-100</v>
          </cell>
          <cell r="F161">
            <v>1</v>
          </cell>
        </row>
        <row r="170">
          <cell r="D170">
            <v>50</v>
          </cell>
        </row>
        <row r="172">
          <cell r="B172" t="str">
            <v>Барабан неприводной 10031,5-50</v>
          </cell>
          <cell r="H172">
            <v>4</v>
          </cell>
        </row>
        <row r="175">
          <cell r="D175">
            <v>60</v>
          </cell>
        </row>
        <row r="177">
          <cell r="B177" t="str">
            <v>Барабан неприводной 10040-60</v>
          </cell>
          <cell r="H177">
            <v>1</v>
          </cell>
        </row>
        <row r="180">
          <cell r="D180">
            <v>0</v>
          </cell>
        </row>
        <row r="182">
          <cell r="B182">
            <v>0</v>
          </cell>
          <cell r="H182">
            <v>0</v>
          </cell>
        </row>
        <row r="187">
          <cell r="F187" t="str">
            <v>МР</v>
          </cell>
        </row>
        <row r="193">
          <cell r="B193">
            <v>22</v>
          </cell>
        </row>
        <row r="194">
          <cell r="B194">
            <v>1500</v>
          </cell>
        </row>
        <row r="200">
          <cell r="F200" t="str">
            <v>Пуск от УПП, IP55, встроеный тормоз</v>
          </cell>
        </row>
        <row r="202">
          <cell r="F202" t="e">
            <v>#N/A</v>
          </cell>
          <cell r="H202" t="str">
            <v>-</v>
          </cell>
        </row>
        <row r="217">
          <cell r="B217">
            <v>29.2</v>
          </cell>
        </row>
        <row r="225">
          <cell r="K225" t="str">
            <v>-</v>
          </cell>
        </row>
        <row r="227">
          <cell r="F227" t="str">
            <v xml:space="preserve">Sew-Eurodrive, коническо-цилиндрический, полый вал, моментный рычаг, потребная мощность 15,41кВт, устанавливаемая 22кВт, крутящий момент на выходном валу 2937Нм без учета коэффициента эксплуатации и потерь, частота вращения вых. вала 63,7 об/мин, эксплуатация в неотапливаемом помещении от -20...+30°С, запыленность 100мг/м³, 50Гц, 380В </v>
          </cell>
          <cell r="K227" t="str">
            <v>-</v>
          </cell>
        </row>
        <row r="235">
          <cell r="I235" t="str">
            <v>-</v>
          </cell>
        </row>
        <row r="245">
          <cell r="K245" t="str">
            <v>-</v>
          </cell>
        </row>
        <row r="249">
          <cell r="B249" t="str">
            <v>-</v>
          </cell>
        </row>
        <row r="256">
          <cell r="I256" t="str">
            <v>-</v>
          </cell>
        </row>
        <row r="287">
          <cell r="E287" t="str">
            <v>Р</v>
          </cell>
        </row>
        <row r="301">
          <cell r="D301">
            <v>80</v>
          </cell>
        </row>
        <row r="310">
          <cell r="B310" t="str">
            <v>Устройство натяжное рамное 10050Р-80</v>
          </cell>
          <cell r="H310">
            <v>1</v>
          </cell>
        </row>
        <row r="312">
          <cell r="B312" t="str">
            <v>Барабан неприводной 10050-80</v>
          </cell>
        </row>
        <row r="317">
          <cell r="E317" t="str">
            <v>-</v>
          </cell>
          <cell r="G317" t="str">
            <v>-</v>
          </cell>
          <cell r="I317" t="str">
            <v>-</v>
          </cell>
        </row>
        <row r="318">
          <cell r="G318" t="str">
            <v>-</v>
          </cell>
          <cell r="H318">
            <v>0</v>
          </cell>
          <cell r="I318" t="str">
            <v>-</v>
          </cell>
        </row>
        <row r="319">
          <cell r="E319" t="str">
            <v>-</v>
          </cell>
          <cell r="G319" t="str">
            <v>-</v>
          </cell>
        </row>
        <row r="320">
          <cell r="B320" t="str">
            <v>Груз чугунный 90кг</v>
          </cell>
          <cell r="G320">
            <v>13</v>
          </cell>
        </row>
        <row r="321">
          <cell r="E321" t="str">
            <v>-</v>
          </cell>
          <cell r="G321" t="str">
            <v>-</v>
          </cell>
        </row>
        <row r="326">
          <cell r="E326">
            <v>120</v>
          </cell>
        </row>
        <row r="327">
          <cell r="D327" t="str">
            <v>-</v>
          </cell>
          <cell r="E327" t="str">
            <v>-</v>
          </cell>
        </row>
        <row r="331">
          <cell r="A331" t="str">
            <v>Ловитель конвейерной ленты В-1000</v>
          </cell>
          <cell r="I331">
            <v>18</v>
          </cell>
        </row>
        <row r="332">
          <cell r="A332" t="str">
            <v>Скребок для первичной очистки ленты В-1000</v>
          </cell>
          <cell r="F332" t="str">
            <v xml:space="preserve"> Ø барабана 500мм, лента резинотканевая, скорость ленты 1,4 м/с, транспортируемый груз - шлак ванадиевый, кусковатость до 50 мм, температура окружающей среды -20…+30°С</v>
          </cell>
          <cell r="I332">
            <v>1</v>
          </cell>
        </row>
        <row r="333">
          <cell r="A333" t="str">
            <v>Скребок для вторичной очистки ленты В-1000</v>
          </cell>
          <cell r="I333" t="str">
            <v>-</v>
          </cell>
        </row>
        <row r="334">
          <cell r="A334" t="str">
            <v>Плужковое очистное устройство В-1000</v>
          </cell>
          <cell r="I334">
            <v>2</v>
          </cell>
        </row>
        <row r="335">
          <cell r="A335" t="str">
            <v>Щетка вращающаяся электрическая В-1000</v>
          </cell>
          <cell r="F335" t="str">
            <v xml:space="preserve"> В сборе с электродвигателем (380В, 50Гц), Ø барабана 500мм, лента резинотканевая, скорость ленты 1,4 м/с, транспортируемый груз - шлак ванадиевый, кусковатость до 50 мм, температура окружающей среды -20…+30°С</v>
          </cell>
          <cell r="I335">
            <v>1</v>
          </cell>
        </row>
        <row r="336">
          <cell r="A336" t="str">
            <v>Очиститель барабана приводного В-1000</v>
          </cell>
          <cell r="I336" t="str">
            <v>-</v>
          </cell>
        </row>
        <row r="337">
          <cell r="A337" t="str">
            <v>Очиститель барабана неприводного В-1000</v>
          </cell>
          <cell r="I337">
            <v>5</v>
          </cell>
        </row>
        <row r="338">
          <cell r="A338" t="str">
            <v>Очиститель барабана натяжного В-1000</v>
          </cell>
          <cell r="I338" t="str">
            <v>-</v>
          </cell>
        </row>
        <row r="343">
          <cell r="A343" t="str">
            <v>Устройство выключающее канатное</v>
          </cell>
          <cell r="E343" t="str">
            <v>УВК-81</v>
          </cell>
          <cell r="H343">
            <v>4</v>
          </cell>
        </row>
        <row r="344">
          <cell r="A344" t="str">
            <v>Выключатель</v>
          </cell>
          <cell r="E344" t="str">
            <v>Выбирается отделом АСУ</v>
          </cell>
          <cell r="H344">
            <v>4</v>
          </cell>
        </row>
        <row r="345">
          <cell r="A345" t="str">
            <v>Кронштейн</v>
          </cell>
        </row>
        <row r="346">
          <cell r="A346" t="str">
            <v>Серьга (тяга подвеса L=500 ф4)</v>
          </cell>
          <cell r="H346">
            <v>108</v>
          </cell>
        </row>
        <row r="347">
          <cell r="A347" t="str">
            <v>Канат   2-Г-ВК-Ж-Н-1770 (180) ГОСТ 3062-80</v>
          </cell>
          <cell r="H347">
            <v>334</v>
          </cell>
        </row>
        <row r="349">
          <cell r="A349" t="str">
            <v>Устройство выключающее рычажное</v>
          </cell>
          <cell r="E349" t="str">
            <v>УВР</v>
          </cell>
          <cell r="H349">
            <v>12</v>
          </cell>
        </row>
        <row r="350">
          <cell r="A350" t="str">
            <v>Выключатель</v>
          </cell>
          <cell r="E350" t="str">
            <v>Выбирается отделом АСУ</v>
          </cell>
          <cell r="H350">
            <v>12</v>
          </cell>
        </row>
        <row r="351">
          <cell r="A351" t="str">
            <v>Кронштейн</v>
          </cell>
          <cell r="H351">
            <v>12</v>
          </cell>
        </row>
        <row r="353">
          <cell r="A353" t="str">
            <v>Выключатель конечный</v>
          </cell>
          <cell r="E353" t="str">
            <v>Выбирается отделом АСУ</v>
          </cell>
          <cell r="H353">
            <v>4</v>
          </cell>
        </row>
        <row r="355">
          <cell r="A355" t="str">
            <v>Система автоматического управления</v>
          </cell>
          <cell r="H355" t="str">
            <v>+</v>
          </cell>
        </row>
        <row r="357">
          <cell r="A357" t="str">
            <v>Устройство контроля скорости ленты</v>
          </cell>
          <cell r="H357">
            <v>1</v>
          </cell>
        </row>
        <row r="358">
          <cell r="A358" t="str">
            <v>Выключатель</v>
          </cell>
          <cell r="E358" t="str">
            <v>Выбирается отделом АСУ</v>
          </cell>
          <cell r="H358">
            <v>1</v>
          </cell>
        </row>
        <row r="359">
          <cell r="A359" t="str">
            <v>Кронштейн</v>
          </cell>
          <cell r="H359">
            <v>1</v>
          </cell>
        </row>
        <row r="361">
          <cell r="A361" t="str">
            <v>Устройство контроля продольного разрыва ленты</v>
          </cell>
          <cell r="H361">
            <v>1</v>
          </cell>
        </row>
        <row r="362">
          <cell r="A362" t="str">
            <v>Датчик</v>
          </cell>
          <cell r="E362" t="str">
            <v>Выбирается отделом АСУ</v>
          </cell>
          <cell r="H362">
            <v>1</v>
          </cell>
        </row>
        <row r="363">
          <cell r="A363" t="str">
            <v>Кронштейн</v>
          </cell>
          <cell r="H363">
            <v>1</v>
          </cell>
        </row>
        <row r="365">
          <cell r="A365" t="str">
            <v>Устройство контроля забивки (заштыбовки) перегрузочных течек</v>
          </cell>
          <cell r="H365" t="str">
            <v>-</v>
          </cell>
        </row>
        <row r="366">
          <cell r="A366" t="str">
            <v>Датчик</v>
          </cell>
          <cell r="E366" t="str">
            <v>Выбирается отделом АСУ</v>
          </cell>
          <cell r="H366" t="str">
            <v>-</v>
          </cell>
        </row>
        <row r="367">
          <cell r="A367" t="str">
            <v>Кронштейн</v>
          </cell>
          <cell r="H367" t="str">
            <v>-</v>
          </cell>
        </row>
        <row r="369">
          <cell r="A369" t="str">
            <v>Устройство контроля крайнего положения натяжной тележки</v>
          </cell>
          <cell r="H369" t="str">
            <v>-</v>
          </cell>
        </row>
        <row r="370">
          <cell r="A370" t="str">
            <v>Датчик</v>
          </cell>
          <cell r="E370" t="str">
            <v>Выбирается отделом АСУ</v>
          </cell>
          <cell r="H370" t="str">
            <v>-</v>
          </cell>
        </row>
        <row r="371">
          <cell r="A371" t="str">
            <v>Кронштейн</v>
          </cell>
          <cell r="H371" t="str">
            <v>-</v>
          </cell>
        </row>
        <row r="373">
          <cell r="A373" t="str">
            <v>Устройство контроля положения груза</v>
          </cell>
          <cell r="H373">
            <v>2</v>
          </cell>
        </row>
        <row r="374">
          <cell r="A374" t="str">
            <v>Датчик</v>
          </cell>
          <cell r="E374" t="str">
            <v>Выбирается отделом АСУ</v>
          </cell>
          <cell r="H374">
            <v>2</v>
          </cell>
        </row>
        <row r="375">
          <cell r="A375" t="str">
            <v>Кронштейн</v>
          </cell>
          <cell r="H375">
            <v>2</v>
          </cell>
        </row>
        <row r="377">
          <cell r="A377" t="str">
            <v>Устройство контроля крайнего положения разгрузочной тележки</v>
          </cell>
          <cell r="H377" t="str">
            <v>-</v>
          </cell>
        </row>
        <row r="378">
          <cell r="A378" t="str">
            <v>Датчик</v>
          </cell>
          <cell r="E378" t="str">
            <v>Выбирается отделом АСУ</v>
          </cell>
          <cell r="H378" t="str">
            <v>-</v>
          </cell>
        </row>
        <row r="379">
          <cell r="A379" t="str">
            <v>Кронштейн</v>
          </cell>
          <cell r="H379" t="str">
            <v>-</v>
          </cell>
        </row>
        <row r="405">
          <cell r="R405">
            <v>100</v>
          </cell>
        </row>
      </sheetData>
      <sheetData sheetId="2">
        <row r="4">
          <cell r="C4">
            <v>1000</v>
          </cell>
        </row>
        <row r="14">
          <cell r="C14">
            <v>30</v>
          </cell>
          <cell r="I14" t="str">
            <v>0°</v>
          </cell>
        </row>
        <row r="15">
          <cell r="B15">
            <v>127</v>
          </cell>
          <cell r="H15">
            <v>127</v>
          </cell>
        </row>
        <row r="18">
          <cell r="B18">
            <v>305</v>
          </cell>
          <cell r="D18">
            <v>60</v>
          </cell>
          <cell r="H18">
            <v>305</v>
          </cell>
          <cell r="J18">
            <v>60</v>
          </cell>
        </row>
        <row r="20">
          <cell r="C20">
            <v>8.5164410064399974</v>
          </cell>
          <cell r="I20">
            <v>22.400430716800003</v>
          </cell>
          <cell r="L20" t="str">
            <v>НЕТ</v>
          </cell>
        </row>
        <row r="101">
          <cell r="B101">
            <v>380</v>
          </cell>
        </row>
        <row r="102">
          <cell r="K102">
            <v>305</v>
          </cell>
          <cell r="L102">
            <v>23</v>
          </cell>
          <cell r="M102">
            <v>62</v>
          </cell>
          <cell r="N102">
            <v>17</v>
          </cell>
          <cell r="O102">
            <v>11400</v>
          </cell>
          <cell r="P102">
            <v>22500</v>
          </cell>
          <cell r="Q102">
            <v>0.23</v>
          </cell>
        </row>
        <row r="103">
          <cell r="K103">
            <v>306</v>
          </cell>
          <cell r="L103">
            <v>30</v>
          </cell>
          <cell r="M103">
            <v>72</v>
          </cell>
          <cell r="N103">
            <v>19</v>
          </cell>
          <cell r="O103">
            <v>14600</v>
          </cell>
          <cell r="P103">
            <v>28100</v>
          </cell>
          <cell r="Q103">
            <v>0.33100000000000002</v>
          </cell>
        </row>
        <row r="104">
          <cell r="K104">
            <v>307</v>
          </cell>
          <cell r="L104">
            <v>33</v>
          </cell>
          <cell r="M104">
            <v>80</v>
          </cell>
          <cell r="N104">
            <v>21</v>
          </cell>
          <cell r="O104">
            <v>18000</v>
          </cell>
          <cell r="P104">
            <v>33200</v>
          </cell>
          <cell r="Q104">
            <v>0.44700000000000001</v>
          </cell>
        </row>
        <row r="105">
          <cell r="K105">
            <v>308</v>
          </cell>
          <cell r="L105">
            <v>40</v>
          </cell>
          <cell r="M105">
            <v>90</v>
          </cell>
          <cell r="N105">
            <v>23</v>
          </cell>
          <cell r="O105">
            <v>22400</v>
          </cell>
          <cell r="P105">
            <v>41000</v>
          </cell>
          <cell r="Q105">
            <v>0.625</v>
          </cell>
        </row>
        <row r="106">
          <cell r="K106">
            <v>310</v>
          </cell>
          <cell r="L106">
            <v>50</v>
          </cell>
          <cell r="M106">
            <v>110</v>
          </cell>
          <cell r="N106">
            <v>27</v>
          </cell>
          <cell r="O106">
            <v>36000</v>
          </cell>
          <cell r="P106">
            <v>61800</v>
          </cell>
          <cell r="Q106">
            <v>1.0620000000000001</v>
          </cell>
        </row>
        <row r="107">
          <cell r="K107">
            <v>312</v>
          </cell>
          <cell r="L107">
            <v>60</v>
          </cell>
          <cell r="M107">
            <v>130</v>
          </cell>
          <cell r="N107">
            <v>31</v>
          </cell>
          <cell r="O107">
            <v>48000</v>
          </cell>
          <cell r="P107">
            <v>81900</v>
          </cell>
          <cell r="Q107">
            <v>1.7170000000000001</v>
          </cell>
        </row>
        <row r="108">
          <cell r="K108">
            <v>406</v>
          </cell>
          <cell r="L108">
            <v>60</v>
          </cell>
          <cell r="M108">
            <v>90</v>
          </cell>
          <cell r="N108">
            <v>23</v>
          </cell>
          <cell r="O108">
            <v>26700</v>
          </cell>
          <cell r="P108">
            <v>47000</v>
          </cell>
          <cell r="Q108">
            <v>0.72499999999999998</v>
          </cell>
        </row>
        <row r="200">
          <cell r="B200">
            <v>127</v>
          </cell>
        </row>
        <row r="203">
          <cell r="B203">
            <v>308</v>
          </cell>
          <cell r="D203">
            <v>60</v>
          </cell>
        </row>
        <row r="205">
          <cell r="A205" t="str">
            <v>ГФУ 127х1150 подш.308</v>
          </cell>
          <cell r="C205">
            <v>32.368768027019996</v>
          </cell>
        </row>
      </sheetData>
      <sheetData sheetId="3"/>
      <sheetData sheetId="4"/>
      <sheetData sheetId="5">
        <row r="69">
          <cell r="M69">
            <v>500</v>
          </cell>
        </row>
        <row r="70">
          <cell r="M70">
            <v>650</v>
          </cell>
        </row>
        <row r="71">
          <cell r="M71">
            <v>800</v>
          </cell>
        </row>
        <row r="72">
          <cell r="M72">
            <v>1000</v>
          </cell>
        </row>
        <row r="73">
          <cell r="M73">
            <v>1200</v>
          </cell>
        </row>
        <row r="74">
          <cell r="M74">
            <v>1400</v>
          </cell>
        </row>
        <row r="75">
          <cell r="M75">
            <v>1600</v>
          </cell>
        </row>
        <row r="76">
          <cell r="M76">
            <v>1800</v>
          </cell>
        </row>
        <row r="77">
          <cell r="M77">
            <v>2000</v>
          </cell>
        </row>
        <row r="78">
          <cell r="M78">
            <v>2400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бор роликов"/>
    </sheetNames>
    <sheetDataSet>
      <sheetData sheetId="0">
        <row r="79">
          <cell r="O79">
            <v>6</v>
          </cell>
        </row>
        <row r="80">
          <cell r="O80">
            <v>12</v>
          </cell>
        </row>
        <row r="81">
          <cell r="O81">
            <v>24</v>
          </cell>
        </row>
        <row r="82">
          <cell r="O82" t="str">
            <v>Hе абразивный</v>
          </cell>
        </row>
        <row r="83">
          <cell r="O83" t="str">
            <v>Абразивный</v>
          </cell>
        </row>
        <row r="84">
          <cell r="O84" t="str">
            <v>Сильно абразивный</v>
          </cell>
        </row>
        <row r="85">
          <cell r="O85">
            <v>10</v>
          </cell>
        </row>
        <row r="86">
          <cell r="O86">
            <v>100</v>
          </cell>
        </row>
        <row r="87">
          <cell r="O87">
            <v>150</v>
          </cell>
        </row>
        <row r="88">
          <cell r="O88" t="str">
            <v>&gt;150</v>
          </cell>
        </row>
        <row r="89">
          <cell r="O89">
            <v>50</v>
          </cell>
        </row>
        <row r="90">
          <cell r="O90">
            <v>60</v>
          </cell>
        </row>
        <row r="91">
          <cell r="O91">
            <v>70</v>
          </cell>
        </row>
        <row r="92">
          <cell r="O92">
            <v>90</v>
          </cell>
        </row>
        <row r="93">
          <cell r="O93" t="str">
            <v>+5…+25</v>
          </cell>
        </row>
        <row r="94">
          <cell r="O94" t="str">
            <v>0…+30</v>
          </cell>
        </row>
        <row r="95">
          <cell r="O95" t="str">
            <v>-45…+45</v>
          </cell>
        </row>
        <row r="96">
          <cell r="O96" t="str">
            <v>С защитой</v>
          </cell>
        </row>
        <row r="97">
          <cell r="O97" t="str">
            <v>Частично защищено</v>
          </cell>
        </row>
        <row r="98">
          <cell r="O98">
            <v>888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CBAB-1685-40B2-82CD-5851012A8554}">
  <dimension ref="A1:BM376"/>
  <sheetViews>
    <sheetView tabSelected="1" zoomScale="85" zoomScaleNormal="85" workbookViewId="0">
      <selection activeCell="C174" sqref="C174"/>
    </sheetView>
  </sheetViews>
  <sheetFormatPr defaultRowHeight="15"/>
  <cols>
    <col min="1" max="1" width="0.42578125" style="1" customWidth="1"/>
    <col min="2" max="2" width="31.42578125" style="1" customWidth="1"/>
    <col min="3" max="3" width="87" style="1" customWidth="1"/>
    <col min="4" max="4" width="7.85546875" style="1" customWidth="1"/>
    <col min="5" max="5" width="8" style="1" customWidth="1"/>
    <col min="6" max="6" width="9.28515625" style="1" customWidth="1"/>
    <col min="7" max="7" width="13.7109375" style="2" customWidth="1"/>
    <col min="8" max="8" width="12.28515625" style="2" customWidth="1"/>
    <col min="9" max="9" width="13.7109375" style="2" customWidth="1"/>
    <col min="10" max="10" width="13.140625" style="2" customWidth="1"/>
    <col min="11" max="15" width="9.140625" style="1"/>
    <col min="16" max="16" width="36.42578125" style="1" customWidth="1"/>
    <col min="17" max="17" width="30.85546875" style="1" customWidth="1"/>
    <col min="18" max="18" width="26.7109375" style="1" customWidth="1"/>
    <col min="19" max="20" width="9.140625" style="1"/>
    <col min="21" max="21" width="39.7109375" style="1" customWidth="1"/>
    <col min="22" max="22" width="13" style="1" customWidth="1"/>
    <col min="23" max="23" width="15.5703125" style="1" customWidth="1"/>
    <col min="24" max="25" width="9.140625" style="1"/>
    <col min="26" max="26" width="47.5703125" style="1" customWidth="1"/>
    <col min="27" max="27" width="35.85546875" style="1" customWidth="1"/>
    <col min="28" max="28" width="28.5703125" style="1" customWidth="1"/>
    <col min="29" max="29" width="16.28515625" style="1" customWidth="1"/>
    <col min="30" max="31" width="9.140625" style="1"/>
    <col min="32" max="32" width="14.85546875" style="1" customWidth="1"/>
    <col min="33" max="33" width="14.5703125" style="1" customWidth="1"/>
    <col min="34" max="34" width="13.5703125" style="1" bestFit="1" customWidth="1"/>
    <col min="35" max="35" width="16.28515625" style="1" bestFit="1" customWidth="1"/>
    <col min="36" max="36" width="9.140625" style="1" customWidth="1"/>
    <col min="37" max="38" width="9.140625" style="1"/>
    <col min="39" max="39" width="42.28515625" style="1" bestFit="1" customWidth="1"/>
    <col min="40" max="40" width="13.5703125" style="1" bestFit="1" customWidth="1"/>
    <col min="41" max="41" width="16.28515625" style="1" bestFit="1" customWidth="1"/>
    <col min="42" max="43" width="9.140625" style="1"/>
    <col min="44" max="44" width="7.28515625" style="1" customWidth="1"/>
    <col min="45" max="45" width="47.28515625" style="1" customWidth="1"/>
    <col min="46" max="46" width="47" style="1" customWidth="1"/>
    <col min="47" max="47" width="19.140625" style="1" customWidth="1"/>
    <col min="48" max="48" width="6.85546875" style="1" customWidth="1"/>
    <col min="49" max="50" width="9.140625" style="1"/>
    <col min="51" max="51" width="47.85546875" style="1" customWidth="1"/>
    <col min="52" max="52" width="37.28515625" style="1" bestFit="1" customWidth="1"/>
    <col min="53" max="53" width="47.140625" style="1" bestFit="1" customWidth="1"/>
    <col min="54" max="54" width="13.5703125" style="1" bestFit="1" customWidth="1"/>
    <col min="55" max="55" width="16.28515625" style="1" bestFit="1" customWidth="1"/>
    <col min="56" max="56" width="42.140625" style="1" bestFit="1" customWidth="1"/>
    <col min="57" max="57" width="13.5703125" style="1" bestFit="1" customWidth="1"/>
    <col min="58" max="58" width="16.28515625" style="1" bestFit="1" customWidth="1"/>
    <col min="59" max="59" width="47" style="1" customWidth="1"/>
    <col min="60" max="60" width="13.5703125" style="1" bestFit="1" customWidth="1"/>
    <col min="61" max="61" width="16.28515625" style="1" bestFit="1" customWidth="1"/>
    <col min="62" max="16384" width="9.140625" style="1"/>
  </cols>
  <sheetData>
    <row r="1" spans="2:10" ht="5.25" customHeight="1"/>
    <row r="2" spans="2:10" hidden="1">
      <c r="C2" s="1" t="s">
        <v>0</v>
      </c>
    </row>
    <row r="3" spans="2:10" ht="15.75">
      <c r="C3" s="3" t="s">
        <v>1</v>
      </c>
      <c r="D3" s="3"/>
      <c r="E3" s="3"/>
      <c r="F3" s="3"/>
      <c r="G3" s="3"/>
      <c r="H3" s="3"/>
      <c r="I3" s="3"/>
      <c r="J3" s="3"/>
    </row>
    <row r="4" spans="2:10" ht="8.25" customHeight="1" thickBot="1"/>
    <row r="5" spans="2:10" s="4" customFormat="1" ht="61.5" customHeight="1" thickBot="1">
      <c r="B5" s="5" t="s">
        <v>2</v>
      </c>
      <c r="C5" s="6" t="s">
        <v>3</v>
      </c>
      <c r="D5" s="7" t="s">
        <v>4</v>
      </c>
      <c r="E5" s="6" t="s">
        <v>5</v>
      </c>
      <c r="F5" s="8" t="s">
        <v>6</v>
      </c>
      <c r="G5" s="9" t="s">
        <v>7</v>
      </c>
      <c r="H5" s="10" t="s">
        <v>8</v>
      </c>
      <c r="I5" s="10" t="s">
        <v>9</v>
      </c>
      <c r="J5" s="11" t="s">
        <v>10</v>
      </c>
    </row>
    <row r="6" spans="2:10" ht="14.25" customHeight="1" thickBot="1">
      <c r="B6" s="12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4">
        <v>9</v>
      </c>
    </row>
    <row r="7" spans="2:10" ht="15.75">
      <c r="B7" s="15"/>
      <c r="C7" s="16" t="s">
        <v>11</v>
      </c>
      <c r="D7" s="17"/>
      <c r="E7" s="18"/>
      <c r="F7" s="18"/>
      <c r="G7" s="19"/>
      <c r="H7" s="19"/>
      <c r="I7" s="19"/>
      <c r="J7" s="20"/>
    </row>
    <row r="8" spans="2:10" s="21" customFormat="1" ht="15.75">
      <c r="B8" s="22"/>
      <c r="C8" s="23" t="s">
        <v>12</v>
      </c>
      <c r="D8" s="24">
        <v>1</v>
      </c>
      <c r="E8" s="23"/>
      <c r="F8" s="25" t="s">
        <v>13</v>
      </c>
      <c r="G8" s="26">
        <v>150</v>
      </c>
      <c r="H8" s="26">
        <f t="shared" ref="H8:H17" si="0">G8*D8</f>
        <v>150</v>
      </c>
      <c r="I8" s="26">
        <f t="shared" ref="I8:I17" si="1">G8*1.03</f>
        <v>154.5</v>
      </c>
      <c r="J8" s="27">
        <f t="shared" ref="J8:J17" si="2">I8*D8</f>
        <v>154.5</v>
      </c>
    </row>
    <row r="9" spans="2:10" s="21" customFormat="1" ht="15.75">
      <c r="B9" s="22"/>
      <c r="C9" s="23" t="s">
        <v>14</v>
      </c>
      <c r="D9" s="24">
        <v>1</v>
      </c>
      <c r="E9" s="23"/>
      <c r="F9" s="25" t="s">
        <v>13</v>
      </c>
      <c r="G9" s="26">
        <v>500</v>
      </c>
      <c r="H9" s="26">
        <f t="shared" si="0"/>
        <v>500</v>
      </c>
      <c r="I9" s="26">
        <f t="shared" si="1"/>
        <v>515</v>
      </c>
      <c r="J9" s="27">
        <f t="shared" si="2"/>
        <v>515</v>
      </c>
    </row>
    <row r="10" spans="2:10" s="21" customFormat="1" ht="15.75">
      <c r="B10" s="22"/>
      <c r="C10" s="23" t="s">
        <v>15</v>
      </c>
      <c r="D10" s="24">
        <v>4</v>
      </c>
      <c r="E10" s="23"/>
      <c r="F10" s="25" t="s">
        <v>13</v>
      </c>
      <c r="G10" s="26">
        <v>30</v>
      </c>
      <c r="H10" s="26">
        <f t="shared" si="0"/>
        <v>120</v>
      </c>
      <c r="I10" s="26">
        <f t="shared" si="1"/>
        <v>30.900000000000002</v>
      </c>
      <c r="J10" s="27">
        <f t="shared" si="2"/>
        <v>123.60000000000001</v>
      </c>
    </row>
    <row r="11" spans="2:10" s="21" customFormat="1" ht="15.75">
      <c r="B11" s="22"/>
      <c r="C11" s="23" t="s">
        <v>16</v>
      </c>
      <c r="D11" s="24">
        <v>1</v>
      </c>
      <c r="E11" s="23"/>
      <c r="F11" s="25" t="s">
        <v>13</v>
      </c>
      <c r="G11" s="26">
        <v>100</v>
      </c>
      <c r="H11" s="26">
        <f t="shared" si="0"/>
        <v>100</v>
      </c>
      <c r="I11" s="26">
        <f t="shared" si="1"/>
        <v>103</v>
      </c>
      <c r="J11" s="27">
        <f t="shared" si="2"/>
        <v>103</v>
      </c>
    </row>
    <row r="12" spans="2:10" s="21" customFormat="1" ht="15.75">
      <c r="B12" s="22"/>
      <c r="C12" s="23" t="s">
        <v>17</v>
      </c>
      <c r="D12" s="24">
        <v>1</v>
      </c>
      <c r="E12" s="23"/>
      <c r="F12" s="25" t="s">
        <v>13</v>
      </c>
      <c r="G12" s="26">
        <v>30</v>
      </c>
      <c r="H12" s="26">
        <f t="shared" si="0"/>
        <v>30</v>
      </c>
      <c r="I12" s="26">
        <f t="shared" si="1"/>
        <v>30.900000000000002</v>
      </c>
      <c r="J12" s="27">
        <f t="shared" si="2"/>
        <v>30.900000000000002</v>
      </c>
    </row>
    <row r="13" spans="2:10" ht="15.75">
      <c r="B13" s="22"/>
      <c r="C13" s="23" t="s">
        <v>18</v>
      </c>
      <c r="D13" s="24">
        <v>1</v>
      </c>
      <c r="E13" s="23"/>
      <c r="F13" s="25" t="s">
        <v>13</v>
      </c>
      <c r="G13" s="26">
        <v>320</v>
      </c>
      <c r="H13" s="26">
        <f t="shared" si="0"/>
        <v>320</v>
      </c>
      <c r="I13" s="26">
        <f t="shared" si="1"/>
        <v>329.6</v>
      </c>
      <c r="J13" s="27">
        <f t="shared" si="2"/>
        <v>329.6</v>
      </c>
    </row>
    <row r="14" spans="2:10" ht="15.75">
      <c r="B14" s="22"/>
      <c r="C14" s="23" t="s">
        <v>19</v>
      </c>
      <c r="D14" s="24">
        <v>1</v>
      </c>
      <c r="E14" s="23"/>
      <c r="F14" s="25" t="s">
        <v>13</v>
      </c>
      <c r="G14" s="26">
        <v>750</v>
      </c>
      <c r="H14" s="26">
        <f t="shared" si="0"/>
        <v>750</v>
      </c>
      <c r="I14" s="26">
        <f t="shared" si="1"/>
        <v>772.5</v>
      </c>
      <c r="J14" s="27">
        <f t="shared" si="2"/>
        <v>772.5</v>
      </c>
    </row>
    <row r="15" spans="2:10" ht="15.75">
      <c r="B15" s="22"/>
      <c r="C15" s="23" t="s">
        <v>20</v>
      </c>
      <c r="D15" s="24">
        <v>162</v>
      </c>
      <c r="E15" s="23"/>
      <c r="F15" s="25" t="s">
        <v>13</v>
      </c>
      <c r="G15" s="26">
        <v>10</v>
      </c>
      <c r="H15" s="26">
        <f>G15*D15</f>
        <v>1620</v>
      </c>
      <c r="I15" s="26">
        <f>G15*1.03</f>
        <v>10.3</v>
      </c>
      <c r="J15" s="27">
        <f>I15*D15</f>
        <v>1668.6000000000001</v>
      </c>
    </row>
    <row r="16" spans="2:10" ht="30">
      <c r="B16" s="22"/>
      <c r="C16" s="28" t="s">
        <v>21</v>
      </c>
      <c r="D16" s="29">
        <f>D15*2</f>
        <v>324</v>
      </c>
      <c r="E16" s="30" t="s">
        <v>13</v>
      </c>
      <c r="F16" s="30"/>
      <c r="G16" s="31"/>
      <c r="H16" s="31"/>
      <c r="I16" s="26"/>
      <c r="J16" s="27"/>
    </row>
    <row r="17" spans="2:15" ht="15.75">
      <c r="B17" s="22"/>
      <c r="C17" s="23" t="s">
        <v>22</v>
      </c>
      <c r="D17" s="24">
        <v>8</v>
      </c>
      <c r="E17" s="23"/>
      <c r="F17" s="25" t="s">
        <v>13</v>
      </c>
      <c r="G17" s="26">
        <v>10</v>
      </c>
      <c r="H17" s="26">
        <f t="shared" si="0"/>
        <v>80</v>
      </c>
      <c r="I17" s="26">
        <f t="shared" si="1"/>
        <v>10.3</v>
      </c>
      <c r="J17" s="27">
        <f t="shared" si="2"/>
        <v>82.4</v>
      </c>
    </row>
    <row r="18" spans="2:15" ht="31.5" customHeight="1">
      <c r="B18" s="22"/>
      <c r="C18" s="28" t="s">
        <v>21</v>
      </c>
      <c r="D18" s="29">
        <f>2*D17</f>
        <v>16</v>
      </c>
      <c r="E18" s="30" t="s">
        <v>13</v>
      </c>
      <c r="F18" s="25"/>
      <c r="G18" s="26"/>
      <c r="H18" s="26"/>
      <c r="I18" s="26"/>
      <c r="J18" s="27"/>
    </row>
    <row r="19" spans="2:15" ht="15.75">
      <c r="B19" s="22"/>
      <c r="C19" s="23" t="s">
        <v>23</v>
      </c>
      <c r="D19" s="24">
        <v>1</v>
      </c>
      <c r="E19" s="23"/>
      <c r="F19" s="25" t="s">
        <v>13</v>
      </c>
      <c r="G19" s="26">
        <v>150</v>
      </c>
      <c r="H19" s="26">
        <f>G19*D19</f>
        <v>150</v>
      </c>
      <c r="I19" s="26">
        <f>G19*1.03</f>
        <v>154.5</v>
      </c>
      <c r="J19" s="27">
        <f>I19*D19</f>
        <v>154.5</v>
      </c>
    </row>
    <row r="20" spans="2:15" ht="15.75">
      <c r="B20" s="22"/>
      <c r="C20" s="23" t="s">
        <v>24</v>
      </c>
      <c r="D20" s="24">
        <v>19</v>
      </c>
      <c r="E20" s="23"/>
      <c r="F20" s="25" t="s">
        <v>13</v>
      </c>
      <c r="G20" s="26">
        <v>95</v>
      </c>
      <c r="H20" s="26">
        <f>G20*D20</f>
        <v>1805</v>
      </c>
      <c r="I20" s="26">
        <f>G20*1.03</f>
        <v>97.850000000000009</v>
      </c>
      <c r="J20" s="27">
        <f>I20*D20</f>
        <v>1859.15</v>
      </c>
    </row>
    <row r="21" spans="2:15" ht="15.75">
      <c r="B21" s="22"/>
      <c r="C21" s="23" t="s">
        <v>25</v>
      </c>
      <c r="D21" s="24">
        <v>1</v>
      </c>
      <c r="E21" s="23"/>
      <c r="F21" s="25" t="s">
        <v>13</v>
      </c>
      <c r="G21" s="26">
        <v>150</v>
      </c>
      <c r="H21" s="26">
        <f>G21*D21</f>
        <v>150</v>
      </c>
      <c r="I21" s="26">
        <f>G21*1.03</f>
        <v>154.5</v>
      </c>
      <c r="J21" s="27">
        <f>I21*D21</f>
        <v>154.5</v>
      </c>
    </row>
    <row r="22" spans="2:15" ht="16.5" thickBot="1">
      <c r="B22" s="32"/>
      <c r="C22" s="33" t="s">
        <v>26</v>
      </c>
      <c r="D22" s="34">
        <v>1</v>
      </c>
      <c r="E22" s="35"/>
      <c r="F22" s="36" t="s">
        <v>13</v>
      </c>
      <c r="G22" s="37">
        <v>700</v>
      </c>
      <c r="H22" s="37">
        <f>G22*D22</f>
        <v>700</v>
      </c>
      <c r="I22" s="38">
        <f>G22*1.03</f>
        <v>721</v>
      </c>
      <c r="J22" s="39">
        <f>I22*D22</f>
        <v>721</v>
      </c>
    </row>
    <row r="23" spans="2:15" ht="15.75">
      <c r="B23" s="40" t="s">
        <v>27</v>
      </c>
      <c r="C23" s="41"/>
      <c r="D23" s="42"/>
      <c r="E23" s="43"/>
      <c r="F23" s="43"/>
      <c r="G23" s="44"/>
      <c r="H23" s="45"/>
      <c r="I23" s="45"/>
      <c r="J23" s="46"/>
    </row>
    <row r="24" spans="2:15" s="21" customFormat="1" ht="15.75">
      <c r="B24" s="47"/>
      <c r="C24" s="48" t="str">
        <f>IF('[1]Тяговый расчет'!F187="Д","Электродвигатель "&amp;'[1]Тяговый расчет'!F202&amp;" (N="&amp;'[1]Тяговый расчет'!B193&amp;"кВт, n="&amp;'[1]Тяговый расчет'!B194&amp;"об/мин) "&amp;'[1]Тяговый расчет'!F200,IF('[1]Тяговый расчет'!F187="МР","-"))</f>
        <v>-</v>
      </c>
      <c r="D24" s="29" t="str">
        <f>'[1]Тяговый расчет'!H202</f>
        <v>-</v>
      </c>
      <c r="E24" s="29" t="str">
        <f>IF(D24="-","-",IF(D24&gt;=1,"+"))</f>
        <v>-</v>
      </c>
      <c r="F24" s="30"/>
      <c r="G24" s="31"/>
      <c r="H24" s="31"/>
      <c r="I24" s="31"/>
      <c r="J24" s="49"/>
      <c r="O24" s="1"/>
    </row>
    <row r="25" spans="2:15" s="21" customFormat="1" ht="15.75">
      <c r="B25" s="47"/>
      <c r="C25" s="50" t="str">
        <f>IF('[1]Тяговый расчет'!F187="Д","Редуктор "&amp;'[1]Тяговый расчет'!F225&amp;" (i="&amp;'[1]Тяговый расчет'!B217&amp;", сборка - "&amp;'[1]Тяговый расчет'!B223&amp;")",IF('[1]Тяговый расчет'!F187="МР","-"))</f>
        <v>-</v>
      </c>
      <c r="D25" s="29" t="str">
        <f>'[1]Тяговый расчет'!K225</f>
        <v>-</v>
      </c>
      <c r="E25" s="29" t="str">
        <f>IF(D25="-","-",IF(D25&gt;=1,"+"))</f>
        <v>-</v>
      </c>
      <c r="F25" s="30"/>
      <c r="G25" s="31"/>
      <c r="H25" s="31"/>
      <c r="I25" s="31"/>
      <c r="J25" s="49"/>
      <c r="O25" s="1"/>
    </row>
    <row r="26" spans="2:15" s="21" customFormat="1" ht="15.75">
      <c r="B26" s="47"/>
      <c r="C26" s="48" t="str">
        <f>IF('[1]Тяговый расчет'!F187="Д","Муфта тихоходная "&amp;'[1]Тяговый расчет'!F235,IF('[1]Тяговый расчет'!F187="МР","-"))</f>
        <v>-</v>
      </c>
      <c r="D26" s="29" t="str">
        <f>'[1]Тяговый расчет'!I235</f>
        <v>-</v>
      </c>
      <c r="E26" s="29" t="str">
        <f>IF(D26="-","-",IF(D26&gt;=1,"+"))</f>
        <v>-</v>
      </c>
      <c r="F26" s="30"/>
      <c r="G26" s="31"/>
      <c r="H26" s="31"/>
      <c r="I26" s="31"/>
      <c r="J26" s="49"/>
      <c r="O26" s="1"/>
    </row>
    <row r="27" spans="2:15" s="21" customFormat="1" ht="15.75">
      <c r="B27" s="47"/>
      <c r="C27" s="48" t="str">
        <f>IF('[1]Тяговый расчет'!F187="Д","Муфта быстроходная "&amp;'[1]Тяговый расчет'!F245,IF('[1]Тяговый расчет'!F187="МР","-"))</f>
        <v>-</v>
      </c>
      <c r="D27" s="29" t="str">
        <f>'[1]Тяговый расчет'!K245</f>
        <v>-</v>
      </c>
      <c r="E27" s="29" t="s">
        <v>13</v>
      </c>
      <c r="F27" s="29"/>
      <c r="G27" s="51"/>
      <c r="H27" s="51"/>
      <c r="I27" s="51"/>
      <c r="J27" s="52"/>
      <c r="O27" s="1"/>
    </row>
    <row r="28" spans="2:15" s="21" customFormat="1" ht="15.75">
      <c r="B28" s="47"/>
      <c r="C28" s="48" t="str">
        <f>IF(AND('[1]Тяговый расчет'!F187="Д",'[1]Тяговый расчет'!B249="Т"),"Тормоз "&amp;'[1]Тяговый расчет'!F256,IF(AND('[1]Тяговый расчет'!F187="Д",'[1]Тяговый расчет'!B249="-"),"-------------------------------------",IF(AND('[1]Тяговый расчет'!F187="Д",'[1]Тяговый расчет'!B249="ОХ"),"Останов храповый "&amp;'[1]Тяговый расчет'!F256,IF('[1]Тяговый расчет'!F187="МР","-"))))</f>
        <v>-</v>
      </c>
      <c r="D28" s="29" t="str">
        <f>'[1]Тяговый расчет'!I256</f>
        <v>-</v>
      </c>
      <c r="E28" s="29" t="str">
        <f>IF(D28="-","-",IF(D28&gt;=1,"+",))</f>
        <v>-</v>
      </c>
      <c r="F28" s="30"/>
      <c r="G28" s="31"/>
      <c r="H28" s="31"/>
      <c r="I28" s="31"/>
      <c r="J28" s="49"/>
      <c r="O28" s="1"/>
    </row>
    <row r="29" spans="2:15" s="21" customFormat="1" ht="15.75">
      <c r="B29" s="47"/>
      <c r="C29" s="48"/>
      <c r="D29" s="29"/>
      <c r="E29" s="29"/>
      <c r="F29" s="30"/>
      <c r="G29" s="31"/>
      <c r="H29" s="31"/>
      <c r="I29" s="31"/>
      <c r="J29" s="49"/>
      <c r="O29" s="1"/>
    </row>
    <row r="30" spans="2:15" s="21" customFormat="1" ht="111" thickBot="1">
      <c r="B30" s="47"/>
      <c r="C30" s="48" t="str">
        <f>IF('[1]Тяговый расчет'!F187="Д","-------------------------------------",IF('[1]Тяговый расчет'!F187="МР","Мотор-редуктор "&amp;'[1]Тяговый расчет'!F227&amp;"(N="&amp;'[1]Тяговый расчет'!B193&amp;"кВт, n="&amp;'[1]Тяговый расчет'!B194&amp;"об/мин) "&amp;'[1]Тяговый расчет'!F200))</f>
        <v>Мотор-редуктор Sew-Eurodrive, коническо-цилиндрический, полый вал, моментный рычаг, потребная мощность 15,41кВт, устанавливаемая 22кВт, крутящий момент на выходном валу 2937Нм без учета коэффициента эксплуатации и потерь, частота вращения вых. вала 63,7 об/мин, эксплуатация в неотапливаемом помещении от -20...+30°С, запыленность 100мг/м³, 50Гц, 380В (N=22кВт, n=1500об/мин) Пуск от УПП, IP55, встроеный тормоз</v>
      </c>
      <c r="D30" s="29" t="str">
        <f>'[1]Тяговый расчет'!K227</f>
        <v>-</v>
      </c>
      <c r="E30" s="29" t="str">
        <f t="shared" ref="E30" si="3">IF(D30="-","-",IF(D30&gt;=1,"+",))</f>
        <v>-</v>
      </c>
      <c r="F30" s="30"/>
      <c r="G30" s="31"/>
      <c r="H30" s="31"/>
      <c r="I30" s="31"/>
      <c r="J30" s="49"/>
      <c r="O30" s="1"/>
    </row>
    <row r="31" spans="2:15" ht="15.75">
      <c r="B31" s="40" t="str">
        <f>'[1]Тяговый расчет'!B161</f>
        <v>Барабан приводной 10063Ф-100</v>
      </c>
      <c r="C31" s="41"/>
      <c r="D31" s="42">
        <f>'[1]Тяговый расчет'!F161</f>
        <v>1</v>
      </c>
      <c r="E31" s="43"/>
      <c r="F31" s="43"/>
      <c r="G31" s="44"/>
      <c r="H31" s="45"/>
      <c r="I31" s="45"/>
      <c r="J31" s="46"/>
      <c r="O31" s="21"/>
    </row>
    <row r="32" spans="2:15" ht="15.75">
      <c r="B32" s="22"/>
      <c r="C32" s="23" t="str">
        <f>B31</f>
        <v>Барабан приводной 10063Ф-100</v>
      </c>
      <c r="D32" s="25">
        <f>D31</f>
        <v>1</v>
      </c>
      <c r="E32" s="25"/>
      <c r="F32" s="25" t="s">
        <v>13</v>
      </c>
      <c r="G32" s="53">
        <f>VLOOKUP(C32,P273:Q376,2,FALSE)</f>
        <v>417.5</v>
      </c>
      <c r="H32" s="26">
        <f>G32*D32</f>
        <v>417.5</v>
      </c>
      <c r="I32" s="53">
        <f>VLOOKUP(C32,P273:R376,3,FALSE)</f>
        <v>551.20000000000005</v>
      </c>
      <c r="J32" s="27">
        <f>I32*D32</f>
        <v>551.20000000000005</v>
      </c>
    </row>
    <row r="33" spans="2:15" ht="15.75">
      <c r="B33" s="22"/>
      <c r="C33" s="54" t="str">
        <f>VLOOKUP('[1]Тяговый расчет'!D147,Y273:AB282,2,FALSE)</f>
        <v>Корпус подш. узла ПТКБ.301119.301-120</v>
      </c>
      <c r="D33" s="55">
        <f>D32*2</f>
        <v>2</v>
      </c>
      <c r="E33" s="55"/>
      <c r="F33" s="55" t="s">
        <v>13</v>
      </c>
      <c r="G33" s="56">
        <f>VLOOKUP(C33,Z272:AB282,2,FALSE)</f>
        <v>38.799999999999997</v>
      </c>
      <c r="H33" s="56">
        <f>G33*D33</f>
        <v>77.599999999999994</v>
      </c>
      <c r="I33" s="56">
        <f>VLOOKUP(C33,Z272:AB282,3,FALSE)</f>
        <v>104.66</v>
      </c>
      <c r="J33" s="57">
        <f>I33*D33</f>
        <v>209.32</v>
      </c>
    </row>
    <row r="34" spans="2:15" ht="15.75">
      <c r="B34" s="22"/>
      <c r="C34" s="54" t="str">
        <f>VLOOKUP(C33,Z325:AJ334,3,FALSE)</f>
        <v>Крышка проходная ПТКБ.301261.301-20</v>
      </c>
      <c r="D34" s="55">
        <f>IF('[1]Тяговый расчет'!H147=-2,D32*4,D32*3)</f>
        <v>3</v>
      </c>
      <c r="E34" s="55"/>
      <c r="F34" s="55" t="s">
        <v>13</v>
      </c>
      <c r="G34" s="56">
        <f>VLOOKUP(C33,Z325:AJ334,4,FALSE)</f>
        <v>7.17</v>
      </c>
      <c r="H34" s="56">
        <f>G34*D34</f>
        <v>21.509999999999998</v>
      </c>
      <c r="I34" s="56">
        <f>VLOOKUP(C33,Z325:AJ334,5,FALSE)</f>
        <v>20.49</v>
      </c>
      <c r="J34" s="57">
        <f>I34*D34</f>
        <v>61.47</v>
      </c>
    </row>
    <row r="35" spans="2:15" ht="15.75">
      <c r="B35" s="22"/>
      <c r="C35" s="54" t="str">
        <f>VLOOKUP(C33,Z325:AJ334,6,FALSE)</f>
        <v>Крышка глухая ПТКБ.301265.301-20</v>
      </c>
      <c r="D35" s="55">
        <f>IF('[1]Тяговый расчет'!H147=-2,D32*0,D32*1)</f>
        <v>1</v>
      </c>
      <c r="E35" s="55"/>
      <c r="F35" s="55" t="s">
        <v>13</v>
      </c>
      <c r="G35" s="56">
        <f>VLOOKUP(C33,Z325:AJ334,7,FALSE)</f>
        <v>9.8800000000000008</v>
      </c>
      <c r="H35" s="56">
        <f>G35*D35</f>
        <v>9.8800000000000008</v>
      </c>
      <c r="I35" s="56">
        <f>VLOOKUP(C33,Z325:AJ334,8,FALSE)</f>
        <v>23.91</v>
      </c>
      <c r="J35" s="57">
        <f>I35*D35</f>
        <v>23.91</v>
      </c>
    </row>
    <row r="36" spans="2:15" ht="15.75">
      <c r="B36" s="22"/>
      <c r="C36" s="54" t="str">
        <f>VLOOKUP(C33,Z325:AJ334,9,FALSE)</f>
        <v>Втулка лабиринтная ПТКБ.305314.103-620</v>
      </c>
      <c r="D36" s="55">
        <f>IF('[1]Тяговый расчет'!H147=-2,D32*4,D32*3)</f>
        <v>3</v>
      </c>
      <c r="E36" s="55"/>
      <c r="F36" s="55" t="s">
        <v>13</v>
      </c>
      <c r="G36" s="58">
        <f>VLOOKUP(C33,Z325:AJ334,10,FALSE)</f>
        <v>0.69799999999999995</v>
      </c>
      <c r="H36" s="56">
        <f>G36*D36</f>
        <v>2.0939999999999999</v>
      </c>
      <c r="I36" s="56">
        <f>VLOOKUP(C33,Z325:AJ334,11,FALSE)</f>
        <v>3.94</v>
      </c>
      <c r="J36" s="57">
        <f>I36*D36</f>
        <v>11.82</v>
      </c>
    </row>
    <row r="37" spans="2:15" ht="15.75">
      <c r="B37" s="22"/>
      <c r="C37" s="59" t="str">
        <f>VLOOKUP(C33,Z325:AJ334,2,FALSE)</f>
        <v>Подшипник 3620 ГОСТ 5721-75 (22320)</v>
      </c>
      <c r="D37" s="55">
        <f>D33</f>
        <v>2</v>
      </c>
      <c r="E37" s="55" t="s">
        <v>13</v>
      </c>
      <c r="F37" s="55"/>
      <c r="G37" s="60"/>
      <c r="H37" s="60"/>
      <c r="I37" s="60"/>
      <c r="J37" s="61"/>
    </row>
    <row r="38" spans="2:15" ht="31.5">
      <c r="B38" s="62">
        <f>IF('[1]Тяговый расчет'!F147="Ф",('[1]Тяговый расчет'!B147*('[1]Тяговый расчет'!F3+200)*3.14/10^6)*D31,0)</f>
        <v>2.37384</v>
      </c>
      <c r="C38" s="63" t="str">
        <f>"Футеровка "&amp;VLOOKUP('[1]Тяговый расчет'!G147,'[1]Тяговый расчет'!M146:O148,2,FALSE)&amp;", толщина "&amp;IF('[1]Тяговый расчет'!B147&lt;=800,"10 мм","12 мм")&amp;", барабан Ø="&amp;'[1]Тяговый расчет'!B147&amp;" мм, футеровка L= "&amp;'[1]Тяговый расчет'!F3+IF('[1]Тяговый расчет'!F3&lt;1000,150,200)&amp;" мм"</f>
        <v>Футеровка общепромышленная, толщина 10 мм, барабан Ø=630 мм, футеровка L= 1200 мм</v>
      </c>
      <c r="D38" s="24">
        <f>IF(B38&gt;0,D32,IF(B38=0,"-"))</f>
        <v>1</v>
      </c>
      <c r="E38" s="24" t="s">
        <v>13</v>
      </c>
      <c r="F38" s="25"/>
      <c r="G38" s="26"/>
      <c r="H38" s="26"/>
      <c r="I38" s="26"/>
      <c r="J38" s="27"/>
      <c r="K38" s="1">
        <f>('[1]Тяговый расчет'!B147*('[1]Тяговый расчет'!F3+200)*3.14/10^6)</f>
        <v>2.37384</v>
      </c>
      <c r="L38" s="1" t="s">
        <v>28</v>
      </c>
    </row>
    <row r="39" spans="2:15" s="64" customFormat="1" ht="15.75">
      <c r="B39" s="22"/>
      <c r="C39" s="65" t="s">
        <v>29</v>
      </c>
      <c r="D39" s="24"/>
      <c r="E39" s="24" t="s">
        <v>13</v>
      </c>
      <c r="F39" s="24"/>
      <c r="G39" s="66"/>
      <c r="H39" s="66"/>
      <c r="I39" s="67">
        <f>IF(B38&gt;0,(0.005^2*3.14*('[1]Тяговый расчет'!F152/1000)*2+0.005^2*1.4)*1150*D38,0)</f>
        <v>0.15760749999999998</v>
      </c>
      <c r="J39" s="27"/>
      <c r="K39" s="1"/>
      <c r="O39" s="1"/>
    </row>
    <row r="40" spans="2:15" s="64" customFormat="1" ht="15.75">
      <c r="B40" s="22"/>
      <c r="C40" s="65" t="s">
        <v>30</v>
      </c>
      <c r="D40" s="24"/>
      <c r="E40" s="24" t="s">
        <v>13</v>
      </c>
      <c r="F40" s="24"/>
      <c r="G40" s="66"/>
      <c r="H40" s="66"/>
      <c r="I40" s="67">
        <f>K40*B38</f>
        <v>0.66467520000000002</v>
      </c>
      <c r="J40" s="27"/>
      <c r="K40" s="68">
        <v>0.28000000000000003</v>
      </c>
    </row>
    <row r="41" spans="2:15" s="64" customFormat="1" ht="15.75">
      <c r="B41" s="22"/>
      <c r="C41" s="65" t="s">
        <v>31</v>
      </c>
      <c r="D41" s="24"/>
      <c r="E41" s="24" t="s">
        <v>13</v>
      </c>
      <c r="F41" s="24"/>
      <c r="G41" s="66"/>
      <c r="H41" s="66"/>
      <c r="I41" s="67">
        <f>K41*B38</f>
        <v>3.5607600000000001</v>
      </c>
      <c r="J41" s="27"/>
      <c r="K41" s="68">
        <v>1.5</v>
      </c>
    </row>
    <row r="42" spans="2:15" s="64" customFormat="1" ht="16.5" thickBot="1">
      <c r="B42" s="22"/>
      <c r="C42" s="65" t="s">
        <v>32</v>
      </c>
      <c r="D42" s="24"/>
      <c r="E42" s="24" t="s">
        <v>13</v>
      </c>
      <c r="F42" s="24"/>
      <c r="G42" s="66"/>
      <c r="H42" s="66"/>
      <c r="I42" s="67">
        <f>K42*B38</f>
        <v>0.71215200000000001</v>
      </c>
      <c r="J42" s="27"/>
      <c r="K42" s="68">
        <v>0.3</v>
      </c>
    </row>
    <row r="43" spans="2:15" ht="15.75">
      <c r="B43" s="40" t="str">
        <f>'[1]Тяговый расчет'!B172</f>
        <v>Барабан неприводной 10031,5-50</v>
      </c>
      <c r="C43" s="41"/>
      <c r="D43" s="42">
        <f>'[1]Тяговый расчет'!H172</f>
        <v>4</v>
      </c>
      <c r="E43" s="43"/>
      <c r="F43" s="43"/>
      <c r="G43" s="45"/>
      <c r="H43" s="45"/>
      <c r="I43" s="45"/>
      <c r="J43" s="46"/>
      <c r="K43" s="69"/>
      <c r="M43" s="64"/>
      <c r="O43" s="64"/>
    </row>
    <row r="44" spans="2:15" ht="15.75">
      <c r="B44" s="22"/>
      <c r="C44" s="23" t="str">
        <f>B43</f>
        <v>Барабан неприводной 10031,5-50</v>
      </c>
      <c r="D44" s="25">
        <f>D43</f>
        <v>4</v>
      </c>
      <c r="E44" s="25"/>
      <c r="F44" s="25" t="s">
        <v>13</v>
      </c>
      <c r="G44" s="53">
        <f>VLOOKUP(C44,U273:V349,2,FALSE)</f>
        <v>128.24</v>
      </c>
      <c r="H44" s="26">
        <f>G44*D44</f>
        <v>512.96</v>
      </c>
      <c r="I44" s="53">
        <f>VLOOKUP(C44,U273:W349,3,FALSE)</f>
        <v>169.1</v>
      </c>
      <c r="J44" s="27">
        <f>I44*D44</f>
        <v>676.4</v>
      </c>
      <c r="M44" s="64"/>
    </row>
    <row r="45" spans="2:15" ht="15.75">
      <c r="B45" s="22"/>
      <c r="C45" s="23" t="str">
        <f>VLOOKUP('[1]Тяговый расчет'!D170,Y272:AB282,2,FALSE)</f>
        <v>Корпус подш. узла ПТКБ.301119.301-110</v>
      </c>
      <c r="D45" s="25">
        <f>D44*2</f>
        <v>8</v>
      </c>
      <c r="E45" s="25"/>
      <c r="F45" s="25" t="s">
        <v>13</v>
      </c>
      <c r="G45" s="56">
        <f>VLOOKUP(C45,Z272:AB282,2,FALSE)</f>
        <v>7.3</v>
      </c>
      <c r="H45" s="56">
        <f>G45*D45</f>
        <v>58.4</v>
      </c>
      <c r="I45" s="56">
        <f>VLOOKUP(C45,Z272:AB282,3,FALSE)</f>
        <v>19.8</v>
      </c>
      <c r="J45" s="57">
        <f>I45*D45</f>
        <v>158.4</v>
      </c>
      <c r="M45" s="64"/>
    </row>
    <row r="46" spans="2:15" ht="15.75">
      <c r="B46" s="22"/>
      <c r="C46" s="23" t="str">
        <f>VLOOKUP(C45,Z325:AJ334,3,FALSE)</f>
        <v>Крышка проходная ПТКБ.301261.301-10</v>
      </c>
      <c r="D46" s="25">
        <f>D44*2</f>
        <v>8</v>
      </c>
      <c r="E46" s="25"/>
      <c r="F46" s="25" t="s">
        <v>13</v>
      </c>
      <c r="G46" s="56">
        <f>VLOOKUP(C45,Z325:AJ334,4,FALSE)</f>
        <v>1.0629999999999999</v>
      </c>
      <c r="H46" s="56">
        <f>G46*D46</f>
        <v>8.5039999999999996</v>
      </c>
      <c r="I46" s="56">
        <f>VLOOKUP(C45,Z325:AJ334,5,FALSE)</f>
        <v>4.0199999999999996</v>
      </c>
      <c r="J46" s="57">
        <f>I46*D46</f>
        <v>32.159999999999997</v>
      </c>
      <c r="M46" s="64"/>
    </row>
    <row r="47" spans="2:15" ht="15.75">
      <c r="B47" s="22"/>
      <c r="C47" s="23" t="str">
        <f>VLOOKUP(C45,Z325:AJ334,6,FALSE)</f>
        <v>Крышка глухая ПТКБ.301265.301-10</v>
      </c>
      <c r="D47" s="25">
        <f>D44*2</f>
        <v>8</v>
      </c>
      <c r="E47" s="25"/>
      <c r="F47" s="25" t="s">
        <v>13</v>
      </c>
      <c r="G47" s="56">
        <f>VLOOKUP(C45,Z325:AJ334,7,FALSE)</f>
        <v>1.3180000000000001</v>
      </c>
      <c r="H47" s="56">
        <f>G47*D47</f>
        <v>10.544</v>
      </c>
      <c r="I47" s="56">
        <f>VLOOKUP(C45,Z325:AJ334,8,FALSE)</f>
        <v>4.0199999999999996</v>
      </c>
      <c r="J47" s="57">
        <f>I47*D47</f>
        <v>32.159999999999997</v>
      </c>
      <c r="M47" s="64"/>
    </row>
    <row r="48" spans="2:15" ht="15.75">
      <c r="B48" s="22"/>
      <c r="C48" s="23" t="str">
        <f>VLOOKUP(C45,Z325:AJ334,9,FALSE)</f>
        <v>Втулка лабиринтная ПТКБ.305314.103-610</v>
      </c>
      <c r="D48" s="25">
        <f>D46</f>
        <v>8</v>
      </c>
      <c r="E48" s="25"/>
      <c r="F48" s="25" t="s">
        <v>13</v>
      </c>
      <c r="G48" s="56">
        <f>VLOOKUP(C45,Z325:AJ334,10,FALSE)</f>
        <v>0.158</v>
      </c>
      <c r="H48" s="56">
        <f>G48*D48</f>
        <v>1.264</v>
      </c>
      <c r="I48" s="56">
        <f>VLOOKUP(C45,Z325:AJ334,11,FALSE)</f>
        <v>0.71</v>
      </c>
      <c r="J48" s="57">
        <f>I48*D48</f>
        <v>5.68</v>
      </c>
      <c r="M48" s="64"/>
    </row>
    <row r="49" spans="2:15" ht="16.5" thickBot="1">
      <c r="B49" s="22"/>
      <c r="C49" s="70" t="str">
        <f>VLOOKUP(C45,Z325:AJ334,2,FALSE)</f>
        <v>Подшипник 3610 ГОСТ 5721-75 (22310)</v>
      </c>
      <c r="D49" s="25">
        <f>D45</f>
        <v>8</v>
      </c>
      <c r="E49" s="25" t="s">
        <v>13</v>
      </c>
      <c r="F49" s="25"/>
      <c r="G49" s="26"/>
      <c r="H49" s="26"/>
      <c r="I49" s="26"/>
      <c r="J49" s="27"/>
      <c r="M49" s="64"/>
    </row>
    <row r="50" spans="2:15" ht="15.75">
      <c r="B50" s="40" t="str">
        <f>'[1]Тяговый расчет'!B177</f>
        <v>Барабан неприводной 10040-60</v>
      </c>
      <c r="C50" s="41"/>
      <c r="D50" s="42">
        <f>'[1]Тяговый расчет'!H177</f>
        <v>1</v>
      </c>
      <c r="E50" s="43"/>
      <c r="F50" s="43"/>
      <c r="G50" s="45"/>
      <c r="H50" s="45"/>
      <c r="I50" s="45"/>
      <c r="J50" s="46"/>
      <c r="K50" s="69"/>
      <c r="M50" s="64"/>
      <c r="O50" s="64"/>
    </row>
    <row r="51" spans="2:15" ht="15.75">
      <c r="B51" s="22"/>
      <c r="C51" s="23" t="str">
        <f>B50</f>
        <v>Барабан неприводной 10040-60</v>
      </c>
      <c r="D51" s="25">
        <f>D50</f>
        <v>1</v>
      </c>
      <c r="E51" s="25"/>
      <c r="F51" s="25" t="s">
        <v>13</v>
      </c>
      <c r="G51" s="53">
        <f>VLOOKUP(C51,U273:V349,2,FALSE)</f>
        <v>172.13</v>
      </c>
      <c r="H51" s="26">
        <f>G51*D51</f>
        <v>172.13</v>
      </c>
      <c r="I51" s="53">
        <f>VLOOKUP(C51,U273:W349,3,FALSE)</f>
        <v>226.46</v>
      </c>
      <c r="J51" s="27">
        <f>I51*D51</f>
        <v>226.46</v>
      </c>
      <c r="M51" s="64"/>
    </row>
    <row r="52" spans="2:15" ht="15.75">
      <c r="B52" s="22"/>
      <c r="C52" s="23" t="str">
        <f>VLOOKUP('[1]Тяговый расчет'!D175,Y272:AB282,2,FALSE)</f>
        <v>Корпус подш. узла ПТКБ.301119.301-112</v>
      </c>
      <c r="D52" s="25">
        <f>D51*2</f>
        <v>2</v>
      </c>
      <c r="E52" s="25"/>
      <c r="F52" s="25" t="s">
        <v>13</v>
      </c>
      <c r="G52" s="56">
        <f>VLOOKUP(C52,Z272:AB282,2,FALSE)</f>
        <v>12</v>
      </c>
      <c r="H52" s="56">
        <f>G52*D52</f>
        <v>24</v>
      </c>
      <c r="I52" s="56">
        <f>VLOOKUP(C52,Z272:AB282,3,FALSE)</f>
        <v>33.299999999999997</v>
      </c>
      <c r="J52" s="57">
        <f>I52*D52</f>
        <v>66.599999999999994</v>
      </c>
      <c r="M52" s="64"/>
    </row>
    <row r="53" spans="2:15" ht="15.75">
      <c r="B53" s="22"/>
      <c r="C53" s="23" t="str">
        <f>VLOOKUP(C52,Z325:AJ334,3,FALSE)</f>
        <v>Крышка проходная ПТКБ.301261.301-12</v>
      </c>
      <c r="D53" s="25">
        <f>D51*2</f>
        <v>2</v>
      </c>
      <c r="E53" s="25"/>
      <c r="F53" s="25" t="s">
        <v>13</v>
      </c>
      <c r="G53" s="56">
        <f>VLOOKUP(C52,Z325:AJ334,4,FALSE)</f>
        <v>1.4159999999999999</v>
      </c>
      <c r="H53" s="56">
        <f>G53*D53</f>
        <v>2.8319999999999999</v>
      </c>
      <c r="I53" s="56">
        <f>VLOOKUP(C52,Z325:AJ334,5,FALSE)</f>
        <v>5.67</v>
      </c>
      <c r="J53" s="57">
        <f>I53*D53</f>
        <v>11.34</v>
      </c>
      <c r="M53" s="64"/>
    </row>
    <row r="54" spans="2:15" ht="15.75">
      <c r="B54" s="22"/>
      <c r="C54" s="23" t="str">
        <f>VLOOKUP(C52,Z325:AJ334,6,FALSE)</f>
        <v>Крышка глухая ПТКБ.301265.301-12</v>
      </c>
      <c r="D54" s="25">
        <f>D51*2</f>
        <v>2</v>
      </c>
      <c r="E54" s="25"/>
      <c r="F54" s="25" t="s">
        <v>13</v>
      </c>
      <c r="G54" s="56">
        <f>VLOOKUP(C52,Z325:AJ334,7,FALSE)</f>
        <v>2.7050000000000001</v>
      </c>
      <c r="H54" s="56">
        <f>G54*D54</f>
        <v>5.41</v>
      </c>
      <c r="I54" s="56">
        <f>VLOOKUP(C52,Z325:AJ334,8,FALSE)</f>
        <v>7.08</v>
      </c>
      <c r="J54" s="57">
        <f>I54*D54</f>
        <v>14.16</v>
      </c>
      <c r="M54" s="64"/>
    </row>
    <row r="55" spans="2:15" ht="15.75">
      <c r="B55" s="22"/>
      <c r="C55" s="23" t="str">
        <f>VLOOKUP(C52,Z325:AJ334,9,FALSE)</f>
        <v>Втулка лабиринтная ПТКБ.305314.103-612</v>
      </c>
      <c r="D55" s="25">
        <f>D53</f>
        <v>2</v>
      </c>
      <c r="E55" s="25"/>
      <c r="F55" s="25" t="s">
        <v>13</v>
      </c>
      <c r="G55" s="56">
        <f>VLOOKUP(C52,Z325:AJ334,10,FALSE)</f>
        <v>0.191</v>
      </c>
      <c r="H55" s="56">
        <f>G55*D55</f>
        <v>0.38200000000000001</v>
      </c>
      <c r="I55" s="56">
        <f>VLOOKUP(C52,Z325:AJ334,11,FALSE)</f>
        <v>0.9</v>
      </c>
      <c r="J55" s="57">
        <f>I55*D55</f>
        <v>1.8</v>
      </c>
      <c r="M55" s="64"/>
    </row>
    <row r="56" spans="2:15" ht="16.5" thickBot="1">
      <c r="B56" s="22"/>
      <c r="C56" s="70" t="str">
        <f>VLOOKUP(C52,Z325:AJ334,2,FALSE)</f>
        <v>Подшипник 3612 ГОСТ 5721-75 (22312)</v>
      </c>
      <c r="D56" s="25">
        <f>D52</f>
        <v>2</v>
      </c>
      <c r="E56" s="25" t="s">
        <v>13</v>
      </c>
      <c r="F56" s="25"/>
      <c r="G56" s="26"/>
      <c r="H56" s="26"/>
      <c r="I56" s="26"/>
      <c r="J56" s="27"/>
      <c r="M56" s="64"/>
    </row>
    <row r="57" spans="2:15" ht="15.75">
      <c r="B57" s="40">
        <f>'[1]Тяговый расчет'!B182</f>
        <v>0</v>
      </c>
      <c r="C57" s="41"/>
      <c r="D57" s="42">
        <f>'[1]Тяговый расчет'!H182</f>
        <v>0</v>
      </c>
      <c r="E57" s="43"/>
      <c r="F57" s="43"/>
      <c r="G57" s="45"/>
      <c r="H57" s="45"/>
      <c r="I57" s="45"/>
      <c r="J57" s="46"/>
      <c r="K57" s="69"/>
      <c r="M57" s="64"/>
      <c r="O57" s="64"/>
    </row>
    <row r="58" spans="2:15" ht="15.75">
      <c r="B58" s="22"/>
      <c r="C58" s="23">
        <f>B57</f>
        <v>0</v>
      </c>
      <c r="D58" s="25">
        <f>D57</f>
        <v>0</v>
      </c>
      <c r="E58" s="25"/>
      <c r="F58" s="25" t="s">
        <v>13</v>
      </c>
      <c r="G58" s="53">
        <f>VLOOKUP(C58,U273:V349,2,FALSE)</f>
        <v>0</v>
      </c>
      <c r="H58" s="26">
        <f>G58*D58</f>
        <v>0</v>
      </c>
      <c r="I58" s="53">
        <f>VLOOKUP(C58,U273:W349,3,FALSE)</f>
        <v>0</v>
      </c>
      <c r="J58" s="27">
        <f>I58*D58</f>
        <v>0</v>
      </c>
      <c r="M58" s="64"/>
    </row>
    <row r="59" spans="2:15" ht="15.75">
      <c r="B59" s="22"/>
      <c r="C59" s="23">
        <f>VLOOKUP('[1]Тяговый расчет'!D180,Y272:AB282,2,FALSE)</f>
        <v>0</v>
      </c>
      <c r="D59" s="25">
        <f>D58*2</f>
        <v>0</v>
      </c>
      <c r="E59" s="25"/>
      <c r="F59" s="25" t="s">
        <v>13</v>
      </c>
      <c r="G59" s="56">
        <f>VLOOKUP(C59,Z272:AB282,2,FALSE)</f>
        <v>0</v>
      </c>
      <c r="H59" s="56">
        <f>G59*D59</f>
        <v>0</v>
      </c>
      <c r="I59" s="56">
        <f>VLOOKUP(C59,Z272:AB282,3,FALSE)</f>
        <v>0</v>
      </c>
      <c r="J59" s="57">
        <f>I59*D59</f>
        <v>0</v>
      </c>
      <c r="M59" s="64"/>
    </row>
    <row r="60" spans="2:15" ht="15.75">
      <c r="B60" s="22"/>
      <c r="C60" s="23">
        <f>VLOOKUP(C59,Z325:AJ334,3,FALSE)</f>
        <v>0</v>
      </c>
      <c r="D60" s="25">
        <f>D58*2</f>
        <v>0</v>
      </c>
      <c r="E60" s="25"/>
      <c r="F60" s="25" t="s">
        <v>13</v>
      </c>
      <c r="G60" s="56">
        <f>VLOOKUP(C59,Z325:AJ334,4,FALSE)</f>
        <v>0</v>
      </c>
      <c r="H60" s="56">
        <f>G60*D60</f>
        <v>0</v>
      </c>
      <c r="I60" s="56">
        <f>VLOOKUP(C59,Z325:AJ334,5,FALSE)</f>
        <v>0</v>
      </c>
      <c r="J60" s="57">
        <f>I60*D60</f>
        <v>0</v>
      </c>
      <c r="M60" s="64"/>
    </row>
    <row r="61" spans="2:15" ht="15.75">
      <c r="B61" s="22"/>
      <c r="C61" s="23">
        <f>VLOOKUP(C59,Z325:AJ334,6,FALSE)</f>
        <v>0</v>
      </c>
      <c r="D61" s="25">
        <f>D58*2</f>
        <v>0</v>
      </c>
      <c r="E61" s="25"/>
      <c r="F61" s="25" t="s">
        <v>13</v>
      </c>
      <c r="G61" s="56">
        <f>VLOOKUP(C59,Z325:AJ334,7,FALSE)</f>
        <v>0</v>
      </c>
      <c r="H61" s="56">
        <f>G61*D61</f>
        <v>0</v>
      </c>
      <c r="I61" s="56">
        <f>VLOOKUP(C59,Z325:AJ334,8,FALSE)</f>
        <v>0</v>
      </c>
      <c r="J61" s="57">
        <f>I61*D61</f>
        <v>0</v>
      </c>
      <c r="M61" s="64"/>
    </row>
    <row r="62" spans="2:15" ht="15.75">
      <c r="B62" s="22"/>
      <c r="C62" s="23">
        <f>VLOOKUP(C59,Z325:AJ334,9,FALSE)</f>
        <v>0</v>
      </c>
      <c r="D62" s="25">
        <f>D60</f>
        <v>0</v>
      </c>
      <c r="E62" s="25"/>
      <c r="F62" s="25" t="s">
        <v>13</v>
      </c>
      <c r="G62" s="56">
        <f>VLOOKUP(C59,Z325:AJ334,10,FALSE)</f>
        <v>0</v>
      </c>
      <c r="H62" s="56">
        <f>G62*D62</f>
        <v>0</v>
      </c>
      <c r="I62" s="56">
        <f>VLOOKUP(C59,Z325:AJ334,11,FALSE)</f>
        <v>0</v>
      </c>
      <c r="J62" s="57">
        <f>I62*D62</f>
        <v>0</v>
      </c>
      <c r="M62" s="64"/>
    </row>
    <row r="63" spans="2:15" ht="16.5" thickBot="1">
      <c r="B63" s="22"/>
      <c r="C63" s="70">
        <f>VLOOKUP(C59,Z325:AJ334,2,FALSE)</f>
        <v>0</v>
      </c>
      <c r="D63" s="25">
        <f>D59</f>
        <v>0</v>
      </c>
      <c r="E63" s="25" t="s">
        <v>13</v>
      </c>
      <c r="F63" s="25"/>
      <c r="G63" s="26"/>
      <c r="H63" s="26"/>
      <c r="I63" s="26"/>
      <c r="J63" s="27"/>
      <c r="M63" s="64"/>
    </row>
    <row r="64" spans="2:15" ht="15.75">
      <c r="B64" s="71" t="str">
        <f>'[1]Тяговый расчет'!B310</f>
        <v>Устройство натяжное рамное 10050Р-80</v>
      </c>
      <c r="C64" s="72"/>
      <c r="D64" s="73">
        <f>'[1]Тяговый расчет'!H310</f>
        <v>1</v>
      </c>
      <c r="E64" s="74"/>
      <c r="F64" s="74"/>
      <c r="G64" s="75"/>
      <c r="H64" s="76"/>
      <c r="I64" s="76"/>
      <c r="J64" s="77"/>
      <c r="M64" s="64"/>
    </row>
    <row r="65" spans="2:15" ht="15.75">
      <c r="B65" s="22"/>
      <c r="C65" s="23" t="str">
        <f>'[1]Тяговый расчет'!B312</f>
        <v>Барабан неприводной 10050-80</v>
      </c>
      <c r="D65" s="25">
        <f>D64</f>
        <v>1</v>
      </c>
      <c r="E65" s="25"/>
      <c r="F65" s="25" t="s">
        <v>13</v>
      </c>
      <c r="G65" s="53">
        <f>VLOOKUP(C65,U273:V349,2,FALSE)</f>
        <v>283.5</v>
      </c>
      <c r="H65" s="26">
        <f>G65*D65</f>
        <v>283.5</v>
      </c>
      <c r="I65" s="53">
        <f>VLOOKUP(C65,U273:W349,3,FALSE)</f>
        <v>366.5</v>
      </c>
      <c r="J65" s="27">
        <f>I65*D65</f>
        <v>366.5</v>
      </c>
      <c r="M65" s="64"/>
    </row>
    <row r="66" spans="2:15" ht="15.75">
      <c r="B66" s="22"/>
      <c r="C66" s="23" t="str">
        <f>VLOOKUP('[1]Тяговый расчет'!D301,AR273:AT280,IF('[1]Тяговый расчет'!E287="В",2,3),FALSE)</f>
        <v>Корпус подш. узла ПТКБ.301119.301-116</v>
      </c>
      <c r="D66" s="25">
        <f>2*D65</f>
        <v>2</v>
      </c>
      <c r="E66" s="25"/>
      <c r="F66" s="25" t="s">
        <v>13</v>
      </c>
      <c r="G66" s="26">
        <f>VLOOKUP(C66,AS295:AU303,2,FALSE)</f>
        <v>21.4</v>
      </c>
      <c r="H66" s="26">
        <f>G66*D66</f>
        <v>42.8</v>
      </c>
      <c r="I66" s="26">
        <f>VLOOKUP(C66,AS295:AU303,3,FALSE)</f>
        <v>57.09</v>
      </c>
      <c r="J66" s="27">
        <f>I66*D66</f>
        <v>114.18</v>
      </c>
      <c r="M66" s="64"/>
    </row>
    <row r="67" spans="2:15" ht="15.75">
      <c r="B67" s="22"/>
      <c r="C67" s="23" t="str">
        <f>VLOOKUP(C66,Z321:AJ334,3,FALSE)</f>
        <v>Крышка проходная ПТКБ.301261.301-16</v>
      </c>
      <c r="D67" s="25">
        <f>D65*2</f>
        <v>2</v>
      </c>
      <c r="E67" s="25"/>
      <c r="F67" s="25" t="s">
        <v>13</v>
      </c>
      <c r="G67" s="26">
        <f>VLOOKUP(C66,Z321:AJ334,4,FALSE)</f>
        <v>2.44</v>
      </c>
      <c r="H67" s="26">
        <f>G67*D67</f>
        <v>4.88</v>
      </c>
      <c r="I67" s="26">
        <f>VLOOKUP(C66,Z321:AJ334,5,FALSE)</f>
        <v>8.31</v>
      </c>
      <c r="J67" s="27">
        <f>I67*D67</f>
        <v>16.62</v>
      </c>
      <c r="M67" s="64"/>
    </row>
    <row r="68" spans="2:15" ht="15.75">
      <c r="B68" s="22"/>
      <c r="C68" s="23" t="str">
        <f>VLOOKUP(C66,Z321:AJ334,6,FALSE)</f>
        <v>Крышка глухая ПТКБ.301265.301-16</v>
      </c>
      <c r="D68" s="25">
        <f>D65*2</f>
        <v>2</v>
      </c>
      <c r="E68" s="25"/>
      <c r="F68" s="25" t="s">
        <v>13</v>
      </c>
      <c r="G68" s="26">
        <f>VLOOKUP(C66,Z321:AJ334,7,FALSE)</f>
        <v>4.5720000000000001</v>
      </c>
      <c r="H68" s="26">
        <f>G68*D68</f>
        <v>9.1440000000000001</v>
      </c>
      <c r="I68" s="26">
        <f>VLOOKUP(C66,Z321:AJ334,8,FALSE)</f>
        <v>10.38</v>
      </c>
      <c r="J68" s="27">
        <f>I68*D68</f>
        <v>20.76</v>
      </c>
      <c r="M68" s="64"/>
    </row>
    <row r="69" spans="2:15" ht="15.75">
      <c r="B69" s="22"/>
      <c r="C69" s="23" t="str">
        <f>VLOOKUP(C66,Z321:AJ334,9,FALSE)</f>
        <v>Втулка лабиринтная ПТКБ.305314.103-616</v>
      </c>
      <c r="D69" s="25">
        <f>D67</f>
        <v>2</v>
      </c>
      <c r="E69" s="25"/>
      <c r="F69" s="25" t="s">
        <v>13</v>
      </c>
      <c r="G69" s="26">
        <f>VLOOKUP(C66,Z321:AJ334,10,FALSE)</f>
        <v>0.26800000000000002</v>
      </c>
      <c r="H69" s="26">
        <f>G69*D69</f>
        <v>0.53600000000000003</v>
      </c>
      <c r="I69" s="26">
        <f>VLOOKUP(C66,Z321:AJ334,11,FALSE)</f>
        <v>1.42</v>
      </c>
      <c r="J69" s="27">
        <f>I69*D69</f>
        <v>2.84</v>
      </c>
      <c r="M69" s="64"/>
    </row>
    <row r="70" spans="2:15" ht="15.75">
      <c r="B70" s="22"/>
      <c r="C70" s="70" t="str">
        <f>VLOOKUP(C66,Z321:AJ334,2,FALSE)</f>
        <v>Подшипник 3616 ГОСТ 5721-75 (22316)</v>
      </c>
      <c r="D70" s="25">
        <f>D66</f>
        <v>2</v>
      </c>
      <c r="E70" s="25" t="s">
        <v>13</v>
      </c>
      <c r="F70" s="25"/>
      <c r="G70" s="23"/>
      <c r="H70" s="23"/>
      <c r="I70" s="23"/>
      <c r="J70" s="78"/>
      <c r="M70" s="64"/>
    </row>
    <row r="71" spans="2:15" ht="15.75">
      <c r="B71" s="22"/>
      <c r="C71" s="23" t="str">
        <f>IF('[1]Тяговый расчет'!E287="В","Рама",IF('[1]Тяговый расчет'!E287="ТГ","Тележка",IF('[1]Тяговый расчет'!E287="Л","Тележка",IF('[1]Тяговый расчет'!E287="Р","Рама"))))</f>
        <v>Рама</v>
      </c>
      <c r="D71" s="25">
        <f>D64</f>
        <v>1</v>
      </c>
      <c r="E71" s="25"/>
      <c r="F71" s="25" t="s">
        <v>13</v>
      </c>
      <c r="G71" s="26">
        <f>IF('[1]Тяговый расчет'!E326="-",0,'[1]Тяговый расчет'!E326)</f>
        <v>120</v>
      </c>
      <c r="H71" s="26">
        <f>G71*D71</f>
        <v>120</v>
      </c>
      <c r="I71" s="26">
        <f>G71*1.3</f>
        <v>156</v>
      </c>
      <c r="J71" s="27">
        <f>I71*D71</f>
        <v>156</v>
      </c>
      <c r="M71" s="64"/>
    </row>
    <row r="72" spans="2:15" s="21" customFormat="1" ht="15.75">
      <c r="B72" s="22"/>
      <c r="C72" s="70" t="str">
        <f>IF('[1]Тяговый расчет'!E321="-","-","Канат "&amp;'[1]Тяговый расчет'!E321&amp;" "&amp;"ГОСТ 7665-80")</f>
        <v>-</v>
      </c>
      <c r="D72" s="25" t="str">
        <f>IF('[1]Тяговый расчет'!G321="-","-",'[1]Тяговый расчет'!G321)</f>
        <v>-</v>
      </c>
      <c r="E72" s="25" t="s">
        <v>13</v>
      </c>
      <c r="F72" s="25"/>
      <c r="G72" s="26"/>
      <c r="H72" s="26"/>
      <c r="I72" s="26"/>
      <c r="J72" s="27"/>
      <c r="M72" s="64"/>
      <c r="O72" s="1"/>
    </row>
    <row r="73" spans="2:15" s="21" customFormat="1" ht="15.75">
      <c r="B73" s="22"/>
      <c r="C73" s="23" t="str">
        <f>IF('[1]Тяговый расчет'!G320="-","-",'[1]Тяговый расчет'!B320)</f>
        <v>Груз чугунный 90кг</v>
      </c>
      <c r="D73" s="25">
        <f>IF('[1]Тяговый расчет'!G320="-",0,'[1]Тяговый расчет'!G320)</f>
        <v>13</v>
      </c>
      <c r="E73" s="25"/>
      <c r="F73" s="25" t="s">
        <v>13</v>
      </c>
      <c r="G73" s="26">
        <f>IF(D73=0,0,90)</f>
        <v>90</v>
      </c>
      <c r="H73" s="26">
        <f>G73*D73</f>
        <v>1170</v>
      </c>
      <c r="I73" s="26">
        <f>IF(D73=0,0,105)</f>
        <v>105</v>
      </c>
      <c r="J73" s="27">
        <f>I73*D73</f>
        <v>1365</v>
      </c>
      <c r="M73" s="64"/>
      <c r="O73" s="1"/>
    </row>
    <row r="74" spans="2:15" s="21" customFormat="1" ht="15.75">
      <c r="B74" s="22"/>
      <c r="C74" s="23" t="str">
        <f>IF('[1]Тяговый расчет'!E287="В","-",IF('[1]Тяговый расчет'!E287="Р","-","Обойма блочная "&amp;'[1]Тяговый расчет'!E319))</f>
        <v>-</v>
      </c>
      <c r="D74" s="25">
        <f>IF('[1]Тяговый расчет'!G319="-",0,'[1]Тяговый расчет'!G319)</f>
        <v>0</v>
      </c>
      <c r="E74" s="25"/>
      <c r="F74" s="25" t="s">
        <v>13</v>
      </c>
      <c r="G74" s="26">
        <f>IF('[1]Тяговый расчет'!E319="Ø250",50,IF('[1]Тяговый расчет'!E319="Ø315",75,IF('[1]Тяговый расчет'!E319="-",0)))</f>
        <v>0</v>
      </c>
      <c r="H74" s="26">
        <f>G74*D74</f>
        <v>0</v>
      </c>
      <c r="I74" s="26">
        <f>G74*1.3</f>
        <v>0</v>
      </c>
      <c r="J74" s="27">
        <f>I74*D74</f>
        <v>0</v>
      </c>
      <c r="M74" s="64"/>
      <c r="O74" s="1"/>
    </row>
    <row r="75" spans="2:15" s="21" customFormat="1" ht="15.75">
      <c r="B75" s="22"/>
      <c r="C75" s="79" t="str">
        <f>IF('[1]Тяговый расчет'!E287="В","-",IF('[1]Тяговый расчет'!E287="Р","-",IF('[1]Тяговый расчет'!E319="Ø250","Подшипник 12209 ГОСТ 8328",IF('[1]Тяговый расчет'!E319="Ø315","Подшипник 12211 ГОСТ 8328","-"))))</f>
        <v>-</v>
      </c>
      <c r="D75" s="25">
        <f>IF('[1]Тяговый расчет'!G319="-",0,D74*2)</f>
        <v>0</v>
      </c>
      <c r="E75" s="25" t="s">
        <v>13</v>
      </c>
      <c r="F75" s="25"/>
      <c r="G75" s="26"/>
      <c r="H75" s="26"/>
      <c r="I75" s="26"/>
      <c r="J75" s="27"/>
      <c r="M75" s="64"/>
      <c r="O75" s="1"/>
    </row>
    <row r="76" spans="2:15" s="21" customFormat="1" ht="15.75">
      <c r="B76" s="22"/>
      <c r="C76" s="23" t="str">
        <f>IF('[1]Тяговый расчет'!G318="-","-","Амортизатор "&amp;'[1]Тяговый расчет'!I318)</f>
        <v>-</v>
      </c>
      <c r="D76" s="25">
        <f>IF('[1]Тяговый расчет'!G318="-",0,'[1]Тяговый расчет'!G318)</f>
        <v>0</v>
      </c>
      <c r="E76" s="25"/>
      <c r="F76" s="25" t="s">
        <v>13</v>
      </c>
      <c r="G76" s="26">
        <f>'[1]Тяговый расчет'!H318</f>
        <v>0</v>
      </c>
      <c r="H76" s="26">
        <f>G76*D76</f>
        <v>0</v>
      </c>
      <c r="I76" s="26">
        <f>G76*1.3</f>
        <v>0</v>
      </c>
      <c r="J76" s="27">
        <f>I76*D76</f>
        <v>0</v>
      </c>
      <c r="M76" s="64"/>
      <c r="O76" s="1"/>
    </row>
    <row r="77" spans="2:15" s="21" customFormat="1" ht="15.75">
      <c r="B77" s="22"/>
      <c r="C77" s="65" t="str">
        <f>IF('[1]Тяговый расчет'!G317="-","-","Лебёдка электрическая "&amp;'[1]Тяговый расчет'!E317&amp;" "&amp;'[1]Тяговый расчет'!I317)</f>
        <v>-</v>
      </c>
      <c r="D77" s="25" t="str">
        <f>'[1]Тяговый расчет'!G317</f>
        <v>-</v>
      </c>
      <c r="E77" s="25" t="s">
        <v>13</v>
      </c>
      <c r="F77" s="25"/>
      <c r="G77" s="26"/>
      <c r="H77" s="26"/>
      <c r="I77" s="26"/>
      <c r="J77" s="27"/>
      <c r="M77" s="64"/>
      <c r="O77" s="1"/>
    </row>
    <row r="78" spans="2:15" ht="16.5" thickBot="1">
      <c r="B78" s="80"/>
      <c r="C78" s="81" t="str">
        <f>IF('[1]Тяговый расчет'!D327="-","-","Траверса")</f>
        <v>-</v>
      </c>
      <c r="D78" s="30">
        <f>IF('[1]Тяговый расчет'!D327="-",0,'[1]Тяговый расчет'!D327)</f>
        <v>0</v>
      </c>
      <c r="E78" s="30"/>
      <c r="F78" s="30" t="s">
        <v>13</v>
      </c>
      <c r="G78" s="31">
        <f>IF('[1]Тяговый расчет'!D327="-",0,'[1]Тяговый расчет'!E327)</f>
        <v>0</v>
      </c>
      <c r="H78" s="31">
        <f>G78*D78</f>
        <v>0</v>
      </c>
      <c r="I78" s="31">
        <f>G78*1.3</f>
        <v>0</v>
      </c>
      <c r="J78" s="49">
        <f>I78*D78</f>
        <v>0</v>
      </c>
      <c r="M78" s="64"/>
      <c r="O78" s="21"/>
    </row>
    <row r="79" spans="2:15" ht="15.75">
      <c r="B79" s="82" t="str">
        <f>IF('[1]Тяговый расчет'!I331="-","-",'[1]Тяговый расчет'!A331)</f>
        <v>Ловитель конвейерной ленты В-1000</v>
      </c>
      <c r="C79" s="18"/>
      <c r="D79" s="83">
        <f>IF('[1]Тяговый расчет'!I331="-",0,'[1]Тяговый расчет'!I331)</f>
        <v>18</v>
      </c>
      <c r="E79" s="84"/>
      <c r="F79" s="85" t="s">
        <v>13</v>
      </c>
      <c r="G79" s="86">
        <f>IF('[1]Тяговый расчет'!I331="-",0,VLOOKUP('[1]Подбор роликов'!C4,'Материальная ведомость'!AC272:AI279,4,FALSE))</f>
        <v>12</v>
      </c>
      <c r="H79" s="19">
        <f>G79*D79</f>
        <v>216</v>
      </c>
      <c r="I79" s="19">
        <f>G79*1.03</f>
        <v>12.36</v>
      </c>
      <c r="J79" s="20">
        <f>I79*D79</f>
        <v>222.48</v>
      </c>
      <c r="M79" s="64"/>
    </row>
    <row r="80" spans="2:15" ht="52.5" customHeight="1">
      <c r="B80" s="87" t="str">
        <f>IF('[1]Тяговый расчет'!I332="-","-",CONCATENATE('[1]Тяговый расчет'!A332,'[1]Тяговый расчет'!F332))</f>
        <v>Скребок для первичной очистки ленты В-1000 Ø барабана 500мм, лента резинотканевая, скорость ленты 1,4 м/с, транспортируемый груз - шлак ванадиевый, кусковатость до 50 мм, температура окружающей среды -20…+30°С</v>
      </c>
      <c r="C80" s="88"/>
      <c r="D80" s="24">
        <f>IF('[1]Тяговый расчет'!I332="-",0,'[1]Тяговый расчет'!I332)</f>
        <v>1</v>
      </c>
      <c r="E80" s="25" t="s">
        <v>13</v>
      </c>
      <c r="F80" s="25"/>
      <c r="G80" s="26"/>
      <c r="H80" s="26"/>
      <c r="I80" s="26"/>
      <c r="J80" s="27"/>
      <c r="M80" s="64"/>
    </row>
    <row r="81" spans="1:15" ht="15.75">
      <c r="B81" s="89" t="str">
        <f>IF('[1]Тяговый расчет'!I333="-","-",CONCATENATE('[1]Тяговый расчет'!A333,'[1]Тяговый расчет'!F333))</f>
        <v>-</v>
      </c>
      <c r="C81" s="90"/>
      <c r="D81" s="24">
        <f>IF('[1]Тяговый расчет'!I333="-",0,'[1]Тяговый расчет'!I333)</f>
        <v>0</v>
      </c>
      <c r="E81" s="25" t="s">
        <v>13</v>
      </c>
      <c r="F81" s="25"/>
      <c r="G81" s="26"/>
      <c r="H81" s="26"/>
      <c r="I81" s="26"/>
      <c r="J81" s="27"/>
      <c r="M81" s="64"/>
    </row>
    <row r="82" spans="1:15" ht="16.5" thickBot="1">
      <c r="B82" s="91" t="str">
        <f>IF('[1]Тяговый расчет'!I334="-","-",'[1]Тяговый расчет'!A334)</f>
        <v>Плужковое очистное устройство В-1000</v>
      </c>
      <c r="C82" s="92"/>
      <c r="D82" s="24">
        <f>IF('[1]Тяговый расчет'!I334="-",0,'[1]Тяговый расчет'!I334)</f>
        <v>2</v>
      </c>
      <c r="E82" s="25"/>
      <c r="F82" s="25" t="s">
        <v>13</v>
      </c>
      <c r="G82" s="26">
        <f>IF('[1]Тяговый расчет'!I334="-",0,VLOOKUP('[1]Подбор роликов'!C4,'Материальная ведомость'!AC272:AI279,5,FALSE))</f>
        <v>35</v>
      </c>
      <c r="H82" s="26">
        <f>G82*D82</f>
        <v>70</v>
      </c>
      <c r="I82" s="26">
        <f>G82*1.03</f>
        <v>36.050000000000004</v>
      </c>
      <c r="J82" s="27">
        <f>I82*D82</f>
        <v>72.100000000000009</v>
      </c>
      <c r="M82" s="64"/>
    </row>
    <row r="83" spans="1:15" ht="52.5" customHeight="1">
      <c r="B83" s="93" t="str">
        <f>IF('[1]Тяговый расчет'!I335="-","-",CONCATENATE('[1]Тяговый расчет'!A335,'[1]Тяговый расчет'!F335))</f>
        <v>Щетка вращающаяся электрическая В-1000 В сборе с электродвигателем (380В, 50Гц), Ø барабана 500мм, лента резинотканевая, скорость ленты 1,4 м/с, транспортируемый груз - шлак ванадиевый, кусковатость до 50 мм, температура окружающей среды -20…+30°С</v>
      </c>
      <c r="C83" s="94"/>
      <c r="D83" s="17">
        <f>IF('[1]Тяговый расчет'!I335="-",0,'[1]Тяговый расчет'!I335)</f>
        <v>1</v>
      </c>
      <c r="E83" s="95" t="s">
        <v>13</v>
      </c>
      <c r="F83" s="95"/>
      <c r="G83" s="96"/>
      <c r="H83" s="19"/>
      <c r="I83" s="19"/>
      <c r="J83" s="20"/>
      <c r="M83" s="64"/>
    </row>
    <row r="84" spans="1:15" ht="15.75">
      <c r="B84" s="97" t="str">
        <f>IF('[1]Тяговый расчет'!I336="-","-",'[1]Тяговый расчет'!A336)</f>
        <v>-</v>
      </c>
      <c r="C84" s="98"/>
      <c r="D84" s="24">
        <f>IF('[1]Тяговый расчет'!I336="-",0,'[1]Тяговый расчет'!I336)</f>
        <v>0</v>
      </c>
      <c r="E84" s="25"/>
      <c r="F84" s="25" t="s">
        <v>13</v>
      </c>
      <c r="G84" s="26">
        <f>IF('[1]Тяговый расчет'!I336="-",0,VLOOKUP('[1]Подбор роликов'!C4,'Материальная ведомость'!AC272:AI279,6,FALSE))</f>
        <v>0</v>
      </c>
      <c r="H84" s="26">
        <f>G84*D84</f>
        <v>0</v>
      </c>
      <c r="I84" s="26">
        <f>G84*1.03</f>
        <v>0</v>
      </c>
      <c r="J84" s="27">
        <f>I84*D84</f>
        <v>0</v>
      </c>
      <c r="M84" s="64"/>
    </row>
    <row r="85" spans="1:15" ht="15.75">
      <c r="B85" s="97" t="str">
        <f>IF('[1]Тяговый расчет'!I337="-","-",'[1]Тяговый расчет'!A337)</f>
        <v>Очиститель барабана неприводного В-1000</v>
      </c>
      <c r="C85" s="98"/>
      <c r="D85" s="24">
        <f>IF('[1]Тяговый расчет'!I337="-",0,'[1]Тяговый расчет'!I337)</f>
        <v>5</v>
      </c>
      <c r="E85" s="25"/>
      <c r="F85" s="25" t="s">
        <v>13</v>
      </c>
      <c r="G85" s="26">
        <f>IF('[1]Тяговый расчет'!I337="-",0,VLOOKUP('[1]Подбор роликов'!C4,'Материальная ведомость'!AC272:AI279,6,FALSE))</f>
        <v>10</v>
      </c>
      <c r="H85" s="26">
        <f>G85*D85</f>
        <v>50</v>
      </c>
      <c r="I85" s="26">
        <f>G85*1.03</f>
        <v>10.3</v>
      </c>
      <c r="J85" s="27">
        <f>I85*D85</f>
        <v>51.5</v>
      </c>
      <c r="M85" s="64"/>
    </row>
    <row r="86" spans="1:15" ht="16.5" thickBot="1">
      <c r="B86" s="91" t="str">
        <f>IF('[1]Тяговый расчет'!I338="-","-",'[1]Тяговый расчет'!A338)</f>
        <v>-</v>
      </c>
      <c r="C86" s="92"/>
      <c r="D86" s="24">
        <f>IF('[1]Тяговый расчет'!I338="-",0,'[1]Тяговый расчет'!I338)</f>
        <v>0</v>
      </c>
      <c r="E86" s="25"/>
      <c r="F86" s="25" t="s">
        <v>13</v>
      </c>
      <c r="G86" s="26">
        <f>IF('[1]Тяговый расчет'!I338="-",0,VLOOKUP('[1]Подбор роликов'!C4,'Материальная ведомость'!AC272:AI279,7,FALSE))</f>
        <v>0</v>
      </c>
      <c r="H86" s="26">
        <f>G86*D86</f>
        <v>0</v>
      </c>
      <c r="I86" s="26">
        <f>G86*1.03</f>
        <v>0</v>
      </c>
      <c r="J86" s="27">
        <f>I86*D86</f>
        <v>0</v>
      </c>
      <c r="M86" s="64"/>
    </row>
    <row r="87" spans="1:15" ht="15.75">
      <c r="B87" s="71" t="str">
        <f>IF('[1]Тяговый расчет'!M50="ДА","Стол загрузочный В-"&amp;'[1]Подбор роликов'!C4,"-")</f>
        <v>-</v>
      </c>
      <c r="C87" s="72"/>
      <c r="D87" s="73">
        <f>IF('[1]Тяговый расчет'!M50="ДА",'[1]Тяговый расчет'!M52,0)</f>
        <v>0</v>
      </c>
      <c r="E87" s="74"/>
      <c r="F87" s="74"/>
      <c r="G87" s="75"/>
      <c r="H87" s="75"/>
      <c r="I87" s="75"/>
      <c r="J87" s="99"/>
      <c r="M87" s="64"/>
    </row>
    <row r="88" spans="1:15">
      <c r="B88" s="100"/>
      <c r="C88" s="101" t="str">
        <f>IF(B87="-","-","Рама")</f>
        <v>-</v>
      </c>
      <c r="D88" s="25">
        <f>D87</f>
        <v>0</v>
      </c>
      <c r="E88" s="25"/>
      <c r="F88" s="25" t="s">
        <v>13</v>
      </c>
      <c r="G88" s="26" t="str">
        <f>IF(C88="-","0",VLOOKUP('[1]Подбор роликов'!C4,'Материальная ведомость'!AC272:AI279,2,FALSE))</f>
        <v>0</v>
      </c>
      <c r="H88" s="26">
        <f>G88*D88</f>
        <v>0</v>
      </c>
      <c r="I88" s="26">
        <f>G88*1.03</f>
        <v>0</v>
      </c>
      <c r="J88" s="27">
        <f>I88*D88</f>
        <v>0</v>
      </c>
      <c r="M88" s="64"/>
    </row>
    <row r="89" spans="1:15">
      <c r="B89" s="100"/>
      <c r="C89" s="102" t="str">
        <f>IF(B87="-","-","Балки амортизационные 75х100х1500 (кол-во "&amp;VLOOKUP('[1]Тяговый расчет'!F3,'[1]Нормативные данные'!A210:G216,7,FALSE)&amp;" - 1 комплект) + комплект крепежа")</f>
        <v>-</v>
      </c>
      <c r="D89" s="103">
        <f>D87</f>
        <v>0</v>
      </c>
      <c r="E89" s="25" t="s">
        <v>13</v>
      </c>
      <c r="F89" s="25"/>
      <c r="G89" s="26"/>
      <c r="H89" s="26"/>
      <c r="I89" s="26"/>
      <c r="J89" s="27"/>
      <c r="M89" s="64"/>
    </row>
    <row r="90" spans="1:15">
      <c r="B90" s="100"/>
      <c r="C90" s="104" t="str">
        <f>IF(B87="-","-","Демпфер (СЗУБ080.127.02.01.200)")</f>
        <v>-</v>
      </c>
      <c r="D90" s="25">
        <f>VLOOKUP('[1]Подбор роликов'!C4,'Материальная ведомость'!AC272:AJ279,8,FALSE)*D87</f>
        <v>0</v>
      </c>
      <c r="E90" s="25"/>
      <c r="F90" s="25" t="s">
        <v>13</v>
      </c>
      <c r="G90" s="26" t="str">
        <f>IF(C90="-","0",6)</f>
        <v>0</v>
      </c>
      <c r="H90" s="26">
        <f>G90*D90</f>
        <v>0</v>
      </c>
      <c r="I90" s="26">
        <f>G90*1.03</f>
        <v>0</v>
      </c>
      <c r="J90" s="27">
        <f>I90*D90</f>
        <v>0</v>
      </c>
      <c r="M90" s="64"/>
    </row>
    <row r="91" spans="1:15" ht="15.75" thickBot="1">
      <c r="B91" s="105"/>
      <c r="C91" s="106" t="str">
        <f>IF(B87="-","-","Уплотнительная резина для лотков загрузки (ширина/толщина - 200мм/10мм), п.м.")</f>
        <v>-</v>
      </c>
      <c r="D91" s="30">
        <f>10*D87</f>
        <v>0</v>
      </c>
      <c r="E91" s="30" t="s">
        <v>13</v>
      </c>
      <c r="F91" s="36"/>
      <c r="G91" s="37"/>
      <c r="H91" s="37"/>
      <c r="I91" s="37"/>
      <c r="J91" s="107"/>
      <c r="M91" s="64"/>
    </row>
    <row r="92" spans="1:15" ht="15.75">
      <c r="B92" s="108" t="str">
        <f>'[1]Тяговый расчет'!A46&amp;" "&amp;'[1]Тяговый расчет'!B47</f>
        <v>Роликоопора желобчатая верхняя гладкая ЖГ100-127-30</v>
      </c>
      <c r="C92" s="109"/>
      <c r="D92" s="73">
        <f>'[1]Тяговый расчет'!F47</f>
        <v>122</v>
      </c>
      <c r="E92" s="74"/>
      <c r="F92" s="74" t="s">
        <v>13</v>
      </c>
      <c r="G92" s="75"/>
      <c r="H92" s="76"/>
      <c r="I92" s="76"/>
      <c r="J92" s="77"/>
      <c r="M92" s="64"/>
      <c r="O92" s="110"/>
    </row>
    <row r="93" spans="1:15">
      <c r="B93" s="111"/>
      <c r="C93" s="101" t="str">
        <f>IF(B92="-","-","Роликоопора ВЖ"&amp;'[1]Тяговый расчет'!R405&amp;"."&amp;'[1]Подбор роликов'!B15&amp;"."&amp;'[1]Подбор роликов'!C14)</f>
        <v>Роликоопора ВЖ100.127.30</v>
      </c>
      <c r="D93" s="25">
        <f>D92</f>
        <v>122</v>
      </c>
      <c r="E93" s="25"/>
      <c r="F93" s="25" t="s">
        <v>13</v>
      </c>
      <c r="G93" s="25">
        <f>VLOOKUP('[1]Тяговый расчет'!$F$3,$AC$273:$AI$279,3,FALSE)</f>
        <v>20</v>
      </c>
      <c r="H93" s="25">
        <f>G93*D93</f>
        <v>2440</v>
      </c>
      <c r="I93" s="25">
        <f>G93*1.03</f>
        <v>20.6</v>
      </c>
      <c r="J93" s="112">
        <f>I93*D93</f>
        <v>2513.2000000000003</v>
      </c>
    </row>
    <row r="94" spans="1:15">
      <c r="A94" s="113"/>
      <c r="B94" s="114"/>
      <c r="C94" s="101" t="str">
        <f>"Ролик гладкий "&amp;'[1]Тяговый расчет'!C43</f>
        <v>Ролик гладкий ГФУ 127х380 подш.305</v>
      </c>
      <c r="D94" s="25">
        <f>D93*3</f>
        <v>366</v>
      </c>
      <c r="E94" s="25"/>
      <c r="F94" s="25" t="s">
        <v>13</v>
      </c>
      <c r="G94" s="26">
        <f>'[1]Подбор роликов'!C20</f>
        <v>8.5164410064399974</v>
      </c>
      <c r="H94" s="26">
        <f>G94*D94</f>
        <v>3117.0174083570391</v>
      </c>
      <c r="I94" s="26">
        <f>G94*1.03</f>
        <v>8.7719342366331983</v>
      </c>
      <c r="J94" s="27">
        <f>I94*D94</f>
        <v>3210.5279306077505</v>
      </c>
      <c r="M94" s="64"/>
    </row>
    <row r="95" spans="1:15">
      <c r="A95" s="113"/>
      <c r="B95" s="114"/>
      <c r="C95" s="115" t="str">
        <f>"Подшипник "&amp;'[1]Подбор роликов'!D18&amp;'[1]Подбор роликов'!B18&amp;" ГОСТ 7242-81"</f>
        <v>Подшипник 60305 ГОСТ 7242-81</v>
      </c>
      <c r="D95" s="25">
        <f>D94*2</f>
        <v>732</v>
      </c>
      <c r="E95" s="25" t="s">
        <v>13</v>
      </c>
      <c r="F95" s="25"/>
      <c r="G95" s="116">
        <f>VLOOKUP('[1]Подбор роликов'!B18,'[1]Подбор роликов'!K102:Q108,7)</f>
        <v>0.23</v>
      </c>
      <c r="H95" s="26"/>
      <c r="I95" s="26"/>
      <c r="J95" s="27"/>
      <c r="M95" s="64"/>
    </row>
    <row r="96" spans="1:15" ht="15.75" thickBot="1">
      <c r="A96" s="113"/>
      <c r="B96" s="117"/>
      <c r="C96" s="118" t="str">
        <f>IF('[1]Подбор роликов'!$L$20="ДА",VLOOKUP('[1]Подбор роликов'!$B$18,$AC$284:$AD$288,2),"")</f>
        <v/>
      </c>
      <c r="D96" s="119" t="str">
        <f>IF(C96&lt;&gt;"",D95,"-")</f>
        <v>-</v>
      </c>
      <c r="E96" s="119" t="str">
        <f>IF(C96&lt;&gt;"",E95,"-")</f>
        <v>-</v>
      </c>
      <c r="F96" s="119"/>
      <c r="G96" s="120"/>
      <c r="H96" s="121"/>
      <c r="I96" s="121"/>
      <c r="J96" s="122"/>
      <c r="M96" s="64"/>
    </row>
    <row r="97" spans="1:13" ht="15.75">
      <c r="A97" s="113"/>
      <c r="B97" s="108" t="str">
        <f>IF('[1]Тяговый расчет'!H66="НЕТ","-",'[1]Тяговый расчет'!A66&amp;" "&amp;'[1]Тяговый расчет'!B67)</f>
        <v>-</v>
      </c>
      <c r="C97" s="109"/>
      <c r="D97" s="73">
        <f>IF('[1]Тяговый расчет'!H66="НЕТ",0,'[1]Тяговый расчет'!F67)</f>
        <v>0</v>
      </c>
      <c r="E97" s="74"/>
      <c r="F97" s="74" t="s">
        <v>13</v>
      </c>
      <c r="G97" s="75"/>
      <c r="H97" s="76"/>
      <c r="I97" s="76"/>
      <c r="J97" s="77"/>
      <c r="M97" s="64"/>
    </row>
    <row r="98" spans="1:13">
      <c r="A98" s="113"/>
      <c r="B98" s="114"/>
      <c r="C98" s="101" t="str">
        <f>IF(B97="-","-","Роликоопора ВЖ"&amp;'[1]Тяговый расчет'!R405&amp;"."&amp;'[1]Подбор роликов'!B15&amp;"."&amp;'[1]Тяговый расчет'!H67&amp;".03.000")</f>
        <v>-</v>
      </c>
      <c r="D98" s="25">
        <f>D97</f>
        <v>0</v>
      </c>
      <c r="E98" s="25"/>
      <c r="F98" s="25" t="s">
        <v>13</v>
      </c>
      <c r="G98" s="116">
        <f>IF(B97="-",0,VLOOKUP('[1]Тяговый расчет'!$F$3,$AC$273:$AI$279,3,FALSE))</f>
        <v>0</v>
      </c>
      <c r="H98" s="26">
        <f>G98*D98</f>
        <v>0</v>
      </c>
      <c r="I98" s="26">
        <f>G98*1.03</f>
        <v>0</v>
      </c>
      <c r="J98" s="27">
        <f>I98*D98</f>
        <v>0</v>
      </c>
      <c r="M98" s="64"/>
    </row>
    <row r="99" spans="1:13">
      <c r="A99" s="113"/>
      <c r="B99" s="114"/>
      <c r="C99" s="101" t="str">
        <f>IF(B97="-","-","Ролик гладкий "&amp;'[1]Тяговый расчет'!C43)</f>
        <v>-</v>
      </c>
      <c r="D99" s="25">
        <f>D98*3</f>
        <v>0</v>
      </c>
      <c r="E99" s="25"/>
      <c r="F99" s="25" t="s">
        <v>13</v>
      </c>
      <c r="G99" s="116">
        <f>IF(B97="-",0,'[1]Подбор роликов'!C20)</f>
        <v>0</v>
      </c>
      <c r="H99" s="26">
        <f>G99*D99</f>
        <v>0</v>
      </c>
      <c r="I99" s="26">
        <f>G99*1.03</f>
        <v>0</v>
      </c>
      <c r="J99" s="27">
        <f>I99*D99</f>
        <v>0</v>
      </c>
      <c r="M99" s="64"/>
    </row>
    <row r="100" spans="1:13">
      <c r="A100" s="113"/>
      <c r="B100" s="114"/>
      <c r="C100" s="115" t="str">
        <f>IF(B97="-","-","Подшипник "&amp;'[1]Подбор роликов'!D18&amp;'[1]Подбор роликов'!B18&amp;" ГОСТ 7242-81")</f>
        <v>-</v>
      </c>
      <c r="D100" s="25">
        <f>D99*2</f>
        <v>0</v>
      </c>
      <c r="E100" s="25" t="s">
        <v>13</v>
      </c>
      <c r="F100" s="25"/>
      <c r="G100" s="116">
        <f>IF(B97="-",0,VLOOKUP('[1]Подбор роликов'!B18,'[1]Подбор роликов'!K102:Q108,7))</f>
        <v>0</v>
      </c>
      <c r="H100" s="26"/>
      <c r="I100" s="26"/>
      <c r="J100" s="27"/>
      <c r="M100" s="64"/>
    </row>
    <row r="101" spans="1:13" ht="15.75" thickBot="1">
      <c r="A101" s="113"/>
      <c r="B101" s="123"/>
      <c r="C101" s="124" t="str">
        <f>IF('[1]Тяговый расчет'!H66="ДА",IF('[1]Подбор роликов'!$L$20="ДА",VLOOKUP('[1]Подбор роликов'!$B$18,$AC$284:$AD$288,2),""),"-")</f>
        <v>-</v>
      </c>
      <c r="D101" s="125">
        <f>IF(C101&lt;&gt;"",D100,"-")</f>
        <v>0</v>
      </c>
      <c r="E101" s="125" t="str">
        <f>IF(C101&lt;&gt;"",E100,"-")</f>
        <v>+</v>
      </c>
      <c r="F101" s="36"/>
      <c r="G101" s="126"/>
      <c r="H101" s="37"/>
      <c r="I101" s="37"/>
      <c r="J101" s="107"/>
      <c r="M101" s="64"/>
    </row>
    <row r="102" spans="1:13" ht="15.75">
      <c r="B102" s="108" t="str">
        <f>'[1]Тяговый расчет'!A55&amp;" "&amp;'[1]Тяговый расчет'!B56</f>
        <v>Роликоопора желобчатая амортизирующая ЖА100-127-30</v>
      </c>
      <c r="C102" s="109"/>
      <c r="D102" s="73">
        <f>IF('[1]Тяговый расчет'!M50="ДА",'[1]Тяговый расчет'!H56,'[1]Тяговый расчет'!F56)</f>
        <v>0</v>
      </c>
      <c r="E102" s="74"/>
      <c r="F102" s="74"/>
      <c r="G102" s="75"/>
      <c r="H102" s="76"/>
      <c r="I102" s="76"/>
      <c r="J102" s="77"/>
      <c r="M102" s="64"/>
    </row>
    <row r="103" spans="1:13">
      <c r="B103" s="111"/>
      <c r="C103" s="23" t="str">
        <f>IF(B102="-","-","Роликоопора ЖА"&amp;'[1]Тяговый расчет'!R405&amp;"."&amp;'[1]Подбор роликов'!B15&amp;"."&amp;'[1]Подбор роликов'!C14)</f>
        <v>Роликоопора ЖА100.127.30</v>
      </c>
      <c r="D103" s="25">
        <f>D102</f>
        <v>0</v>
      </c>
      <c r="E103" s="25"/>
      <c r="F103" s="25" t="s">
        <v>13</v>
      </c>
      <c r="G103" s="25">
        <f>IF(B102="-",0,VLOOKUP('[1]Тяговый расчет'!$F$3,$AC$273:$AI$279,3,FALSE))</f>
        <v>20</v>
      </c>
      <c r="H103" s="25">
        <f>G103*D103</f>
        <v>0</v>
      </c>
      <c r="I103" s="25">
        <f>G103*1.03</f>
        <v>20.6</v>
      </c>
      <c r="J103" s="112">
        <f>I103*D103</f>
        <v>0</v>
      </c>
    </row>
    <row r="104" spans="1:13">
      <c r="A104" s="113"/>
      <c r="B104" s="100"/>
      <c r="C104" s="101" t="str">
        <f>IF('[1]Подбор роликов'!B15=127,"Ролик гладкий РКА127.0"&amp;'[1]Подбор роликов'!B101&amp;" подш.306",IF('[1]Подбор роликов'!B15=159,"Ролик гладкий РКА159.0"&amp;'[1]Подбор роликов'!B101&amp;" подш.306"))</f>
        <v>Ролик гладкий РКА127.0380 подш.306</v>
      </c>
      <c r="D104" s="25">
        <f>D103*3</f>
        <v>0</v>
      </c>
      <c r="E104" s="25"/>
      <c r="F104" s="25" t="s">
        <v>13</v>
      </c>
      <c r="G104" s="26">
        <f>IF(B102="-",0,IF('[1]Подбор роликов'!B15=127,VLOOKUP('[1]Тяговый расчет'!F3,AF281:AJ287,3)-G105*2,IF('[1]Подбор роликов'!B15=159,VLOOKUP('[1]Тяговый расчет'!F3,AF281:AJ287,4)-G105*2,IF('[1]Подбор роликов'!B15=108,VLOOKUP('[1]Тяговый расчет'!F3,AF281:AJ287,2)-G105*2,VLOOKUP('[1]Тяговый расчет'!F3,AF281:AJ287,5)-G105*2))))</f>
        <v>7.8</v>
      </c>
      <c r="H104" s="26">
        <f>G104*D104</f>
        <v>0</v>
      </c>
      <c r="I104" s="26">
        <f>G104*1.03</f>
        <v>8.0340000000000007</v>
      </c>
      <c r="J104" s="27">
        <f>I104*D104</f>
        <v>0</v>
      </c>
      <c r="M104" s="64"/>
    </row>
    <row r="105" spans="1:13">
      <c r="A105" s="113"/>
      <c r="B105" s="100"/>
      <c r="C105" s="115" t="str">
        <f>IF(B102="-","-","Подшипник 60306 ГОСТ 7242-81")</f>
        <v>Подшипник 60306 ГОСТ 7242-81</v>
      </c>
      <c r="D105" s="25">
        <f>D104*2</f>
        <v>0</v>
      </c>
      <c r="E105" s="25" t="s">
        <v>13</v>
      </c>
      <c r="F105" s="25"/>
      <c r="G105" s="116">
        <f>IF(C105="Подшипник 60306 ГОСТ 7242-81",0.35,IF(C105="Подшипник 6406 ГОСТ 7242-81",0.725,0))</f>
        <v>0.35</v>
      </c>
      <c r="H105" s="26"/>
      <c r="I105" s="26"/>
      <c r="J105" s="27"/>
      <c r="M105" s="64"/>
    </row>
    <row r="106" spans="1:13">
      <c r="A106" s="113"/>
      <c r="B106" s="100"/>
      <c r="C106" s="115" t="str">
        <f>IF('[1]Подбор роликов'!$L$20="ДА",VLOOKUP(306,$AC$284:$AD$288,2),"")</f>
        <v/>
      </c>
      <c r="D106" s="25" t="str">
        <f>IF(C106&lt;&gt;"",D105,"-")</f>
        <v>-</v>
      </c>
      <c r="E106" s="25" t="str">
        <f>IF(C106&lt;&gt;"",E105,"-")</f>
        <v>-</v>
      </c>
      <c r="F106" s="25"/>
      <c r="G106" s="116"/>
      <c r="H106" s="26"/>
      <c r="I106" s="26"/>
      <c r="J106" s="27"/>
      <c r="M106" s="64"/>
    </row>
    <row r="107" spans="1:13" ht="15.75" thickBot="1">
      <c r="A107" s="113"/>
      <c r="B107" s="127"/>
      <c r="C107" s="128" t="str">
        <f>IF('[1]Подбор роликов'!B15&lt;=127,"Кольцо РД89.127.30 - "&amp;FLOOR('[1]Подбор роликов'!B101/30,1)&amp;"шт. (Эколайн, резина ИРП1370)","Кольцо РД108.159.30 - "&amp;FLOOR('[1]Подбор роликов'!B101/30,1)&amp;"шт. (Эколайн, резина ИРП1370)")</f>
        <v>Кольцо РД89.127.30 - 12шт. (Эколайн, резина ИРП1370)</v>
      </c>
      <c r="D107" s="119">
        <f>FLOOR('[1]Подбор роликов'!B101/30,1)*D104</f>
        <v>0</v>
      </c>
      <c r="E107" s="119" t="s">
        <v>13</v>
      </c>
      <c r="F107" s="119"/>
      <c r="G107" s="121"/>
      <c r="H107" s="121"/>
      <c r="I107" s="121"/>
      <c r="J107" s="122"/>
      <c r="M107" s="64"/>
    </row>
    <row r="108" spans="1:13" ht="15.75">
      <c r="A108" s="113"/>
      <c r="B108" s="108" t="str">
        <f>IF('[1]Тяговый расчет'!H63="ДА",'[1]Тяговый расчет'!A63&amp;" "&amp;'[1]Тяговый расчет'!B64,"-")</f>
        <v>-</v>
      </c>
      <c r="C108" s="109"/>
      <c r="D108" s="129" t="str">
        <f>'[1]Тяговый расчет'!F64</f>
        <v>0</v>
      </c>
      <c r="E108" s="130"/>
      <c r="F108" s="130"/>
      <c r="G108" s="131"/>
      <c r="H108" s="132"/>
      <c r="I108" s="132"/>
      <c r="J108" s="133"/>
      <c r="M108" s="64"/>
    </row>
    <row r="109" spans="1:13" ht="15.75">
      <c r="A109" s="113"/>
      <c r="B109" s="22"/>
      <c r="C109" s="23" t="str">
        <f>IF('[1]Тяговый расчет'!H63="ДА","Роликоопора ПГ"&amp;'[1]Тяговый расчет'!R405&amp;"."&amp;'[1]Подбор роликов'!B15&amp;".01.001","-")</f>
        <v>-</v>
      </c>
      <c r="D109" s="25">
        <f>D108*2</f>
        <v>0</v>
      </c>
      <c r="E109" s="25"/>
      <c r="F109" s="25" t="s">
        <v>13</v>
      </c>
      <c r="G109" s="116">
        <f>IF(B108&lt;&gt;"-",IF('[1]Подбор роликов'!B200=127,0.931,IF('[1]Подбор роликов'!B200=159,1.8,2.5)),0)</f>
        <v>0</v>
      </c>
      <c r="H109" s="26">
        <f>G109*D109</f>
        <v>0</v>
      </c>
      <c r="I109" s="26">
        <f>G109*1.03</f>
        <v>0</v>
      </c>
      <c r="J109" s="27">
        <f>I109*D109</f>
        <v>0</v>
      </c>
      <c r="M109" s="64"/>
    </row>
    <row r="110" spans="1:13" ht="15.75">
      <c r="A110" s="113"/>
      <c r="B110" s="22"/>
      <c r="C110" s="23" t="str">
        <f>IF(B108="-","-","Ролик гладкий "&amp;'[1]Подбор роликов'!A205)</f>
        <v>-</v>
      </c>
      <c r="D110" s="25" t="str">
        <f>D108</f>
        <v>0</v>
      </c>
      <c r="E110" s="25"/>
      <c r="F110" s="25" t="s">
        <v>13</v>
      </c>
      <c r="G110" s="26">
        <f>IF('[1]Тяговый расчет'!H63="ДА",'[1]Подбор роликов'!C205,0)</f>
        <v>0</v>
      </c>
      <c r="H110" s="26">
        <f>G110*D110</f>
        <v>0</v>
      </c>
      <c r="I110" s="26">
        <f>G110*1.03</f>
        <v>0</v>
      </c>
      <c r="J110" s="27">
        <f>I110*D110</f>
        <v>0</v>
      </c>
      <c r="M110" s="64"/>
    </row>
    <row r="111" spans="1:13" ht="15.75">
      <c r="A111" s="113"/>
      <c r="B111" s="22"/>
      <c r="C111" s="115" t="str">
        <f>IF('[1]Тяговый расчет'!H63="ДА","Подшипник "&amp;'[1]Подбор роликов'!D203&amp;'[1]Подбор роликов'!B203&amp;" ГОСТ 7242-81","-")</f>
        <v>-</v>
      </c>
      <c r="D111" s="25">
        <f>IF(D110&gt;0,D110*2,0)</f>
        <v>0</v>
      </c>
      <c r="E111" s="25" t="s">
        <v>13</v>
      </c>
      <c r="F111" s="25"/>
      <c r="G111" s="116">
        <f>IF(C111="Подшипник 60305 ГОСТ 7242-81",0.232,IF(C111="Подшипник 60306 ГОСТ 7242-81",0.35,IF(C111="Подшипник 60307 ГОСТ 7242-81",0.46,0)))</f>
        <v>0</v>
      </c>
      <c r="H111" s="26"/>
      <c r="I111" s="26"/>
      <c r="J111" s="27"/>
      <c r="M111" s="64"/>
    </row>
    <row r="112" spans="1:13" ht="16.5" thickBot="1">
      <c r="A112" s="113"/>
      <c r="B112" s="134"/>
      <c r="C112" s="118" t="str">
        <f>IF('[1]Подбор роликов'!$L$20="ДА",VLOOKUP('[1]Подбор роликов'!B203,$AC$284:$AD$288,2),"")</f>
        <v/>
      </c>
      <c r="D112" s="119" t="str">
        <f>IF(C112&lt;&gt;"",D111,"-")</f>
        <v>-</v>
      </c>
      <c r="E112" s="119" t="str">
        <f>IF(C112&lt;&gt;"",E111,"-")</f>
        <v>-</v>
      </c>
      <c r="F112" s="119"/>
      <c r="G112" s="120"/>
      <c r="H112" s="121"/>
      <c r="I112" s="121"/>
      <c r="J112" s="122"/>
      <c r="M112" s="64"/>
    </row>
    <row r="113" spans="1:13" ht="15.75">
      <c r="A113" s="113"/>
      <c r="B113" s="108" t="str">
        <f>'[1]Тяговый расчет'!A75&amp;" "&amp;'[1]Тяговый расчет'!B76</f>
        <v>Роликоопора нижняя НГ100-127</v>
      </c>
      <c r="C113" s="109"/>
      <c r="D113" s="129">
        <f>'[1]Тяговый расчет'!F76</f>
        <v>54</v>
      </c>
      <c r="E113" s="130"/>
      <c r="F113" s="130"/>
      <c r="G113" s="131"/>
      <c r="H113" s="132"/>
      <c r="I113" s="132"/>
      <c r="J113" s="133"/>
      <c r="M113" s="64"/>
    </row>
    <row r="114" spans="1:13" ht="15.75">
      <c r="A114" s="113"/>
      <c r="B114" s="22"/>
      <c r="C114" s="23" t="str">
        <f>IF('[1]Подбор роликов'!I14="0°","Роликоопора НГ"&amp;'[1]Тяговый расчет'!R405&amp;"."&amp;'[1]Подбор роликов'!B15&amp;".01.001","Роликоопора v-образная")</f>
        <v>Роликоопора НГ100.127.01.001</v>
      </c>
      <c r="D114" s="25">
        <f>D113*2</f>
        <v>108</v>
      </c>
      <c r="E114" s="25"/>
      <c r="F114" s="25" t="s">
        <v>13</v>
      </c>
      <c r="G114" s="116">
        <f>IF(AND('[1]Подбор роликов'!H15=127,'[1]Подбор роликов'!I14="0°"),0.926,IF(AND('[1]Подбор роликов'!H15=159,'[1]Подбор роликов'!I14="0°"),1.111,IF(AND('[1]Подбор роликов'!H15=127,'[1]Подбор роликов'!I14="10°"),1.139,IF(AND('[1]Подбор роликов'!H15=159,'[1]Подбор роликов'!I14="10°"),1.232))))</f>
        <v>0.92600000000000005</v>
      </c>
      <c r="H114" s="26">
        <f>G114*D114</f>
        <v>100.00800000000001</v>
      </c>
      <c r="I114" s="26">
        <f>G114*1.03</f>
        <v>0.95378000000000007</v>
      </c>
      <c r="J114" s="27">
        <f>I114*D114</f>
        <v>103.00824</v>
      </c>
      <c r="M114" s="64"/>
    </row>
    <row r="115" spans="1:13" ht="15.75">
      <c r="A115" s="113"/>
      <c r="B115" s="22"/>
      <c r="C115" s="23" t="str">
        <f>"Ролик гладкий "&amp;'[1]Тяговый расчет'!C72</f>
        <v>Ролик гладкий ГФУ 127х1150 подш.305</v>
      </c>
      <c r="D115" s="25">
        <f>IF('[1]Подбор роликов'!I14="0°",'Материальная ведомость'!D113,IF('[1]Подбор роликов'!I14="10°",'Материальная ведомость'!D113*2))</f>
        <v>54</v>
      </c>
      <c r="E115" s="25"/>
      <c r="F115" s="25" t="s">
        <v>13</v>
      </c>
      <c r="G115" s="26">
        <f>'[1]Подбор роликов'!I20</f>
        <v>22.400430716800003</v>
      </c>
      <c r="H115" s="26">
        <f>G115*D115</f>
        <v>1209.6232587072002</v>
      </c>
      <c r="I115" s="26">
        <f>G115*1.03</f>
        <v>23.072443638304001</v>
      </c>
      <c r="J115" s="27">
        <f>I115*D115</f>
        <v>1245.9119564684161</v>
      </c>
      <c r="M115" s="64"/>
    </row>
    <row r="116" spans="1:13" ht="15.75">
      <c r="A116" s="113"/>
      <c r="B116" s="22"/>
      <c r="C116" s="79" t="str">
        <f>"Подшипник "&amp;'[1]Подбор роликов'!J18&amp;'[1]Подбор роликов'!H18&amp;" ГОСТ 7242-81"</f>
        <v>Подшипник 60305 ГОСТ 7242-81</v>
      </c>
      <c r="D116" s="25">
        <f>D115*2</f>
        <v>108</v>
      </c>
      <c r="E116" s="25" t="s">
        <v>13</v>
      </c>
      <c r="F116" s="25"/>
      <c r="G116" s="116">
        <f>VLOOKUP('[1]Подбор роликов'!H18,'[1]Подбор роликов'!K102:Q108,7)</f>
        <v>0.23</v>
      </c>
      <c r="H116" s="26"/>
      <c r="I116" s="26"/>
      <c r="J116" s="27"/>
      <c r="M116" s="64"/>
    </row>
    <row r="117" spans="1:13" ht="16.5" thickBot="1">
      <c r="A117" s="113"/>
      <c r="B117" s="134"/>
      <c r="C117" s="135" t="str">
        <f>IF('[1]Подбор роликов'!$L$20="ДА",VLOOKUP('[1]Подбор роликов'!$H$18,$AC$284:$AD$288,2),"")</f>
        <v/>
      </c>
      <c r="D117" s="119" t="str">
        <f>IF(C117&lt;&gt;"",D116,"-")</f>
        <v>-</v>
      </c>
      <c r="E117" s="119" t="str">
        <f>IF(C117&lt;&gt;"",E116,"-")</f>
        <v>-</v>
      </c>
      <c r="F117" s="119"/>
      <c r="G117" s="120"/>
      <c r="H117" s="121"/>
      <c r="I117" s="121"/>
      <c r="J117" s="122"/>
      <c r="M117" s="64"/>
    </row>
    <row r="118" spans="1:13" ht="15.75">
      <c r="A118" s="113"/>
      <c r="B118" s="136" t="str">
        <f>IF('[1]Тяговый расчет'!B59="-","-",'[1]Тяговый расчет'!A58&amp;" "&amp;'[1]Тяговый расчет'!B59)&amp;IF('[1]Тяговый расчет'!H58="двойная","-2",IF('[1]Тяговый расчет'!H58="тройная","-3",""))</f>
        <v>Роликоопора желобчатая верхняя центрирующая ЖЦГ100-127-30</v>
      </c>
      <c r="C118" s="137"/>
      <c r="D118" s="129">
        <f>'[1]Тяговый расчет'!F59</f>
        <v>11</v>
      </c>
      <c r="E118" s="130"/>
      <c r="F118" s="130"/>
      <c r="G118" s="138"/>
      <c r="H118" s="139"/>
      <c r="I118" s="139"/>
      <c r="J118" s="140"/>
      <c r="M118" s="64"/>
    </row>
    <row r="119" spans="1:13" ht="15.75">
      <c r="A119" s="113"/>
      <c r="B119" s="22"/>
      <c r="C119" s="23" t="str">
        <f>IF(D118&gt;0,"Роликоопора ЖЦ"&amp;'[1]Тяговый расчет'!R405&amp;"."&amp;'[1]Подбор роликов'!B15&amp;"."&amp;'[1]Подбор роликов'!C14,"-")</f>
        <v>Роликоопора ЖЦ100.127.30</v>
      </c>
      <c r="D119" s="25">
        <f>IF('[1]Тяговый расчет'!H58="двойная",D118*2,IF('[1]Тяговый расчет'!H58="тройная",D118*3,D118))</f>
        <v>11</v>
      </c>
      <c r="E119" s="25"/>
      <c r="F119" s="25" t="s">
        <v>13</v>
      </c>
      <c r="G119" s="26">
        <f>VLOOKUP(C119,Z337:AA351,2,FALSE)</f>
        <v>38</v>
      </c>
      <c r="H119" s="26">
        <f>G119*D119</f>
        <v>418</v>
      </c>
      <c r="I119" s="26">
        <f>G119*1.03</f>
        <v>39.14</v>
      </c>
      <c r="J119" s="27">
        <f>I119*D119</f>
        <v>430.54</v>
      </c>
      <c r="M119" s="64"/>
    </row>
    <row r="120" spans="1:13" ht="15.75">
      <c r="A120" s="113"/>
      <c r="B120" s="22"/>
      <c r="C120" s="79" t="str">
        <f>IF(D118&gt;0,IF('[1]Тяговый расчет'!F3&lt;=1000,"Подшипник 46205 ГОСТ 831",IF('[1]Тяговый расчет'!F3&gt;=2000,"Подшипник 46210 ГОСТ 831","Подшипник 46206 ГОСТ 831")),"-")</f>
        <v>Подшипник 46205 ГОСТ 831</v>
      </c>
      <c r="D120" s="25">
        <f>D119</f>
        <v>11</v>
      </c>
      <c r="E120" s="25" t="s">
        <v>13</v>
      </c>
      <c r="F120" s="25"/>
      <c r="G120" s="26"/>
      <c r="H120" s="26"/>
      <c r="I120" s="26"/>
      <c r="J120" s="27"/>
      <c r="M120" s="64"/>
    </row>
    <row r="121" spans="1:13" ht="15.75">
      <c r="A121" s="113"/>
      <c r="B121" s="22"/>
      <c r="C121" s="79" t="str">
        <f>IF(D118&gt;0,IF('[1]Тяговый расчет'!F3&lt;=1000,"Подшипник 203 ГОСТ 8338",IF('[1]Тяговый расчет'!F3&gt;=2000,"Подшипник 208 ГОСТ 8338","Подшипник 204 ГОСТ 8338")),"-")</f>
        <v>Подшипник 203 ГОСТ 8338</v>
      </c>
      <c r="D121" s="25">
        <f>D119</f>
        <v>11</v>
      </c>
      <c r="E121" s="25" t="s">
        <v>13</v>
      </c>
      <c r="F121" s="25"/>
      <c r="G121" s="26"/>
      <c r="H121" s="26"/>
      <c r="I121" s="26"/>
      <c r="J121" s="27"/>
      <c r="M121" s="64"/>
    </row>
    <row r="122" spans="1:13">
      <c r="A122" s="113"/>
      <c r="B122" s="114"/>
      <c r="C122" s="101" t="str">
        <f>IF(C121="-","-","Ролик гладкий "&amp;'[1]Тяговый расчет'!C43)</f>
        <v>Ролик гладкий ГФУ 127х380 подш.305</v>
      </c>
      <c r="D122" s="25">
        <f>IF('[1]Тяговый расчет'!H58="двойная",D118*3*2,IF('[1]Тяговый расчет'!H58="тройная",D118*3*3,D118*3))</f>
        <v>33</v>
      </c>
      <c r="E122" s="25"/>
      <c r="F122" s="25" t="s">
        <v>13</v>
      </c>
      <c r="G122" s="26">
        <f>IF(B118="-",0,'[1]Подбор роликов'!C20)</f>
        <v>8.5164410064399974</v>
      </c>
      <c r="H122" s="26">
        <f>G122*D122</f>
        <v>281.04255321251992</v>
      </c>
      <c r="I122" s="26">
        <f>G122*1.03</f>
        <v>8.7719342366331983</v>
      </c>
      <c r="J122" s="27">
        <f>I122*D122</f>
        <v>289.47382980889552</v>
      </c>
      <c r="K122" s="141"/>
      <c r="M122" s="64"/>
    </row>
    <row r="123" spans="1:13">
      <c r="A123" s="113"/>
      <c r="B123" s="114"/>
      <c r="C123" s="115" t="str">
        <f>IF(D118&gt;0,"Подшипник "&amp;'[1]Подбор роликов'!D18&amp;'[1]Подбор роликов'!B18&amp;" ГОСТ 7242-81","-")</f>
        <v>Подшипник 60305 ГОСТ 7242-81</v>
      </c>
      <c r="D123" s="25">
        <f>D122*2</f>
        <v>66</v>
      </c>
      <c r="E123" s="25" t="s">
        <v>13</v>
      </c>
      <c r="F123" s="25"/>
      <c r="G123" s="116">
        <f>IF(B118="-",0,VLOOKUP('[1]Подбор роликов'!B18,'[1]Подбор роликов'!K102:Q108,7))</f>
        <v>0.23</v>
      </c>
      <c r="H123" s="26"/>
      <c r="I123" s="26"/>
      <c r="J123" s="27"/>
      <c r="K123" s="141"/>
      <c r="M123" s="64"/>
    </row>
    <row r="124" spans="1:13">
      <c r="A124" s="113"/>
      <c r="B124" s="114"/>
      <c r="C124" s="115" t="str">
        <f>IF('[1]Подбор роликов'!$L$20="ДА",VLOOKUP('[1]Подбор роликов'!$B$18,$AC$284:$AD$288,2),"")</f>
        <v/>
      </c>
      <c r="D124" s="25" t="str">
        <f>IF(C124&lt;&gt;"",D123,"-")</f>
        <v>-</v>
      </c>
      <c r="E124" s="25" t="str">
        <f>IF(C124&lt;&gt;"",E123,"-")</f>
        <v>-</v>
      </c>
      <c r="F124" s="25"/>
      <c r="G124" s="116"/>
      <c r="H124" s="26"/>
      <c r="I124" s="26"/>
      <c r="J124" s="27"/>
      <c r="K124" s="141"/>
      <c r="M124" s="64"/>
    </row>
    <row r="125" spans="1:13" ht="15.75">
      <c r="A125" s="113"/>
      <c r="B125" s="22"/>
      <c r="C125" s="23" t="str">
        <f>IF(C119="-","-","Ролики гладкие дефлекторные 70х160 РКГ070.0160.0000.01.000 подш. 305")</f>
        <v>Ролики гладкие дефлекторные 70х160 РКГ070.0160.0000.01.000 подш. 305</v>
      </c>
      <c r="D125" s="25">
        <f>D118*2</f>
        <v>22</v>
      </c>
      <c r="E125" s="25"/>
      <c r="F125" s="25" t="s">
        <v>13</v>
      </c>
      <c r="G125" s="116">
        <f>IF(C125="-",0,3.185-G126*2)</f>
        <v>2.7210000000000001</v>
      </c>
      <c r="H125" s="26">
        <f>G125*D125</f>
        <v>59.862000000000002</v>
      </c>
      <c r="I125" s="26">
        <f>G125*1.03</f>
        <v>2.8026300000000002</v>
      </c>
      <c r="J125" s="27">
        <f>I125*D125</f>
        <v>61.657860000000007</v>
      </c>
      <c r="M125" s="64"/>
    </row>
    <row r="126" spans="1:13" ht="16.5" thickBot="1">
      <c r="A126" s="113"/>
      <c r="B126" s="134"/>
      <c r="C126" s="135" t="str">
        <f>IF(D125&gt;0,"Подшипник 60305 ГОСТ 7242-81","-")</f>
        <v>Подшипник 60305 ГОСТ 7242-81</v>
      </c>
      <c r="D126" s="119">
        <f>D125*2</f>
        <v>44</v>
      </c>
      <c r="E126" s="119" t="s">
        <v>13</v>
      </c>
      <c r="F126" s="119"/>
      <c r="G126" s="120">
        <f>IF(D126=0,0,0.232)</f>
        <v>0.23200000000000001</v>
      </c>
      <c r="H126" s="121"/>
      <c r="I126" s="121"/>
      <c r="J126" s="122"/>
      <c r="M126" s="64"/>
    </row>
    <row r="127" spans="1:13" ht="15.75">
      <c r="A127" s="113"/>
      <c r="B127" s="136" t="str">
        <f>IF('[1]Тяговый расчет'!B79="-","-",'[1]Тяговый расчет'!A78&amp;" "&amp;'[1]Тяговый расчет'!B79)&amp;IF('[1]Тяговый расчет'!I79="двойная","-2",IF('[1]Тяговый расчет'!I79="тройная","-3",""))</f>
        <v>Роликоопора нижняя центрирующая НЦГ100-127</v>
      </c>
      <c r="C127" s="137"/>
      <c r="D127" s="129">
        <f>'[1]Тяговый расчет'!F79</f>
        <v>6</v>
      </c>
      <c r="E127" s="130"/>
      <c r="F127" s="130"/>
      <c r="G127" s="138"/>
      <c r="H127" s="139"/>
      <c r="I127" s="139"/>
      <c r="J127" s="140"/>
      <c r="M127" s="64"/>
    </row>
    <row r="128" spans="1:13" ht="15.75">
      <c r="A128" s="113"/>
      <c r="B128" s="22"/>
      <c r="C128" s="23" t="str">
        <f>IF('[1]Тяговый расчет'!F79&gt;=1,'[1]Тяговый расчет'!A78,"-")</f>
        <v>Роликоопора нижняя центрирующая</v>
      </c>
      <c r="D128" s="25">
        <f>IF('[1]Тяговый расчет'!I79="двойная",D127*2,IF('[1]Тяговый расчет'!I79="тройная",D127*3,D127))</f>
        <v>6</v>
      </c>
      <c r="E128" s="25"/>
      <c r="F128" s="25" t="s">
        <v>13</v>
      </c>
      <c r="G128" s="26">
        <f>VLOOKUP('[1]Тяговый расчет'!B79,AB337:AC360,2,FALSE)</f>
        <v>28.4</v>
      </c>
      <c r="H128" s="26">
        <f>G128*D128</f>
        <v>170.39999999999998</v>
      </c>
      <c r="I128" s="26">
        <f>G128*1.03</f>
        <v>29.251999999999999</v>
      </c>
      <c r="J128" s="27">
        <f>I128*D128</f>
        <v>175.512</v>
      </c>
      <c r="M128" s="64"/>
    </row>
    <row r="129" spans="1:13" ht="15.75">
      <c r="A129" s="113"/>
      <c r="B129" s="22"/>
      <c r="C129" s="79" t="str">
        <f>IF(D127&gt;0,IF('[1]Тяговый расчет'!F12&lt;=1000,"Подшипник 46205 ГОСТ 831",IF('[1]Тяговый расчет'!F12&gt;=2000,"Подшипник 46210 ГОСТ 831","Подшипник 46206 ГОСТ 831")),"-")</f>
        <v>Подшипник 46210 ГОСТ 831</v>
      </c>
      <c r="D129" s="25">
        <f>D128</f>
        <v>6</v>
      </c>
      <c r="E129" s="25" t="s">
        <v>13</v>
      </c>
      <c r="F129" s="25"/>
      <c r="G129" s="26"/>
      <c r="H129" s="26"/>
      <c r="I129" s="26"/>
      <c r="J129" s="27"/>
      <c r="M129" s="64"/>
    </row>
    <row r="130" spans="1:13" ht="15.75">
      <c r="A130" s="113"/>
      <c r="B130" s="22"/>
      <c r="C130" s="79" t="str">
        <f>IF(D127&gt;0,IF('[1]Тяговый расчет'!F12&lt;=1000,"Подшипник 203 ГОСТ 8338",IF('[1]Тяговый расчет'!F12&gt;=2000,"Подшипник 208 ГОСТ 8338","Подшипник 204 ГОСТ 8338")),"-")</f>
        <v>Подшипник 208 ГОСТ 8338</v>
      </c>
      <c r="D130" s="25">
        <f>D128</f>
        <v>6</v>
      </c>
      <c r="E130" s="25" t="s">
        <v>13</v>
      </c>
      <c r="F130" s="25"/>
      <c r="G130" s="26"/>
      <c r="H130" s="26"/>
      <c r="I130" s="26"/>
      <c r="J130" s="27"/>
      <c r="M130" s="64"/>
    </row>
    <row r="131" spans="1:13" ht="15.75">
      <c r="A131" s="113"/>
      <c r="B131" s="22"/>
      <c r="C131" s="23" t="str">
        <f>IF(C128="Роликоопора нижняя центрирующая","Ролик гладкий "&amp;'[1]Тяговый расчет'!C72,"-")</f>
        <v>Ролик гладкий ГФУ 127х1150 подш.305</v>
      </c>
      <c r="D131" s="25">
        <f>IF('[1]Тяговый расчет'!I79="двойная",IF('[1]Подбор роликов'!I14="0°",D127,D127*2)*2,IF('[1]Тяговый расчет'!I79="тройная",IF('[1]Подбор роликов'!I14="0°",D127,D127*2)*3,IF('[1]Подбор роликов'!I14="0°",D127,D127*2)))</f>
        <v>6</v>
      </c>
      <c r="E131" s="25"/>
      <c r="F131" s="25" t="s">
        <v>13</v>
      </c>
      <c r="G131" s="26">
        <f>IF(B127="-",0,'[1]Подбор роликов'!I20)</f>
        <v>22.400430716800003</v>
      </c>
      <c r="H131" s="26">
        <f>G131*D131</f>
        <v>134.40258430080002</v>
      </c>
      <c r="I131" s="26">
        <f>G131*1.03</f>
        <v>23.072443638304001</v>
      </c>
      <c r="J131" s="27">
        <f>I131*D131</f>
        <v>138.43466182982399</v>
      </c>
      <c r="M131" s="64"/>
    </row>
    <row r="132" spans="1:13" ht="15.75">
      <c r="A132" s="113"/>
      <c r="B132" s="22"/>
      <c r="C132" s="79" t="str">
        <f>IF(D127&gt;0,"Подшипник "&amp;'[1]Подбор роликов'!J18&amp;'[1]Подбор роликов'!H18&amp;" ГОСТ 7242-81","-")</f>
        <v>Подшипник 60305 ГОСТ 7242-81</v>
      </c>
      <c r="D132" s="25">
        <f>D131*2</f>
        <v>12</v>
      </c>
      <c r="E132" s="25" t="s">
        <v>13</v>
      </c>
      <c r="F132" s="25"/>
      <c r="G132" s="116">
        <f>IF(B127="-",0,VLOOKUP('[1]Подбор роликов'!H18,'[1]Подбор роликов'!K102:Q108,7))</f>
        <v>0.23</v>
      </c>
      <c r="H132" s="26"/>
      <c r="I132" s="26"/>
      <c r="J132" s="27"/>
      <c r="M132" s="64"/>
    </row>
    <row r="133" spans="1:13" ht="15.75">
      <c r="A133" s="113"/>
      <c r="B133" s="22"/>
      <c r="C133" s="79" t="str">
        <f>IF('[1]Подбор роликов'!$L$20="ДА",VLOOKUP('[1]Подбор роликов'!$H$18,$AC$284:$AD$288,2),"")</f>
        <v/>
      </c>
      <c r="D133" s="25" t="str">
        <f>IF(C133&lt;&gt;"",D132,"-")</f>
        <v>-</v>
      </c>
      <c r="E133" s="25" t="str">
        <f>IF(C133&lt;&gt;"",E132,"-")</f>
        <v>-</v>
      </c>
      <c r="F133" s="25"/>
      <c r="G133" s="116"/>
      <c r="H133" s="26"/>
      <c r="I133" s="26"/>
      <c r="J133" s="27"/>
      <c r="M133" s="64"/>
    </row>
    <row r="134" spans="1:13" ht="15.75">
      <c r="A134" s="113"/>
      <c r="B134" s="22"/>
      <c r="C134" s="23" t="str">
        <f>IF(C128="-","-",IF('[1]Тяговый расчет'!F3&lt;=1200,"Ролики гладкие дефлекторные 70х160 РКГ070.0160.0000 подш. 305","Ролики гладкие дефлекторные 127х200 РКГ127.0200.0000 подш. 305"))</f>
        <v>Ролики гладкие дефлекторные 70х160 РКГ070.0160.0000 подш. 305</v>
      </c>
      <c r="D134" s="25">
        <f>D127*2</f>
        <v>12</v>
      </c>
      <c r="E134" s="25"/>
      <c r="F134" s="25" t="s">
        <v>13</v>
      </c>
      <c r="G134" s="26">
        <f>IF(C134="-",0,3.185-G135*2)</f>
        <v>2.7210000000000001</v>
      </c>
      <c r="H134" s="26">
        <f>G134*D134</f>
        <v>32.652000000000001</v>
      </c>
      <c r="I134" s="26">
        <f>G134*1.03</f>
        <v>2.8026300000000002</v>
      </c>
      <c r="J134" s="27">
        <f>I134*D134</f>
        <v>33.63156</v>
      </c>
      <c r="M134" s="64"/>
    </row>
    <row r="135" spans="1:13" ht="16.5" thickBot="1">
      <c r="A135" s="113"/>
      <c r="B135" s="134"/>
      <c r="C135" s="135" t="str">
        <f>IF(D134&gt;0,"Подшипник 60305 ГОСТ 7242-81","-")</f>
        <v>Подшипник 60305 ГОСТ 7242-81</v>
      </c>
      <c r="D135" s="119">
        <f>D134*2</f>
        <v>24</v>
      </c>
      <c r="E135" s="119" t="s">
        <v>13</v>
      </c>
      <c r="F135" s="119"/>
      <c r="G135" s="120">
        <f>IF(C135="Подшипник 60305 ГОСТ 7242-81",0.232,0)</f>
        <v>0.23200000000000001</v>
      </c>
      <c r="H135" s="121"/>
      <c r="I135" s="121"/>
      <c r="J135" s="122"/>
      <c r="M135" s="64"/>
    </row>
    <row r="136" spans="1:13" ht="15.75">
      <c r="A136" s="113"/>
      <c r="B136" s="142" t="str">
        <f>IF('[1]Тяговый расчет'!B61="-","-",'[1]Тяговый расчет'!A60&amp;" "&amp;'[1]Тяговый расчет'!B61)</f>
        <v>Роликоопора дефлекторная верхняя желобчатая ДЖ100-127-30</v>
      </c>
      <c r="C136" s="143"/>
      <c r="D136" s="144">
        <f>'[1]Тяговый расчет'!F61</f>
        <v>11</v>
      </c>
      <c r="E136" s="145"/>
      <c r="F136" s="145"/>
      <c r="G136" s="146"/>
      <c r="H136" s="147"/>
      <c r="I136" s="147"/>
      <c r="J136" s="148"/>
      <c r="M136" s="64"/>
    </row>
    <row r="137" spans="1:13" ht="15.75">
      <c r="A137" s="113"/>
      <c r="B137" s="149"/>
      <c r="C137" s="23" t="str">
        <f>IF(B136="-","-","Роликоопора "&amp;'[1]Тяговый расчет'!B61)</f>
        <v>Роликоопора ДЖ100-127-30</v>
      </c>
      <c r="D137" s="25">
        <f>D136</f>
        <v>11</v>
      </c>
      <c r="E137" s="25"/>
      <c r="F137" s="25" t="s">
        <v>13</v>
      </c>
      <c r="G137" s="26">
        <f>IF(B136="-",0,VLOOKUP(C137,Z353:AA362,2,FALSE))</f>
        <v>8.75</v>
      </c>
      <c r="H137" s="26">
        <f>G137*D137</f>
        <v>96.25</v>
      </c>
      <c r="I137" s="26">
        <f>G137*1.03</f>
        <v>9.0125000000000011</v>
      </c>
      <c r="J137" s="27">
        <f>I137*D137</f>
        <v>99.137500000000017</v>
      </c>
      <c r="M137" s="64"/>
    </row>
    <row r="138" spans="1:13" ht="15.75">
      <c r="A138" s="113"/>
      <c r="B138" s="150"/>
      <c r="C138" s="81" t="str">
        <f>IF(C137&lt;&gt;"-","Ролики гладкие дефлекторные "&amp;'[1]Подбор роликов'!B15&amp;"х200 РКГД"&amp;'[1]Подбор роликов'!B15&amp;".0200.0000 подш.305","-")</f>
        <v>Ролики гладкие дефлекторные 127х200 РКГД127.0200.0000 подш.305</v>
      </c>
      <c r="D138" s="30">
        <f>D137*2</f>
        <v>22</v>
      </c>
      <c r="E138" s="30"/>
      <c r="F138" s="30" t="s">
        <v>13</v>
      </c>
      <c r="G138" s="31">
        <f>IF(B136="-",0,IF('[1]Подбор роликов'!B15=127,5.1-G139*2,6.2-G139*2))</f>
        <v>4.6359999999999992</v>
      </c>
      <c r="H138" s="31">
        <f>G138*D138</f>
        <v>101.99199999999999</v>
      </c>
      <c r="I138" s="31">
        <f>G138*1.03</f>
        <v>4.7750799999999991</v>
      </c>
      <c r="J138" s="49">
        <f>I138*D138</f>
        <v>105.05175999999997</v>
      </c>
      <c r="M138" s="64"/>
    </row>
    <row r="139" spans="1:13" ht="16.5" thickBot="1">
      <c r="A139" s="113"/>
      <c r="B139" s="151"/>
      <c r="C139" s="135" t="str">
        <f>IF(D138&gt;0,"Подшипник 60305 ГОСТ 7242-81","-")</f>
        <v>Подшипник 60305 ГОСТ 7242-81</v>
      </c>
      <c r="D139" s="119">
        <f>D138*2</f>
        <v>44</v>
      </c>
      <c r="E139" s="119" t="s">
        <v>13</v>
      </c>
      <c r="F139" s="119"/>
      <c r="G139" s="120">
        <f>IF(C139="Подшипник 60305 ГОСТ 7242-81",0.232,0)</f>
        <v>0.23200000000000001</v>
      </c>
      <c r="H139" s="121"/>
      <c r="I139" s="121"/>
      <c r="J139" s="122"/>
      <c r="M139" s="64"/>
    </row>
    <row r="140" spans="1:13" ht="15.75">
      <c r="A140" s="113"/>
      <c r="B140" s="152" t="str">
        <f>IF('[1]Тяговый расчет'!B82="-","-",'[1]Тяговый расчет'!A81&amp;" "&amp;'[1]Тяговый расчет'!B82)</f>
        <v>Роликоопора дефлекторная нижняя ДН100-127</v>
      </c>
      <c r="C140" s="153"/>
      <c r="D140" s="129">
        <f>'[1]Тяговый расчет'!F82</f>
        <v>12</v>
      </c>
      <c r="E140" s="130"/>
      <c r="F140" s="130"/>
      <c r="G140" s="131"/>
      <c r="H140" s="132"/>
      <c r="I140" s="132"/>
      <c r="J140" s="133"/>
      <c r="M140" s="64"/>
    </row>
    <row r="141" spans="1:13" ht="15.75">
      <c r="A141" s="113"/>
      <c r="B141" s="149"/>
      <c r="C141" s="23" t="str">
        <f>IF(B140="-","-","Роликоопора "&amp;'[1]Тяговый расчет'!B82)</f>
        <v>Роликоопора ДН100-127</v>
      </c>
      <c r="D141" s="25">
        <f>D140</f>
        <v>12</v>
      </c>
      <c r="E141" s="25"/>
      <c r="F141" s="25" t="s">
        <v>13</v>
      </c>
      <c r="G141" s="26">
        <f>IF(B140="-",0,VLOOKUP('[1]Подбор роликов'!H15,'Материальная ведомость'!Z364:AA365,2,FALSE))</f>
        <v>3</v>
      </c>
      <c r="H141" s="26">
        <f>G141*D141</f>
        <v>36</v>
      </c>
      <c r="I141" s="26">
        <f>G141*1.03</f>
        <v>3.09</v>
      </c>
      <c r="J141" s="27">
        <f>I141*D141</f>
        <v>37.08</v>
      </c>
      <c r="M141" s="64"/>
    </row>
    <row r="142" spans="1:13" ht="15.75">
      <c r="A142" s="113"/>
      <c r="B142" s="150"/>
      <c r="C142" s="81" t="str">
        <f>IF(C141&lt;&gt;"-","Ролики гладкие дефлекторные "&amp;'[1]Подбор роликов'!B15&amp;"х200 РКГД"&amp;'[1]Подбор роликов'!B15&amp;".0200.0000 подш.305","-")</f>
        <v>Ролики гладкие дефлекторные 127х200 РКГД127.0200.0000 подш.305</v>
      </c>
      <c r="D142" s="30">
        <f>D141</f>
        <v>12</v>
      </c>
      <c r="E142" s="30"/>
      <c r="F142" s="30" t="s">
        <v>13</v>
      </c>
      <c r="G142" s="31">
        <f>IF(B140="-",0,IF('[1]Подбор роликов'!B15=127,5.1-G143*2,6.2-G143*2))</f>
        <v>4.6359999999999992</v>
      </c>
      <c r="H142" s="31">
        <f>G142*D142</f>
        <v>55.631999999999991</v>
      </c>
      <c r="I142" s="31">
        <f>G142*1.03</f>
        <v>4.7750799999999991</v>
      </c>
      <c r="J142" s="49">
        <f>I142*D142</f>
        <v>57.300959999999989</v>
      </c>
      <c r="M142" s="64"/>
    </row>
    <row r="143" spans="1:13" ht="16.5" thickBot="1">
      <c r="A143" s="113"/>
      <c r="B143" s="151"/>
      <c r="C143" s="135" t="str">
        <f>IF(D142&gt;0,"Подшипник 60305 ГОСТ 7242-81","-")</f>
        <v>Подшипник 60305 ГОСТ 7242-81</v>
      </c>
      <c r="D143" s="119">
        <f>D142*2</f>
        <v>24</v>
      </c>
      <c r="E143" s="119" t="s">
        <v>13</v>
      </c>
      <c r="F143" s="119"/>
      <c r="G143" s="120">
        <f>IF(C143="Подшипник 60305 ГОСТ 7242-81",0.232,0)</f>
        <v>0.23200000000000001</v>
      </c>
      <c r="H143" s="121"/>
      <c r="I143" s="121"/>
      <c r="J143" s="122"/>
      <c r="M143" s="64"/>
    </row>
    <row r="144" spans="1:13" ht="15.75">
      <c r="B144" s="40" t="str">
        <f>IF('[1]Тяговый расчет'!H343="-","-",'[1]Тяговый расчет'!A343 &amp;" "&amp;'[1]Тяговый расчет'!E343)</f>
        <v>Устройство выключающее канатное УВК-81</v>
      </c>
      <c r="C144" s="41"/>
      <c r="D144" s="129">
        <f>IF('[1]Тяговый расчет'!H343="-","-",'[1]Тяговый расчет'!H343)</f>
        <v>4</v>
      </c>
      <c r="E144" s="130"/>
      <c r="F144" s="130"/>
      <c r="G144" s="132"/>
      <c r="H144" s="132"/>
      <c r="I144" s="132"/>
      <c r="J144" s="133"/>
      <c r="M144" s="64"/>
    </row>
    <row r="145" spans="2:13" ht="15.75">
      <c r="B145" s="22"/>
      <c r="C145" s="70" t="str">
        <f>IF(B144="-","-",'[1]Тяговый расчет'!A344&amp;" "&amp;'[1]Тяговый расчет'!E344)</f>
        <v>Выключатель Выбирается отделом АСУ</v>
      </c>
      <c r="D145" s="25">
        <f>IF('[1]Тяговый расчет'!H344="-","-",'[1]Тяговый расчет'!H344)</f>
        <v>4</v>
      </c>
      <c r="E145" s="25" t="s">
        <v>13</v>
      </c>
      <c r="F145" s="25"/>
      <c r="G145" s="26"/>
      <c r="H145" s="26"/>
      <c r="I145" s="26"/>
      <c r="J145" s="27"/>
      <c r="M145" s="64"/>
    </row>
    <row r="146" spans="2:13" s="154" customFormat="1">
      <c r="B146" s="155"/>
      <c r="C146" s="23" t="str">
        <f>IF(B144="-","-",'[1]Тяговый расчет'!A345)</f>
        <v>Кронштейн</v>
      </c>
      <c r="D146" s="26">
        <f>IF(D144="-",0,D144)</f>
        <v>4</v>
      </c>
      <c r="E146" s="26"/>
      <c r="F146" s="26" t="s">
        <v>13</v>
      </c>
      <c r="G146" s="26">
        <f>IF(D146=0,0,4)</f>
        <v>4</v>
      </c>
      <c r="H146" s="26">
        <f>G146*D146</f>
        <v>16</v>
      </c>
      <c r="I146" s="26">
        <f>G146*1.03</f>
        <v>4.12</v>
      </c>
      <c r="J146" s="26">
        <f>I146*D146</f>
        <v>16.48</v>
      </c>
    </row>
    <row r="147" spans="2:13" ht="15.75">
      <c r="B147" s="22"/>
      <c r="C147" s="23" t="str">
        <f>IF(B144="-","-",'[1]Тяговый расчет'!A346)</f>
        <v>Серьга (тяга подвеса L=500 ф4)</v>
      </c>
      <c r="D147" s="25">
        <f>IF(C147="-",0,'[1]Тяговый расчет'!H346)</f>
        <v>108</v>
      </c>
      <c r="E147" s="25" t="s">
        <v>13</v>
      </c>
      <c r="F147" s="25" t="s">
        <v>13</v>
      </c>
      <c r="G147" s="26">
        <f>IF(D147=0,0,0.1)</f>
        <v>0.1</v>
      </c>
      <c r="H147" s="26">
        <f>G147*D147</f>
        <v>10.8</v>
      </c>
      <c r="I147" s="26">
        <f>G147*1.03</f>
        <v>0.10300000000000001</v>
      </c>
      <c r="J147" s="27">
        <f>I147*D147</f>
        <v>11.124000000000001</v>
      </c>
      <c r="M147" s="64"/>
    </row>
    <row r="148" spans="2:13" ht="16.5" thickBot="1">
      <c r="B148" s="134"/>
      <c r="C148" s="156" t="str">
        <f>IF(B144="-","-",'[1]Тяговый расчет'!A347)</f>
        <v>Канат   2-Г-ВК-Ж-Н-1770 (180) ГОСТ 3062-80</v>
      </c>
      <c r="D148" s="119">
        <f>IF(C148="-",0,'[1]Тяговый расчет'!H347)</f>
        <v>334</v>
      </c>
      <c r="E148" s="119" t="s">
        <v>13</v>
      </c>
      <c r="F148" s="119"/>
      <c r="G148" s="121"/>
      <c r="H148" s="121"/>
      <c r="I148" s="121"/>
      <c r="J148" s="122"/>
      <c r="M148" s="64"/>
    </row>
    <row r="149" spans="2:13" s="154" customFormat="1" ht="15.75">
      <c r="B149" s="40" t="str">
        <f>IF('[1]Тяговый расчет'!H349="-","-",'[1]Тяговый расчет'!A349 &amp;" "&amp;'[1]Тяговый расчет'!E349)</f>
        <v>Устройство выключающее рычажное УВР</v>
      </c>
      <c r="C149" s="41"/>
      <c r="D149" s="42">
        <f>IF('[1]Тяговый расчет'!H349="-","-",'[1]Тяговый расчет'!H349)</f>
        <v>12</v>
      </c>
      <c r="E149" s="157"/>
      <c r="F149" s="157"/>
      <c r="G149" s="157"/>
      <c r="H149" s="157"/>
      <c r="I149" s="157"/>
      <c r="J149" s="158"/>
      <c r="K149" s="21"/>
      <c r="M149" s="64"/>
    </row>
    <row r="150" spans="2:13" s="154" customFormat="1" ht="15.75">
      <c r="B150" s="22"/>
      <c r="C150" s="70" t="str">
        <f>IF(B149="-","-",'[1]Тяговый расчет'!A350&amp;" "&amp;'[1]Тяговый расчет'!E350)</f>
        <v>Выключатель Выбирается отделом АСУ</v>
      </c>
      <c r="D150" s="25">
        <f>IF('[1]Тяговый расчет'!H350="-","-",'[1]Тяговый расчет'!H350)</f>
        <v>12</v>
      </c>
      <c r="E150" s="25" t="s">
        <v>13</v>
      </c>
      <c r="F150" s="25"/>
      <c r="G150" s="26"/>
      <c r="H150" s="26"/>
      <c r="I150" s="26"/>
      <c r="J150" s="27"/>
      <c r="K150" s="21"/>
      <c r="M150" s="64"/>
    </row>
    <row r="151" spans="2:13" s="154" customFormat="1" ht="16.5" thickBot="1">
      <c r="B151" s="134"/>
      <c r="C151" s="159" t="str">
        <f>IF(B149="-","-",'[1]Тяговый расчет'!A351)</f>
        <v>Кронштейн</v>
      </c>
      <c r="D151" s="119">
        <f>IF('[1]Тяговый расчет'!H351="-",0,'[1]Тяговый расчет'!H351)</f>
        <v>12</v>
      </c>
      <c r="E151" s="119"/>
      <c r="F151" s="119" t="s">
        <v>13</v>
      </c>
      <c r="G151" s="121">
        <f>IF(D151=0,0,4)</f>
        <v>4</v>
      </c>
      <c r="H151" s="121">
        <f>G151*D151</f>
        <v>48</v>
      </c>
      <c r="I151" s="121">
        <f>G151*1.03</f>
        <v>4.12</v>
      </c>
      <c r="J151" s="122">
        <f>I151*D151</f>
        <v>49.44</v>
      </c>
      <c r="K151" s="21"/>
      <c r="M151" s="64"/>
    </row>
    <row r="152" spans="2:13" s="154" customFormat="1" ht="15.75">
      <c r="B152" s="40" t="str">
        <f>IF('[1]Тяговый расчет'!H357="-","-",'[1]Тяговый расчет'!A357 &amp;" "&amp;'[1]Тяговый расчет'!E357)</f>
        <v xml:space="preserve">Устройство контроля скорости ленты </v>
      </c>
      <c r="C152" s="41"/>
      <c r="D152" s="42">
        <f>IF('[1]Тяговый расчет'!H357="-","-",'[1]Тяговый расчет'!H357)</f>
        <v>1</v>
      </c>
      <c r="E152" s="43"/>
      <c r="F152" s="43"/>
      <c r="G152" s="45"/>
      <c r="H152" s="45"/>
      <c r="I152" s="45"/>
      <c r="J152" s="46"/>
      <c r="K152" s="21"/>
      <c r="M152" s="64"/>
    </row>
    <row r="153" spans="2:13" s="154" customFormat="1" ht="15.75">
      <c r="B153" s="22"/>
      <c r="C153" s="70" t="str">
        <f>IF(B152="-","-",'[1]Тяговый расчет'!A358&amp;" "&amp;'[1]Тяговый расчет'!E358)</f>
        <v>Выключатель Выбирается отделом АСУ</v>
      </c>
      <c r="D153" s="25">
        <f>IF('[1]Тяговый расчет'!H358="-","-",'[1]Тяговый расчет'!H358)</f>
        <v>1</v>
      </c>
      <c r="E153" s="25" t="s">
        <v>13</v>
      </c>
      <c r="F153" s="25"/>
      <c r="G153" s="26"/>
      <c r="H153" s="26"/>
      <c r="I153" s="26"/>
      <c r="J153" s="27"/>
      <c r="K153" s="21"/>
      <c r="M153" s="64"/>
    </row>
    <row r="154" spans="2:13" s="154" customFormat="1" ht="16.5" thickBot="1">
      <c r="B154" s="134"/>
      <c r="C154" s="159" t="str">
        <f>IF(B152="-","-",'[1]Тяговый расчет'!A359)</f>
        <v>Кронштейн</v>
      </c>
      <c r="D154" s="119">
        <f>IF('[1]Тяговый расчет'!H359="-",0,'[1]Тяговый расчет'!H359)</f>
        <v>1</v>
      </c>
      <c r="E154" s="119"/>
      <c r="F154" s="119" t="s">
        <v>13</v>
      </c>
      <c r="G154" s="121">
        <f>IF(D154=0,0,4)</f>
        <v>4</v>
      </c>
      <c r="H154" s="121">
        <f>G154*D154</f>
        <v>4</v>
      </c>
      <c r="I154" s="121">
        <f>G154*1.03</f>
        <v>4.12</v>
      </c>
      <c r="J154" s="122">
        <f>I154*D154</f>
        <v>4.12</v>
      </c>
      <c r="K154" s="21"/>
      <c r="M154" s="64"/>
    </row>
    <row r="155" spans="2:13" s="154" customFormat="1" ht="15.75">
      <c r="B155" s="40" t="str">
        <f>IF('[1]Тяговый расчет'!H361="-","-",'[1]Тяговый расчет'!A361 &amp;" "&amp;'[1]Тяговый расчет'!E361)</f>
        <v xml:space="preserve">Устройство контроля продольного разрыва ленты </v>
      </c>
      <c r="C155" s="41"/>
      <c r="D155" s="42">
        <f>IF('[1]Тяговый расчет'!H361="-","-",'[1]Тяговый расчет'!H361)</f>
        <v>1</v>
      </c>
      <c r="E155" s="43"/>
      <c r="F155" s="43"/>
      <c r="G155" s="45"/>
      <c r="H155" s="45"/>
      <c r="I155" s="45"/>
      <c r="J155" s="46"/>
      <c r="K155" s="21"/>
      <c r="M155" s="64"/>
    </row>
    <row r="156" spans="2:13" s="154" customFormat="1" ht="15.75">
      <c r="B156" s="22"/>
      <c r="C156" s="70" t="str">
        <f>IF(B155="-","-",'[1]Тяговый расчет'!A362&amp;" "&amp;'[1]Тяговый расчет'!E362)</f>
        <v>Датчик Выбирается отделом АСУ</v>
      </c>
      <c r="D156" s="25">
        <f>IF('[1]Тяговый расчет'!H362="-","-",'[1]Тяговый расчет'!H362)</f>
        <v>1</v>
      </c>
      <c r="E156" s="25" t="s">
        <v>13</v>
      </c>
      <c r="F156" s="25"/>
      <c r="G156" s="26"/>
      <c r="H156" s="26"/>
      <c r="I156" s="26"/>
      <c r="J156" s="27"/>
      <c r="K156" s="21"/>
      <c r="M156" s="64"/>
    </row>
    <row r="157" spans="2:13" s="154" customFormat="1" ht="16.5" thickBot="1">
      <c r="B157" s="134"/>
      <c r="C157" s="159" t="str">
        <f>IF(B155="-","-",'[1]Тяговый расчет'!A363)</f>
        <v>Кронштейн</v>
      </c>
      <c r="D157" s="119">
        <f>IF('[1]Тяговый расчет'!H363="-",0,'[1]Тяговый расчет'!H363)</f>
        <v>1</v>
      </c>
      <c r="E157" s="119"/>
      <c r="F157" s="119" t="s">
        <v>13</v>
      </c>
      <c r="G157" s="121">
        <f t="shared" ref="G157" si="4">IF(D157=0,0,4)</f>
        <v>4</v>
      </c>
      <c r="H157" s="121">
        <f t="shared" ref="H157" si="5">G157*D157</f>
        <v>4</v>
      </c>
      <c r="I157" s="121">
        <f t="shared" ref="I157" si="6">G157*1.03</f>
        <v>4.12</v>
      </c>
      <c r="J157" s="122">
        <f t="shared" ref="J157" si="7">I157*D157</f>
        <v>4.12</v>
      </c>
      <c r="K157" s="21"/>
      <c r="M157" s="64"/>
    </row>
    <row r="158" spans="2:13" s="154" customFormat="1" ht="15.75">
      <c r="B158" s="40" t="str">
        <f>IF('[1]Тяговый расчет'!H365="-","-",'[1]Тяговый расчет'!A365 &amp;" "&amp;'[1]Тяговый расчет'!E365)</f>
        <v>-</v>
      </c>
      <c r="C158" s="41"/>
      <c r="D158" s="42" t="str">
        <f>IF('[1]Тяговый расчет'!H365="-","-",'[1]Тяговый расчет'!H365)</f>
        <v>-</v>
      </c>
      <c r="E158" s="43"/>
      <c r="F158" s="43"/>
      <c r="G158" s="45"/>
      <c r="H158" s="45"/>
      <c r="I158" s="45"/>
      <c r="J158" s="46"/>
      <c r="K158" s="21"/>
      <c r="M158" s="64"/>
    </row>
    <row r="159" spans="2:13" s="154" customFormat="1" ht="15.75">
      <c r="B159" s="22"/>
      <c r="C159" s="70" t="str">
        <f>IF(B158="-","-",'[1]Тяговый расчет'!A366&amp;" "&amp;'[1]Тяговый расчет'!E366)</f>
        <v>-</v>
      </c>
      <c r="D159" s="25" t="str">
        <f>IF('[1]Тяговый расчет'!H366="-","-",'[1]Тяговый расчет'!H366)</f>
        <v>-</v>
      </c>
      <c r="E159" s="25" t="s">
        <v>13</v>
      </c>
      <c r="F159" s="25"/>
      <c r="G159" s="26"/>
      <c r="H159" s="26"/>
      <c r="I159" s="26"/>
      <c r="J159" s="27"/>
      <c r="K159" s="21"/>
      <c r="M159" s="64"/>
    </row>
    <row r="160" spans="2:13" s="154" customFormat="1" ht="16.5" thickBot="1">
      <c r="B160" s="134"/>
      <c r="C160" s="159" t="str">
        <f>IF(B158="-","-",'[1]Тяговый расчет'!A367)</f>
        <v>-</v>
      </c>
      <c r="D160" s="119">
        <f>IF('[1]Тяговый расчет'!H367="-",0,'[1]Тяговый расчет'!H367)</f>
        <v>0</v>
      </c>
      <c r="E160" s="119"/>
      <c r="F160" s="119" t="s">
        <v>13</v>
      </c>
      <c r="G160" s="121">
        <f t="shared" ref="G160" si="8">IF(D160=0,0,4)</f>
        <v>0</v>
      </c>
      <c r="H160" s="121">
        <f t="shared" ref="H160" si="9">G160*D160</f>
        <v>0</v>
      </c>
      <c r="I160" s="121">
        <f t="shared" ref="I160" si="10">G160*1.03</f>
        <v>0</v>
      </c>
      <c r="J160" s="122">
        <f t="shared" ref="J160" si="11">I160*D160</f>
        <v>0</v>
      </c>
      <c r="K160" s="21"/>
      <c r="M160" s="64"/>
    </row>
    <row r="161" spans="2:13" s="154" customFormat="1" ht="15.75">
      <c r="B161" s="40" t="str">
        <f>IF('[1]Тяговый расчет'!H369="-","-",'[1]Тяговый расчет'!A369 &amp;" "&amp;'[1]Тяговый расчет'!E369)</f>
        <v>-</v>
      </c>
      <c r="C161" s="41"/>
      <c r="D161" s="42" t="str">
        <f>IF('[1]Тяговый расчет'!H369="-","-",'[1]Тяговый расчет'!H369)</f>
        <v>-</v>
      </c>
      <c r="E161" s="43"/>
      <c r="F161" s="43"/>
      <c r="G161" s="45"/>
      <c r="H161" s="45"/>
      <c r="I161" s="45"/>
      <c r="J161" s="46"/>
      <c r="K161" s="21"/>
      <c r="M161" s="64"/>
    </row>
    <row r="162" spans="2:13" s="154" customFormat="1" ht="15.75">
      <c r="B162" s="22"/>
      <c r="C162" s="70" t="str">
        <f>IF(B161="-","-",'[1]Тяговый расчет'!A370&amp;" "&amp;'[1]Тяговый расчет'!E370)</f>
        <v>-</v>
      </c>
      <c r="D162" s="25" t="str">
        <f>IF('[1]Тяговый расчет'!H370="-","-",'[1]Тяговый расчет'!H370)</f>
        <v>-</v>
      </c>
      <c r="E162" s="25" t="s">
        <v>13</v>
      </c>
      <c r="F162" s="25"/>
      <c r="G162" s="26"/>
      <c r="H162" s="26"/>
      <c r="I162" s="26"/>
      <c r="J162" s="27"/>
      <c r="K162" s="21"/>
      <c r="M162" s="64"/>
    </row>
    <row r="163" spans="2:13" s="154" customFormat="1" ht="16.5" thickBot="1">
      <c r="B163" s="134"/>
      <c r="C163" s="159" t="str">
        <f>IF(B161="-","-",'[1]Тяговый расчет'!A371)</f>
        <v>-</v>
      </c>
      <c r="D163" s="119">
        <f>IF('[1]Тяговый расчет'!H371="-",0,'[1]Тяговый расчет'!H371)</f>
        <v>0</v>
      </c>
      <c r="E163" s="119"/>
      <c r="F163" s="119" t="s">
        <v>13</v>
      </c>
      <c r="G163" s="121">
        <f t="shared" ref="G163" si="12">IF(D163=0,0,4)</f>
        <v>0</v>
      </c>
      <c r="H163" s="121">
        <f t="shared" ref="H163" si="13">G163*D163</f>
        <v>0</v>
      </c>
      <c r="I163" s="121">
        <f t="shared" ref="I163" si="14">G163*1.03</f>
        <v>0</v>
      </c>
      <c r="J163" s="122">
        <f t="shared" ref="J163" si="15">I163*D163</f>
        <v>0</v>
      </c>
      <c r="K163" s="21"/>
      <c r="M163" s="64"/>
    </row>
    <row r="164" spans="2:13" s="154" customFormat="1" ht="15.75">
      <c r="B164" s="40" t="str">
        <f>IF('[1]Тяговый расчет'!H373="-","-",'[1]Тяговый расчет'!A373 &amp;" "&amp;'[1]Тяговый расчет'!E373)</f>
        <v xml:space="preserve">Устройство контроля положения груза </v>
      </c>
      <c r="C164" s="41"/>
      <c r="D164" s="42">
        <f>IF('[1]Тяговый расчет'!H373="-","-",'[1]Тяговый расчет'!H373)</f>
        <v>2</v>
      </c>
      <c r="E164" s="43"/>
      <c r="F164" s="43"/>
      <c r="G164" s="45"/>
      <c r="H164" s="45"/>
      <c r="I164" s="45"/>
      <c r="J164" s="46"/>
      <c r="K164" s="21"/>
      <c r="M164" s="64"/>
    </row>
    <row r="165" spans="2:13" s="154" customFormat="1" ht="15.75">
      <c r="B165" s="22"/>
      <c r="C165" s="70" t="str">
        <f>IF(B164="-","-",'[1]Тяговый расчет'!A374&amp;" "&amp;'[1]Тяговый расчет'!E374)</f>
        <v>Датчик Выбирается отделом АСУ</v>
      </c>
      <c r="D165" s="25">
        <f>IF('[1]Тяговый расчет'!H374="-","-",'[1]Тяговый расчет'!H374)</f>
        <v>2</v>
      </c>
      <c r="E165" s="25" t="s">
        <v>13</v>
      </c>
      <c r="F165" s="25"/>
      <c r="G165" s="26"/>
      <c r="H165" s="26"/>
      <c r="I165" s="26"/>
      <c r="J165" s="27"/>
      <c r="K165" s="21"/>
      <c r="M165" s="64"/>
    </row>
    <row r="166" spans="2:13" s="154" customFormat="1" ht="16.5" thickBot="1">
      <c r="B166" s="134"/>
      <c r="C166" s="159" t="str">
        <f>IF(B164="-","-",'[1]Тяговый расчет'!A375)</f>
        <v>Кронштейн</v>
      </c>
      <c r="D166" s="119">
        <f>IF('[1]Тяговый расчет'!H375="-",0,'[1]Тяговый расчет'!H375)</f>
        <v>2</v>
      </c>
      <c r="E166" s="119"/>
      <c r="F166" s="119" t="s">
        <v>13</v>
      </c>
      <c r="G166" s="121">
        <f t="shared" ref="G166" si="16">IF(D166=0,0,4)</f>
        <v>4</v>
      </c>
      <c r="H166" s="121">
        <f t="shared" ref="H166" si="17">G166*D166</f>
        <v>8</v>
      </c>
      <c r="I166" s="121">
        <f t="shared" ref="I166" si="18">G166*1.03</f>
        <v>4.12</v>
      </c>
      <c r="J166" s="122">
        <f t="shared" ref="J166" si="19">I166*D166</f>
        <v>8.24</v>
      </c>
      <c r="K166" s="21"/>
      <c r="M166" s="64"/>
    </row>
    <row r="167" spans="2:13" s="154" customFormat="1" ht="15.75">
      <c r="B167" s="40" t="str">
        <f>IF('[1]Тяговый расчет'!H377="-","-",'[1]Тяговый расчет'!A377 &amp;" "&amp;'[1]Тяговый расчет'!E377)</f>
        <v>-</v>
      </c>
      <c r="C167" s="41"/>
      <c r="D167" s="42" t="str">
        <f>IF('[1]Тяговый расчет'!H377="-","-",'[1]Тяговый расчет'!H377)</f>
        <v>-</v>
      </c>
      <c r="E167" s="43"/>
      <c r="F167" s="43"/>
      <c r="G167" s="45"/>
      <c r="H167" s="45"/>
      <c r="I167" s="45"/>
      <c r="J167" s="46"/>
      <c r="K167" s="21"/>
      <c r="M167" s="64"/>
    </row>
    <row r="168" spans="2:13" s="154" customFormat="1" ht="15.75">
      <c r="B168" s="22"/>
      <c r="C168" s="70" t="str">
        <f>IF(B167="-","-",'[1]Тяговый расчет'!A378&amp;" "&amp;'[1]Тяговый расчет'!E378)</f>
        <v>-</v>
      </c>
      <c r="D168" s="25" t="str">
        <f>IF('[1]Тяговый расчет'!H378="-","-",'[1]Тяговый расчет'!H378)</f>
        <v>-</v>
      </c>
      <c r="E168" s="25" t="s">
        <v>13</v>
      </c>
      <c r="F168" s="25"/>
      <c r="G168" s="26"/>
      <c r="H168" s="26"/>
      <c r="I168" s="26"/>
      <c r="J168" s="27"/>
      <c r="K168" s="21"/>
      <c r="M168" s="64"/>
    </row>
    <row r="169" spans="2:13" s="154" customFormat="1" ht="16.5" thickBot="1">
      <c r="B169" s="134"/>
      <c r="C169" s="159" t="str">
        <f>IF(B167="-","-",'[1]Тяговый расчет'!A379)</f>
        <v>-</v>
      </c>
      <c r="D169" s="119">
        <f>IF('[1]Тяговый расчет'!H379="-",0,'[1]Тяговый расчет'!H379)</f>
        <v>0</v>
      </c>
      <c r="E169" s="119"/>
      <c r="F169" s="119" t="s">
        <v>13</v>
      </c>
      <c r="G169" s="121">
        <f t="shared" ref="G169" si="20">IF(D169=0,0,4)</f>
        <v>0</v>
      </c>
      <c r="H169" s="121">
        <f t="shared" ref="H169" si="21">G169*D169</f>
        <v>0</v>
      </c>
      <c r="I169" s="121">
        <f t="shared" ref="I169" si="22">G169*1.03</f>
        <v>0</v>
      </c>
      <c r="J169" s="122">
        <f t="shared" ref="J169" si="23">I169*D169</f>
        <v>0</v>
      </c>
      <c r="K169" s="21"/>
      <c r="M169" s="64"/>
    </row>
    <row r="170" spans="2:13" ht="15.75">
      <c r="B170" s="22"/>
      <c r="C170" s="65" t="str">
        <f>IF('[1]Тяговый расчет'!H353="-","-",'[1]Тяговый расчет'!A353&amp;" "&amp;'[1]Тяговый расчет'!E353)</f>
        <v>Выключатель конечный Выбирается отделом АСУ</v>
      </c>
      <c r="D170" s="24">
        <f>IF('[1]Тяговый расчет'!H353="-","-",'[1]Тяговый расчет'!H353)</f>
        <v>4</v>
      </c>
      <c r="E170" s="25" t="s">
        <v>13</v>
      </c>
      <c r="F170" s="25"/>
      <c r="G170" s="26"/>
      <c r="H170" s="26"/>
      <c r="I170" s="26"/>
      <c r="J170" s="27"/>
      <c r="M170" s="64"/>
    </row>
    <row r="171" spans="2:13" ht="16.5" thickBot="1">
      <c r="B171" s="22"/>
      <c r="C171" s="65" t="str">
        <f>IF('[1]Тяговый расчет'!D105="-","-","Лента конвейерная "&amp;'[1]Тяговый расчет'!D105)</f>
        <v>Лента конвейерная 2.1-1000-3-ТК-200-6-2-Б-РБ</v>
      </c>
      <c r="D171" s="160">
        <f>IF('[1]Тяговый расчет'!H105="-","-",'[1]Тяговый расчет'!H105)</f>
        <v>330</v>
      </c>
      <c r="E171" s="25" t="s">
        <v>13</v>
      </c>
      <c r="F171" s="23"/>
      <c r="G171" s="26"/>
      <c r="H171" s="26"/>
      <c r="I171" s="26"/>
      <c r="J171" s="27"/>
      <c r="M171" s="64"/>
    </row>
    <row r="172" spans="2:13" ht="16.5" thickBot="1">
      <c r="B172" s="161"/>
      <c r="C172" s="162" t="str">
        <f>'[1]Тяговый расчет'!A355</f>
        <v>Система автоматического управления</v>
      </c>
      <c r="D172" s="163" t="str">
        <f>'[1]Тяговый расчет'!H355</f>
        <v>+</v>
      </c>
      <c r="E172" s="164"/>
      <c r="F172" s="165"/>
      <c r="G172" s="166"/>
      <c r="H172" s="166"/>
      <c r="I172" s="166"/>
      <c r="J172" s="167"/>
      <c r="M172" s="64"/>
    </row>
    <row r="173" spans="2:13" ht="15.75">
      <c r="B173" s="168"/>
      <c r="C173" s="169" t="s">
        <v>33</v>
      </c>
      <c r="D173" s="170" t="s">
        <v>13</v>
      </c>
      <c r="E173" s="171"/>
      <c r="F173" s="172"/>
      <c r="G173" s="38"/>
      <c r="H173" s="38"/>
      <c r="I173" s="38"/>
      <c r="J173" s="39"/>
      <c r="M173" s="64"/>
    </row>
    <row r="174" spans="2:13" ht="16.5" thickBot="1">
      <c r="B174" s="168"/>
      <c r="C174" s="169"/>
      <c r="D174" s="170"/>
      <c r="E174" s="171"/>
      <c r="F174" s="172"/>
      <c r="G174" s="38"/>
      <c r="H174" s="38"/>
      <c r="I174" s="38"/>
      <c r="J174" s="39"/>
      <c r="M174" s="64"/>
    </row>
    <row r="175" spans="2:13" ht="15.75">
      <c r="B175" s="173" t="s">
        <v>34</v>
      </c>
      <c r="C175" s="174"/>
      <c r="D175" s="175">
        <v>1</v>
      </c>
      <c r="E175" s="176"/>
      <c r="F175" s="176"/>
      <c r="G175" s="177"/>
      <c r="H175" s="177"/>
      <c r="I175" s="177"/>
      <c r="J175" s="178"/>
      <c r="M175" s="64"/>
    </row>
    <row r="176" spans="2:13" ht="15.75">
      <c r="B176" s="179"/>
      <c r="C176" s="180" t="s">
        <v>35</v>
      </c>
      <c r="D176" s="181">
        <f>D175</f>
        <v>1</v>
      </c>
      <c r="E176" s="180"/>
      <c r="F176" s="182" t="s">
        <v>13</v>
      </c>
      <c r="G176" s="26">
        <v>2000</v>
      </c>
      <c r="H176" s="26">
        <f t="shared" ref="H176:H179" si="24">G176*D176</f>
        <v>2000</v>
      </c>
      <c r="I176" s="26">
        <f t="shared" ref="I176:I179" si="25">G176*1.03</f>
        <v>2060</v>
      </c>
      <c r="J176" s="27">
        <f t="shared" ref="J176:J179" si="26">I176*D176</f>
        <v>2060</v>
      </c>
      <c r="M176" s="64"/>
    </row>
    <row r="177" spans="2:13" ht="15.75">
      <c r="B177" s="179"/>
      <c r="C177" s="180" t="s">
        <v>36</v>
      </c>
      <c r="D177" s="181">
        <f>D175</f>
        <v>1</v>
      </c>
      <c r="E177" s="180"/>
      <c r="F177" s="182" t="s">
        <v>13</v>
      </c>
      <c r="G177" s="183">
        <v>150</v>
      </c>
      <c r="H177" s="26">
        <f t="shared" si="24"/>
        <v>150</v>
      </c>
      <c r="I177" s="26">
        <f t="shared" si="25"/>
        <v>154.5</v>
      </c>
      <c r="J177" s="27">
        <f t="shared" si="26"/>
        <v>154.5</v>
      </c>
      <c r="M177" s="64"/>
    </row>
    <row r="178" spans="2:13" ht="15.75">
      <c r="B178" s="24"/>
      <c r="C178" s="180" t="s">
        <v>37</v>
      </c>
      <c r="D178" s="181">
        <f>D175</f>
        <v>1</v>
      </c>
      <c r="E178" s="180"/>
      <c r="F178" s="182" t="s">
        <v>13</v>
      </c>
      <c r="G178" s="183">
        <v>1000</v>
      </c>
      <c r="H178" s="26">
        <f t="shared" si="24"/>
        <v>1000</v>
      </c>
      <c r="I178" s="26">
        <f t="shared" si="25"/>
        <v>1030</v>
      </c>
      <c r="J178" s="27">
        <f t="shared" si="26"/>
        <v>1030</v>
      </c>
      <c r="M178" s="64"/>
    </row>
    <row r="179" spans="2:13" ht="15.75">
      <c r="B179" s="184"/>
      <c r="C179" s="23" t="s">
        <v>38</v>
      </c>
      <c r="D179" s="181">
        <v>1</v>
      </c>
      <c r="E179" s="25"/>
      <c r="F179" s="182" t="s">
        <v>13</v>
      </c>
      <c r="G179" s="183">
        <v>500</v>
      </c>
      <c r="H179" s="26">
        <f t="shared" si="24"/>
        <v>500</v>
      </c>
      <c r="I179" s="26">
        <f t="shared" si="25"/>
        <v>515</v>
      </c>
      <c r="J179" s="27">
        <f t="shared" si="26"/>
        <v>515</v>
      </c>
      <c r="M179" s="64"/>
    </row>
    <row r="180" spans="2:13" ht="15.75">
      <c r="B180" s="179"/>
      <c r="C180" s="79" t="s">
        <v>39</v>
      </c>
      <c r="D180" s="185">
        <v>0</v>
      </c>
      <c r="E180" s="25" t="s">
        <v>13</v>
      </c>
      <c r="F180" s="182"/>
      <c r="G180" s="183"/>
      <c r="H180" s="26"/>
      <c r="I180" s="26"/>
      <c r="J180" s="27"/>
      <c r="M180" s="64"/>
    </row>
    <row r="181" spans="2:13" ht="15.75">
      <c r="B181" s="186" t="s">
        <v>40</v>
      </c>
      <c r="C181" s="187"/>
      <c r="D181" s="188"/>
      <c r="E181" s="189"/>
      <c r="F181" s="189"/>
      <c r="G181" s="190"/>
      <c r="H181" s="190"/>
      <c r="I181" s="190"/>
      <c r="J181" s="190"/>
      <c r="M181" s="64"/>
    </row>
    <row r="182" spans="2:13" ht="82.5" customHeight="1">
      <c r="B182" s="191" t="s">
        <v>41</v>
      </c>
      <c r="C182" s="192" t="s">
        <v>42</v>
      </c>
      <c r="D182" s="170">
        <v>2</v>
      </c>
      <c r="E182" s="171" t="s">
        <v>13</v>
      </c>
      <c r="F182" s="172"/>
      <c r="G182" s="38"/>
      <c r="H182" s="38"/>
      <c r="I182" s="38"/>
      <c r="J182" s="38"/>
      <c r="M182" s="64"/>
    </row>
    <row r="183" spans="2:13" ht="15.75">
      <c r="B183" s="186" t="s">
        <v>43</v>
      </c>
      <c r="C183" s="187"/>
      <c r="D183" s="188">
        <v>2</v>
      </c>
      <c r="E183" s="189"/>
      <c r="F183" s="189"/>
      <c r="G183" s="189"/>
      <c r="H183" s="189"/>
      <c r="I183" s="189"/>
      <c r="J183" s="189"/>
      <c r="M183" s="64"/>
    </row>
    <row r="184" spans="2:13" ht="15.75">
      <c r="B184" s="193"/>
      <c r="C184" s="23" t="s">
        <v>43</v>
      </c>
      <c r="D184" s="25">
        <v>2</v>
      </c>
      <c r="E184" s="25"/>
      <c r="F184" s="25" t="s">
        <v>13</v>
      </c>
      <c r="G184" s="53">
        <v>283.5</v>
      </c>
      <c r="H184" s="26">
        <v>567</v>
      </c>
      <c r="I184" s="53">
        <v>366.5</v>
      </c>
      <c r="J184" s="27">
        <v>733</v>
      </c>
      <c r="M184" s="64"/>
    </row>
    <row r="185" spans="2:13" ht="15.75">
      <c r="B185" s="194"/>
      <c r="C185" s="54" t="s">
        <v>44</v>
      </c>
      <c r="D185" s="55">
        <v>4</v>
      </c>
      <c r="E185" s="55"/>
      <c r="F185" s="55" t="s">
        <v>13</v>
      </c>
      <c r="G185" s="56">
        <v>21.4</v>
      </c>
      <c r="H185" s="56">
        <v>85.6</v>
      </c>
      <c r="I185" s="56">
        <v>57.09</v>
      </c>
      <c r="J185" s="57">
        <v>228.36</v>
      </c>
      <c r="M185" s="64"/>
    </row>
    <row r="186" spans="2:13" ht="15.75">
      <c r="B186" s="194"/>
      <c r="C186" s="54" t="s">
        <v>45</v>
      </c>
      <c r="D186" s="55">
        <v>4</v>
      </c>
      <c r="E186" s="55"/>
      <c r="F186" s="55" t="s">
        <v>13</v>
      </c>
      <c r="G186" s="56">
        <v>2.44</v>
      </c>
      <c r="H186" s="56">
        <v>9.76</v>
      </c>
      <c r="I186" s="56">
        <v>8.31</v>
      </c>
      <c r="J186" s="57">
        <v>33.24</v>
      </c>
      <c r="M186" s="64"/>
    </row>
    <row r="187" spans="2:13" ht="15.75">
      <c r="B187" s="194"/>
      <c r="C187" s="54" t="s">
        <v>46</v>
      </c>
      <c r="D187" s="55">
        <v>4</v>
      </c>
      <c r="E187" s="55"/>
      <c r="F187" s="55" t="s">
        <v>13</v>
      </c>
      <c r="G187" s="56">
        <v>4.5720000000000001</v>
      </c>
      <c r="H187" s="56">
        <v>18.288</v>
      </c>
      <c r="I187" s="56">
        <v>10.38</v>
      </c>
      <c r="J187" s="57">
        <v>41.52</v>
      </c>
      <c r="M187" s="64"/>
    </row>
    <row r="188" spans="2:13" ht="15.75">
      <c r="B188" s="194"/>
      <c r="C188" s="54" t="s">
        <v>47</v>
      </c>
      <c r="D188" s="55">
        <v>4</v>
      </c>
      <c r="E188" s="55"/>
      <c r="F188" s="55" t="s">
        <v>13</v>
      </c>
      <c r="G188" s="58">
        <v>0.26800000000000002</v>
      </c>
      <c r="H188" s="56">
        <v>1.0720000000000001</v>
      </c>
      <c r="I188" s="56">
        <v>1.42</v>
      </c>
      <c r="J188" s="57">
        <v>5.68</v>
      </c>
      <c r="M188" s="64"/>
    </row>
    <row r="189" spans="2:13" ht="15.75">
      <c r="B189" s="194"/>
      <c r="C189" s="59" t="s">
        <v>48</v>
      </c>
      <c r="D189" s="55">
        <v>4</v>
      </c>
      <c r="E189" s="55" t="s">
        <v>13</v>
      </c>
      <c r="F189" s="55"/>
      <c r="G189" s="60"/>
      <c r="H189" s="60"/>
      <c r="I189" s="60"/>
      <c r="J189" s="61"/>
      <c r="M189" s="64"/>
    </row>
    <row r="190" spans="2:13" ht="31.5">
      <c r="B190" s="62">
        <v>3.7679999999999998</v>
      </c>
      <c r="C190" s="63" t="s">
        <v>49</v>
      </c>
      <c r="D190" s="24">
        <v>2</v>
      </c>
      <c r="E190" s="24" t="s">
        <v>13</v>
      </c>
      <c r="F190" s="25"/>
      <c r="G190" s="26"/>
      <c r="H190" s="26"/>
      <c r="I190" s="26"/>
      <c r="J190" s="27"/>
      <c r="K190" s="1">
        <v>1.8839999999999999</v>
      </c>
      <c r="M190" s="64"/>
    </row>
    <row r="191" spans="2:13" ht="15.75">
      <c r="B191" s="22"/>
      <c r="C191" s="65" t="s">
        <v>29</v>
      </c>
      <c r="D191" s="24"/>
      <c r="E191" s="24" t="s">
        <v>13</v>
      </c>
      <c r="F191" s="24"/>
      <c r="G191" s="66"/>
      <c r="H191" s="66"/>
      <c r="I191" s="67">
        <v>0.26827200000000001</v>
      </c>
      <c r="J191" s="27"/>
      <c r="M191" s="64"/>
    </row>
    <row r="192" spans="2:13" ht="15.75">
      <c r="B192" s="22"/>
      <c r="C192" s="65" t="s">
        <v>30</v>
      </c>
      <c r="D192" s="24"/>
      <c r="E192" s="24" t="s">
        <v>13</v>
      </c>
      <c r="F192" s="24"/>
      <c r="G192" s="66"/>
      <c r="H192" s="66"/>
      <c r="I192" s="67">
        <v>1.05504</v>
      </c>
      <c r="J192" s="27"/>
      <c r="K192" s="68">
        <v>0.28000000000000003</v>
      </c>
      <c r="M192" s="64"/>
    </row>
    <row r="193" spans="2:13" ht="15.75">
      <c r="B193" s="22"/>
      <c r="C193" s="65" t="s">
        <v>31</v>
      </c>
      <c r="D193" s="24"/>
      <c r="E193" s="24" t="s">
        <v>13</v>
      </c>
      <c r="F193" s="24"/>
      <c r="G193" s="66"/>
      <c r="H193" s="66"/>
      <c r="I193" s="67">
        <v>5.6519999999999992</v>
      </c>
      <c r="J193" s="27"/>
      <c r="K193" s="68">
        <v>1.5</v>
      </c>
      <c r="M193" s="64"/>
    </row>
    <row r="194" spans="2:13" ht="16.5" thickBot="1">
      <c r="B194" s="22"/>
      <c r="C194" s="65" t="s">
        <v>32</v>
      </c>
      <c r="D194" s="24"/>
      <c r="E194" s="24" t="s">
        <v>13</v>
      </c>
      <c r="F194" s="24"/>
      <c r="G194" s="66"/>
      <c r="H194" s="66"/>
      <c r="I194" s="67">
        <v>1.1303999999999998</v>
      </c>
      <c r="J194" s="27"/>
      <c r="K194" s="68">
        <v>0.3</v>
      </c>
      <c r="M194" s="64"/>
    </row>
    <row r="195" spans="2:13" ht="15.75">
      <c r="B195" s="195" t="s">
        <v>50</v>
      </c>
      <c r="C195" s="196"/>
      <c r="D195" s="197">
        <v>2</v>
      </c>
      <c r="E195" s="198"/>
      <c r="F195" s="198"/>
      <c r="G195" s="199"/>
      <c r="H195" s="200"/>
      <c r="I195" s="200"/>
      <c r="J195" s="201"/>
      <c r="M195" s="64"/>
    </row>
    <row r="196" spans="2:13" ht="15.75">
      <c r="B196" s="202"/>
      <c r="C196" s="203" t="s">
        <v>51</v>
      </c>
      <c r="D196" s="204">
        <v>2</v>
      </c>
      <c r="E196" s="204"/>
      <c r="F196" s="205" t="s">
        <v>13</v>
      </c>
      <c r="G196" s="206">
        <v>110</v>
      </c>
      <c r="H196" s="56">
        <f>G196*D196</f>
        <v>220</v>
      </c>
      <c r="I196" s="26">
        <f>G196*1.3</f>
        <v>143</v>
      </c>
      <c r="J196" s="56">
        <f>I196*D196</f>
        <v>286</v>
      </c>
      <c r="M196" s="64"/>
    </row>
    <row r="197" spans="2:13" ht="15.75">
      <c r="B197" s="202"/>
      <c r="C197" s="54" t="s">
        <v>52</v>
      </c>
      <c r="D197" s="204">
        <f>D196</f>
        <v>2</v>
      </c>
      <c r="E197" s="204"/>
      <c r="F197" s="205" t="s">
        <v>13</v>
      </c>
      <c r="G197" s="56">
        <v>21.4</v>
      </c>
      <c r="H197" s="56">
        <f t="shared" ref="H197:H201" si="27">G197*D197</f>
        <v>42.8</v>
      </c>
      <c r="I197" s="56">
        <v>57.09</v>
      </c>
      <c r="J197" s="56">
        <f t="shared" ref="J197:J201" si="28">I197*D197</f>
        <v>114.18</v>
      </c>
      <c r="M197" s="64"/>
    </row>
    <row r="198" spans="2:13" ht="15.75">
      <c r="B198" s="202"/>
      <c r="C198" s="54" t="s">
        <v>45</v>
      </c>
      <c r="D198" s="204">
        <v>2</v>
      </c>
      <c r="E198" s="204"/>
      <c r="F198" s="205" t="s">
        <v>13</v>
      </c>
      <c r="G198" s="56">
        <v>2.44</v>
      </c>
      <c r="H198" s="56">
        <f t="shared" si="27"/>
        <v>4.88</v>
      </c>
      <c r="I198" s="56">
        <v>8.31</v>
      </c>
      <c r="J198" s="56">
        <f t="shared" si="28"/>
        <v>16.62</v>
      </c>
      <c r="M198" s="64"/>
    </row>
    <row r="199" spans="2:13" ht="15.75">
      <c r="B199" s="202"/>
      <c r="C199" s="54" t="s">
        <v>46</v>
      </c>
      <c r="D199" s="204">
        <f>D195</f>
        <v>2</v>
      </c>
      <c r="E199" s="204"/>
      <c r="F199" s="205" t="s">
        <v>13</v>
      </c>
      <c r="G199" s="56">
        <v>4.5720000000000001</v>
      </c>
      <c r="H199" s="56">
        <f t="shared" si="27"/>
        <v>9.1440000000000001</v>
      </c>
      <c r="I199" s="56">
        <v>10.38</v>
      </c>
      <c r="J199" s="56">
        <f t="shared" si="28"/>
        <v>20.76</v>
      </c>
      <c r="M199" s="64"/>
    </row>
    <row r="200" spans="2:13" ht="15.75">
      <c r="B200" s="202"/>
      <c r="C200" s="54" t="s">
        <v>47</v>
      </c>
      <c r="D200" s="204">
        <f>D198</f>
        <v>2</v>
      </c>
      <c r="E200" s="55"/>
      <c r="F200" s="207" t="s">
        <v>13</v>
      </c>
      <c r="G200" s="56">
        <v>0.26800000000000002</v>
      </c>
      <c r="H200" s="56">
        <f t="shared" si="27"/>
        <v>0.53600000000000003</v>
      </c>
      <c r="I200" s="56">
        <v>1.42</v>
      </c>
      <c r="J200" s="56">
        <f t="shared" si="28"/>
        <v>2.84</v>
      </c>
      <c r="M200" s="64"/>
    </row>
    <row r="201" spans="2:13" ht="15.75">
      <c r="B201" s="202"/>
      <c r="C201" s="203" t="s">
        <v>53</v>
      </c>
      <c r="D201" s="204">
        <f>D195</f>
        <v>2</v>
      </c>
      <c r="E201" s="204"/>
      <c r="F201" s="205" t="s">
        <v>13</v>
      </c>
      <c r="G201" s="206">
        <v>25</v>
      </c>
      <c r="H201" s="56">
        <f t="shared" si="27"/>
        <v>50</v>
      </c>
      <c r="I201" s="26">
        <v>77.25</v>
      </c>
      <c r="J201" s="56">
        <f t="shared" si="28"/>
        <v>154.5</v>
      </c>
      <c r="M201" s="64"/>
    </row>
    <row r="202" spans="2:13" ht="15.75">
      <c r="B202" s="202"/>
      <c r="C202" s="79" t="s">
        <v>54</v>
      </c>
      <c r="D202" s="204">
        <f>D197</f>
        <v>2</v>
      </c>
      <c r="E202" s="204" t="s">
        <v>13</v>
      </c>
      <c r="F202" s="205"/>
      <c r="G202" s="203"/>
      <c r="H202" s="203"/>
      <c r="I202" s="203"/>
      <c r="J202" s="203"/>
      <c r="M202" s="64"/>
    </row>
    <row r="203" spans="2:13" ht="16.5" thickBot="1">
      <c r="B203" s="208"/>
      <c r="C203" s="209" t="s">
        <v>55</v>
      </c>
      <c r="D203" s="210">
        <f>D196</f>
        <v>2</v>
      </c>
      <c r="E203" s="210"/>
      <c r="F203" s="210" t="s">
        <v>13</v>
      </c>
      <c r="G203" s="211">
        <v>25</v>
      </c>
      <c r="H203" s="56">
        <f>G203*D203</f>
        <v>50</v>
      </c>
      <c r="I203" s="26">
        <v>25.75</v>
      </c>
      <c r="J203" s="56">
        <f>I203*D203</f>
        <v>51.5</v>
      </c>
      <c r="M203" s="64"/>
    </row>
    <row r="204" spans="2:13" ht="15.75">
      <c r="B204" s="195" t="s">
        <v>56</v>
      </c>
      <c r="C204" s="196"/>
      <c r="D204" s="197">
        <v>4</v>
      </c>
      <c r="E204" s="198"/>
      <c r="F204" s="198"/>
      <c r="G204" s="199"/>
      <c r="H204" s="200"/>
      <c r="I204" s="200"/>
      <c r="J204" s="201"/>
      <c r="M204" s="64"/>
    </row>
    <row r="205" spans="2:13" ht="15.75">
      <c r="B205" s="202"/>
      <c r="C205" s="203" t="s">
        <v>51</v>
      </c>
      <c r="D205" s="204">
        <f>D204</f>
        <v>4</v>
      </c>
      <c r="E205" s="204"/>
      <c r="F205" s="205" t="s">
        <v>13</v>
      </c>
      <c r="G205" s="206">
        <v>90</v>
      </c>
      <c r="H205" s="56">
        <f>G205*D205</f>
        <v>360</v>
      </c>
      <c r="I205" s="26">
        <f>G205*1.3</f>
        <v>117</v>
      </c>
      <c r="J205" s="56">
        <f>I205*D205</f>
        <v>468</v>
      </c>
      <c r="M205" s="64"/>
    </row>
    <row r="206" spans="2:13" ht="15.75">
      <c r="B206" s="202"/>
      <c r="C206" s="54" t="s">
        <v>52</v>
      </c>
      <c r="D206" s="204">
        <f>D205</f>
        <v>4</v>
      </c>
      <c r="E206" s="204"/>
      <c r="F206" s="205" t="s">
        <v>13</v>
      </c>
      <c r="G206" s="56">
        <v>21.4</v>
      </c>
      <c r="H206" s="56">
        <f t="shared" ref="H206:H210" si="29">G206*D206</f>
        <v>85.6</v>
      </c>
      <c r="I206" s="56">
        <v>57.09</v>
      </c>
      <c r="J206" s="56">
        <f t="shared" ref="J206:J210" si="30">I206*D206</f>
        <v>228.36</v>
      </c>
      <c r="M206" s="64"/>
    </row>
    <row r="207" spans="2:13" ht="15.75">
      <c r="B207" s="202"/>
      <c r="C207" s="54" t="s">
        <v>45</v>
      </c>
      <c r="D207" s="204">
        <v>4</v>
      </c>
      <c r="E207" s="204"/>
      <c r="F207" s="205" t="s">
        <v>13</v>
      </c>
      <c r="G207" s="56">
        <v>2.44</v>
      </c>
      <c r="H207" s="56">
        <f t="shared" si="29"/>
        <v>9.76</v>
      </c>
      <c r="I207" s="56">
        <v>8.31</v>
      </c>
      <c r="J207" s="56">
        <f t="shared" si="30"/>
        <v>33.24</v>
      </c>
      <c r="M207" s="64"/>
    </row>
    <row r="208" spans="2:13" ht="15.75">
      <c r="B208" s="202"/>
      <c r="C208" s="54" t="s">
        <v>46</v>
      </c>
      <c r="D208" s="204">
        <f>D204</f>
        <v>4</v>
      </c>
      <c r="E208" s="204"/>
      <c r="F208" s="205" t="s">
        <v>13</v>
      </c>
      <c r="G208" s="56">
        <v>4.5720000000000001</v>
      </c>
      <c r="H208" s="56">
        <f t="shared" si="29"/>
        <v>18.288</v>
      </c>
      <c r="I208" s="56">
        <v>10.38</v>
      </c>
      <c r="J208" s="56">
        <f t="shared" si="30"/>
        <v>41.52</v>
      </c>
      <c r="M208" s="64"/>
    </row>
    <row r="209" spans="2:13" ht="15.75">
      <c r="B209" s="202"/>
      <c r="C209" s="54" t="s">
        <v>47</v>
      </c>
      <c r="D209" s="204">
        <f>D207</f>
        <v>4</v>
      </c>
      <c r="E209" s="55"/>
      <c r="F209" s="207" t="s">
        <v>13</v>
      </c>
      <c r="G209" s="56">
        <v>0.26800000000000002</v>
      </c>
      <c r="H209" s="56">
        <f t="shared" si="29"/>
        <v>1.0720000000000001</v>
      </c>
      <c r="I209" s="56">
        <v>1.42</v>
      </c>
      <c r="J209" s="56">
        <f t="shared" si="30"/>
        <v>5.68</v>
      </c>
      <c r="M209" s="64"/>
    </row>
    <row r="210" spans="2:13" ht="15.75">
      <c r="B210" s="202"/>
      <c r="C210" s="203" t="s">
        <v>53</v>
      </c>
      <c r="D210" s="204">
        <f>D204</f>
        <v>4</v>
      </c>
      <c r="E210" s="204"/>
      <c r="F210" s="205" t="s">
        <v>13</v>
      </c>
      <c r="G210" s="206">
        <v>25</v>
      </c>
      <c r="H210" s="56">
        <f t="shared" si="29"/>
        <v>100</v>
      </c>
      <c r="I210" s="26">
        <v>77.25</v>
      </c>
      <c r="J210" s="56">
        <f t="shared" si="30"/>
        <v>309</v>
      </c>
      <c r="M210" s="64"/>
    </row>
    <row r="211" spans="2:13" ht="15.75">
      <c r="B211" s="202"/>
      <c r="C211" s="79" t="s">
        <v>54</v>
      </c>
      <c r="D211" s="204">
        <f>D206</f>
        <v>4</v>
      </c>
      <c r="E211" s="204" t="s">
        <v>13</v>
      </c>
      <c r="F211" s="205"/>
      <c r="G211" s="203"/>
      <c r="H211" s="203"/>
      <c r="I211" s="203"/>
      <c r="J211" s="203"/>
      <c r="M211" s="64"/>
    </row>
    <row r="212" spans="2:13" ht="16.5" thickBot="1">
      <c r="B212" s="208"/>
      <c r="C212" s="209" t="s">
        <v>55</v>
      </c>
      <c r="D212" s="210">
        <f>D205</f>
        <v>4</v>
      </c>
      <c r="E212" s="210"/>
      <c r="F212" s="210" t="s">
        <v>13</v>
      </c>
      <c r="G212" s="211">
        <v>25</v>
      </c>
      <c r="H212" s="56">
        <f>G212*D212</f>
        <v>100</v>
      </c>
      <c r="I212" s="26">
        <v>25.75</v>
      </c>
      <c r="J212" s="56">
        <f>I212*D212</f>
        <v>103</v>
      </c>
      <c r="M212" s="64"/>
    </row>
    <row r="213" spans="2:13" ht="15.75">
      <c r="B213" s="212" t="s">
        <v>57</v>
      </c>
      <c r="C213" s="213"/>
      <c r="D213" s="214">
        <v>2</v>
      </c>
      <c r="E213" s="214"/>
      <c r="F213" s="214"/>
      <c r="G213" s="215"/>
      <c r="H213" s="215"/>
      <c r="I213" s="215"/>
      <c r="J213" s="216"/>
      <c r="M213" s="64"/>
    </row>
    <row r="214" spans="2:13">
      <c r="B214" s="114"/>
      <c r="C214" s="23" t="s">
        <v>58</v>
      </c>
      <c r="D214" s="25">
        <f>D213</f>
        <v>2</v>
      </c>
      <c r="E214" s="25"/>
      <c r="F214" s="25" t="s">
        <v>13</v>
      </c>
      <c r="G214" s="26">
        <v>80</v>
      </c>
      <c r="H214" s="26">
        <f t="shared" ref="H214:H215" si="31">G214*D214</f>
        <v>160</v>
      </c>
      <c r="I214" s="26">
        <f t="shared" ref="I214:I215" si="32">G214*1.03</f>
        <v>82.4</v>
      </c>
      <c r="J214" s="27">
        <f t="shared" ref="J214:J215" si="33">I214*D214</f>
        <v>164.8</v>
      </c>
      <c r="M214" s="64"/>
    </row>
    <row r="215" spans="2:13">
      <c r="B215" s="114"/>
      <c r="C215" s="23" t="s">
        <v>59</v>
      </c>
      <c r="D215" s="25">
        <f>D214</f>
        <v>2</v>
      </c>
      <c r="E215" s="25"/>
      <c r="F215" s="25" t="s">
        <v>13</v>
      </c>
      <c r="G215" s="26">
        <v>50</v>
      </c>
      <c r="H215" s="26">
        <f t="shared" si="31"/>
        <v>100</v>
      </c>
      <c r="I215" s="26">
        <f t="shared" si="32"/>
        <v>51.5</v>
      </c>
      <c r="J215" s="27">
        <f t="shared" si="33"/>
        <v>103</v>
      </c>
      <c r="M215" s="64"/>
    </row>
    <row r="216" spans="2:13" ht="16.5" thickBot="1">
      <c r="B216" s="217"/>
      <c r="C216" s="79" t="s">
        <v>60</v>
      </c>
      <c r="D216" s="119">
        <f>D213</f>
        <v>2</v>
      </c>
      <c r="E216" s="119" t="s">
        <v>13</v>
      </c>
      <c r="F216" s="119"/>
      <c r="G216" s="121"/>
      <c r="H216" s="218"/>
      <c r="I216" s="218"/>
      <c r="J216" s="219"/>
      <c r="M216" s="64"/>
    </row>
    <row r="217" spans="2:13" ht="15.75">
      <c r="B217" s="220" t="str">
        <f>B92</f>
        <v>Роликоопора желобчатая верхняя гладкая ЖГ100-127-30</v>
      </c>
      <c r="C217" s="221"/>
      <c r="D217" s="222">
        <v>5</v>
      </c>
      <c r="E217" s="222"/>
      <c r="F217" s="222" t="s">
        <v>13</v>
      </c>
      <c r="G217" s="223"/>
      <c r="H217" s="223"/>
      <c r="I217" s="223"/>
      <c r="J217" s="223"/>
      <c r="M217" s="64"/>
    </row>
    <row r="218" spans="2:13">
      <c r="B218" s="25"/>
      <c r="C218" s="101" t="str">
        <f>C93</f>
        <v>Роликоопора ВЖ100.127.30</v>
      </c>
      <c r="D218" s="25">
        <f>D217</f>
        <v>5</v>
      </c>
      <c r="E218" s="25"/>
      <c r="F218" s="25" t="s">
        <v>13</v>
      </c>
      <c r="G218" s="26">
        <f>G93</f>
        <v>20</v>
      </c>
      <c r="H218" s="26">
        <f>G218*D218</f>
        <v>100</v>
      </c>
      <c r="I218" s="26">
        <f>G218*1.03</f>
        <v>20.6</v>
      </c>
      <c r="J218" s="26">
        <f>I218*D218</f>
        <v>103</v>
      </c>
      <c r="M218" s="64"/>
    </row>
    <row r="219" spans="2:13">
      <c r="B219" s="81"/>
      <c r="C219" s="101" t="str">
        <f>C94</f>
        <v>Ролик гладкий ГФУ 127х380 подш.305</v>
      </c>
      <c r="D219" s="30">
        <f>D218*3</f>
        <v>15</v>
      </c>
      <c r="E219" s="30"/>
      <c r="F219" s="30" t="s">
        <v>13</v>
      </c>
      <c r="G219" s="26">
        <f>G94</f>
        <v>8.5164410064399974</v>
      </c>
      <c r="H219" s="31">
        <f>G219*D219</f>
        <v>127.74661509659995</v>
      </c>
      <c r="I219" s="31">
        <f>G219*1.03</f>
        <v>8.7719342366331983</v>
      </c>
      <c r="J219" s="31">
        <f>I219*D219</f>
        <v>131.57901354949797</v>
      </c>
      <c r="M219" s="64"/>
    </row>
    <row r="220" spans="2:13" ht="15.75" thickBot="1">
      <c r="B220" s="159"/>
      <c r="C220" s="115" t="str">
        <f>C95</f>
        <v>Подшипник 60305 ГОСТ 7242-81</v>
      </c>
      <c r="D220" s="119">
        <f>IF(D219&gt;0,D219*2,0)</f>
        <v>30</v>
      </c>
      <c r="E220" s="119" t="s">
        <v>13</v>
      </c>
      <c r="F220" s="119"/>
      <c r="G220" s="26">
        <f>G95</f>
        <v>0.23</v>
      </c>
      <c r="H220" s="121"/>
      <c r="I220" s="121"/>
      <c r="J220" s="121"/>
      <c r="M220" s="64"/>
    </row>
    <row r="221" spans="2:13" ht="15.75">
      <c r="B221" s="224" t="s">
        <v>61</v>
      </c>
      <c r="C221" s="225"/>
      <c r="D221" s="144">
        <v>2</v>
      </c>
      <c r="E221" s="145"/>
      <c r="F221" s="145"/>
      <c r="G221" s="146"/>
      <c r="H221" s="147"/>
      <c r="I221" s="147"/>
      <c r="J221" s="148"/>
      <c r="M221" s="64"/>
    </row>
    <row r="222" spans="2:13">
      <c r="B222" s="172"/>
      <c r="C222" s="172" t="str">
        <f>C137</f>
        <v>Роликоопора ДЖ100-127-30</v>
      </c>
      <c r="D222" s="25">
        <f>D221</f>
        <v>2</v>
      </c>
      <c r="E222" s="25"/>
      <c r="F222" s="25" t="s">
        <v>13</v>
      </c>
      <c r="G222" s="26">
        <f>G137</f>
        <v>8.75</v>
      </c>
      <c r="H222" s="26">
        <f>G222*D222</f>
        <v>17.5</v>
      </c>
      <c r="I222" s="26">
        <f>G222*1.03</f>
        <v>9.0125000000000011</v>
      </c>
      <c r="J222" s="27">
        <f>I222*D222</f>
        <v>18.025000000000002</v>
      </c>
      <c r="M222" s="64"/>
    </row>
    <row r="223" spans="2:13">
      <c r="B223" s="172"/>
      <c r="C223" s="172" t="str">
        <f t="shared" ref="C223:C224" si="34">C138</f>
        <v>Ролики гладкие дефлекторные 127х200 РКГД127.0200.0000 подш.305</v>
      </c>
      <c r="D223" s="30">
        <f>D222*2</f>
        <v>4</v>
      </c>
      <c r="E223" s="30"/>
      <c r="F223" s="30" t="s">
        <v>13</v>
      </c>
      <c r="G223" s="26">
        <f t="shared" ref="G223:G224" si="35">G138</f>
        <v>4.6359999999999992</v>
      </c>
      <c r="H223" s="31">
        <f>G223*D223</f>
        <v>18.543999999999997</v>
      </c>
      <c r="I223" s="31">
        <f>G223*1.03</f>
        <v>4.7750799999999991</v>
      </c>
      <c r="J223" s="49">
        <f>I223*D223</f>
        <v>19.100319999999996</v>
      </c>
      <c r="M223" s="64"/>
    </row>
    <row r="224" spans="2:13" ht="15.75" thickBot="1">
      <c r="B224" s="172"/>
      <c r="C224" s="226" t="str">
        <f t="shared" si="34"/>
        <v>Подшипник 60305 ГОСТ 7242-81</v>
      </c>
      <c r="D224" s="119">
        <f>D223*2</f>
        <v>8</v>
      </c>
      <c r="E224" s="119" t="s">
        <v>13</v>
      </c>
      <c r="F224" s="119"/>
      <c r="G224" s="26">
        <f t="shared" si="35"/>
        <v>0.23200000000000001</v>
      </c>
      <c r="H224" s="121"/>
      <c r="I224" s="121"/>
      <c r="J224" s="122"/>
      <c r="M224" s="64"/>
    </row>
    <row r="225" spans="2:13" ht="15.75">
      <c r="B225" s="227" t="s">
        <v>62</v>
      </c>
      <c r="C225" s="228"/>
      <c r="D225" s="229">
        <v>1</v>
      </c>
      <c r="E225" s="228"/>
      <c r="F225" s="230"/>
      <c r="G225" s="231"/>
      <c r="H225" s="231"/>
      <c r="I225" s="232"/>
      <c r="J225" s="232"/>
      <c r="M225" s="64"/>
    </row>
    <row r="226" spans="2:13" ht="15.75">
      <c r="B226" s="233"/>
      <c r="C226" s="23" t="s">
        <v>63</v>
      </c>
      <c r="D226" s="24">
        <f>D225</f>
        <v>1</v>
      </c>
      <c r="E226" s="23"/>
      <c r="F226" s="25" t="s">
        <v>13</v>
      </c>
      <c r="G226" s="26">
        <v>150</v>
      </c>
      <c r="H226" s="26">
        <f>G226*D226</f>
        <v>150</v>
      </c>
      <c r="I226" s="26">
        <f>G226*1.03</f>
        <v>154.5</v>
      </c>
      <c r="J226" s="26">
        <f>I226*D226</f>
        <v>154.5</v>
      </c>
      <c r="M226" s="64"/>
    </row>
    <row r="227" spans="2:13" ht="31.5">
      <c r="B227" s="217"/>
      <c r="C227" s="48" t="s">
        <v>64</v>
      </c>
      <c r="D227" s="24">
        <v>1</v>
      </c>
      <c r="E227" s="25" t="s">
        <v>13</v>
      </c>
      <c r="F227" s="234"/>
      <c r="G227" s="234"/>
      <c r="H227" s="234"/>
      <c r="I227" s="234"/>
      <c r="J227" s="234"/>
      <c r="M227" s="64"/>
    </row>
    <row r="228" spans="2:13" ht="16.5" thickBot="1">
      <c r="B228" s="194"/>
      <c r="C228" s="81" t="s">
        <v>65</v>
      </c>
      <c r="D228" s="30">
        <v>1</v>
      </c>
      <c r="E228" s="30"/>
      <c r="F228" s="30" t="s">
        <v>13</v>
      </c>
      <c r="G228" s="26">
        <v>100</v>
      </c>
      <c r="H228" s="26">
        <f>G228*D228</f>
        <v>100</v>
      </c>
      <c r="I228" s="26">
        <f>G228*1.03</f>
        <v>103</v>
      </c>
      <c r="J228" s="26">
        <f>I228*D228</f>
        <v>103</v>
      </c>
      <c r="M228" s="64"/>
    </row>
    <row r="229" spans="2:13" ht="15.75">
      <c r="B229" s="235" t="s">
        <v>66</v>
      </c>
      <c r="C229" s="236"/>
      <c r="D229" s="237">
        <v>91</v>
      </c>
      <c r="E229" s="236"/>
      <c r="F229" s="236"/>
      <c r="G229" s="236"/>
      <c r="H229" s="236"/>
      <c r="I229" s="236"/>
      <c r="J229" s="238"/>
      <c r="M229" s="64"/>
    </row>
    <row r="230" spans="2:13" ht="15.75">
      <c r="B230" s="168"/>
      <c r="C230" s="239" t="s">
        <v>67</v>
      </c>
      <c r="D230" s="24">
        <v>32</v>
      </c>
      <c r="E230" s="25" t="s">
        <v>13</v>
      </c>
      <c r="F230" s="172"/>
      <c r="G230" s="38"/>
      <c r="H230" s="38"/>
      <c r="I230" s="38"/>
      <c r="J230" s="39"/>
      <c r="M230" s="64"/>
    </row>
    <row r="231" spans="2:13" ht="15.75">
      <c r="B231" s="168"/>
      <c r="C231" s="239" t="s">
        <v>68</v>
      </c>
      <c r="D231" s="170">
        <v>1</v>
      </c>
      <c r="E231" s="171" t="s">
        <v>13</v>
      </c>
      <c r="F231" s="172"/>
      <c r="G231" s="38"/>
      <c r="H231" s="38"/>
      <c r="I231" s="38"/>
      <c r="J231" s="39"/>
      <c r="M231" s="64"/>
    </row>
    <row r="232" spans="2:13" ht="15.75">
      <c r="B232" s="168"/>
      <c r="C232" s="239" t="s">
        <v>69</v>
      </c>
      <c r="D232" s="24">
        <v>1</v>
      </c>
      <c r="E232" s="25" t="s">
        <v>13</v>
      </c>
      <c r="F232" s="172"/>
      <c r="G232" s="38"/>
      <c r="H232" s="38"/>
      <c r="I232" s="38"/>
      <c r="J232" s="39"/>
      <c r="M232" s="64"/>
    </row>
    <row r="233" spans="2:13" ht="15.75">
      <c r="B233" s="168"/>
      <c r="C233" s="239" t="s">
        <v>70</v>
      </c>
      <c r="D233" s="170">
        <f>SUM(D230:D232)</f>
        <v>34</v>
      </c>
      <c r="E233" s="171" t="s">
        <v>13</v>
      </c>
      <c r="F233" s="172"/>
      <c r="G233" s="38"/>
      <c r="H233" s="38"/>
      <c r="I233" s="38"/>
      <c r="J233" s="39"/>
      <c r="M233" s="64"/>
    </row>
    <row r="234" spans="2:13" ht="15.75">
      <c r="B234" s="168"/>
      <c r="C234" s="194" t="s">
        <v>71</v>
      </c>
      <c r="D234" s="170">
        <v>2</v>
      </c>
      <c r="E234" s="171"/>
      <c r="F234" s="182" t="s">
        <v>13</v>
      </c>
      <c r="G234" s="26">
        <v>4.84</v>
      </c>
      <c r="H234" s="26">
        <v>9.68</v>
      </c>
      <c r="I234" s="26">
        <v>4.9851999999999999</v>
      </c>
      <c r="J234" s="27">
        <v>9.9703999999999997</v>
      </c>
      <c r="M234" s="64"/>
    </row>
    <row r="235" spans="2:13" ht="15.75">
      <c r="B235" s="22"/>
      <c r="C235" s="233" t="s">
        <v>72</v>
      </c>
      <c r="D235" s="24">
        <f>CEILING(D229+0.1*D230+0.2*D231+0.2*D232+2,1)</f>
        <v>97</v>
      </c>
      <c r="E235" s="25"/>
      <c r="F235" s="182" t="s">
        <v>13</v>
      </c>
      <c r="G235" s="26">
        <v>9.4600000000000009</v>
      </c>
      <c r="H235" s="26">
        <v>416.24</v>
      </c>
      <c r="I235" s="26">
        <v>9.743800000000002</v>
      </c>
      <c r="J235" s="27">
        <v>428.7272000000001</v>
      </c>
      <c r="M235" s="64"/>
    </row>
    <row r="236" spans="2:13" ht="15.75">
      <c r="B236" s="22"/>
      <c r="C236" s="65"/>
      <c r="D236" s="24"/>
      <c r="E236" s="25"/>
      <c r="F236" s="23"/>
      <c r="G236" s="26"/>
      <c r="H236" s="26"/>
      <c r="I236" s="26"/>
      <c r="J236" s="27"/>
      <c r="M236" s="64"/>
    </row>
    <row r="237" spans="2:13" ht="15.75">
      <c r="B237" s="240" t="s">
        <v>73</v>
      </c>
      <c r="C237" s="241"/>
      <c r="D237" s="188"/>
      <c r="E237" s="189"/>
      <c r="F237" s="189"/>
      <c r="G237" s="190"/>
      <c r="H237" s="190"/>
      <c r="I237" s="190"/>
      <c r="J237" s="242"/>
      <c r="M237" s="64"/>
    </row>
    <row r="238" spans="2:13">
      <c r="B238" s="243"/>
      <c r="C238" s="244" t="str">
        <f>C94</f>
        <v>Ролик гладкий ГФУ 127х380 подш.305</v>
      </c>
      <c r="D238" s="30">
        <f>CEILING((D94+D122)*0.05,1)</f>
        <v>20</v>
      </c>
      <c r="E238" s="30"/>
      <c r="F238" s="30" t="s">
        <v>13</v>
      </c>
      <c r="G238" s="31">
        <f>G94</f>
        <v>8.5164410064399974</v>
      </c>
      <c r="H238" s="31">
        <f>G238*D238</f>
        <v>170.32882012879995</v>
      </c>
      <c r="I238" s="31">
        <f>G238*1.03</f>
        <v>8.7719342366331983</v>
      </c>
      <c r="J238" s="49">
        <f>I238*D238</f>
        <v>175.43868473266397</v>
      </c>
      <c r="M238" s="64"/>
    </row>
    <row r="239" spans="2:13">
      <c r="B239" s="243"/>
      <c r="C239" s="245" t="str">
        <f>C95</f>
        <v>Подшипник 60305 ГОСТ 7242-81</v>
      </c>
      <c r="D239" s="30">
        <f>D238*2</f>
        <v>40</v>
      </c>
      <c r="E239" s="30" t="s">
        <v>13</v>
      </c>
      <c r="F239" s="30"/>
      <c r="G239" s="246">
        <f>G95</f>
        <v>0.23</v>
      </c>
      <c r="H239" s="31"/>
      <c r="I239" s="31"/>
      <c r="J239" s="49"/>
      <c r="M239" s="64"/>
    </row>
    <row r="240" spans="2:13">
      <c r="B240" s="100"/>
      <c r="C240" s="81" t="str">
        <f>C115</f>
        <v>Ролик гладкий ГФУ 127х1150 подш.305</v>
      </c>
      <c r="D240" s="25">
        <f>CEILING((D110+D115+D131)*0.05,1)</f>
        <v>3</v>
      </c>
      <c r="E240" s="25"/>
      <c r="F240" s="25" t="s">
        <v>13</v>
      </c>
      <c r="G240" s="26">
        <f>G115</f>
        <v>22.400430716800003</v>
      </c>
      <c r="H240" s="26">
        <f>G240*D240</f>
        <v>67.201292150400008</v>
      </c>
      <c r="I240" s="26">
        <f>G240*1.03</f>
        <v>23.072443638304001</v>
      </c>
      <c r="J240" s="27">
        <f>I240*D240</f>
        <v>69.217330914911997</v>
      </c>
      <c r="M240" s="64"/>
    </row>
    <row r="241" spans="2:15">
      <c r="B241" s="243"/>
      <c r="C241" s="247" t="str">
        <f>C116</f>
        <v>Подшипник 60305 ГОСТ 7242-81</v>
      </c>
      <c r="D241" s="25">
        <f>D240*2</f>
        <v>6</v>
      </c>
      <c r="E241" s="25" t="s">
        <v>13</v>
      </c>
      <c r="F241" s="25"/>
      <c r="G241" s="26">
        <f>G116</f>
        <v>0.23</v>
      </c>
      <c r="H241" s="26"/>
      <c r="I241" s="26"/>
      <c r="J241" s="27"/>
      <c r="M241" s="64"/>
    </row>
    <row r="242" spans="2:15">
      <c r="B242" s="243"/>
      <c r="C242" s="23"/>
      <c r="D242" s="171"/>
      <c r="E242" s="171"/>
      <c r="F242" s="171"/>
      <c r="G242" s="38"/>
      <c r="H242" s="38"/>
      <c r="I242" s="38"/>
      <c r="J242" s="39"/>
      <c r="M242" s="64"/>
    </row>
    <row r="243" spans="2:15" s="21" customFormat="1" ht="16.5" thickBot="1">
      <c r="B243" s="248"/>
      <c r="C243" s="249"/>
      <c r="D243" s="250"/>
      <c r="E243" s="119"/>
      <c r="F243" s="119"/>
      <c r="G243" s="121"/>
      <c r="H243" s="121"/>
      <c r="I243" s="121"/>
      <c r="J243" s="122"/>
      <c r="M243" s="64"/>
      <c r="O243" s="1"/>
    </row>
    <row r="244" spans="2:15">
      <c r="M244" s="64"/>
      <c r="O244" s="21"/>
    </row>
    <row r="245" spans="2:15">
      <c r="H245" s="251"/>
      <c r="M245" s="64"/>
    </row>
    <row r="246" spans="2:15">
      <c r="M246" s="64"/>
    </row>
    <row r="247" spans="2:15" ht="15.75">
      <c r="H247" s="252">
        <f>SUM(H8:H243)</f>
        <v>24931.592531953356</v>
      </c>
      <c r="I247" s="252"/>
      <c r="J247" s="252">
        <f>SUM(J8:J243)</f>
        <v>27850.960207911961</v>
      </c>
      <c r="M247" s="64"/>
    </row>
    <row r="248" spans="2:15">
      <c r="M248" s="64"/>
    </row>
    <row r="249" spans="2:15">
      <c r="M249" s="64"/>
    </row>
    <row r="250" spans="2:15">
      <c r="M250" s="64"/>
    </row>
    <row r="251" spans="2:15">
      <c r="M251" s="64"/>
    </row>
    <row r="252" spans="2:15">
      <c r="M252" s="64"/>
    </row>
    <row r="253" spans="2:15">
      <c r="M253" s="64"/>
    </row>
    <row r="254" spans="2:15">
      <c r="M254" s="64"/>
    </row>
    <row r="255" spans="2:15">
      <c r="M255" s="64"/>
    </row>
    <row r="267" spans="7:65" s="254" customFormat="1">
      <c r="G267" s="253"/>
      <c r="H267" s="253"/>
      <c r="I267" s="253"/>
      <c r="J267" s="253"/>
    </row>
    <row r="270" spans="7:65" ht="15" customHeight="1">
      <c r="AH270" s="255"/>
    </row>
    <row r="271" spans="7:65" ht="15.75" customHeight="1">
      <c r="Z271" s="68"/>
      <c r="AF271" s="35"/>
      <c r="AG271" s="35"/>
      <c r="AH271" s="256"/>
      <c r="AY271" s="184"/>
      <c r="AZ271" s="184"/>
      <c r="BA271" s="184"/>
      <c r="BB271" s="184"/>
      <c r="BC271" s="184"/>
      <c r="BD271" s="184"/>
      <c r="BE271" s="184"/>
      <c r="BF271" s="184"/>
      <c r="BG271" s="184"/>
      <c r="BH271" s="184"/>
      <c r="BI271" s="184"/>
    </row>
    <row r="272" spans="7:65" ht="15.75">
      <c r="P272" s="180"/>
      <c r="Q272" s="180" t="s">
        <v>74</v>
      </c>
      <c r="R272" s="180" t="s">
        <v>75</v>
      </c>
      <c r="U272" s="23"/>
      <c r="V272" s="180" t="s">
        <v>74</v>
      </c>
      <c r="W272" s="257" t="s">
        <v>75</v>
      </c>
      <c r="Z272" s="180" t="s">
        <v>76</v>
      </c>
      <c r="AA272" s="23" t="s">
        <v>74</v>
      </c>
      <c r="AB272" s="23" t="s">
        <v>77</v>
      </c>
      <c r="AC272" s="23" t="s">
        <v>78</v>
      </c>
      <c r="AD272" s="23" t="s">
        <v>79</v>
      </c>
      <c r="AE272" s="23" t="s">
        <v>80</v>
      </c>
      <c r="AF272" s="23" t="s">
        <v>81</v>
      </c>
      <c r="AG272" s="23" t="s">
        <v>82</v>
      </c>
      <c r="AH272" s="23" t="s">
        <v>83</v>
      </c>
      <c r="AI272" s="23" t="s">
        <v>84</v>
      </c>
      <c r="AJ272" s="1" t="s">
        <v>85</v>
      </c>
      <c r="BJ272" s="184"/>
      <c r="BK272" s="184"/>
      <c r="BL272" s="184"/>
      <c r="BM272" s="184"/>
    </row>
    <row r="273" spans="7:51" ht="15.75">
      <c r="P273" s="258" t="s">
        <v>86</v>
      </c>
      <c r="Q273" s="259">
        <v>803.6</v>
      </c>
      <c r="R273" s="259">
        <v>1136</v>
      </c>
      <c r="U273" s="23" t="s">
        <v>87</v>
      </c>
      <c r="V273" s="180">
        <v>152.5</v>
      </c>
      <c r="W273" s="180">
        <v>199.3</v>
      </c>
      <c r="Y273" s="23">
        <v>50</v>
      </c>
      <c r="Z273" s="23" t="s">
        <v>88</v>
      </c>
      <c r="AA273" s="260">
        <v>7.3</v>
      </c>
      <c r="AB273" s="260">
        <v>19.8</v>
      </c>
      <c r="AC273" s="180">
        <v>800</v>
      </c>
      <c r="AD273" s="180">
        <v>330</v>
      </c>
      <c r="AE273" s="23">
        <v>15.2</v>
      </c>
      <c r="AF273" s="23">
        <v>12</v>
      </c>
      <c r="AG273" s="23">
        <v>30</v>
      </c>
      <c r="AH273" s="23">
        <v>9</v>
      </c>
      <c r="AI273" s="23">
        <v>22</v>
      </c>
      <c r="AJ273" s="1">
        <v>8</v>
      </c>
      <c r="AM273" s="23"/>
      <c r="AN273" s="23" t="s">
        <v>74</v>
      </c>
      <c r="AO273" s="23" t="s">
        <v>77</v>
      </c>
      <c r="AR273" s="23"/>
      <c r="AS273" s="24" t="s">
        <v>89</v>
      </c>
      <c r="AT273" s="261" t="s">
        <v>90</v>
      </c>
      <c r="AU273" s="262"/>
      <c r="AV273" s="184"/>
    </row>
    <row r="274" spans="7:51" ht="15.75">
      <c r="P274" s="258" t="s">
        <v>91</v>
      </c>
      <c r="Q274" s="259">
        <v>753</v>
      </c>
      <c r="R274" s="259">
        <v>1046</v>
      </c>
      <c r="U274" s="23">
        <v>0</v>
      </c>
      <c r="V274" s="259">
        <v>0</v>
      </c>
      <c r="W274" s="23">
        <v>0</v>
      </c>
      <c r="Y274" s="23">
        <v>60</v>
      </c>
      <c r="Z274" s="23" t="s">
        <v>92</v>
      </c>
      <c r="AA274" s="260">
        <v>12</v>
      </c>
      <c r="AB274" s="260">
        <v>33.299999999999997</v>
      </c>
      <c r="AC274" s="23">
        <v>650</v>
      </c>
      <c r="AD274" s="259">
        <v>310</v>
      </c>
      <c r="AE274" s="25">
        <v>11</v>
      </c>
      <c r="AF274" s="23">
        <v>10</v>
      </c>
      <c r="AG274" s="23">
        <v>20</v>
      </c>
      <c r="AH274" s="23">
        <v>5</v>
      </c>
      <c r="AI274" s="23">
        <v>18</v>
      </c>
      <c r="AJ274" s="1">
        <v>4</v>
      </c>
      <c r="AM274" s="233" t="s">
        <v>93</v>
      </c>
      <c r="AN274" s="23">
        <v>0</v>
      </c>
      <c r="AO274" s="23">
        <v>0</v>
      </c>
      <c r="AR274" s="23">
        <v>50</v>
      </c>
      <c r="AS274" s="101" t="s">
        <v>94</v>
      </c>
      <c r="AT274" s="263" t="s">
        <v>95</v>
      </c>
      <c r="AU274" s="264"/>
      <c r="AV274" s="69"/>
    </row>
    <row r="275" spans="7:51" ht="15.75">
      <c r="P275" s="258" t="s">
        <v>96</v>
      </c>
      <c r="Q275" s="259">
        <v>560</v>
      </c>
      <c r="R275" s="259">
        <v>781.7</v>
      </c>
      <c r="U275" s="23" t="s">
        <v>97</v>
      </c>
      <c r="V275" s="23">
        <v>1092.5</v>
      </c>
      <c r="W275" s="23">
        <v>1608.5</v>
      </c>
      <c r="Y275" s="23">
        <v>80</v>
      </c>
      <c r="Z275" s="23" t="s">
        <v>44</v>
      </c>
      <c r="AA275" s="260">
        <v>21.4</v>
      </c>
      <c r="AB275" s="260">
        <v>57.09</v>
      </c>
      <c r="AC275" s="23">
        <v>1000</v>
      </c>
      <c r="AD275" s="23">
        <v>340</v>
      </c>
      <c r="AE275" s="25">
        <v>20</v>
      </c>
      <c r="AF275" s="23">
        <v>12</v>
      </c>
      <c r="AG275" s="23">
        <v>35</v>
      </c>
      <c r="AH275" s="23">
        <v>10</v>
      </c>
      <c r="AI275" s="23">
        <v>40</v>
      </c>
      <c r="AJ275" s="1">
        <v>8</v>
      </c>
      <c r="AM275" s="233" t="s">
        <v>98</v>
      </c>
      <c r="AN275" s="23">
        <v>0</v>
      </c>
      <c r="AO275" s="23">
        <v>0</v>
      </c>
      <c r="AR275" s="23">
        <v>60</v>
      </c>
      <c r="AS275" s="101" t="s">
        <v>99</v>
      </c>
      <c r="AT275" s="263" t="s">
        <v>95</v>
      </c>
      <c r="AU275" s="264"/>
      <c r="AV275" s="69"/>
    </row>
    <row r="276" spans="7:51" ht="15.75">
      <c r="P276" s="258" t="s">
        <v>100</v>
      </c>
      <c r="Q276" s="23">
        <v>536.29999999999995</v>
      </c>
      <c r="R276" s="23">
        <v>735.5</v>
      </c>
      <c r="U276" s="23" t="s">
        <v>101</v>
      </c>
      <c r="V276" s="259">
        <v>1539.1</v>
      </c>
      <c r="W276" s="259">
        <v>2220.5</v>
      </c>
      <c r="Y276" s="23">
        <v>100</v>
      </c>
      <c r="Z276" s="23" t="s">
        <v>102</v>
      </c>
      <c r="AA276" s="260">
        <v>38.799999999999997</v>
      </c>
      <c r="AB276" s="260">
        <v>104.66</v>
      </c>
      <c r="AC276" s="23">
        <v>1200</v>
      </c>
      <c r="AD276" s="23">
        <v>350</v>
      </c>
      <c r="AE276" s="25">
        <v>24</v>
      </c>
      <c r="AF276" s="23">
        <v>14</v>
      </c>
      <c r="AG276" s="23">
        <v>38</v>
      </c>
      <c r="AH276" s="23">
        <v>13</v>
      </c>
      <c r="AI276" s="23">
        <v>45</v>
      </c>
      <c r="AJ276" s="1">
        <v>12</v>
      </c>
      <c r="AM276" s="233" t="s">
        <v>103</v>
      </c>
      <c r="AN276" s="23">
        <v>0.6</v>
      </c>
      <c r="AO276" s="23">
        <v>1.89</v>
      </c>
      <c r="AR276" s="23">
        <v>80</v>
      </c>
      <c r="AS276" s="101" t="s">
        <v>104</v>
      </c>
      <c r="AT276" s="101" t="s">
        <v>44</v>
      </c>
      <c r="AU276" s="264"/>
      <c r="AV276" s="69"/>
    </row>
    <row r="277" spans="7:51" ht="15.75">
      <c r="P277" s="258" t="s">
        <v>105</v>
      </c>
      <c r="Q277" s="23">
        <v>470.6</v>
      </c>
      <c r="R277" s="23">
        <v>651.5</v>
      </c>
      <c r="U277" s="23" t="s">
        <v>106</v>
      </c>
      <c r="V277" s="180">
        <v>128.24</v>
      </c>
      <c r="W277" s="180">
        <v>169.1</v>
      </c>
      <c r="Y277" s="23">
        <v>120</v>
      </c>
      <c r="Z277" s="23" t="s">
        <v>107</v>
      </c>
      <c r="AA277" s="260">
        <v>67.3</v>
      </c>
      <c r="AB277" s="260">
        <v>188.4</v>
      </c>
      <c r="AC277" s="23">
        <v>1400</v>
      </c>
      <c r="AD277" s="23">
        <v>360</v>
      </c>
      <c r="AE277" s="25">
        <v>25</v>
      </c>
      <c r="AF277" s="23">
        <v>18</v>
      </c>
      <c r="AG277" s="23">
        <v>50</v>
      </c>
      <c r="AH277" s="23">
        <v>15</v>
      </c>
      <c r="AI277" s="23">
        <v>55</v>
      </c>
      <c r="AJ277" s="1">
        <v>12</v>
      </c>
      <c r="AM277" s="23" t="s">
        <v>108</v>
      </c>
      <c r="AN277" s="23">
        <v>0.75</v>
      </c>
      <c r="AO277" s="23">
        <v>3.29</v>
      </c>
      <c r="AR277" s="23">
        <v>100</v>
      </c>
      <c r="AS277" s="101" t="s">
        <v>109</v>
      </c>
      <c r="AT277" s="101" t="s">
        <v>102</v>
      </c>
      <c r="AU277" s="265"/>
      <c r="AV277" s="266"/>
      <c r="AY277" s="266"/>
    </row>
    <row r="278" spans="7:51" ht="15.75">
      <c r="P278" s="258" t="s">
        <v>110</v>
      </c>
      <c r="Q278" s="23">
        <v>447.1</v>
      </c>
      <c r="R278" s="23">
        <v>605.29999999999995</v>
      </c>
      <c r="U278" s="23" t="s">
        <v>111</v>
      </c>
      <c r="V278" s="23">
        <v>147.69999999999999</v>
      </c>
      <c r="W278" s="23">
        <v>194</v>
      </c>
      <c r="Y278" s="23">
        <v>160</v>
      </c>
      <c r="Z278" s="259" t="s">
        <v>112</v>
      </c>
      <c r="AA278" s="23">
        <v>151</v>
      </c>
      <c r="AB278" s="23">
        <v>350</v>
      </c>
      <c r="AC278" s="23">
        <v>1600</v>
      </c>
      <c r="AD278" s="23">
        <v>370</v>
      </c>
      <c r="AE278" s="25">
        <v>38</v>
      </c>
      <c r="AF278" s="23">
        <v>20</v>
      </c>
      <c r="AG278" s="23">
        <v>70</v>
      </c>
      <c r="AH278" s="23">
        <v>20</v>
      </c>
      <c r="AI278" s="23">
        <v>65</v>
      </c>
      <c r="AJ278" s="1">
        <v>16</v>
      </c>
      <c r="AM278" s="23" t="s">
        <v>113</v>
      </c>
      <c r="AN278" s="23">
        <v>1.52</v>
      </c>
      <c r="AO278" s="23">
        <v>4.79</v>
      </c>
      <c r="AR278" s="23">
        <v>120</v>
      </c>
      <c r="AS278" s="25" t="s">
        <v>95</v>
      </c>
      <c r="AT278" s="101" t="s">
        <v>107</v>
      </c>
      <c r="AU278" s="265"/>
      <c r="AV278" s="266"/>
      <c r="AY278" s="266"/>
    </row>
    <row r="279" spans="7:51" ht="15.75">
      <c r="P279" s="258" t="s">
        <v>114</v>
      </c>
      <c r="Q279" s="23">
        <v>380.3</v>
      </c>
      <c r="R279" s="23">
        <v>519.70000000000005</v>
      </c>
      <c r="U279" s="23" t="s">
        <v>115</v>
      </c>
      <c r="V279" s="23">
        <v>172.13</v>
      </c>
      <c r="W279" s="23">
        <v>226.46</v>
      </c>
      <c r="Y279" s="23">
        <v>180</v>
      </c>
      <c r="Z279" s="259" t="s">
        <v>116</v>
      </c>
      <c r="AA279" s="23">
        <v>182.2</v>
      </c>
      <c r="AB279" s="23">
        <v>430</v>
      </c>
      <c r="AC279" s="266"/>
      <c r="AG279" s="64"/>
      <c r="AH279" s="69"/>
      <c r="AM279" s="23" t="s">
        <v>117</v>
      </c>
      <c r="AN279" s="23">
        <v>2.04</v>
      </c>
      <c r="AO279" s="23">
        <v>7.09</v>
      </c>
      <c r="AR279" s="23">
        <v>160</v>
      </c>
      <c r="AS279" s="25" t="s">
        <v>95</v>
      </c>
      <c r="AT279" s="267" t="s">
        <v>112</v>
      </c>
      <c r="AU279" s="268"/>
      <c r="AV279" s="269"/>
      <c r="AY279" s="266"/>
    </row>
    <row r="280" spans="7:51" ht="15.75">
      <c r="G280" s="1"/>
      <c r="H280" s="1"/>
      <c r="I280" s="1"/>
      <c r="J280" s="1"/>
      <c r="P280" s="258" t="s">
        <v>118</v>
      </c>
      <c r="Q280" s="23">
        <v>367</v>
      </c>
      <c r="R280" s="23">
        <v>491.1</v>
      </c>
      <c r="S280" s="64"/>
      <c r="T280" s="64"/>
      <c r="U280" s="23" t="s">
        <v>119</v>
      </c>
      <c r="V280" s="23">
        <v>218.5</v>
      </c>
      <c r="W280" s="23">
        <v>287.10000000000002</v>
      </c>
      <c r="Y280" s="23">
        <v>200</v>
      </c>
      <c r="Z280" s="23" t="s">
        <v>120</v>
      </c>
      <c r="AA280" s="23">
        <v>289</v>
      </c>
      <c r="AB280" s="23">
        <v>635</v>
      </c>
      <c r="AC280" s="266"/>
      <c r="AF280" s="270" t="s">
        <v>121</v>
      </c>
      <c r="AG280" s="270"/>
      <c r="AH280" s="270"/>
      <c r="AI280" s="270"/>
      <c r="AJ280" s="270"/>
      <c r="AM280" s="23" t="s">
        <v>122</v>
      </c>
      <c r="AN280" s="23">
        <v>4.37</v>
      </c>
      <c r="AO280" s="23">
        <v>17.3</v>
      </c>
      <c r="AR280" s="23">
        <v>180</v>
      </c>
      <c r="AS280" s="25" t="s">
        <v>95</v>
      </c>
      <c r="AT280" s="271" t="s">
        <v>116</v>
      </c>
      <c r="AU280" s="272"/>
      <c r="AV280" s="64"/>
      <c r="AY280" s="269"/>
    </row>
    <row r="281" spans="7:51" ht="15.75">
      <c r="G281" s="1"/>
      <c r="H281" s="1"/>
      <c r="I281" s="1"/>
      <c r="J281" s="1"/>
      <c r="P281" s="258" t="s">
        <v>123</v>
      </c>
      <c r="Q281" s="23">
        <v>224.34</v>
      </c>
      <c r="R281" s="23">
        <v>305.60000000000002</v>
      </c>
      <c r="S281" s="64"/>
      <c r="T281" s="64"/>
      <c r="U281" s="23" t="s">
        <v>124</v>
      </c>
      <c r="V281" s="259">
        <v>344.3</v>
      </c>
      <c r="W281" s="259">
        <v>447.5</v>
      </c>
      <c r="Y281" s="23">
        <v>220</v>
      </c>
      <c r="Z281" s="23" t="s">
        <v>125</v>
      </c>
      <c r="AA281" s="23">
        <v>332</v>
      </c>
      <c r="AB281" s="23">
        <v>748</v>
      </c>
      <c r="AC281" s="266"/>
      <c r="AF281" s="23"/>
      <c r="AG281" s="25">
        <v>108</v>
      </c>
      <c r="AH281" s="25">
        <v>127</v>
      </c>
      <c r="AI281" s="25">
        <v>159</v>
      </c>
      <c r="AJ281" s="25">
        <v>194</v>
      </c>
      <c r="AM281" s="23" t="s">
        <v>126</v>
      </c>
      <c r="AN281" s="23">
        <v>6.86</v>
      </c>
      <c r="AO281" s="23">
        <v>28.38</v>
      </c>
      <c r="AY281" s="269"/>
    </row>
    <row r="282" spans="7:51" ht="15.75">
      <c r="G282" s="1"/>
      <c r="H282" s="1"/>
      <c r="I282" s="1"/>
      <c r="J282" s="1"/>
      <c r="P282" s="258" t="s">
        <v>127</v>
      </c>
      <c r="Q282" s="23">
        <v>286.33999999999997</v>
      </c>
      <c r="R282" s="23">
        <v>392.6</v>
      </c>
      <c r="S282" s="64"/>
      <c r="T282" s="64"/>
      <c r="U282" s="23" t="s">
        <v>43</v>
      </c>
      <c r="V282" s="23">
        <v>283.5</v>
      </c>
      <c r="W282" s="23">
        <v>366.5</v>
      </c>
      <c r="Y282" s="23">
        <v>0</v>
      </c>
      <c r="Z282" s="23">
        <v>0</v>
      </c>
      <c r="AA282" s="23">
        <v>0</v>
      </c>
      <c r="AB282" s="23">
        <v>0</v>
      </c>
      <c r="AC282" s="266"/>
      <c r="AF282" s="25">
        <v>650</v>
      </c>
      <c r="AG282" s="273">
        <v>4.2</v>
      </c>
      <c r="AH282" s="25">
        <v>6.3</v>
      </c>
      <c r="AI282" s="25"/>
      <c r="AJ282" s="25"/>
      <c r="AM282" s="23" t="s">
        <v>128</v>
      </c>
      <c r="AN282" s="23">
        <v>12.6</v>
      </c>
      <c r="AO282" s="23">
        <v>41.85</v>
      </c>
    </row>
    <row r="283" spans="7:51" ht="15.75">
      <c r="G283" s="1"/>
      <c r="H283" s="1"/>
      <c r="I283" s="1"/>
      <c r="J283" s="1"/>
      <c r="P283" s="258" t="s">
        <v>129</v>
      </c>
      <c r="Q283" s="23">
        <v>197.2</v>
      </c>
      <c r="R283" s="23">
        <v>269.7</v>
      </c>
      <c r="S283" s="64"/>
      <c r="T283" s="64"/>
      <c r="U283" s="23" t="s">
        <v>130</v>
      </c>
      <c r="V283" s="23">
        <v>399</v>
      </c>
      <c r="W283" s="23">
        <v>517.20000000000005</v>
      </c>
      <c r="Z283" s="274"/>
      <c r="AA283" s="266"/>
      <c r="AB283" s="266"/>
      <c r="AC283" s="266" t="s">
        <v>131</v>
      </c>
      <c r="AF283" s="25">
        <v>800</v>
      </c>
      <c r="AG283" s="273"/>
      <c r="AH283" s="275">
        <v>7.3</v>
      </c>
      <c r="AI283" s="25">
        <v>13.1</v>
      </c>
      <c r="AJ283" s="25"/>
      <c r="AM283" s="23" t="s">
        <v>132</v>
      </c>
      <c r="AN283" s="23">
        <v>15.34</v>
      </c>
      <c r="AO283" s="23">
        <v>52.28</v>
      </c>
    </row>
    <row r="284" spans="7:51" ht="15.75">
      <c r="G284" s="1"/>
      <c r="H284" s="1"/>
      <c r="I284" s="1"/>
      <c r="J284" s="1"/>
      <c r="P284" s="258" t="s">
        <v>133</v>
      </c>
      <c r="Q284" s="23">
        <v>151.66</v>
      </c>
      <c r="R284" s="23">
        <v>206.2</v>
      </c>
      <c r="U284" s="23" t="s">
        <v>134</v>
      </c>
      <c r="V284" s="259">
        <v>475</v>
      </c>
      <c r="W284" s="259">
        <v>620.5</v>
      </c>
      <c r="Z284" s="274"/>
      <c r="AA284" s="266"/>
      <c r="AB284" s="266"/>
      <c r="AC284" s="101">
        <v>305</v>
      </c>
      <c r="AD284" s="23" t="s">
        <v>135</v>
      </c>
      <c r="AF284" s="25">
        <v>1000</v>
      </c>
      <c r="AG284" s="25"/>
      <c r="AH284" s="25">
        <v>8.5</v>
      </c>
      <c r="AI284" s="25">
        <v>15.5</v>
      </c>
      <c r="AJ284" s="25"/>
      <c r="AM284" s="23" t="s">
        <v>136</v>
      </c>
      <c r="AN284" s="23">
        <v>29.81</v>
      </c>
      <c r="AO284" s="23">
        <v>87.98</v>
      </c>
      <c r="AS284" s="266"/>
      <c r="AT284" s="69"/>
    </row>
    <row r="285" spans="7:51" ht="15.75">
      <c r="G285" s="1"/>
      <c r="H285" s="1"/>
      <c r="I285" s="1"/>
      <c r="J285" s="1"/>
      <c r="P285" s="258" t="s">
        <v>137</v>
      </c>
      <c r="Q285" s="259">
        <v>217.6</v>
      </c>
      <c r="R285" s="259">
        <v>300</v>
      </c>
      <c r="U285" s="23" t="s">
        <v>138</v>
      </c>
      <c r="V285" s="23">
        <v>574</v>
      </c>
      <c r="W285" s="23">
        <v>767</v>
      </c>
      <c r="Z285" s="274"/>
      <c r="AA285" s="266"/>
      <c r="AB285" s="266"/>
      <c r="AC285" s="101">
        <v>306</v>
      </c>
      <c r="AD285" s="23" t="s">
        <v>139</v>
      </c>
      <c r="AF285" s="25">
        <v>1200</v>
      </c>
      <c r="AG285" s="25"/>
      <c r="AH285" s="25">
        <v>10</v>
      </c>
      <c r="AI285" s="25">
        <v>18</v>
      </c>
      <c r="AJ285" s="25"/>
      <c r="AM285" s="23" t="s">
        <v>140</v>
      </c>
      <c r="AN285" s="23">
        <v>40.03</v>
      </c>
      <c r="AO285" s="23">
        <v>136.72</v>
      </c>
      <c r="AS285" s="266"/>
      <c r="AT285" s="69"/>
    </row>
    <row r="286" spans="7:51" ht="15.75">
      <c r="G286" s="1"/>
      <c r="H286" s="1"/>
      <c r="I286" s="1"/>
      <c r="J286" s="1"/>
      <c r="P286" s="258" t="s">
        <v>141</v>
      </c>
      <c r="Q286" s="259">
        <v>285</v>
      </c>
      <c r="R286" s="259">
        <v>406.7</v>
      </c>
      <c r="U286" s="23" t="s">
        <v>142</v>
      </c>
      <c r="V286" s="23">
        <v>778.5</v>
      </c>
      <c r="W286" s="23">
        <v>1050</v>
      </c>
      <c r="Z286" s="274"/>
      <c r="AA286" s="266"/>
      <c r="AB286" s="266"/>
      <c r="AC286" s="101">
        <v>307</v>
      </c>
      <c r="AD286" s="23" t="s">
        <v>143</v>
      </c>
      <c r="AF286" s="25">
        <v>1400</v>
      </c>
      <c r="AG286" s="25"/>
      <c r="AH286" s="25"/>
      <c r="AI286" s="25">
        <v>21</v>
      </c>
      <c r="AJ286" s="25">
        <v>27</v>
      </c>
      <c r="AM286" s="23" t="s">
        <v>144</v>
      </c>
      <c r="AN286" s="23">
        <v>74.11</v>
      </c>
      <c r="AO286" s="23">
        <v>224.01</v>
      </c>
      <c r="AS286" s="266"/>
      <c r="AT286" s="69"/>
    </row>
    <row r="287" spans="7:51" ht="15.75">
      <c r="G287" s="1"/>
      <c r="H287" s="1"/>
      <c r="I287" s="1"/>
      <c r="J287" s="1"/>
      <c r="P287" s="258" t="s">
        <v>145</v>
      </c>
      <c r="Q287" s="259">
        <v>271.3</v>
      </c>
      <c r="R287" s="259">
        <v>378.1</v>
      </c>
      <c r="U287" s="23" t="s">
        <v>146</v>
      </c>
      <c r="V287" s="23">
        <v>1347</v>
      </c>
      <c r="W287" s="23">
        <v>1906.4</v>
      </c>
      <c r="Z287" s="274"/>
      <c r="AA287" s="266"/>
      <c r="AB287" s="266"/>
      <c r="AC287" s="101">
        <v>308</v>
      </c>
      <c r="AD287" s="23" t="s">
        <v>147</v>
      </c>
      <c r="AF287" s="25">
        <v>1600</v>
      </c>
      <c r="AG287" s="25"/>
      <c r="AH287" s="25"/>
      <c r="AI287" s="25">
        <v>24</v>
      </c>
      <c r="AJ287" s="25">
        <v>30</v>
      </c>
      <c r="AM287" s="23" t="s">
        <v>148</v>
      </c>
      <c r="AN287" s="23">
        <v>145.58000000000001</v>
      </c>
      <c r="AO287" s="23">
        <v>428.89</v>
      </c>
      <c r="AS287" s="266"/>
      <c r="AT287" s="69"/>
    </row>
    <row r="288" spans="7:51" ht="15.75">
      <c r="G288" s="1"/>
      <c r="H288" s="1"/>
      <c r="I288" s="1"/>
      <c r="J288" s="1"/>
      <c r="P288" s="258" t="s">
        <v>149</v>
      </c>
      <c r="Q288" s="23">
        <v>163.19999999999999</v>
      </c>
      <c r="R288" s="23">
        <v>232.8</v>
      </c>
      <c r="U288" s="23" t="s">
        <v>150</v>
      </c>
      <c r="V288" s="259">
        <v>1788.3</v>
      </c>
      <c r="W288" s="259">
        <v>2555</v>
      </c>
      <c r="Z288" s="274"/>
      <c r="AA288" s="266"/>
      <c r="AB288" s="266"/>
      <c r="AC288" s="101">
        <v>310</v>
      </c>
      <c r="AD288" s="23" t="s">
        <v>151</v>
      </c>
      <c r="AM288" s="23" t="s">
        <v>152</v>
      </c>
      <c r="AN288" s="23">
        <v>356.31</v>
      </c>
      <c r="AO288" s="23">
        <v>952.07</v>
      </c>
      <c r="AS288" s="266"/>
      <c r="AT288" s="69"/>
    </row>
    <row r="289" spans="7:51" ht="15.75">
      <c r="G289" s="1"/>
      <c r="H289" s="1"/>
      <c r="I289" s="1"/>
      <c r="J289" s="1"/>
      <c r="P289" s="258" t="s">
        <v>153</v>
      </c>
      <c r="Q289" s="23">
        <v>107.2</v>
      </c>
      <c r="R289" s="23">
        <v>153</v>
      </c>
      <c r="U289" s="23" t="s">
        <v>154</v>
      </c>
      <c r="V289" s="23">
        <v>2539.3000000000002</v>
      </c>
      <c r="W289" s="23">
        <v>3558.3</v>
      </c>
      <c r="Z289" s="274"/>
      <c r="AA289" s="266"/>
      <c r="AB289" s="266"/>
      <c r="AM289" s="23" t="s">
        <v>155</v>
      </c>
      <c r="AN289" s="25" t="s">
        <v>95</v>
      </c>
      <c r="AO289" s="25" t="s">
        <v>95</v>
      </c>
      <c r="AS289" s="266"/>
      <c r="AT289" s="69"/>
    </row>
    <row r="290" spans="7:51" ht="15.75">
      <c r="G290" s="1"/>
      <c r="H290" s="1"/>
      <c r="I290" s="1"/>
      <c r="J290" s="1"/>
      <c r="P290" s="258" t="s">
        <v>156</v>
      </c>
      <c r="Q290" s="23">
        <v>78</v>
      </c>
      <c r="R290" s="23">
        <v>111.5</v>
      </c>
      <c r="U290" s="23" t="s">
        <v>157</v>
      </c>
      <c r="V290" s="23">
        <v>175</v>
      </c>
      <c r="W290" s="23">
        <v>227.3</v>
      </c>
      <c r="Z290" s="274"/>
      <c r="AA290" s="266"/>
      <c r="AB290" s="266"/>
      <c r="AM290" s="23" t="s">
        <v>158</v>
      </c>
      <c r="AN290" s="25" t="s">
        <v>95</v>
      </c>
      <c r="AO290" s="25" t="s">
        <v>95</v>
      </c>
      <c r="AS290" s="266"/>
      <c r="AT290" s="69"/>
      <c r="AY290" s="64"/>
    </row>
    <row r="291" spans="7:51" ht="15.75">
      <c r="G291" s="1"/>
      <c r="H291" s="1"/>
      <c r="I291" s="1"/>
      <c r="J291" s="1"/>
      <c r="P291" s="258" t="s">
        <v>159</v>
      </c>
      <c r="Q291" s="23">
        <v>70</v>
      </c>
      <c r="R291" s="23">
        <v>100</v>
      </c>
      <c r="U291" s="23" t="s">
        <v>160</v>
      </c>
      <c r="V291" s="23">
        <v>203.5</v>
      </c>
      <c r="W291" s="23">
        <v>265.3</v>
      </c>
      <c r="Z291" s="274"/>
      <c r="AA291" s="266"/>
      <c r="AB291" s="266"/>
      <c r="AM291" s="23" t="s">
        <v>161</v>
      </c>
      <c r="AN291" s="25" t="s">
        <v>95</v>
      </c>
      <c r="AO291" s="25" t="s">
        <v>95</v>
      </c>
      <c r="AS291" s="269"/>
      <c r="AT291" s="69"/>
      <c r="AY291" s="64"/>
    </row>
    <row r="292" spans="7:51" ht="15.75">
      <c r="G292" s="1"/>
      <c r="H292" s="1"/>
      <c r="I292" s="1"/>
      <c r="J292" s="1"/>
      <c r="P292" s="258" t="s">
        <v>162</v>
      </c>
      <c r="Q292" s="23">
        <v>1004</v>
      </c>
      <c r="R292" s="23">
        <v>1334.2</v>
      </c>
      <c r="U292" s="23" t="s">
        <v>163</v>
      </c>
      <c r="V292" s="23">
        <v>257</v>
      </c>
      <c r="W292" s="23">
        <v>333.4</v>
      </c>
      <c r="Z292" s="274"/>
      <c r="AA292" s="266"/>
      <c r="AB292" s="266"/>
      <c r="AM292" s="23" t="s">
        <v>164</v>
      </c>
      <c r="AN292" s="25" t="s">
        <v>95</v>
      </c>
      <c r="AO292" s="25" t="s">
        <v>95</v>
      </c>
      <c r="AS292" s="269"/>
      <c r="AT292" s="69"/>
    </row>
    <row r="293" spans="7:51" ht="15.75">
      <c r="G293" s="1"/>
      <c r="H293" s="1"/>
      <c r="I293" s="1"/>
      <c r="J293" s="1"/>
      <c r="P293" s="258" t="s">
        <v>165</v>
      </c>
      <c r="Q293" s="23">
        <v>981.5</v>
      </c>
      <c r="R293" s="23">
        <v>1289.0999999999999</v>
      </c>
      <c r="U293" s="23" t="s">
        <v>166</v>
      </c>
      <c r="V293" s="259">
        <v>402</v>
      </c>
      <c r="W293" s="259">
        <v>515.6</v>
      </c>
      <c r="Z293" s="274"/>
      <c r="AA293" s="266"/>
      <c r="AB293" s="266"/>
      <c r="AM293" s="23" t="s">
        <v>167</v>
      </c>
      <c r="AN293" s="23">
        <v>16.600000000000001</v>
      </c>
      <c r="AO293" s="23">
        <f>25.82+5.77</f>
        <v>31.59</v>
      </c>
    </row>
    <row r="294" spans="7:51" ht="15.75">
      <c r="G294" s="1"/>
      <c r="H294" s="1"/>
      <c r="I294" s="1"/>
      <c r="J294" s="1"/>
      <c r="P294" s="258" t="s">
        <v>168</v>
      </c>
      <c r="Q294" s="23">
        <v>633.20000000000005</v>
      </c>
      <c r="R294" s="23">
        <v>843</v>
      </c>
      <c r="U294" s="23" t="s">
        <v>169</v>
      </c>
      <c r="V294" s="23">
        <v>333</v>
      </c>
      <c r="W294" s="23">
        <v>425.3</v>
      </c>
      <c r="Z294" s="274"/>
      <c r="AA294" s="266"/>
      <c r="AB294" s="266"/>
      <c r="AM294" s="23" t="s">
        <v>170</v>
      </c>
      <c r="AN294" s="23">
        <v>27</v>
      </c>
      <c r="AO294" s="23">
        <f>31.25+13.89</f>
        <v>45.14</v>
      </c>
      <c r="AT294" s="69" t="s">
        <v>171</v>
      </c>
      <c r="AU294" s="69" t="s">
        <v>77</v>
      </c>
    </row>
    <row r="295" spans="7:51" ht="15.75">
      <c r="G295" s="1"/>
      <c r="H295" s="1"/>
      <c r="I295" s="1"/>
      <c r="J295" s="1"/>
      <c r="P295" s="258" t="s">
        <v>172</v>
      </c>
      <c r="Q295" s="23">
        <v>516</v>
      </c>
      <c r="R295" s="23">
        <v>669</v>
      </c>
      <c r="U295" s="23" t="s">
        <v>173</v>
      </c>
      <c r="V295" s="23">
        <v>485.2</v>
      </c>
      <c r="W295" s="23">
        <v>641</v>
      </c>
      <c r="Z295" s="274"/>
      <c r="AA295" s="266"/>
      <c r="AB295" s="266"/>
      <c r="AC295" s="266"/>
      <c r="AM295" s="23" t="s">
        <v>174</v>
      </c>
      <c r="AN295" s="23">
        <v>37.5</v>
      </c>
      <c r="AO295" s="23">
        <f>76.98+20.48</f>
        <v>97.460000000000008</v>
      </c>
      <c r="AS295" s="101" t="s">
        <v>94</v>
      </c>
      <c r="AT295" s="25">
        <v>7.7430000000000003</v>
      </c>
      <c r="AU295" s="23">
        <v>20.11</v>
      </c>
    </row>
    <row r="296" spans="7:51" ht="15.75">
      <c r="G296" s="1"/>
      <c r="H296" s="1"/>
      <c r="I296" s="1"/>
      <c r="J296" s="1"/>
      <c r="P296" s="258" t="s">
        <v>175</v>
      </c>
      <c r="Q296" s="23">
        <v>354</v>
      </c>
      <c r="R296" s="23">
        <v>454</v>
      </c>
      <c r="U296" s="23" t="s">
        <v>176</v>
      </c>
      <c r="V296" s="259">
        <v>571.5</v>
      </c>
      <c r="W296" s="259">
        <v>755</v>
      </c>
      <c r="Z296" s="274"/>
      <c r="AA296" s="266"/>
      <c r="AB296" s="266"/>
      <c r="AC296" s="266"/>
      <c r="AM296" s="23" t="s">
        <v>177</v>
      </c>
      <c r="AN296" s="23">
        <v>70</v>
      </c>
      <c r="AO296" s="23">
        <f>160.56+25.58</f>
        <v>186.14</v>
      </c>
      <c r="AS296" s="101" t="s">
        <v>99</v>
      </c>
      <c r="AT296" s="25">
        <v>13.03</v>
      </c>
      <c r="AU296" s="23">
        <v>31.16</v>
      </c>
    </row>
    <row r="297" spans="7:51" ht="15.75">
      <c r="G297" s="1"/>
      <c r="H297" s="1"/>
      <c r="I297" s="1"/>
      <c r="J297" s="1"/>
      <c r="P297" s="258" t="s">
        <v>178</v>
      </c>
      <c r="Q297" s="23">
        <v>3657.4</v>
      </c>
      <c r="R297" s="23">
        <v>5109.3999999999996</v>
      </c>
      <c r="U297" s="23" t="s">
        <v>179</v>
      </c>
      <c r="V297" s="23">
        <v>737.6</v>
      </c>
      <c r="W297" s="23">
        <v>961.5</v>
      </c>
      <c r="Z297" s="274"/>
      <c r="AA297" s="266"/>
      <c r="AB297" s="266"/>
      <c r="AC297" s="266"/>
      <c r="AM297" s="23" t="s">
        <v>180</v>
      </c>
      <c r="AN297" s="23">
        <v>112.3</v>
      </c>
      <c r="AO297" s="23">
        <f>202+43.25</f>
        <v>245.25</v>
      </c>
      <c r="AS297" s="101" t="s">
        <v>104</v>
      </c>
      <c r="AT297" s="25">
        <v>35.143000000000001</v>
      </c>
      <c r="AU297" s="23">
        <v>67.7</v>
      </c>
    </row>
    <row r="298" spans="7:51" ht="15.75">
      <c r="G298" s="1"/>
      <c r="H298" s="1"/>
      <c r="I298" s="1"/>
      <c r="J298" s="1"/>
      <c r="P298" s="258" t="s">
        <v>181</v>
      </c>
      <c r="Q298" s="23">
        <v>3538</v>
      </c>
      <c r="R298" s="23">
        <v>4898.3999999999996</v>
      </c>
      <c r="U298" s="23" t="s">
        <v>182</v>
      </c>
      <c r="V298" s="23">
        <v>967.7</v>
      </c>
      <c r="W298" s="23">
        <v>1272</v>
      </c>
      <c r="Z298" s="274"/>
      <c r="AA298" s="266"/>
      <c r="AB298" s="266"/>
      <c r="AC298" s="266"/>
      <c r="AM298" s="23" t="s">
        <v>183</v>
      </c>
      <c r="AN298" s="23">
        <v>128.6</v>
      </c>
      <c r="AO298" s="23">
        <f>269.33+53.92</f>
        <v>323.25</v>
      </c>
      <c r="AS298" s="101" t="s">
        <v>109</v>
      </c>
      <c r="AT298" s="25">
        <v>59.374000000000002</v>
      </c>
      <c r="AU298" s="23">
        <v>109</v>
      </c>
    </row>
    <row r="299" spans="7:51" ht="15.75">
      <c r="G299" s="1"/>
      <c r="H299" s="1"/>
      <c r="I299" s="1"/>
      <c r="J299" s="1"/>
      <c r="P299" s="258" t="s">
        <v>184</v>
      </c>
      <c r="Q299" s="23">
        <v>2540</v>
      </c>
      <c r="R299" s="23">
        <v>3600.4</v>
      </c>
      <c r="U299" s="23" t="s">
        <v>185</v>
      </c>
      <c r="V299" s="23">
        <v>1305.5</v>
      </c>
      <c r="W299" s="23">
        <v>1685</v>
      </c>
      <c r="Z299" s="274"/>
      <c r="AA299" s="266"/>
      <c r="AB299" s="266"/>
      <c r="AC299" s="266"/>
      <c r="AM299" s="23" t="s">
        <v>186</v>
      </c>
      <c r="AN299" s="23">
        <v>144.9</v>
      </c>
      <c r="AO299" s="23">
        <f>227.89+110.43</f>
        <v>338.32</v>
      </c>
      <c r="AS299" s="101" t="s">
        <v>44</v>
      </c>
      <c r="AT299" s="25">
        <v>21.4</v>
      </c>
      <c r="AU299" s="23">
        <v>57.09</v>
      </c>
    </row>
    <row r="300" spans="7:51" ht="15.75">
      <c r="G300" s="1"/>
      <c r="H300" s="1"/>
      <c r="I300" s="1"/>
      <c r="J300" s="1"/>
      <c r="P300" s="258" t="s">
        <v>187</v>
      </c>
      <c r="Q300" s="23">
        <v>2436</v>
      </c>
      <c r="R300" s="23">
        <v>3427.1</v>
      </c>
      <c r="U300" s="23" t="s">
        <v>188</v>
      </c>
      <c r="V300" s="23">
        <v>1447</v>
      </c>
      <c r="W300" s="23">
        <v>2024.5</v>
      </c>
      <c r="Z300" s="274"/>
      <c r="AA300" s="266"/>
      <c r="AB300" s="266"/>
      <c r="AC300" s="266"/>
      <c r="AM300" s="23" t="s">
        <v>189</v>
      </c>
      <c r="AN300" s="25" t="s">
        <v>95</v>
      </c>
      <c r="AO300" s="25" t="s">
        <v>95</v>
      </c>
      <c r="AS300" s="101" t="s">
        <v>102</v>
      </c>
      <c r="AT300" s="25">
        <v>38.799999999999997</v>
      </c>
      <c r="AU300" s="23">
        <v>104.66</v>
      </c>
    </row>
    <row r="301" spans="7:51" ht="15.75">
      <c r="G301" s="1"/>
      <c r="H301" s="1"/>
      <c r="I301" s="1"/>
      <c r="J301" s="1"/>
      <c r="P301" s="258" t="s">
        <v>190</v>
      </c>
      <c r="Q301" s="259">
        <v>1879</v>
      </c>
      <c r="R301" s="259">
        <v>2648.3</v>
      </c>
      <c r="U301" s="23" t="s">
        <v>191</v>
      </c>
      <c r="V301" s="23">
        <v>1619.26</v>
      </c>
      <c r="W301" s="23">
        <v>2290.41</v>
      </c>
      <c r="Z301" s="274"/>
      <c r="AA301" s="266"/>
      <c r="AB301" s="266"/>
      <c r="AC301" s="266"/>
      <c r="AM301" s="23" t="s">
        <v>192</v>
      </c>
      <c r="AN301" s="25" t="s">
        <v>95</v>
      </c>
      <c r="AO301" s="25" t="s">
        <v>95</v>
      </c>
      <c r="AS301" s="101" t="s">
        <v>107</v>
      </c>
      <c r="AT301" s="25">
        <v>67.3</v>
      </c>
      <c r="AU301" s="23">
        <v>188.4</v>
      </c>
    </row>
    <row r="302" spans="7:51" ht="15.75">
      <c r="G302" s="1"/>
      <c r="H302" s="1"/>
      <c r="I302" s="1"/>
      <c r="J302" s="1"/>
      <c r="P302" s="258" t="s">
        <v>193</v>
      </c>
      <c r="Q302" s="259">
        <v>1805.2</v>
      </c>
      <c r="R302" s="259">
        <v>2520.1</v>
      </c>
      <c r="U302" s="23" t="s">
        <v>194</v>
      </c>
      <c r="V302" s="23">
        <v>1810.26</v>
      </c>
      <c r="W302" s="23">
        <v>2591.12</v>
      </c>
      <c r="Z302" s="274"/>
      <c r="AA302" s="266"/>
      <c r="AB302" s="266"/>
      <c r="AC302" s="266"/>
      <c r="AM302" s="233" t="s">
        <v>195</v>
      </c>
      <c r="AN302" s="23">
        <v>10</v>
      </c>
      <c r="AO302" s="23">
        <f>AN302*1.3</f>
        <v>13</v>
      </c>
      <c r="AS302" s="276" t="s">
        <v>112</v>
      </c>
      <c r="AT302" s="25">
        <v>151</v>
      </c>
      <c r="AU302" s="23">
        <v>350</v>
      </c>
    </row>
    <row r="303" spans="7:51" ht="15.75">
      <c r="G303" s="1"/>
      <c r="H303" s="1"/>
      <c r="I303" s="1"/>
      <c r="J303" s="1"/>
      <c r="P303" s="258" t="s">
        <v>196</v>
      </c>
      <c r="Q303" s="259">
        <v>1674</v>
      </c>
      <c r="R303" s="259">
        <v>2211.3000000000002</v>
      </c>
      <c r="U303" s="23" t="s">
        <v>197</v>
      </c>
      <c r="V303" s="259">
        <v>1918.4</v>
      </c>
      <c r="W303" s="259">
        <v>2715</v>
      </c>
      <c r="Z303" s="274"/>
      <c r="AA303" s="266"/>
      <c r="AB303" s="266"/>
      <c r="AC303" s="266"/>
      <c r="AM303" s="23" t="s">
        <v>198</v>
      </c>
      <c r="AN303" s="23">
        <v>20</v>
      </c>
      <c r="AO303" s="23">
        <f t="shared" ref="AO303:AO309" si="36">AN303*1.3</f>
        <v>26</v>
      </c>
      <c r="AS303" s="276" t="s">
        <v>116</v>
      </c>
      <c r="AT303" s="25">
        <v>182.2</v>
      </c>
      <c r="AU303" s="23">
        <v>430</v>
      </c>
    </row>
    <row r="304" spans="7:51" ht="15.75">
      <c r="G304" s="1"/>
      <c r="H304" s="1"/>
      <c r="I304" s="1"/>
      <c r="J304" s="1"/>
      <c r="P304" s="258" t="s">
        <v>199</v>
      </c>
      <c r="Q304" s="259">
        <v>1625.6</v>
      </c>
      <c r="R304" s="259">
        <v>2124</v>
      </c>
      <c r="U304" s="23" t="s">
        <v>200</v>
      </c>
      <c r="V304" s="259">
        <v>2112.8200000000002</v>
      </c>
      <c r="W304" s="259">
        <v>3017.82</v>
      </c>
      <c r="Z304" s="274"/>
      <c r="AA304" s="266"/>
      <c r="AB304" s="266"/>
      <c r="AC304" s="266"/>
      <c r="AM304" s="23" t="s">
        <v>201</v>
      </c>
      <c r="AN304" s="23">
        <v>23</v>
      </c>
      <c r="AO304" s="23">
        <f t="shared" si="36"/>
        <v>29.900000000000002</v>
      </c>
    </row>
    <row r="305" spans="7:47" ht="15.75">
      <c r="G305" s="1"/>
      <c r="H305" s="1"/>
      <c r="I305" s="1"/>
      <c r="J305" s="1"/>
      <c r="P305" s="258" t="s">
        <v>202</v>
      </c>
      <c r="Q305" s="259">
        <v>1811.05</v>
      </c>
      <c r="R305" s="259">
        <v>2712.82</v>
      </c>
      <c r="U305" s="23" t="s">
        <v>203</v>
      </c>
      <c r="V305" s="23">
        <v>2718.5</v>
      </c>
      <c r="W305" s="23">
        <v>3776.6</v>
      </c>
      <c r="Z305" s="274"/>
      <c r="AA305" s="266"/>
      <c r="AB305" s="266"/>
      <c r="AC305" s="266"/>
      <c r="AM305" s="23" t="s">
        <v>204</v>
      </c>
      <c r="AN305" s="23">
        <v>31</v>
      </c>
      <c r="AO305" s="23">
        <f t="shared" si="36"/>
        <v>40.300000000000004</v>
      </c>
    </row>
    <row r="306" spans="7:47" ht="15.75">
      <c r="G306" s="1"/>
      <c r="H306" s="1"/>
      <c r="I306" s="1"/>
      <c r="J306" s="1"/>
      <c r="P306" s="258" t="s">
        <v>205</v>
      </c>
      <c r="Q306" s="259">
        <v>1685.07</v>
      </c>
      <c r="R306" s="259">
        <v>2495.31</v>
      </c>
      <c r="U306" s="23" t="s">
        <v>206</v>
      </c>
      <c r="V306" s="180">
        <v>168.6</v>
      </c>
      <c r="W306" s="180">
        <v>218.6</v>
      </c>
      <c r="Z306" s="274"/>
      <c r="AA306" s="266"/>
      <c r="AB306" s="266"/>
      <c r="AC306" s="266"/>
      <c r="AM306" s="23" t="s">
        <v>207</v>
      </c>
      <c r="AN306" s="23">
        <v>41</v>
      </c>
      <c r="AO306" s="23">
        <f t="shared" si="36"/>
        <v>53.300000000000004</v>
      </c>
    </row>
    <row r="307" spans="7:47" ht="15.75">
      <c r="G307" s="1"/>
      <c r="H307" s="1"/>
      <c r="I307" s="1"/>
      <c r="J307" s="1"/>
      <c r="P307" s="258" t="s">
        <v>208</v>
      </c>
      <c r="Q307" s="259">
        <v>1585.79</v>
      </c>
      <c r="R307" s="259">
        <v>2335.33</v>
      </c>
      <c r="U307" s="23" t="s">
        <v>209</v>
      </c>
      <c r="V307" s="23">
        <v>192</v>
      </c>
      <c r="W307" s="23">
        <v>247.5</v>
      </c>
      <c r="Z307" s="274"/>
      <c r="AA307" s="266"/>
      <c r="AB307" s="266"/>
      <c r="AC307" s="266"/>
      <c r="AM307" s="23" t="s">
        <v>210</v>
      </c>
      <c r="AN307" s="23">
        <v>84</v>
      </c>
      <c r="AO307" s="23">
        <f t="shared" si="36"/>
        <v>109.2</v>
      </c>
    </row>
    <row r="308" spans="7:47" ht="15.75">
      <c r="G308" s="1"/>
      <c r="H308" s="1"/>
      <c r="I308" s="1"/>
      <c r="J308" s="1"/>
      <c r="P308" s="258" t="s">
        <v>211</v>
      </c>
      <c r="Q308" s="259">
        <v>1476.86</v>
      </c>
      <c r="R308" s="259">
        <v>2156.87</v>
      </c>
      <c r="U308" s="23" t="s">
        <v>212</v>
      </c>
      <c r="V308" s="23">
        <v>351.42</v>
      </c>
      <c r="W308" s="23">
        <v>452.76</v>
      </c>
      <c r="AM308" s="23" t="s">
        <v>213</v>
      </c>
      <c r="AN308" s="23">
        <v>119</v>
      </c>
      <c r="AO308" s="23">
        <f t="shared" si="36"/>
        <v>154.70000000000002</v>
      </c>
      <c r="AT308" s="277"/>
      <c r="AU308" s="277"/>
    </row>
    <row r="309" spans="7:47" ht="15.75">
      <c r="G309" s="1"/>
      <c r="H309" s="1"/>
      <c r="I309" s="1"/>
      <c r="J309" s="1"/>
      <c r="P309" s="258" t="s">
        <v>214</v>
      </c>
      <c r="Q309" s="259">
        <v>1351.36</v>
      </c>
      <c r="R309" s="259">
        <v>1976.73</v>
      </c>
      <c r="U309" s="23" t="s">
        <v>215</v>
      </c>
      <c r="V309" s="23">
        <v>224</v>
      </c>
      <c r="W309" s="23">
        <v>290</v>
      </c>
      <c r="AM309" s="23" t="s">
        <v>216</v>
      </c>
      <c r="AN309" s="23">
        <v>173</v>
      </c>
      <c r="AO309" s="23">
        <f t="shared" si="36"/>
        <v>224.9</v>
      </c>
      <c r="AT309" s="277"/>
      <c r="AU309" s="277"/>
    </row>
    <row r="310" spans="7:47" ht="15.75">
      <c r="G310" s="1"/>
      <c r="H310" s="1"/>
      <c r="I310" s="1"/>
      <c r="J310" s="1"/>
      <c r="P310" s="258" t="s">
        <v>217</v>
      </c>
      <c r="Q310" s="259">
        <v>1274.0899999999999</v>
      </c>
      <c r="R310" s="259">
        <v>1844.92</v>
      </c>
      <c r="U310" s="23" t="s">
        <v>218</v>
      </c>
      <c r="V310" s="23">
        <v>279.7</v>
      </c>
      <c r="W310" s="23">
        <v>360</v>
      </c>
      <c r="AM310" s="23" t="s">
        <v>219</v>
      </c>
      <c r="AN310" s="23">
        <v>48</v>
      </c>
      <c r="AO310" s="23">
        <f>AN310*1.3+26</f>
        <v>88.4</v>
      </c>
      <c r="AT310" s="277"/>
      <c r="AU310" s="277"/>
    </row>
    <row r="311" spans="7:47" ht="15.75">
      <c r="G311" s="1"/>
      <c r="H311" s="1"/>
      <c r="I311" s="1"/>
      <c r="J311" s="1"/>
      <c r="P311" s="258" t="s">
        <v>220</v>
      </c>
      <c r="Q311" s="259">
        <v>1157</v>
      </c>
      <c r="R311" s="259">
        <v>1553.4</v>
      </c>
      <c r="U311" s="23" t="s">
        <v>221</v>
      </c>
      <c r="V311" s="259">
        <v>436.5</v>
      </c>
      <c r="W311" s="259">
        <v>555.6</v>
      </c>
      <c r="AM311" s="23" t="s">
        <v>222</v>
      </c>
      <c r="AN311" s="23">
        <v>64</v>
      </c>
      <c r="AO311" s="23">
        <f>AN311*1.3+92</f>
        <v>175.2</v>
      </c>
      <c r="AS311" s="64"/>
      <c r="AT311" s="277"/>
      <c r="AU311" s="277"/>
    </row>
    <row r="312" spans="7:47" ht="15.75">
      <c r="G312" s="1"/>
      <c r="H312" s="1"/>
      <c r="I312" s="1"/>
      <c r="J312" s="1"/>
      <c r="P312" s="258" t="s">
        <v>223</v>
      </c>
      <c r="Q312" s="259">
        <v>1106.0999999999999</v>
      </c>
      <c r="R312" s="259">
        <v>1463.5</v>
      </c>
      <c r="U312" s="23" t="s">
        <v>224</v>
      </c>
      <c r="V312" s="259">
        <v>525.49</v>
      </c>
      <c r="W312" s="259">
        <v>672.18</v>
      </c>
      <c r="AM312" s="23" t="s">
        <v>225</v>
      </c>
      <c r="AN312" s="23">
        <v>85</v>
      </c>
      <c r="AO312" s="23">
        <f>AN312*1.3+192</f>
        <v>302.5</v>
      </c>
      <c r="AS312" s="64"/>
      <c r="AT312" s="277"/>
      <c r="AU312" s="277"/>
    </row>
    <row r="313" spans="7:47" ht="15.75">
      <c r="G313" s="1"/>
      <c r="H313" s="1"/>
      <c r="I313" s="1"/>
      <c r="J313" s="1"/>
      <c r="P313" s="258" t="s">
        <v>226</v>
      </c>
      <c r="Q313" s="259">
        <v>860.5</v>
      </c>
      <c r="R313" s="259">
        <v>1143.5999999999999</v>
      </c>
      <c r="U313" s="81" t="s">
        <v>227</v>
      </c>
      <c r="V313" s="81">
        <v>364</v>
      </c>
      <c r="W313" s="23">
        <v>462.4</v>
      </c>
      <c r="AM313" s="23" t="s">
        <v>228</v>
      </c>
      <c r="AN313" s="23">
        <v>174</v>
      </c>
      <c r="AO313" s="23">
        <f>AN313*1.3+329</f>
        <v>555.20000000000005</v>
      </c>
    </row>
    <row r="314" spans="7:47" ht="15.75">
      <c r="G314" s="1"/>
      <c r="H314" s="1"/>
      <c r="I314" s="1"/>
      <c r="J314" s="1"/>
      <c r="P314" s="258" t="s">
        <v>229</v>
      </c>
      <c r="Q314" s="23">
        <v>837</v>
      </c>
      <c r="R314" s="23">
        <v>1097.4000000000001</v>
      </c>
      <c r="U314" s="23" t="s">
        <v>230</v>
      </c>
      <c r="V314" s="23">
        <v>529</v>
      </c>
      <c r="W314" s="23">
        <v>695</v>
      </c>
      <c r="AM314" s="233" t="s">
        <v>95</v>
      </c>
      <c r="AN314" s="233">
        <v>0</v>
      </c>
      <c r="AO314" s="233">
        <v>0</v>
      </c>
    </row>
    <row r="315" spans="7:47" ht="15.75">
      <c r="G315" s="1"/>
      <c r="H315" s="1"/>
      <c r="I315" s="1"/>
      <c r="J315" s="1"/>
      <c r="P315" s="258" t="s">
        <v>231</v>
      </c>
      <c r="Q315" s="23">
        <v>1156.75</v>
      </c>
      <c r="R315" s="23">
        <v>1737.07</v>
      </c>
      <c r="U315" s="23" t="s">
        <v>232</v>
      </c>
      <c r="V315" s="259">
        <v>619</v>
      </c>
      <c r="W315" s="259">
        <v>812.7</v>
      </c>
    </row>
    <row r="316" spans="7:47" ht="15.75">
      <c r="G316" s="1"/>
      <c r="H316" s="1"/>
      <c r="I316" s="1"/>
      <c r="J316" s="1"/>
      <c r="P316" s="258" t="s">
        <v>233</v>
      </c>
      <c r="Q316" s="23">
        <v>1079.48</v>
      </c>
      <c r="R316" s="23">
        <v>1605.26</v>
      </c>
      <c r="U316" s="23" t="s">
        <v>234</v>
      </c>
      <c r="V316" s="259">
        <v>727.21</v>
      </c>
      <c r="W316" s="259">
        <v>956.67</v>
      </c>
    </row>
    <row r="317" spans="7:47" ht="15.75">
      <c r="G317" s="1"/>
      <c r="H317" s="1"/>
      <c r="I317" s="1"/>
      <c r="J317" s="1"/>
      <c r="P317" s="258" t="s">
        <v>235</v>
      </c>
      <c r="Q317" s="23">
        <v>964.09</v>
      </c>
      <c r="R317" s="23">
        <v>1316.08</v>
      </c>
      <c r="U317" s="23" t="s">
        <v>236</v>
      </c>
      <c r="V317" s="259">
        <v>854.73</v>
      </c>
      <c r="W317" s="259">
        <v>1128.3599999999999</v>
      </c>
    </row>
    <row r="318" spans="7:47" ht="15.75">
      <c r="G318" s="1"/>
      <c r="H318" s="1"/>
      <c r="I318" s="1"/>
      <c r="J318" s="1"/>
      <c r="P318" s="258" t="s">
        <v>237</v>
      </c>
      <c r="Q318" s="23">
        <v>913.43</v>
      </c>
      <c r="R318" s="23">
        <v>1226.24</v>
      </c>
      <c r="U318" s="23" t="s">
        <v>238</v>
      </c>
      <c r="V318" s="259">
        <v>993.01</v>
      </c>
      <c r="W318" s="259">
        <v>1464.26</v>
      </c>
    </row>
    <row r="319" spans="7:47" ht="15.75">
      <c r="G319" s="1"/>
      <c r="H319" s="1"/>
      <c r="I319" s="1"/>
      <c r="J319" s="1"/>
      <c r="P319" s="258" t="s">
        <v>239</v>
      </c>
      <c r="Q319" s="23">
        <v>796.9</v>
      </c>
      <c r="R319" s="23">
        <v>1079.17</v>
      </c>
      <c r="U319" s="23" t="s">
        <v>240</v>
      </c>
      <c r="V319" s="23">
        <v>802</v>
      </c>
      <c r="W319" s="23">
        <v>1040</v>
      </c>
    </row>
    <row r="320" spans="7:47" ht="15.75">
      <c r="G320" s="1"/>
      <c r="H320" s="1"/>
      <c r="I320" s="1"/>
      <c r="J320" s="1"/>
      <c r="P320" s="258" t="s">
        <v>241</v>
      </c>
      <c r="Q320" s="23">
        <v>765.61</v>
      </c>
      <c r="R320" s="23">
        <v>1021.47</v>
      </c>
      <c r="U320" s="23" t="s">
        <v>242</v>
      </c>
      <c r="V320" s="23">
        <v>1040.5</v>
      </c>
      <c r="W320" s="23">
        <v>1359</v>
      </c>
      <c r="Z320" s="23"/>
      <c r="AA320" s="23" t="s">
        <v>243</v>
      </c>
      <c r="AB320" s="23" t="s">
        <v>244</v>
      </c>
      <c r="AC320" s="23" t="s">
        <v>74</v>
      </c>
      <c r="AD320" s="23" t="s">
        <v>77</v>
      </c>
      <c r="AE320" s="23" t="s">
        <v>245</v>
      </c>
      <c r="AF320" s="23" t="s">
        <v>74</v>
      </c>
      <c r="AG320" s="23" t="s">
        <v>77</v>
      </c>
      <c r="AH320" s="23" t="s">
        <v>246</v>
      </c>
      <c r="AI320" s="23" t="s">
        <v>74</v>
      </c>
      <c r="AJ320" s="23" t="s">
        <v>77</v>
      </c>
    </row>
    <row r="321" spans="7:36" ht="15.75">
      <c r="P321" s="258" t="s">
        <v>247</v>
      </c>
      <c r="Q321" s="23">
        <v>672.1</v>
      </c>
      <c r="R321" s="23">
        <v>911.3</v>
      </c>
      <c r="U321" s="23" t="s">
        <v>248</v>
      </c>
      <c r="V321" s="23">
        <v>1179.8699999999999</v>
      </c>
      <c r="W321" s="23">
        <v>1696.17</v>
      </c>
      <c r="Z321" s="101" t="s">
        <v>94</v>
      </c>
      <c r="AA321" s="23" t="s">
        <v>249</v>
      </c>
      <c r="AB321" s="23" t="s">
        <v>250</v>
      </c>
      <c r="AC321" s="23">
        <v>1.4410000000000001</v>
      </c>
      <c r="AD321" s="23">
        <v>5.0199999999999996</v>
      </c>
      <c r="AE321" s="23" t="s">
        <v>251</v>
      </c>
      <c r="AF321" s="23">
        <v>2.093</v>
      </c>
      <c r="AG321" s="23">
        <v>5.0199999999999996</v>
      </c>
      <c r="AH321" s="23" t="s">
        <v>252</v>
      </c>
      <c r="AI321" s="23">
        <v>0.189</v>
      </c>
      <c r="AJ321" s="23">
        <v>0.71</v>
      </c>
    </row>
    <row r="322" spans="7:36" ht="15.75">
      <c r="G322" s="1"/>
      <c r="H322" s="1"/>
      <c r="I322" s="1"/>
      <c r="J322" s="1"/>
      <c r="P322" s="258" t="s">
        <v>253</v>
      </c>
      <c r="Q322" s="23">
        <v>648.5</v>
      </c>
      <c r="R322" s="23">
        <v>865</v>
      </c>
      <c r="U322" s="23" t="s">
        <v>254</v>
      </c>
      <c r="V322" s="23">
        <v>1349.24</v>
      </c>
      <c r="W322" s="23">
        <v>1959.72</v>
      </c>
      <c r="Z322" s="101" t="s">
        <v>99</v>
      </c>
      <c r="AA322" s="23" t="s">
        <v>255</v>
      </c>
      <c r="AB322" s="23" t="s">
        <v>256</v>
      </c>
      <c r="AC322" s="23">
        <v>2.5190000000000001</v>
      </c>
      <c r="AD322" s="23">
        <v>7.08</v>
      </c>
      <c r="AE322" s="23" t="s">
        <v>257</v>
      </c>
      <c r="AF322" s="23">
        <v>2.8410000000000002</v>
      </c>
      <c r="AG322" s="23">
        <v>7.08</v>
      </c>
      <c r="AH322" s="23" t="s">
        <v>258</v>
      </c>
      <c r="AI322" s="23">
        <v>0.32100000000000001</v>
      </c>
      <c r="AJ322" s="23">
        <v>1.54</v>
      </c>
    </row>
    <row r="323" spans="7:36" ht="15.75">
      <c r="G323" s="1"/>
      <c r="H323" s="1"/>
      <c r="I323" s="1"/>
      <c r="J323" s="1"/>
      <c r="P323" s="258" t="s">
        <v>259</v>
      </c>
      <c r="Q323" s="23">
        <v>561</v>
      </c>
      <c r="R323" s="23">
        <v>757.6</v>
      </c>
      <c r="U323" s="23" t="s">
        <v>260</v>
      </c>
      <c r="V323" s="23">
        <v>1539.51</v>
      </c>
      <c r="W323" s="23">
        <v>2258.21</v>
      </c>
      <c r="Z323" s="101" t="s">
        <v>104</v>
      </c>
      <c r="AA323" s="23" t="s">
        <v>48</v>
      </c>
      <c r="AB323" s="23" t="s">
        <v>261</v>
      </c>
      <c r="AC323" s="23">
        <v>4.9020000000000001</v>
      </c>
      <c r="AD323" s="23">
        <v>13.56</v>
      </c>
      <c r="AE323" s="23" t="s">
        <v>262</v>
      </c>
      <c r="AF323" s="23">
        <v>4</v>
      </c>
      <c r="AG323" s="23">
        <v>11.3</v>
      </c>
      <c r="AH323" s="23" t="s">
        <v>263</v>
      </c>
      <c r="AI323" s="23">
        <v>0.53500000000000003</v>
      </c>
      <c r="AJ323" s="23">
        <v>2.5</v>
      </c>
    </row>
    <row r="324" spans="7:36" ht="15.75">
      <c r="G324" s="1"/>
      <c r="H324" s="1"/>
      <c r="I324" s="1"/>
      <c r="J324" s="1"/>
      <c r="P324" s="258" t="s">
        <v>264</v>
      </c>
      <c r="Q324" s="23">
        <v>547.6</v>
      </c>
      <c r="R324" s="23">
        <v>729</v>
      </c>
      <c r="U324" s="23" t="s">
        <v>265</v>
      </c>
      <c r="V324" s="23">
        <v>1547.4</v>
      </c>
      <c r="W324" s="23">
        <v>2006.5</v>
      </c>
      <c r="Z324" s="101" t="s">
        <v>109</v>
      </c>
      <c r="AA324" s="23" t="s">
        <v>266</v>
      </c>
      <c r="AB324" s="23" t="s">
        <v>267</v>
      </c>
      <c r="AC324" s="23">
        <v>6.58</v>
      </c>
      <c r="AD324" s="23">
        <v>21.2</v>
      </c>
      <c r="AE324" s="23" t="s">
        <v>268</v>
      </c>
      <c r="AF324" s="23">
        <v>7.4</v>
      </c>
      <c r="AG324" s="23">
        <v>21.2</v>
      </c>
      <c r="AH324" s="23" t="s">
        <v>269</v>
      </c>
      <c r="AI324" s="23">
        <v>0.94799999999999995</v>
      </c>
      <c r="AJ324" s="23">
        <v>5.03</v>
      </c>
    </row>
    <row r="325" spans="7:36" ht="15.75">
      <c r="G325" s="1"/>
      <c r="H325" s="1"/>
      <c r="I325" s="1"/>
      <c r="J325" s="1"/>
      <c r="P325" s="258" t="s">
        <v>270</v>
      </c>
      <c r="Q325" s="23">
        <v>373.5</v>
      </c>
      <c r="R325" s="23">
        <v>481.7</v>
      </c>
      <c r="U325" s="23" t="s">
        <v>271</v>
      </c>
      <c r="V325" s="23">
        <v>1696</v>
      </c>
      <c r="W325" s="23">
        <v>2356.3000000000002</v>
      </c>
      <c r="Z325" s="23" t="s">
        <v>88</v>
      </c>
      <c r="AA325" s="23" t="s">
        <v>249</v>
      </c>
      <c r="AB325" s="23" t="s">
        <v>272</v>
      </c>
      <c r="AC325" s="23">
        <v>1.0629999999999999</v>
      </c>
      <c r="AD325" s="23">
        <v>4.0199999999999996</v>
      </c>
      <c r="AE325" s="23" t="s">
        <v>273</v>
      </c>
      <c r="AF325" s="23">
        <v>1.3180000000000001</v>
      </c>
      <c r="AG325" s="23">
        <v>4.0199999999999996</v>
      </c>
      <c r="AH325" s="23" t="s">
        <v>274</v>
      </c>
      <c r="AI325" s="23">
        <v>0.158</v>
      </c>
      <c r="AJ325" s="23">
        <v>0.71</v>
      </c>
    </row>
    <row r="326" spans="7:36" ht="15.75">
      <c r="G326" s="1"/>
      <c r="H326" s="1"/>
      <c r="I326" s="1"/>
      <c r="J326" s="1"/>
      <c r="P326" s="258" t="s">
        <v>275</v>
      </c>
      <c r="Q326" s="23">
        <v>553.32000000000005</v>
      </c>
      <c r="R326" s="23">
        <v>722.7</v>
      </c>
      <c r="U326" s="23" t="s">
        <v>276</v>
      </c>
      <c r="V326" s="23">
        <v>2280</v>
      </c>
      <c r="W326" s="23">
        <v>3201.2</v>
      </c>
      <c r="Z326" s="23" t="s">
        <v>92</v>
      </c>
      <c r="AA326" s="23" t="s">
        <v>255</v>
      </c>
      <c r="AB326" s="23" t="s">
        <v>277</v>
      </c>
      <c r="AC326" s="23">
        <v>1.4159999999999999</v>
      </c>
      <c r="AD326" s="23">
        <v>5.67</v>
      </c>
      <c r="AE326" s="23" t="s">
        <v>278</v>
      </c>
      <c r="AF326" s="23">
        <v>2.7050000000000001</v>
      </c>
      <c r="AG326" s="23">
        <v>7.08</v>
      </c>
      <c r="AH326" s="23" t="s">
        <v>279</v>
      </c>
      <c r="AI326" s="23">
        <v>0.191</v>
      </c>
      <c r="AJ326" s="23">
        <v>0.9</v>
      </c>
    </row>
    <row r="327" spans="7:36" ht="15.75">
      <c r="G327" s="1"/>
      <c r="H327" s="1"/>
      <c r="I327" s="1"/>
      <c r="J327" s="1"/>
      <c r="P327" s="258" t="s">
        <v>280</v>
      </c>
      <c r="Q327" s="23">
        <v>453.5</v>
      </c>
      <c r="R327" s="23">
        <v>588</v>
      </c>
      <c r="U327" s="23" t="s">
        <v>281</v>
      </c>
      <c r="V327" s="180">
        <v>187</v>
      </c>
      <c r="W327" s="180">
        <v>241</v>
      </c>
      <c r="Z327" s="23" t="s">
        <v>44</v>
      </c>
      <c r="AA327" s="23" t="s">
        <v>48</v>
      </c>
      <c r="AB327" s="23" t="s">
        <v>45</v>
      </c>
      <c r="AC327" s="23">
        <v>2.44</v>
      </c>
      <c r="AD327" s="23">
        <v>8.31</v>
      </c>
      <c r="AE327" s="23" t="s">
        <v>46</v>
      </c>
      <c r="AF327" s="23">
        <v>4.5720000000000001</v>
      </c>
      <c r="AG327" s="23">
        <v>10.38</v>
      </c>
      <c r="AH327" s="23" t="s">
        <v>47</v>
      </c>
      <c r="AI327" s="23">
        <v>0.26800000000000002</v>
      </c>
      <c r="AJ327" s="23">
        <v>1.42</v>
      </c>
    </row>
    <row r="328" spans="7:36" ht="15.75">
      <c r="G328" s="1"/>
      <c r="H328" s="1"/>
      <c r="I328" s="1"/>
      <c r="J328" s="1"/>
      <c r="P328" s="258" t="s">
        <v>282</v>
      </c>
      <c r="Q328" s="23">
        <v>287.5</v>
      </c>
      <c r="R328" s="23">
        <v>378.1</v>
      </c>
      <c r="U328" s="23" t="s">
        <v>283</v>
      </c>
      <c r="V328" s="23">
        <v>346</v>
      </c>
      <c r="W328" s="23">
        <v>436</v>
      </c>
      <c r="Z328" s="23" t="s">
        <v>102</v>
      </c>
      <c r="AA328" s="23" t="s">
        <v>266</v>
      </c>
      <c r="AB328" s="23" t="s">
        <v>284</v>
      </c>
      <c r="AC328" s="23">
        <v>7.17</v>
      </c>
      <c r="AD328" s="23">
        <v>20.49</v>
      </c>
      <c r="AE328" s="23" t="s">
        <v>285</v>
      </c>
      <c r="AF328" s="23">
        <v>9.8800000000000008</v>
      </c>
      <c r="AG328" s="23">
        <v>23.91</v>
      </c>
      <c r="AH328" s="23" t="s">
        <v>286</v>
      </c>
      <c r="AI328" s="23">
        <v>0.69799999999999995</v>
      </c>
      <c r="AJ328" s="23">
        <v>3.94</v>
      </c>
    </row>
    <row r="329" spans="7:36" ht="15.75">
      <c r="G329" s="1"/>
      <c r="H329" s="1"/>
      <c r="I329" s="1"/>
      <c r="J329" s="1"/>
      <c r="P329" s="258" t="s">
        <v>287</v>
      </c>
      <c r="Q329" s="23">
        <v>227.5</v>
      </c>
      <c r="R329" s="23">
        <v>299.39999999999998</v>
      </c>
      <c r="U329" s="23" t="s">
        <v>288</v>
      </c>
      <c r="V329" s="23">
        <v>498.4</v>
      </c>
      <c r="W329" s="23">
        <v>635.79999999999995</v>
      </c>
      <c r="Z329" s="23" t="s">
        <v>107</v>
      </c>
      <c r="AA329" s="23" t="s">
        <v>289</v>
      </c>
      <c r="AB329" s="23" t="s">
        <v>290</v>
      </c>
      <c r="AC329" s="23">
        <v>9.8409999999999993</v>
      </c>
      <c r="AD329" s="23">
        <v>28.03</v>
      </c>
      <c r="AE329" s="23" t="s">
        <v>291</v>
      </c>
      <c r="AF329" s="23">
        <v>9.1470000000000002</v>
      </c>
      <c r="AG329" s="23">
        <v>32.700000000000003</v>
      </c>
      <c r="AH329" s="23" t="s">
        <v>292</v>
      </c>
      <c r="AI329" s="23">
        <v>1.407</v>
      </c>
      <c r="AJ329" s="23">
        <v>4.99</v>
      </c>
    </row>
    <row r="330" spans="7:36" ht="15.75">
      <c r="G330" s="1"/>
      <c r="H330" s="1"/>
      <c r="I330" s="1"/>
      <c r="J330" s="1"/>
      <c r="P330" s="258" t="s">
        <v>293</v>
      </c>
      <c r="Q330" s="23">
        <v>366.46</v>
      </c>
      <c r="R330" s="23">
        <v>483.03</v>
      </c>
      <c r="U330" s="23" t="s">
        <v>294</v>
      </c>
      <c r="V330" s="23">
        <v>614.20000000000005</v>
      </c>
      <c r="W330" s="23">
        <v>808.6</v>
      </c>
      <c r="Z330" s="259" t="s">
        <v>112</v>
      </c>
      <c r="AA330" s="23" t="s">
        <v>295</v>
      </c>
      <c r="AB330" s="23" t="s">
        <v>296</v>
      </c>
      <c r="AC330" s="23">
        <v>13.2</v>
      </c>
      <c r="AD330" s="23">
        <v>63.8</v>
      </c>
      <c r="AE330" s="23" t="s">
        <v>297</v>
      </c>
      <c r="AF330" s="23">
        <v>11.3</v>
      </c>
      <c r="AG330" s="23">
        <v>63.8</v>
      </c>
      <c r="AH330" s="23" t="s">
        <v>298</v>
      </c>
      <c r="AI330" s="23">
        <v>2.7</v>
      </c>
      <c r="AJ330" s="23">
        <v>13.48</v>
      </c>
    </row>
    <row r="331" spans="7:36" ht="15.75">
      <c r="G331" s="1"/>
      <c r="H331" s="1"/>
      <c r="I331" s="1"/>
      <c r="J331" s="1"/>
      <c r="P331" s="258" t="s">
        <v>299</v>
      </c>
      <c r="Q331" s="23">
        <v>3045.6</v>
      </c>
      <c r="R331" s="23">
        <v>4287</v>
      </c>
      <c r="U331" s="23" t="s">
        <v>300</v>
      </c>
      <c r="V331" s="23">
        <v>945.5</v>
      </c>
      <c r="W331" s="23">
        <v>1230.5</v>
      </c>
      <c r="Z331" s="259" t="s">
        <v>116</v>
      </c>
      <c r="AA331" s="23" t="s">
        <v>301</v>
      </c>
      <c r="AB331" s="23" t="s">
        <v>302</v>
      </c>
      <c r="AC331" s="23">
        <v>16</v>
      </c>
      <c r="AD331" s="23">
        <v>76.400000000000006</v>
      </c>
      <c r="AE331" s="23" t="s">
        <v>303</v>
      </c>
      <c r="AF331" s="23">
        <v>13.4</v>
      </c>
      <c r="AG331" s="23">
        <v>76.400000000000006</v>
      </c>
      <c r="AH331" s="23" t="s">
        <v>304</v>
      </c>
      <c r="AI331" s="23">
        <v>3.2</v>
      </c>
      <c r="AJ331" s="23">
        <v>21.5</v>
      </c>
    </row>
    <row r="332" spans="7:36" ht="15.75">
      <c r="G332" s="1"/>
      <c r="H332" s="1"/>
      <c r="I332" s="1"/>
      <c r="J332" s="1"/>
      <c r="P332" s="258" t="s">
        <v>305</v>
      </c>
      <c r="Q332" s="23">
        <v>2919.6</v>
      </c>
      <c r="R332" s="23">
        <v>4069.3</v>
      </c>
      <c r="U332" s="23" t="s">
        <v>306</v>
      </c>
      <c r="V332" s="23">
        <v>1196.4000000000001</v>
      </c>
      <c r="W332" s="23">
        <v>1566</v>
      </c>
      <c r="Z332" s="23" t="s">
        <v>120</v>
      </c>
      <c r="AA332" s="23" t="s">
        <v>307</v>
      </c>
      <c r="AB332" s="23" t="s">
        <v>308</v>
      </c>
      <c r="AC332" s="23">
        <v>21.1</v>
      </c>
      <c r="AD332" s="23">
        <v>95.5</v>
      </c>
      <c r="AE332" s="23" t="s">
        <v>309</v>
      </c>
      <c r="AF332" s="23">
        <v>17.399999999999999</v>
      </c>
      <c r="AG332" s="23">
        <v>127.4</v>
      </c>
      <c r="AH332" s="23" t="s">
        <v>310</v>
      </c>
      <c r="AI332" s="23">
        <v>3.2</v>
      </c>
      <c r="AJ332" s="23">
        <v>22.6</v>
      </c>
    </row>
    <row r="333" spans="7:36" ht="15.75">
      <c r="P333" s="258" t="s">
        <v>311</v>
      </c>
      <c r="Q333" s="23">
        <v>2410.5500000000002</v>
      </c>
      <c r="R333" s="23">
        <v>3498.63</v>
      </c>
      <c r="U333" s="23" t="s">
        <v>312</v>
      </c>
      <c r="V333" s="23">
        <v>75.5</v>
      </c>
      <c r="W333" s="23">
        <v>105</v>
      </c>
      <c r="Z333" s="23" t="s">
        <v>125</v>
      </c>
      <c r="AA333" s="23" t="s">
        <v>313</v>
      </c>
      <c r="AB333" s="23" t="s">
        <v>314</v>
      </c>
      <c r="AC333" s="23">
        <v>24</v>
      </c>
      <c r="AD333" s="23">
        <v>112.8</v>
      </c>
      <c r="AE333" s="23" t="s">
        <v>315</v>
      </c>
      <c r="AF333" s="23">
        <v>20.399999999999999</v>
      </c>
      <c r="AG333" s="23">
        <v>150.4</v>
      </c>
      <c r="AH333" s="23" t="s">
        <v>316</v>
      </c>
      <c r="AI333" s="23">
        <v>3.5</v>
      </c>
      <c r="AJ333" s="23">
        <v>25.96</v>
      </c>
    </row>
    <row r="334" spans="7:36" ht="15.75">
      <c r="P334" s="258" t="s">
        <v>317</v>
      </c>
      <c r="Q334" s="23">
        <v>2284.5700000000002</v>
      </c>
      <c r="R334" s="23">
        <v>3281.12</v>
      </c>
      <c r="U334" s="23" t="s">
        <v>318</v>
      </c>
      <c r="V334" s="23">
        <v>103.5</v>
      </c>
      <c r="W334" s="23">
        <v>143.30000000000001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</row>
    <row r="335" spans="7:36" ht="15.75">
      <c r="P335" s="258" t="s">
        <v>319</v>
      </c>
      <c r="Q335" s="23">
        <v>2179</v>
      </c>
      <c r="R335" s="23">
        <v>3114</v>
      </c>
      <c r="U335" s="23" t="s">
        <v>320</v>
      </c>
      <c r="V335" s="23">
        <v>155</v>
      </c>
      <c r="W335" s="23">
        <v>215</v>
      </c>
    </row>
    <row r="336" spans="7:36" ht="16.5" thickBot="1">
      <c r="P336" s="258" t="s">
        <v>321</v>
      </c>
      <c r="Q336" s="23">
        <v>2070</v>
      </c>
      <c r="R336" s="23">
        <v>2936</v>
      </c>
      <c r="U336" s="23" t="s">
        <v>322</v>
      </c>
      <c r="V336" s="23">
        <v>254.1</v>
      </c>
      <c r="W336" s="23">
        <v>345.7</v>
      </c>
    </row>
    <row r="337" spans="16:29" ht="15.75">
      <c r="P337" s="258" t="s">
        <v>323</v>
      </c>
      <c r="Q337" s="23">
        <v>2095.7399999999998</v>
      </c>
      <c r="R337" s="23">
        <v>3059.67</v>
      </c>
      <c r="U337" s="23" t="s">
        <v>324</v>
      </c>
      <c r="V337" s="23">
        <v>208.2</v>
      </c>
      <c r="W337" s="23">
        <v>281</v>
      </c>
      <c r="Z337" s="278" t="s">
        <v>325</v>
      </c>
      <c r="AA337" s="279" t="s">
        <v>326</v>
      </c>
      <c r="AB337" s="278" t="s">
        <v>327</v>
      </c>
      <c r="AC337" s="279" t="s">
        <v>326</v>
      </c>
    </row>
    <row r="338" spans="16:29" ht="15.75">
      <c r="P338" s="258" t="s">
        <v>328</v>
      </c>
      <c r="Q338" s="259">
        <v>1969.76</v>
      </c>
      <c r="R338" s="259">
        <v>2842.16</v>
      </c>
      <c r="U338" s="23" t="s">
        <v>329</v>
      </c>
      <c r="V338" s="180">
        <v>109.36</v>
      </c>
      <c r="W338" s="180">
        <v>145.74</v>
      </c>
      <c r="Z338" s="114" t="s">
        <v>330</v>
      </c>
      <c r="AA338" s="78">
        <v>31.3</v>
      </c>
      <c r="AB338" s="114" t="s">
        <v>331</v>
      </c>
      <c r="AC338" s="78">
        <v>27.018000000000001</v>
      </c>
    </row>
    <row r="339" spans="16:29" ht="15.75">
      <c r="P339" s="258" t="s">
        <v>332</v>
      </c>
      <c r="Q339" s="23">
        <v>1867.65</v>
      </c>
      <c r="R339" s="23">
        <v>2678.86</v>
      </c>
      <c r="U339" s="23" t="s">
        <v>333</v>
      </c>
      <c r="V339" s="23">
        <v>126.66</v>
      </c>
      <c r="W339" s="23">
        <v>168.36</v>
      </c>
      <c r="Z339" s="114" t="s">
        <v>334</v>
      </c>
      <c r="AA339" s="78">
        <v>32.036999999999999</v>
      </c>
      <c r="AB339" s="114" t="s">
        <v>335</v>
      </c>
      <c r="AC339" s="78">
        <v>33</v>
      </c>
    </row>
    <row r="340" spans="16:29" ht="15.75">
      <c r="P340" s="258" t="s">
        <v>336</v>
      </c>
      <c r="Q340" s="259">
        <v>1758.72</v>
      </c>
      <c r="R340" s="259">
        <v>2500.4</v>
      </c>
      <c r="U340" s="23" t="s">
        <v>337</v>
      </c>
      <c r="V340" s="23">
        <v>147.80000000000001</v>
      </c>
      <c r="W340" s="23">
        <v>196.45</v>
      </c>
      <c r="Z340" s="114" t="s">
        <v>338</v>
      </c>
      <c r="AA340" s="78">
        <v>38</v>
      </c>
      <c r="AB340" s="114" t="s">
        <v>339</v>
      </c>
      <c r="AC340" s="78">
        <v>27.466999999999999</v>
      </c>
    </row>
    <row r="341" spans="16:29" ht="15.75">
      <c r="P341" s="258" t="s">
        <v>340</v>
      </c>
      <c r="Q341" s="23">
        <v>1630.2</v>
      </c>
      <c r="R341" s="23">
        <v>2317</v>
      </c>
      <c r="U341" s="23" t="s">
        <v>341</v>
      </c>
      <c r="V341" s="23">
        <v>189.09</v>
      </c>
      <c r="W341" s="23">
        <v>251.72</v>
      </c>
      <c r="Z341" s="114" t="s">
        <v>342</v>
      </c>
      <c r="AA341" s="78">
        <v>39</v>
      </c>
      <c r="AB341" s="114" t="s">
        <v>343</v>
      </c>
      <c r="AC341" s="78">
        <v>33.5</v>
      </c>
    </row>
    <row r="342" spans="16:29" ht="15.75">
      <c r="P342" s="258" t="s">
        <v>344</v>
      </c>
      <c r="Q342" s="259">
        <v>1553</v>
      </c>
      <c r="R342" s="259">
        <v>2185</v>
      </c>
      <c r="U342" s="23" t="s">
        <v>345</v>
      </c>
      <c r="V342" s="259">
        <v>270.27999999999997</v>
      </c>
      <c r="W342" s="259">
        <v>361.31</v>
      </c>
      <c r="Z342" s="114" t="s">
        <v>346</v>
      </c>
      <c r="AA342" s="78">
        <v>44.8</v>
      </c>
      <c r="AB342" s="114" t="s">
        <v>347</v>
      </c>
      <c r="AC342" s="78">
        <v>28.4</v>
      </c>
    </row>
    <row r="343" spans="16:29" ht="15.75">
      <c r="P343" s="258" t="s">
        <v>348</v>
      </c>
      <c r="Q343" s="259">
        <v>1084.2</v>
      </c>
      <c r="R343" s="259">
        <v>1467</v>
      </c>
      <c r="U343" s="23" t="s">
        <v>349</v>
      </c>
      <c r="V343" s="23">
        <v>215.75</v>
      </c>
      <c r="W343" s="23">
        <v>287.02</v>
      </c>
      <c r="Z343" s="114" t="s">
        <v>350</v>
      </c>
      <c r="AA343" s="78">
        <v>45.8</v>
      </c>
      <c r="AB343" s="114" t="s">
        <v>351</v>
      </c>
      <c r="AC343" s="78">
        <v>36</v>
      </c>
    </row>
    <row r="344" spans="16:29" ht="15.75">
      <c r="P344" s="258" t="s">
        <v>352</v>
      </c>
      <c r="Q344" s="259">
        <v>1033.5</v>
      </c>
      <c r="R344" s="259">
        <v>1377.2</v>
      </c>
      <c r="U344" s="23" t="s">
        <v>353</v>
      </c>
      <c r="V344" s="23">
        <v>348.03</v>
      </c>
      <c r="W344" s="23">
        <v>456.98</v>
      </c>
      <c r="Z344" s="114" t="s">
        <v>354</v>
      </c>
      <c r="AA344" s="78">
        <v>70</v>
      </c>
      <c r="AB344" s="114" t="s">
        <v>355</v>
      </c>
      <c r="AC344" s="78">
        <v>34.6</v>
      </c>
    </row>
    <row r="345" spans="16:29" ht="15.75">
      <c r="P345" s="258" t="s">
        <v>356</v>
      </c>
      <c r="Q345" s="259">
        <v>796.3</v>
      </c>
      <c r="R345" s="259">
        <v>1065.5</v>
      </c>
      <c r="U345" s="23" t="s">
        <v>357</v>
      </c>
      <c r="V345" s="259">
        <v>416.93</v>
      </c>
      <c r="W345" s="259">
        <v>552.47</v>
      </c>
      <c r="Z345" s="114" t="s">
        <v>358</v>
      </c>
      <c r="AA345" s="78">
        <v>65</v>
      </c>
      <c r="AB345" s="114" t="s">
        <v>359</v>
      </c>
      <c r="AC345" s="78">
        <v>36.5</v>
      </c>
    </row>
    <row r="346" spans="16:29" ht="15.75">
      <c r="P346" s="258" t="s">
        <v>360</v>
      </c>
      <c r="Q346" s="23">
        <v>773</v>
      </c>
      <c r="R346" s="23">
        <v>1019.2</v>
      </c>
      <c r="U346" s="23" t="s">
        <v>361</v>
      </c>
      <c r="V346" s="23">
        <v>503.7</v>
      </c>
      <c r="W346" s="23">
        <v>680.18</v>
      </c>
      <c r="Z346" s="114" t="s">
        <v>362</v>
      </c>
      <c r="AA346" s="78">
        <v>85</v>
      </c>
      <c r="AB346" s="114" t="s">
        <v>363</v>
      </c>
      <c r="AC346" s="78">
        <v>34</v>
      </c>
    </row>
    <row r="347" spans="16:29" ht="15.75">
      <c r="P347" s="258" t="s">
        <v>364</v>
      </c>
      <c r="Q347" s="23">
        <v>625</v>
      </c>
      <c r="R347" s="23">
        <v>853.5</v>
      </c>
      <c r="U347" s="23" t="s">
        <v>365</v>
      </c>
      <c r="V347" s="23">
        <v>690.26</v>
      </c>
      <c r="W347" s="23">
        <v>943.99</v>
      </c>
      <c r="Z347" s="114" t="s">
        <v>366</v>
      </c>
      <c r="AA347" s="78">
        <v>75</v>
      </c>
      <c r="AB347" s="114" t="s">
        <v>367</v>
      </c>
      <c r="AC347" s="78">
        <v>39</v>
      </c>
    </row>
    <row r="348" spans="16:29" ht="15.75">
      <c r="P348" s="258" t="s">
        <v>368</v>
      </c>
      <c r="Q348" s="23">
        <v>601.20000000000005</v>
      </c>
      <c r="R348" s="23">
        <v>807.3</v>
      </c>
      <c r="Z348" s="114" t="s">
        <v>369</v>
      </c>
      <c r="AA348" s="78">
        <v>27.23</v>
      </c>
      <c r="AB348" s="114" t="s">
        <v>370</v>
      </c>
      <c r="AC348" s="78">
        <v>38</v>
      </c>
    </row>
    <row r="349" spans="16:29" ht="15.75">
      <c r="P349" s="258" t="s">
        <v>371</v>
      </c>
      <c r="Q349" s="23">
        <v>517.1</v>
      </c>
      <c r="R349" s="23">
        <v>703</v>
      </c>
      <c r="Z349" s="114" t="s">
        <v>372</v>
      </c>
      <c r="AA349" s="78">
        <v>30</v>
      </c>
      <c r="AB349" s="114" t="s">
        <v>373</v>
      </c>
      <c r="AC349" s="78">
        <v>39</v>
      </c>
    </row>
    <row r="350" spans="16:29" ht="16.5" thickBot="1">
      <c r="P350" s="258" t="s">
        <v>374</v>
      </c>
      <c r="Q350" s="23">
        <v>504</v>
      </c>
      <c r="R350" s="23">
        <v>674.6</v>
      </c>
      <c r="Z350" s="117" t="s">
        <v>95</v>
      </c>
      <c r="AA350" s="280">
        <v>0</v>
      </c>
      <c r="AB350" s="114" t="s">
        <v>375</v>
      </c>
      <c r="AC350" s="78">
        <v>63</v>
      </c>
    </row>
    <row r="351" spans="16:29" ht="16.5" thickBot="1">
      <c r="P351" s="258" t="s">
        <v>376</v>
      </c>
      <c r="Q351" s="23">
        <v>342.1</v>
      </c>
      <c r="R351" s="23">
        <v>444.6</v>
      </c>
      <c r="AB351" s="114" t="s">
        <v>377</v>
      </c>
      <c r="AC351" s="78">
        <v>65</v>
      </c>
    </row>
    <row r="352" spans="16:29" ht="15.75">
      <c r="P352" s="258" t="s">
        <v>378</v>
      </c>
      <c r="Q352" s="23">
        <v>419</v>
      </c>
      <c r="R352" s="23">
        <v>548</v>
      </c>
      <c r="Z352" s="281" t="s">
        <v>95</v>
      </c>
      <c r="AA352" s="282"/>
      <c r="AB352" s="283" t="s">
        <v>379</v>
      </c>
      <c r="AC352" s="78">
        <v>68</v>
      </c>
    </row>
    <row r="353" spans="16:29" ht="15.75">
      <c r="P353" s="258" t="s">
        <v>380</v>
      </c>
      <c r="Q353" s="23">
        <v>264.60000000000002</v>
      </c>
      <c r="R353" s="23">
        <v>351.2</v>
      </c>
      <c r="Z353" s="100" t="s">
        <v>381</v>
      </c>
      <c r="AA353" s="284">
        <v>7.5</v>
      </c>
      <c r="AB353" s="283" t="s">
        <v>382</v>
      </c>
      <c r="AC353" s="78">
        <v>70</v>
      </c>
    </row>
    <row r="354" spans="16:29" ht="15.75">
      <c r="P354" s="258" t="s">
        <v>383</v>
      </c>
      <c r="Q354" s="23">
        <v>207.3</v>
      </c>
      <c r="R354" s="23">
        <v>274.89999999999998</v>
      </c>
      <c r="Z354" s="100" t="s">
        <v>384</v>
      </c>
      <c r="AA354" s="284">
        <v>8.5</v>
      </c>
      <c r="AB354" s="283" t="s">
        <v>385</v>
      </c>
      <c r="AC354" s="78">
        <v>70</v>
      </c>
    </row>
    <row r="355" spans="16:29" ht="15.75">
      <c r="P355" s="258" t="s">
        <v>386</v>
      </c>
      <c r="Q355" s="23">
        <v>2867</v>
      </c>
      <c r="R355" s="23">
        <v>4067</v>
      </c>
      <c r="Z355" s="100" t="str">
        <f>"Роликоопора ДЖ100-127-"&amp;'[1]Подбор роликов'!C14</f>
        <v>Роликоопора ДЖ100-127-30</v>
      </c>
      <c r="AA355" s="284">
        <v>8.75</v>
      </c>
      <c r="AB355" s="283" t="s">
        <v>387</v>
      </c>
      <c r="AC355" s="78">
        <v>75</v>
      </c>
    </row>
    <row r="356" spans="16:29" ht="15.75">
      <c r="P356" s="258" t="s">
        <v>388</v>
      </c>
      <c r="Q356" s="23">
        <v>2741</v>
      </c>
      <c r="R356" s="23">
        <v>3851.4</v>
      </c>
      <c r="Z356" s="100" t="s">
        <v>389</v>
      </c>
      <c r="AA356" s="284">
        <v>10.23</v>
      </c>
      <c r="AB356" s="283" t="s">
        <v>390</v>
      </c>
      <c r="AC356" s="78">
        <v>78</v>
      </c>
    </row>
    <row r="357" spans="16:29" ht="15.75">
      <c r="P357" s="258" t="s">
        <v>391</v>
      </c>
      <c r="Q357" s="23">
        <v>2049</v>
      </c>
      <c r="R357" s="23">
        <v>2954.6</v>
      </c>
      <c r="Z357" s="100" t="s">
        <v>392</v>
      </c>
      <c r="AA357" s="284">
        <v>11</v>
      </c>
      <c r="AB357" s="283" t="s">
        <v>393</v>
      </c>
      <c r="AC357" s="78">
        <v>80</v>
      </c>
    </row>
    <row r="358" spans="16:29" ht="15.75">
      <c r="P358" s="258" t="s">
        <v>394</v>
      </c>
      <c r="Q358" s="23">
        <v>1940</v>
      </c>
      <c r="R358" s="23">
        <v>2776.2</v>
      </c>
      <c r="Z358" s="100" t="s">
        <v>395</v>
      </c>
      <c r="AA358" s="284">
        <v>11</v>
      </c>
      <c r="AB358" s="283" t="s">
        <v>396</v>
      </c>
      <c r="AC358" s="78">
        <v>24.2</v>
      </c>
    </row>
    <row r="359" spans="16:29" ht="15.75">
      <c r="P359" s="258" t="s">
        <v>397</v>
      </c>
      <c r="Q359" s="23">
        <v>1530.3</v>
      </c>
      <c r="R359" s="23">
        <v>2199</v>
      </c>
      <c r="Z359" s="100" t="s">
        <v>398</v>
      </c>
      <c r="AA359" s="284">
        <v>15</v>
      </c>
      <c r="AB359" s="283" t="s">
        <v>399</v>
      </c>
      <c r="AC359" s="78">
        <v>27</v>
      </c>
    </row>
    <row r="360" spans="16:29" ht="16.5" thickBot="1">
      <c r="P360" s="258" t="s">
        <v>400</v>
      </c>
      <c r="Q360" s="259">
        <v>1453</v>
      </c>
      <c r="R360" s="259">
        <v>2067</v>
      </c>
      <c r="Z360" s="100" t="s">
        <v>401</v>
      </c>
      <c r="AA360" s="284">
        <v>30</v>
      </c>
      <c r="AB360" s="285" t="s">
        <v>95</v>
      </c>
      <c r="AC360" s="280">
        <v>0</v>
      </c>
    </row>
    <row r="361" spans="16:29" ht="15.75">
      <c r="P361" s="258" t="s">
        <v>402</v>
      </c>
      <c r="Q361" s="259">
        <v>892</v>
      </c>
      <c r="R361" s="259">
        <v>1241.5</v>
      </c>
      <c r="Z361" s="100" t="s">
        <v>403</v>
      </c>
      <c r="AA361" s="284">
        <v>6.26</v>
      </c>
    </row>
    <row r="362" spans="16:29" ht="16.5" thickBot="1">
      <c r="P362" s="258" t="s">
        <v>404</v>
      </c>
      <c r="Q362" s="259">
        <v>841</v>
      </c>
      <c r="R362" s="259">
        <v>1151.5</v>
      </c>
      <c r="Z362" s="127" t="s">
        <v>405</v>
      </c>
      <c r="AA362" s="286">
        <v>7</v>
      </c>
    </row>
    <row r="363" spans="16:29" ht="15.75">
      <c r="P363" s="258" t="s">
        <v>406</v>
      </c>
      <c r="Q363" s="259">
        <v>630</v>
      </c>
      <c r="R363" s="259">
        <v>868.5</v>
      </c>
    </row>
    <row r="364" spans="16:29" ht="15.75">
      <c r="P364" s="258" t="s">
        <v>407</v>
      </c>
      <c r="Q364" s="23">
        <v>606.5</v>
      </c>
      <c r="R364" s="23">
        <v>822</v>
      </c>
      <c r="Z364" s="25">
        <v>127</v>
      </c>
      <c r="AA364" s="23">
        <v>3</v>
      </c>
    </row>
    <row r="365" spans="16:29" ht="15.75">
      <c r="P365" s="258" t="s">
        <v>408</v>
      </c>
      <c r="Q365" s="23">
        <v>528.5</v>
      </c>
      <c r="R365" s="23">
        <v>719.5</v>
      </c>
      <c r="Z365" s="25">
        <v>159</v>
      </c>
      <c r="AA365" s="23">
        <v>5</v>
      </c>
    </row>
    <row r="366" spans="16:29" ht="15.75">
      <c r="P366" s="258" t="s">
        <v>409</v>
      </c>
      <c r="Q366" s="23">
        <v>505</v>
      </c>
      <c r="R366" s="23">
        <v>673.1</v>
      </c>
    </row>
    <row r="367" spans="16:29" ht="15.75">
      <c r="P367" s="258" t="s">
        <v>410</v>
      </c>
      <c r="Q367" s="23">
        <v>431</v>
      </c>
      <c r="R367" s="23">
        <v>580</v>
      </c>
    </row>
    <row r="368" spans="16:29" ht="15.75">
      <c r="P368" s="258" t="s">
        <v>411</v>
      </c>
      <c r="Q368" s="23">
        <v>417.5</v>
      </c>
      <c r="R368" s="23">
        <v>551.20000000000005</v>
      </c>
    </row>
    <row r="369" spans="16:18" ht="15.75">
      <c r="P369" s="258" t="s">
        <v>412</v>
      </c>
      <c r="Q369" s="23">
        <v>293</v>
      </c>
      <c r="R369" s="23">
        <v>385.8</v>
      </c>
    </row>
    <row r="370" spans="16:18" ht="15.75">
      <c r="P370" s="258" t="s">
        <v>413</v>
      </c>
      <c r="Q370" s="23">
        <v>361.5</v>
      </c>
      <c r="R370" s="23">
        <v>480</v>
      </c>
    </row>
    <row r="371" spans="16:18" ht="15.75">
      <c r="P371" s="258" t="s">
        <v>414</v>
      </c>
      <c r="Q371" s="23">
        <v>226.5</v>
      </c>
      <c r="R371" s="23">
        <v>305</v>
      </c>
    </row>
    <row r="372" spans="16:18" ht="15.75">
      <c r="P372" s="258" t="s">
        <v>415</v>
      </c>
      <c r="Q372" s="23">
        <v>176</v>
      </c>
      <c r="R372" s="23">
        <v>236.2</v>
      </c>
    </row>
    <row r="373" spans="16:18" ht="15.75">
      <c r="P373" s="258" t="s">
        <v>416</v>
      </c>
      <c r="Q373" s="23">
        <v>1800.2</v>
      </c>
      <c r="R373" s="23">
        <v>2620.5</v>
      </c>
    </row>
    <row r="374" spans="16:18" ht="15.75">
      <c r="P374" s="258" t="s">
        <v>417</v>
      </c>
      <c r="Q374" s="23">
        <v>1691.5</v>
      </c>
      <c r="R374" s="23">
        <v>2442</v>
      </c>
    </row>
    <row r="375" spans="16:18" ht="15.75">
      <c r="P375" s="258" t="s">
        <v>418</v>
      </c>
      <c r="Q375" s="23">
        <v>1271</v>
      </c>
      <c r="R375" s="23">
        <v>1896</v>
      </c>
    </row>
    <row r="376" spans="16:18" ht="15.75">
      <c r="P376" s="258" t="s">
        <v>419</v>
      </c>
      <c r="Q376" s="259">
        <v>1193.5</v>
      </c>
      <c r="R376" s="259">
        <v>1764</v>
      </c>
    </row>
  </sheetData>
  <dataConsolidate/>
  <mergeCells count="34">
    <mergeCell ref="B164:C164"/>
    <mergeCell ref="B167:C167"/>
    <mergeCell ref="B237:C237"/>
    <mergeCell ref="AF280:AJ280"/>
    <mergeCell ref="B144:C144"/>
    <mergeCell ref="B149:C149"/>
    <mergeCell ref="B152:C152"/>
    <mergeCell ref="B155:C155"/>
    <mergeCell ref="B158:C158"/>
    <mergeCell ref="B161:C161"/>
    <mergeCell ref="B108:C108"/>
    <mergeCell ref="B113:C113"/>
    <mergeCell ref="B118:C118"/>
    <mergeCell ref="B127:C127"/>
    <mergeCell ref="B136:C136"/>
    <mergeCell ref="B140:C140"/>
    <mergeCell ref="B85:C85"/>
    <mergeCell ref="B86:C86"/>
    <mergeCell ref="B87:C87"/>
    <mergeCell ref="B92:C92"/>
    <mergeCell ref="B97:C97"/>
    <mergeCell ref="B102:C102"/>
    <mergeCell ref="B64:C64"/>
    <mergeCell ref="B80:C80"/>
    <mergeCell ref="B81:C81"/>
    <mergeCell ref="B82:C82"/>
    <mergeCell ref="B83:C83"/>
    <mergeCell ref="B84:C84"/>
    <mergeCell ref="C3:J3"/>
    <mergeCell ref="B23:C23"/>
    <mergeCell ref="B31:C31"/>
    <mergeCell ref="B43:C43"/>
    <mergeCell ref="B50:C50"/>
    <mergeCell ref="B57:C5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Материальная ведомость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safalex</dc:creator>
  <cp:lastModifiedBy>safalex</cp:lastModifiedBy>
  <dcterms:created xsi:type="dcterms:W3CDTF">2020-04-28T06:09:38Z</dcterms:created>
  <dcterms:modified xsi:type="dcterms:W3CDTF">2020-04-28T06:10:13Z</dcterms:modified>
</cp:coreProperties>
</file>