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280" windowHeight="7245"/>
  </bookViews>
  <sheets>
    <sheet name="Лечебный факультет" sheetId="1" r:id="rId1"/>
    <sheet name="Стоматологический факультет 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1" i="1"/>
  <c r="N81"/>
  <c r="A93" i="2"/>
  <c r="H75" i="1"/>
  <c r="R4"/>
  <c r="Q5" i="2"/>
  <c r="S5" i="1"/>
  <c r="R5"/>
  <c r="L39"/>
  <c r="L40"/>
  <c r="L41"/>
  <c r="L38"/>
  <c r="L37"/>
  <c r="J39"/>
  <c r="J40"/>
  <c r="J41"/>
  <c r="J38"/>
  <c r="J37"/>
  <c r="K41"/>
  <c r="K40"/>
  <c r="K39"/>
  <c r="K37"/>
  <c r="K38"/>
  <c r="I40"/>
  <c r="I39"/>
  <c r="I38"/>
  <c r="I41"/>
  <c r="I37"/>
  <c r="M30" i="2"/>
  <c r="L30"/>
  <c r="M30" i="1"/>
  <c r="M24"/>
  <c r="M25"/>
  <c r="M26"/>
  <c r="M27"/>
  <c r="M28"/>
  <c r="M29"/>
  <c r="M23"/>
  <c r="R3"/>
  <c r="O4" s="1"/>
  <c r="O5" s="1"/>
  <c r="P3"/>
  <c r="O3"/>
  <c r="I3"/>
  <c r="L26"/>
  <c r="L30" s="1"/>
  <c r="L29"/>
  <c r="L28"/>
  <c r="L27"/>
  <c r="L25"/>
  <c r="L24"/>
  <c r="L23"/>
  <c r="M24" i="2"/>
  <c r="M25"/>
  <c r="M26"/>
  <c r="M27"/>
  <c r="M28"/>
  <c r="M29"/>
  <c r="M23"/>
  <c r="L29"/>
  <c r="L28"/>
  <c r="L27"/>
  <c r="L26"/>
  <c r="L25"/>
  <c r="L24"/>
  <c r="L23"/>
  <c r="P4" i="1" l="1"/>
  <c r="P5" s="1"/>
  <c r="C94" i="2" l="1"/>
  <c r="C93"/>
  <c r="C91"/>
  <c r="C90"/>
  <c r="C177" i="1"/>
  <c r="C175"/>
  <c r="C174"/>
  <c r="F8" i="2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P6"/>
  <c r="P5"/>
  <c r="P4"/>
  <c r="P3"/>
  <c r="E4"/>
  <c r="E5" s="1"/>
  <c r="E3"/>
  <c r="N3"/>
  <c r="M3"/>
  <c r="L3"/>
  <c r="K3"/>
  <c r="J3"/>
  <c r="I3"/>
  <c r="H3"/>
  <c r="G3"/>
  <c r="F3"/>
  <c r="E4" i="1"/>
  <c r="E5" s="1"/>
  <c r="M3"/>
  <c r="F3"/>
  <c r="N3"/>
  <c r="L3"/>
  <c r="K3"/>
  <c r="J3"/>
  <c r="H3"/>
  <c r="G3"/>
  <c r="E3"/>
  <c r="C2" i="2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 i="1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N4" l="1"/>
  <c r="N4" i="2"/>
  <c r="N5" s="1"/>
  <c r="L4"/>
  <c r="L5" s="1"/>
  <c r="J4"/>
  <c r="J5" s="1"/>
  <c r="H4"/>
  <c r="H5" s="1"/>
  <c r="F4"/>
  <c r="F5" s="1"/>
  <c r="K4"/>
  <c r="K5" s="1"/>
  <c r="G4"/>
  <c r="G5" s="1"/>
  <c r="M4"/>
  <c r="M5" s="1"/>
  <c r="I4"/>
  <c r="I5" s="1"/>
  <c r="K4" i="1" l="1"/>
  <c r="K5" s="1"/>
  <c r="G4"/>
  <c r="G5" s="1"/>
  <c r="H4"/>
  <c r="H5" s="1"/>
  <c r="N5"/>
  <c r="J4"/>
  <c r="J5" s="1"/>
  <c r="M4"/>
  <c r="M5" s="1"/>
  <c r="I4"/>
  <c r="I5" s="1"/>
  <c r="L4"/>
  <c r="L5" s="1"/>
  <c r="F4"/>
  <c r="R6" l="1"/>
  <c r="C178" s="1"/>
  <c r="F5"/>
  <c r="F144" l="1"/>
  <c r="F168"/>
  <c r="F152"/>
  <c r="F136"/>
  <c r="F120"/>
  <c r="F104"/>
  <c r="F88"/>
  <c r="F72"/>
  <c r="F56"/>
  <c r="F40"/>
  <c r="F24"/>
  <c r="F8"/>
  <c r="F153"/>
  <c r="F137"/>
  <c r="F121"/>
  <c r="F105"/>
  <c r="F89"/>
  <c r="F73"/>
  <c r="F57"/>
  <c r="F41"/>
  <c r="F25"/>
  <c r="F9"/>
  <c r="F154"/>
  <c r="F138"/>
  <c r="F122"/>
  <c r="F106"/>
  <c r="F90"/>
  <c r="F74"/>
  <c r="F58"/>
  <c r="F42"/>
  <c r="F26"/>
  <c r="F10"/>
  <c r="F155"/>
  <c r="F139"/>
  <c r="F123"/>
  <c r="F107"/>
  <c r="F91"/>
  <c r="F75"/>
  <c r="F59"/>
  <c r="F43"/>
  <c r="F27"/>
  <c r="F11"/>
  <c r="F156"/>
  <c r="F108"/>
  <c r="F76"/>
  <c r="F60"/>
  <c r="F44"/>
  <c r="F28"/>
  <c r="F12"/>
  <c r="F157"/>
  <c r="F141"/>
  <c r="F125"/>
  <c r="F109"/>
  <c r="F93"/>
  <c r="F77"/>
  <c r="F61"/>
  <c r="F45"/>
  <c r="F29"/>
  <c r="F13"/>
  <c r="F158"/>
  <c r="F142"/>
  <c r="F126"/>
  <c r="F110"/>
  <c r="F94"/>
  <c r="F78"/>
  <c r="F62"/>
  <c r="F46"/>
  <c r="F30"/>
  <c r="F14"/>
  <c r="F159"/>
  <c r="F143"/>
  <c r="F127"/>
  <c r="F111"/>
  <c r="F95"/>
  <c r="F79"/>
  <c r="F63"/>
  <c r="F47"/>
  <c r="F31"/>
  <c r="F15"/>
  <c r="F128"/>
  <c r="F64"/>
  <c r="F16"/>
  <c r="F113"/>
  <c r="F81"/>
  <c r="F65"/>
  <c r="F49"/>
  <c r="F33"/>
  <c r="F17"/>
  <c r="F162"/>
  <c r="F146"/>
  <c r="F130"/>
  <c r="F114"/>
  <c r="F98"/>
  <c r="F82"/>
  <c r="F66"/>
  <c r="F50"/>
  <c r="F34"/>
  <c r="F18"/>
  <c r="F163"/>
  <c r="F147"/>
  <c r="F131"/>
  <c r="F115"/>
  <c r="F99"/>
  <c r="F83"/>
  <c r="F67"/>
  <c r="F51"/>
  <c r="F35"/>
  <c r="F19"/>
  <c r="F140"/>
  <c r="F124"/>
  <c r="F92"/>
  <c r="F160"/>
  <c r="F112"/>
  <c r="F96"/>
  <c r="F80"/>
  <c r="F48"/>
  <c r="F32"/>
  <c r="F161"/>
  <c r="F145"/>
  <c r="F129"/>
  <c r="F97"/>
  <c r="F164"/>
  <c r="F148"/>
  <c r="F132"/>
  <c r="F116"/>
  <c r="F100"/>
  <c r="F84"/>
  <c r="F68"/>
  <c r="F52"/>
  <c r="F36"/>
  <c r="F20"/>
  <c r="F165"/>
  <c r="F149"/>
  <c r="F133"/>
  <c r="F117"/>
  <c r="F101"/>
  <c r="F85"/>
  <c r="F69"/>
  <c r="F53"/>
  <c r="F37"/>
  <c r="F21"/>
  <c r="F166"/>
  <c r="F150"/>
  <c r="F134"/>
  <c r="F118"/>
  <c r="F102"/>
  <c r="F86"/>
  <c r="F70"/>
  <c r="F54"/>
  <c r="F38"/>
  <c r="F22"/>
  <c r="F167"/>
  <c r="F151"/>
  <c r="F135"/>
  <c r="F119"/>
  <c r="F103"/>
  <c r="F87"/>
  <c r="F71"/>
  <c r="F55"/>
  <c r="F39"/>
  <c r="F23"/>
</calcChain>
</file>

<file path=xl/sharedStrings.xml><?xml version="1.0" encoding="utf-8"?>
<sst xmlns="http://schemas.openxmlformats.org/spreadsheetml/2006/main" count="90" uniqueCount="54">
  <si>
    <t xml:space="preserve">рост </t>
  </si>
  <si>
    <t>масса</t>
  </si>
  <si>
    <t>рост</t>
  </si>
  <si>
    <t>имт</t>
  </si>
  <si>
    <t>15-17</t>
  </si>
  <si>
    <t>17-19</t>
  </si>
  <si>
    <t>19-21</t>
  </si>
  <si>
    <t>21-23</t>
  </si>
  <si>
    <t>23-25</t>
  </si>
  <si>
    <t>25-27</t>
  </si>
  <si>
    <t>27-29</t>
  </si>
  <si>
    <t>29-31</t>
  </si>
  <si>
    <t>31-33</t>
  </si>
  <si>
    <t>33-35</t>
  </si>
  <si>
    <r>
      <rPr>
        <sz val="11"/>
        <color theme="1"/>
        <rFont val="Calibri"/>
        <family val="2"/>
        <charset val="204"/>
      </rPr>
      <t>Σ</t>
    </r>
    <r>
      <rPr>
        <sz val="11"/>
        <color theme="1"/>
        <rFont val="Calibri"/>
        <family val="2"/>
      </rPr>
      <t>=</t>
    </r>
  </si>
  <si>
    <t>a=</t>
  </si>
  <si>
    <t>D=</t>
  </si>
  <si>
    <t>б=</t>
  </si>
  <si>
    <t>min</t>
  </si>
  <si>
    <t>max</t>
  </si>
  <si>
    <t>ср.зн.</t>
  </si>
  <si>
    <t>ДИ</t>
  </si>
  <si>
    <t>Экспериментальные данные pi/Δx</t>
  </si>
  <si>
    <t>Теоретическая кривая Гаусса f(x)</t>
  </si>
  <si>
    <t>16 и менее</t>
  </si>
  <si>
    <t>Выраженный дефицит массы тела</t>
  </si>
  <si>
    <t>16–18,5</t>
  </si>
  <si>
    <t>Недостаточная (дефицит) масса тела</t>
  </si>
  <si>
    <t>18,5–24,99</t>
  </si>
  <si>
    <t>Норма</t>
  </si>
  <si>
    <t>25–30</t>
  </si>
  <si>
    <t>Избыточная масса тела (предожирение)</t>
  </si>
  <si>
    <t>30–35</t>
  </si>
  <si>
    <t>Ожирение первой степени</t>
  </si>
  <si>
    <t>35–40</t>
  </si>
  <si>
    <t>Ожирение второй степени</t>
  </si>
  <si>
    <t>40 и более</t>
  </si>
  <si>
    <t>Ожирение третьей степени</t>
  </si>
  <si>
    <t>35-37</t>
  </si>
  <si>
    <t>37-39</t>
  </si>
  <si>
    <t>Min</t>
  </si>
  <si>
    <t>Q1</t>
  </si>
  <si>
    <t>Med</t>
  </si>
  <si>
    <t>Q3</t>
  </si>
  <si>
    <t>Max</t>
  </si>
  <si>
    <t>Лечебный факультет</t>
  </si>
  <si>
    <t>Стоматологический факультет</t>
  </si>
  <si>
    <t>t</t>
  </si>
  <si>
    <t>&lt;2</t>
  </si>
  <si>
    <t>Сравнение с 2016/17 уч.г.</t>
  </si>
  <si>
    <t>ИМТ лечебного ф.</t>
  </si>
  <si>
    <t>ИМТ стоматологического ф.</t>
  </si>
  <si>
    <t>2016/17 уч.г.</t>
  </si>
  <si>
    <t>2017/18 уч.г.</t>
  </si>
</sst>
</file>

<file path=xl/styles.xml><?xml version="1.0" encoding="utf-8"?>
<styleSheet xmlns="http://schemas.openxmlformats.org/spreadsheetml/2006/main">
  <numFmts count="2">
    <numFmt numFmtId="164" formatCode="0.000000000000000000000"/>
    <numFmt numFmtId="165" formatCode="0.0000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8"/>
      <color rgb="FF252525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  <border>
      <left style="medium">
        <color theme="1"/>
      </left>
      <right style="medium">
        <color theme="1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NumberFormat="1" applyFont="1" applyFill="1" applyBorder="1" applyAlignment="1">
      <alignment horizontal="center" shrinkToFit="1"/>
    </xf>
    <xf numFmtId="0" fontId="1" fillId="3" borderId="1" xfId="0" applyFont="1" applyFill="1" applyBorder="1" applyAlignment="1">
      <alignment horizontal="center" shrinkToFit="1"/>
    </xf>
    <xf numFmtId="0" fontId="1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6" borderId="1" xfId="0" applyFont="1" applyFill="1" applyBorder="1"/>
    <xf numFmtId="1" fontId="7" fillId="6" borderId="1" xfId="0" applyNumberFormat="1" applyFont="1" applyFill="1" applyBorder="1"/>
    <xf numFmtId="0" fontId="0" fillId="6" borderId="1" xfId="0" applyFill="1" applyBorder="1"/>
    <xf numFmtId="0" fontId="0" fillId="6" borderId="1" xfId="0" applyNumberFormat="1" applyFill="1" applyBorder="1"/>
    <xf numFmtId="0" fontId="3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4" fontId="0" fillId="0" borderId="0" xfId="0" applyNumberFormat="1"/>
    <xf numFmtId="0" fontId="4" fillId="0" borderId="1" xfId="0" applyFont="1" applyBorder="1" applyAlignment="1">
      <alignment horizontal="center"/>
    </xf>
    <xf numFmtId="165" fontId="0" fillId="0" borderId="1" xfId="1" applyNumberFormat="1" applyFont="1" applyBorder="1"/>
    <xf numFmtId="165" fontId="0" fillId="0" borderId="2" xfId="1" applyNumberFormat="1" applyFont="1" applyBorder="1"/>
    <xf numFmtId="0" fontId="8" fillId="7" borderId="3" xfId="0" applyFont="1" applyFill="1" applyBorder="1" applyAlignment="1">
      <alignment horizontal="justify" wrapText="1"/>
    </xf>
    <xf numFmtId="0" fontId="8" fillId="7" borderId="3" xfId="0" applyFont="1" applyFill="1" applyBorder="1" applyAlignment="1">
      <alignment horizontal="left"/>
    </xf>
    <xf numFmtId="0" fontId="8" fillId="7" borderId="4" xfId="0" applyFont="1" applyFill="1" applyBorder="1" applyAlignment="1">
      <alignment horizontal="justify" wrapText="1"/>
    </xf>
    <xf numFmtId="0" fontId="8" fillId="7" borderId="4" xfId="0" applyFont="1" applyFill="1" applyBorder="1" applyAlignment="1">
      <alignment horizontal="left"/>
    </xf>
    <xf numFmtId="10" fontId="0" fillId="0" borderId="0" xfId="0" applyNumberFormat="1"/>
    <xf numFmtId="0" fontId="0" fillId="0" borderId="5" xfId="0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4"/>
  <c:chart>
    <c:plotArea>
      <c:layout/>
      <c:barChart>
        <c:barDir val="col"/>
        <c:grouping val="clustered"/>
        <c:ser>
          <c:idx val="1"/>
          <c:order val="0"/>
          <c:spPr>
            <a:gradFill rotWithShape="1">
              <a:gsLst>
                <a:gs pos="0">
                  <a:schemeClr val="accent2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'Лечебный факультет'!$E$1:$P$1</c:f>
              <c:numCache>
                <c:formatCode>General</c:formatCode>
                <c:ptCount val="12"/>
                <c:pt idx="0">
                  <c:v>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32</c:v>
                </c:pt>
                <c:pt idx="9">
                  <c:v>34</c:v>
                </c:pt>
                <c:pt idx="10">
                  <c:v>36</c:v>
                </c:pt>
                <c:pt idx="11">
                  <c:v>38</c:v>
                </c:pt>
              </c:numCache>
            </c:numRef>
          </c:cat>
          <c:val>
            <c:numRef>
              <c:f>'Лечебный факультет'!$E$3:$P$3</c:f>
              <c:numCache>
                <c:formatCode>General</c:formatCode>
                <c:ptCount val="12"/>
                <c:pt idx="0">
                  <c:v>4</c:v>
                </c:pt>
                <c:pt idx="1">
                  <c:v>32</c:v>
                </c:pt>
                <c:pt idx="2">
                  <c:v>51</c:v>
                </c:pt>
                <c:pt idx="3">
                  <c:v>39</c:v>
                </c:pt>
                <c:pt idx="4">
                  <c:v>16</c:v>
                </c:pt>
                <c:pt idx="5">
                  <c:v>13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</c:ser>
        <c:gapWidth val="100"/>
        <c:overlap val="-24"/>
        <c:axId val="71308416"/>
        <c:axId val="71310336"/>
      </c:barChart>
      <c:catAx>
        <c:axId val="71308416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b="1">
                    <a:solidFill>
                      <a:sysClr val="windowText" lastClr="000000"/>
                    </a:solidFill>
                  </a:rPr>
                  <a:t>Индекс массы тела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310336"/>
        <c:crosses val="autoZero"/>
        <c:auto val="1"/>
        <c:lblAlgn val="ctr"/>
        <c:lblOffset val="100"/>
      </c:catAx>
      <c:valAx>
        <c:axId val="713103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b="1">
                    <a:solidFill>
                      <a:sysClr val="windowText" lastClr="000000"/>
                    </a:solidFill>
                  </a:rPr>
                  <a:t>Частота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30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900" b="0" i="0" baseline="0"/>
              <a:t>Индекс массы, лечебный факультет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550218722659672"/>
          <c:y val="5.1400554097404488E-2"/>
          <c:w val="0.80070056867891515"/>
          <c:h val="0.79822506561679785"/>
        </c:manualLayout>
      </c:layout>
      <c:scatterChart>
        <c:scatterStyle val="lineMarker"/>
        <c:ser>
          <c:idx val="0"/>
          <c:order val="0"/>
          <c:tx>
            <c:strRef>
              <c:f>'Лечебный факультет'!$D$5</c:f>
              <c:strCache>
                <c:ptCount val="1"/>
                <c:pt idx="0">
                  <c:v>Экспериментальные данные pi/Δx</c:v>
                </c:pt>
              </c:strCache>
            </c:strRef>
          </c:tx>
          <c:spPr>
            <a:ln w="19050">
              <a:noFill/>
            </a:ln>
          </c:spPr>
          <c:xVal>
            <c:numRef>
              <c:f>'Лечебный факультет'!$E$1:$P$1</c:f>
              <c:numCache>
                <c:formatCode>General</c:formatCode>
                <c:ptCount val="12"/>
                <c:pt idx="0">
                  <c:v>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32</c:v>
                </c:pt>
                <c:pt idx="9">
                  <c:v>34</c:v>
                </c:pt>
                <c:pt idx="10">
                  <c:v>36</c:v>
                </c:pt>
                <c:pt idx="11">
                  <c:v>38</c:v>
                </c:pt>
              </c:numCache>
            </c:numRef>
          </c:xVal>
          <c:yVal>
            <c:numRef>
              <c:f>'Лечебный факультет'!$E$5:$P$5</c:f>
              <c:numCache>
                <c:formatCode>0.00000</c:formatCode>
                <c:ptCount val="12"/>
                <c:pt idx="0">
                  <c:v>1.1695906432748537E-2</c:v>
                </c:pt>
                <c:pt idx="1">
                  <c:v>9.3567251461988299E-2</c:v>
                </c:pt>
                <c:pt idx="2">
                  <c:v>0.14912280701754385</c:v>
                </c:pt>
                <c:pt idx="3">
                  <c:v>0.11403508771929824</c:v>
                </c:pt>
                <c:pt idx="4">
                  <c:v>4.6783625730994149E-2</c:v>
                </c:pt>
                <c:pt idx="5">
                  <c:v>3.8011695906432746E-2</c:v>
                </c:pt>
                <c:pt idx="6">
                  <c:v>1.4619883040935672E-2</c:v>
                </c:pt>
                <c:pt idx="7">
                  <c:v>1.4619883040935672E-2</c:v>
                </c:pt>
                <c:pt idx="8">
                  <c:v>2.9239766081871343E-3</c:v>
                </c:pt>
                <c:pt idx="9">
                  <c:v>2.9239766081871343E-3</c:v>
                </c:pt>
                <c:pt idx="10">
                  <c:v>5.8479532163742687E-3</c:v>
                </c:pt>
                <c:pt idx="11">
                  <c:v>5.8479532163742687E-3</c:v>
                </c:pt>
              </c:numCache>
            </c:numRef>
          </c:yVal>
        </c:ser>
        <c:ser>
          <c:idx val="1"/>
          <c:order val="1"/>
          <c:tx>
            <c:strRef>
              <c:f>'Лечебный факультет'!$F$7</c:f>
              <c:strCache>
                <c:ptCount val="1"/>
                <c:pt idx="0">
                  <c:v>Теоретическая кривая Гаусса f(x)</c:v>
                </c:pt>
              </c:strCache>
            </c:strRef>
          </c:tx>
          <c:spPr>
            <a:ln w="19050">
              <a:solidFill>
                <a:srgbClr val="5B9BD5"/>
              </a:solidFill>
            </a:ln>
          </c:spPr>
          <c:marker>
            <c:symbol val="none"/>
          </c:marker>
          <c:xVal>
            <c:numRef>
              <c:f>'Лечебный факультет'!$E$8:$E$168</c:f>
              <c:numCache>
                <c:formatCode>General</c:formatCode>
                <c:ptCount val="16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</c:numCache>
            </c:numRef>
          </c:xVal>
          <c:yVal>
            <c:numRef>
              <c:f>'Лечебный факультет'!$F$8:$F$168</c:f>
              <c:numCache>
                <c:formatCode>General</c:formatCode>
                <c:ptCount val="161"/>
                <c:pt idx="0">
                  <c:v>3.87385484976728E-8</c:v>
                </c:pt>
                <c:pt idx="1">
                  <c:v>5.4154005714726409E-8</c:v>
                </c:pt>
                <c:pt idx="2">
                  <c:v>7.5413149346211627E-8</c:v>
                </c:pt>
                <c:pt idx="3">
                  <c:v>1.0461472510023384E-7</c:v>
                </c:pt>
                <c:pt idx="4">
                  <c:v>1.445665468457815E-7</c:v>
                </c:pt>
                <c:pt idx="5">
                  <c:v>1.990086922018267E-7</c:v>
                </c:pt>
                <c:pt idx="6">
                  <c:v>2.7290125502652242E-7</c:v>
                </c:pt>
                <c:pt idx="7">
                  <c:v>3.7279344648278707E-7</c:v>
                </c:pt>
                <c:pt idx="8">
                  <c:v>5.0729461726029551E-7</c:v>
                </c:pt>
                <c:pt idx="9">
                  <c:v>6.8767223236469423E-7</c:v>
                </c:pt>
                <c:pt idx="10">
                  <c:v>9.2860703876607164E-7</c:v>
                </c:pt>
                <c:pt idx="11">
                  <c:v>1.2491416902483008E-6</c:v>
                </c:pt>
                <c:pt idx="12">
                  <c:v>1.6738659853472798E-6</c:v>
                </c:pt>
                <c:pt idx="13">
                  <c:v>2.2343896656443945E-6</c:v>
                </c:pt>
                <c:pt idx="14">
                  <c:v>2.9711624165126295E-6</c:v>
                </c:pt>
                <c:pt idx="15">
                  <c:v>3.9357102753325133E-6</c:v>
                </c:pt>
                <c:pt idx="16">
                  <c:v>5.1933679970815243E-6</c:v>
                </c:pt>
                <c:pt idx="17">
                  <c:v>6.8265979040600199E-6</c:v>
                </c:pt>
                <c:pt idx="18">
                  <c:v>8.938997127327101E-6</c:v>
                </c:pt>
                <c:pt idx="19">
                  <c:v>1.1660106611394262E-5</c:v>
                </c:pt>
                <c:pt idx="20">
                  <c:v>1.5151146372651795E-5</c:v>
                </c:pt>
                <c:pt idx="21">
                  <c:v>1.9611811726522809E-5</c:v>
                </c:pt>
                <c:pt idx="22">
                  <c:v>2.5288273846251193E-5</c:v>
                </c:pt>
                <c:pt idx="23">
                  <c:v>3.2482534264119665E-5</c:v>
                </c:pt>
                <c:pt idx="24">
                  <c:v>4.1563285805615321E-5</c:v>
                </c:pt>
                <c:pt idx="25">
                  <c:v>5.2978430848725796E-5</c:v>
                </c:pt>
                <c:pt idx="26">
                  <c:v>6.7269400483842699E-5</c:v>
                </c:pt>
                <c:pt idx="27">
                  <c:v>8.5087403765340939E-5</c:v>
                </c:pt>
                <c:pt idx="28">
                  <c:v>1.0721171336875992E-4</c:v>
                </c:pt>
                <c:pt idx="29">
                  <c:v>1.3457006114353423E-4</c:v>
                </c:pt>
                <c:pt idx="30">
                  <c:v>1.6826117285839338E-4</c:v>
                </c:pt>
                <c:pt idx="31">
                  <c:v>2.0957941456116976E-4</c:v>
                </c:pt>
                <c:pt idx="32">
                  <c:v>2.6004145230247702E-4</c:v>
                </c:pt>
                <c:pt idx="33">
                  <c:v>3.214147416934108E-4</c:v>
                </c:pt>
                <c:pt idx="34">
                  <c:v>3.9574756349141044E-4</c:v>
                </c:pt>
                <c:pt idx="35">
                  <c:v>4.8540020629069604E-4</c:v>
                </c:pt>
                <c:pt idx="36">
                  <c:v>5.9307676826125518E-4</c:v>
                </c:pt>
                <c:pt idx="37">
                  <c:v>7.2185690835598081E-4</c:v>
                </c:pt>
                <c:pt idx="38">
                  <c:v>8.7522672602105762E-4</c:v>
                </c:pt>
                <c:pt idx="39">
                  <c:v>1.0571077907339098E-3</c:v>
                </c:pt>
                <c:pt idx="40">
                  <c:v>1.2718831832557354E-3</c:v>
                </c:pt>
                <c:pt idx="41">
                  <c:v>1.5244192550112928E-3</c:v>
                </c:pt>
                <c:pt idx="42">
                  <c:v>1.8200816672506248E-3</c:v>
                </c:pt>
                <c:pt idx="43">
                  <c:v>2.1647441453372237E-3</c:v>
                </c:pt>
                <c:pt idx="44">
                  <c:v>2.5647882842020401E-3</c:v>
                </c:pt>
                <c:pt idx="45">
                  <c:v>3.0270926778588805E-3</c:v>
                </c:pt>
                <c:pt idx="46">
                  <c:v>3.5590096283477255E-3</c:v>
                </c:pt>
                <c:pt idx="47">
                  <c:v>4.1683277269325379E-3</c:v>
                </c:pt>
                <c:pt idx="48">
                  <c:v>4.8632187016783533E-3</c:v>
                </c:pt>
                <c:pt idx="49">
                  <c:v>5.652167098490069E-3</c:v>
                </c:pt>
                <c:pt idx="50">
                  <c:v>6.5438816135608693E-3</c:v>
                </c:pt>
                <c:pt idx="51">
                  <c:v>7.547187228063708E-3</c:v>
                </c:pt>
                <c:pt idx="52">
                  <c:v>8.6708977122435735E-3</c:v>
                </c:pt>
                <c:pt idx="53">
                  <c:v>9.9236685640396154E-3</c:v>
                </c:pt>
                <c:pt idx="54">
                  <c:v>1.1313831021537355E-2</c:v>
                </c:pt>
                <c:pt idx="55">
                  <c:v>1.2849208429482907E-2</c:v>
                </c:pt>
                <c:pt idx="56">
                  <c:v>1.4536916934161207E-2</c:v>
                </c:pt>
                <c:pt idx="57">
                  <c:v>1.6383153210326629E-2</c:v>
                </c:pt>
                <c:pt idx="58">
                  <c:v>1.8392972666745205E-2</c:v>
                </c:pt>
                <c:pt idx="59">
                  <c:v>2.057006230783192E-2</c:v>
                </c:pt>
                <c:pt idx="60">
                  <c:v>2.2916513119461496E-2</c:v>
                </c:pt>
                <c:pt idx="61">
                  <c:v>2.5432597466837108E-2</c:v>
                </c:pt>
                <c:pt idx="62">
                  <c:v>2.811655750987847E-2</c:v>
                </c:pt>
                <c:pt idx="63">
                  <c:v>3.0964411025792938E-2</c:v>
                </c:pt>
                <c:pt idx="64">
                  <c:v>3.3969781249895331E-2</c:v>
                </c:pt>
                <c:pt idx="65">
                  <c:v>3.7123757378138389E-2</c:v>
                </c:pt>
                <c:pt idx="66">
                  <c:v>4.0414792196748144E-2</c:v>
                </c:pt>
                <c:pt idx="67">
                  <c:v>4.382864290056452E-2</c:v>
                </c:pt>
                <c:pt idx="68">
                  <c:v>4.7348360524425148E-2</c:v>
                </c:pt>
                <c:pt idx="69">
                  <c:v>5.0954332542047918E-2</c:v>
                </c:pt>
                <c:pt idx="70">
                  <c:v>5.4624382094592007E-2</c:v>
                </c:pt>
                <c:pt idx="71">
                  <c:v>5.8333926016403331E-2</c:v>
                </c:pt>
                <c:pt idx="72">
                  <c:v>6.2056192358113833E-2</c:v>
                </c:pt>
                <c:pt idx="73">
                  <c:v>6.5762496506238638E-2</c:v>
                </c:pt>
                <c:pt idx="74">
                  <c:v>6.9422573310934058E-2</c:v>
                </c:pt>
                <c:pt idx="75">
                  <c:v>7.3004960913683928E-2</c:v>
                </c:pt>
                <c:pt idx="76">
                  <c:v>7.6477430273358016E-2</c:v>
                </c:pt>
                <c:pt idx="77">
                  <c:v>7.9807452784015367E-2</c:v>
                </c:pt>
                <c:pt idx="78">
                  <c:v>8.2962696922897608E-2</c:v>
                </c:pt>
                <c:pt idx="79">
                  <c:v>8.591154362169369E-2</c:v>
                </c:pt>
                <c:pt idx="80">
                  <c:v>8.8623609072628298E-2</c:v>
                </c:pt>
                <c:pt idx="81">
                  <c:v>9.1070263009750907E-2</c:v>
                </c:pt>
                <c:pt idx="82">
                  <c:v>9.3225130181410584E-2</c:v>
                </c:pt>
                <c:pt idx="83">
                  <c:v>9.5064562776639328E-2</c:v>
                </c:pt>
                <c:pt idx="84">
                  <c:v>9.6568071996819133E-2</c:v>
                </c:pt>
                <c:pt idx="85">
                  <c:v>9.7718707770871049E-2</c:v>
                </c:pt>
                <c:pt idx="86">
                  <c:v>9.8503376778824675E-2</c:v>
                </c:pt>
                <c:pt idx="87">
                  <c:v>9.8913090442206572E-2</c:v>
                </c:pt>
                <c:pt idx="88">
                  <c:v>9.8943136314164029E-2</c:v>
                </c:pt>
                <c:pt idx="89">
                  <c:v>9.8593168300015771E-2</c:v>
                </c:pt>
                <c:pt idx="90">
                  <c:v>9.7867213293117594E-2</c:v>
                </c:pt>
                <c:pt idx="91">
                  <c:v>9.6773594048144701E-2</c:v>
                </c:pt>
                <c:pt idx="92">
                  <c:v>9.5324770357228777E-2</c:v>
                </c:pt>
                <c:pt idx="93">
                  <c:v>9.3537102766700603E-2</c:v>
                </c:pt>
                <c:pt idx="94">
                  <c:v>9.1430545099308938E-2</c:v>
                </c:pt>
                <c:pt idx="95">
                  <c:v>8.9028273860619206E-2</c:v>
                </c:pt>
                <c:pt idx="96">
                  <c:v>8.6356264149609743E-2</c:v>
                </c:pt>
                <c:pt idx="97">
                  <c:v>8.3442822914265191E-2</c:v>
                </c:pt>
                <c:pt idx="98">
                  <c:v>8.031809125823762E-2</c:v>
                </c:pt>
                <c:pt idx="99">
                  <c:v>7.7013527993639155E-2</c:v>
                </c:pt>
                <c:pt idx="100">
                  <c:v>7.3561386741719276E-2</c:v>
                </c:pt>
                <c:pt idx="101">
                  <c:v>6.9994198616099762E-2</c:v>
                </c:pt>
                <c:pt idx="102">
                  <c:v>6.6344271904688723E-2</c:v>
                </c:pt>
                <c:pt idx="103">
                  <c:v>6.264321923100849E-2</c:v>
                </c:pt>
                <c:pt idx="104">
                  <c:v>5.892152146852829E-2</c:v>
                </c:pt>
                <c:pt idx="105">
                  <c:v>5.5208136255903498E-2</c:v>
                </c:pt>
                <c:pt idx="106">
                  <c:v>5.1530157375576278E-2</c:v>
                </c:pt>
                <c:pt idx="107">
                  <c:v>4.7912529574666601E-2</c:v>
                </c:pt>
                <c:pt idx="108">
                  <c:v>4.4377821687364115E-2</c:v>
                </c:pt>
                <c:pt idx="109">
                  <c:v>4.0946059221687911E-2</c:v>
                </c:pt>
                <c:pt idx="110">
                  <c:v>3.7634615955471372E-2</c:v>
                </c:pt>
                <c:pt idx="111">
                  <c:v>3.445816259516632E-2</c:v>
                </c:pt>
                <c:pt idx="112">
                  <c:v>3.1428669226902725E-2</c:v>
                </c:pt>
                <c:pt idx="113">
                  <c:v>2.8555457163424166E-2</c:v>
                </c:pt>
                <c:pt idx="114">
                  <c:v>2.5845294884595058E-2</c:v>
                </c:pt>
                <c:pt idx="115">
                  <c:v>2.3302532094893032E-2</c:v>
                </c:pt>
                <c:pt idx="116">
                  <c:v>2.0929265480949259E-2</c:v>
                </c:pt>
                <c:pt idx="117">
                  <c:v>1.8725529539326369E-2</c:v>
                </c:pt>
                <c:pt idx="118">
                  <c:v>1.6689505845173442E-2</c:v>
                </c:pt>
                <c:pt idx="119">
                  <c:v>1.4817744325594412E-2</c:v>
                </c:pt>
                <c:pt idx="120">
                  <c:v>1.3105390461955224E-2</c:v>
                </c:pt>
                <c:pt idx="121">
                  <c:v>1.1546412843916389E-2</c:v>
                </c:pt>
                <c:pt idx="122">
                  <c:v>1.0133826103741148E-2</c:v>
                </c:pt>
                <c:pt idx="123">
                  <c:v>8.8599049409110262E-3</c:v>
                </c:pt>
                <c:pt idx="124">
                  <c:v>7.7163856735889772E-3</c:v>
                </c:pt>
                <c:pt idx="125">
                  <c:v>6.6946524962300264E-3</c:v>
                </c:pt>
                <c:pt idx="126">
                  <c:v>5.7859063557047187E-3</c:v>
                </c:pt>
                <c:pt idx="127">
                  <c:v>4.9813150592380321E-3</c:v>
                </c:pt>
                <c:pt idx="128">
                  <c:v>4.2721438778025953E-3</c:v>
                </c:pt>
                <c:pt idx="129">
                  <c:v>3.6498664940508084E-3</c:v>
                </c:pt>
                <c:pt idx="130">
                  <c:v>3.1062566543345067E-3</c:v>
                </c:pt>
                <c:pt idx="131">
                  <c:v>2.6334613137850367E-3</c:v>
                </c:pt>
                <c:pt idx="132">
                  <c:v>2.2240564094687431E-3</c:v>
                </c:pt>
                <c:pt idx="133">
                  <c:v>1.8710866602382518E-3</c:v>
                </c:pt>
                <c:pt idx="134">
                  <c:v>1.5680909767914685E-3</c:v>
                </c:pt>
                <c:pt idx="135">
                  <c:v>1.3091151775769258E-3</c:v>
                </c:pt>
                <c:pt idx="136">
                  <c:v>1.0887137531556742E-3</c:v>
                </c:pt>
                <c:pt idx="137">
                  <c:v>9.019424121680668E-4</c:v>
                </c:pt>
                <c:pt idx="138">
                  <c:v>7.4434308548102315E-4</c:v>
                </c:pt>
                <c:pt idx="139">
                  <c:v>6.1192297087555767E-4</c:v>
                </c:pt>
                <c:pt idx="140">
                  <c:v>5.0112907800088007E-4</c:v>
                </c:pt>
                <c:pt idx="141">
                  <c:v>4.0881959093876856E-4</c:v>
                </c:pt>
                <c:pt idx="142">
                  <c:v>3.3223321146426898E-4</c:v>
                </c:pt>
                <c:pt idx="143">
                  <c:v>2.6895748687103042E-4</c:v>
                </c:pt>
                <c:pt idx="144">
                  <c:v>2.1689696791251124E-4</c:v>
                </c:pt>
                <c:pt idx="145">
                  <c:v>1.7424188976517373E-4</c:v>
                </c:pt>
                <c:pt idx="146">
                  <c:v>1.3943792564549861E-4</c:v>
                </c:pt>
                <c:pt idx="147">
                  <c:v>1.1115743149363557E-4</c:v>
                </c:pt>
                <c:pt idx="148">
                  <c:v>8.8272482731957541E-5</c:v>
                </c:pt>
                <c:pt idx="149">
                  <c:v>6.9829901461306709E-5</c:v>
                </c:pt>
                <c:pt idx="150">
                  <c:v>5.502838482393015E-5</c:v>
                </c:pt>
                <c:pt idx="151">
                  <c:v>4.3197772327951999E-5</c:v>
                </c:pt>
                <c:pt idx="152">
                  <c:v>3.3780430941971227E-5</c:v>
                </c:pt>
                <c:pt idx="153">
                  <c:v>2.6314690656409605E-5</c:v>
                </c:pt>
                <c:pt idx="154">
                  <c:v>2.0420228681913078E-5</c:v>
                </c:pt>
                <c:pt idx="155">
                  <c:v>1.5785276104059299E-5</c:v>
                </c:pt>
                <c:pt idx="156">
                  <c:v>1.2155505184367144E-5</c:v>
                </c:pt>
                <c:pt idx="157">
                  <c:v>9.3244471570509388E-6</c:v>
                </c:pt>
                <c:pt idx="158">
                  <c:v>7.1252879552928276E-6</c:v>
                </c:pt>
                <c:pt idx="159">
                  <c:v>5.423891550781586E-6</c:v>
                </c:pt>
                <c:pt idx="160">
                  <c:v>4.1129063744150136E-6</c:v>
                </c:pt>
              </c:numCache>
            </c:numRef>
          </c:yVal>
        </c:ser>
        <c:axId val="72624000"/>
        <c:axId val="72625536"/>
      </c:scatterChart>
      <c:valAx>
        <c:axId val="72624000"/>
        <c:scaling>
          <c:orientation val="minMax"/>
        </c:scaling>
        <c:axPos val="b"/>
        <c:numFmt formatCode="General" sourceLinked="1"/>
        <c:tickLblPos val="nextTo"/>
        <c:crossAx val="72625536"/>
        <c:crosses val="autoZero"/>
        <c:crossBetween val="midCat"/>
      </c:valAx>
      <c:valAx>
        <c:axId val="72625536"/>
        <c:scaling>
          <c:orientation val="minMax"/>
        </c:scaling>
        <c:axPos val="l"/>
        <c:numFmt formatCode="0.00000" sourceLinked="1"/>
        <c:tickLblPos val="nextTo"/>
        <c:crossAx val="726240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7305686789151364"/>
          <c:y val="4.5912438028579812E-2"/>
          <c:w val="0.32694313210848641"/>
          <c:h val="0.27931321084864413"/>
        </c:manualLayout>
      </c:layout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Lbls>
            <c:dLbl>
              <c:idx val="6"/>
              <c:delete val="1"/>
            </c:dLbl>
            <c:showVal val="1"/>
            <c:showLeaderLines val="1"/>
          </c:dLbls>
          <c:cat>
            <c:strRef>
              <c:f>'Лечебный факультет'!$I$23:$I$29</c:f>
              <c:strCache>
                <c:ptCount val="7"/>
                <c:pt idx="0">
                  <c:v>Выраженный дефицит массы тела</c:v>
                </c:pt>
                <c:pt idx="1">
                  <c:v>Недостаточная (дефицит) масса тела</c:v>
                </c:pt>
                <c:pt idx="2">
                  <c:v>Норма</c:v>
                </c:pt>
                <c:pt idx="3">
                  <c:v>Избыточная масса тела (предожирение)</c:v>
                </c:pt>
                <c:pt idx="4">
                  <c:v>Ожирение первой степени</c:v>
                </c:pt>
                <c:pt idx="5">
                  <c:v>Ожирение второй степени</c:v>
                </c:pt>
                <c:pt idx="6">
                  <c:v>Ожирение третьей степени</c:v>
                </c:pt>
              </c:strCache>
            </c:strRef>
          </c:cat>
          <c:val>
            <c:numRef>
              <c:f>'Лечебный факультет'!$M$23:$M$29</c:f>
              <c:numCache>
                <c:formatCode>0.00%</c:formatCode>
                <c:ptCount val="7"/>
                <c:pt idx="0">
                  <c:v>1.1695906432748537E-2</c:v>
                </c:pt>
                <c:pt idx="1">
                  <c:v>0.11695906432748537</c:v>
                </c:pt>
                <c:pt idx="2">
                  <c:v>0.69590643274853803</c:v>
                </c:pt>
                <c:pt idx="3">
                  <c:v>0.12280701754385964</c:v>
                </c:pt>
                <c:pt idx="4">
                  <c:v>2.9239766081871343E-2</c:v>
                </c:pt>
                <c:pt idx="5">
                  <c:v>2.3391812865497075E-2</c:v>
                </c:pt>
                <c:pt idx="6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stacked"/>
        <c:ser>
          <c:idx val="0"/>
          <c:order val="0"/>
          <c:spPr>
            <a:noFill/>
          </c:spPr>
          <c:val>
            <c:numRef>
              <c:f>('Лечебный факультет'!$J$37,'Лечебный факультет'!$L$37)</c:f>
              <c:numCache>
                <c:formatCode>General</c:formatCode>
                <c:ptCount val="2"/>
                <c:pt idx="0">
                  <c:v>15.615704937537183</c:v>
                </c:pt>
                <c:pt idx="1">
                  <c:v>15.570934256055365</c:v>
                </c:pt>
              </c:numCache>
            </c:numRef>
          </c:val>
        </c:ser>
        <c:ser>
          <c:idx val="1"/>
          <c:order val="1"/>
          <c:spPr>
            <a:noFill/>
          </c:spPr>
          <c:errBars>
            <c:errBarType val="minus"/>
            <c:errValType val="cust"/>
            <c:plus>
              <c:numRef>
                <c:f>('Лечебный факультет'!$J$38,'Лечебный факультет'!$L$38)</c:f>
                <c:numCache>
                  <c:formatCode>General</c:formatCode>
                  <c:ptCount val="2"/>
                  <c:pt idx="0">
                    <c:v>3.718024985127899</c:v>
                  </c:pt>
                  <c:pt idx="1">
                    <c:v>3.764827724653939</c:v>
                  </c:pt>
                </c:numCache>
              </c:numRef>
            </c:plus>
            <c:minus>
              <c:numRef>
                <c:f>('Лечебный факультет'!$J$38,'Лечебный факультет'!$L$38)</c:f>
                <c:numCache>
                  <c:formatCode>General</c:formatCode>
                  <c:ptCount val="2"/>
                  <c:pt idx="0">
                    <c:v>3.718024985127899</c:v>
                  </c:pt>
                  <c:pt idx="1">
                    <c:v>3.764827724653939</c:v>
                  </c:pt>
                </c:numCache>
              </c:numRef>
            </c:minus>
          </c:errBars>
          <c:val>
            <c:numRef>
              <c:f>('Лечебный факультет'!$J$38,'Лечебный факультет'!$L$38)</c:f>
              <c:numCache>
                <c:formatCode>General</c:formatCode>
                <c:ptCount val="2"/>
                <c:pt idx="0">
                  <c:v>3.718024985127899</c:v>
                </c:pt>
                <c:pt idx="1">
                  <c:v>3.764827724653939</c:v>
                </c:pt>
              </c:numCache>
            </c:numRef>
          </c:val>
        </c:ser>
        <c:ser>
          <c:idx val="2"/>
          <c:order val="2"/>
          <c:tx>
            <c:strRef>
              <c:f>'Лечебный факультет'!$L$36</c:f>
              <c:strCache>
                <c:ptCount val="1"/>
                <c:pt idx="0">
                  <c:v>Стоматологический факультет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dPt>
            <c:idx val="0"/>
            <c:spPr>
              <a:solidFill>
                <a:srgbClr val="FFC000"/>
              </a:solidFill>
              <a:ln>
                <a:solidFill>
                  <a:prstClr val="black"/>
                </a:solidFill>
              </a:ln>
            </c:spPr>
          </c:dPt>
          <c:val>
            <c:numRef>
              <c:f>('Лечебный факультет'!$J$39,'Лечебный факультет'!$L$39)</c:f>
              <c:numCache>
                <c:formatCode>General</c:formatCode>
                <c:ptCount val="2"/>
                <c:pt idx="0">
                  <c:v>1.623544279606417</c:v>
                </c:pt>
                <c:pt idx="1">
                  <c:v>1.3217780213914665</c:v>
                </c:pt>
              </c:numCache>
            </c:numRef>
          </c:val>
        </c:ser>
        <c:ser>
          <c:idx val="3"/>
          <c:order val="3"/>
          <c:tx>
            <c:strRef>
              <c:f>'Лечебный факультет'!$J$36</c:f>
              <c:strCache>
                <c:ptCount val="1"/>
                <c:pt idx="0">
                  <c:v>Лечебный факультет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1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dPt>
          <c:errBars>
            <c:errBarType val="plus"/>
            <c:errValType val="cust"/>
            <c:plus>
              <c:numRef>
                <c:f>('Лечебный факультет'!$J$41,'Лечебный факультет'!$L$41)</c:f>
                <c:numCache>
                  <c:formatCode>General</c:formatCode>
                  <c:ptCount val="2"/>
                  <c:pt idx="0">
                    <c:v>15.41050883498287</c:v>
                  </c:pt>
                  <c:pt idx="1">
                    <c:v>10.069789446059712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val>
            <c:numRef>
              <c:f>('Лечебный факультет'!$J$40,'Лечебный факультет'!$L$40)</c:f>
              <c:numCache>
                <c:formatCode>General</c:formatCode>
                <c:ptCount val="2"/>
                <c:pt idx="0">
                  <c:v>2.2005149905031161</c:v>
                </c:pt>
                <c:pt idx="1">
                  <c:v>2.1446428701786218</c:v>
                </c:pt>
              </c:numCache>
            </c:numRef>
          </c:val>
        </c:ser>
        <c:ser>
          <c:idx val="4"/>
          <c:order val="4"/>
          <c:spPr>
            <a:noFill/>
          </c:spPr>
          <c:val>
            <c:numRef>
              <c:f>('Лечебный факультет'!$J$41,'Лечебный факультет'!$L$41)</c:f>
              <c:numCache>
                <c:formatCode>General</c:formatCode>
                <c:ptCount val="2"/>
                <c:pt idx="0">
                  <c:v>15.41050883498287</c:v>
                </c:pt>
                <c:pt idx="1">
                  <c:v>10.069789446059712</c:v>
                </c:pt>
              </c:numCache>
            </c:numRef>
          </c:val>
        </c:ser>
        <c:overlap val="100"/>
        <c:axId val="73336704"/>
        <c:axId val="73338240"/>
      </c:barChart>
      <c:catAx>
        <c:axId val="73336704"/>
        <c:scaling>
          <c:orientation val="minMax"/>
        </c:scaling>
        <c:delete val="1"/>
        <c:axPos val="l"/>
        <c:tickLblPos val="none"/>
        <c:crossAx val="73338240"/>
        <c:crosses val="autoZero"/>
        <c:auto val="1"/>
        <c:lblAlgn val="ctr"/>
        <c:lblOffset val="100"/>
      </c:catAx>
      <c:valAx>
        <c:axId val="7333824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Индекс массы тела</a:t>
                </a:r>
              </a:p>
            </c:rich>
          </c:tx>
          <c:layout/>
        </c:title>
        <c:numFmt formatCode="General" sourceLinked="1"/>
        <c:tickLblPos val="nextTo"/>
        <c:crossAx val="73336704"/>
        <c:crosses val="autoZero"/>
        <c:crossBetween val="between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9044575678040265"/>
          <c:y val="0.30015820939049315"/>
          <c:w val="0.29288757655293113"/>
          <c:h val="0.27931321084864413"/>
        </c:manualLayout>
      </c:layout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0.10550218722659672"/>
          <c:y val="5.1400554097404488E-2"/>
          <c:w val="0.80070056867891515"/>
          <c:h val="0.79822506561679785"/>
        </c:manualLayout>
      </c:layout>
      <c:scatterChart>
        <c:scatterStyle val="lineMarker"/>
        <c:ser>
          <c:idx val="1"/>
          <c:order val="0"/>
          <c:tx>
            <c:strRef>
              <c:f>'Лечебный факультет'!$J$36</c:f>
              <c:strCache>
                <c:ptCount val="1"/>
                <c:pt idx="0">
                  <c:v>Лечебный факультет</c:v>
                </c:pt>
              </c:strCache>
            </c:strRef>
          </c:tx>
          <c:spPr>
            <a:ln w="19050">
              <a:solidFill>
                <a:srgbClr val="5B9BD5"/>
              </a:solidFill>
            </a:ln>
          </c:spPr>
          <c:marker>
            <c:symbol val="none"/>
          </c:marker>
          <c:xVal>
            <c:numRef>
              <c:f>'Лечебный факультет'!$E$8:$E$168</c:f>
              <c:numCache>
                <c:formatCode>General</c:formatCode>
                <c:ptCount val="16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</c:numCache>
            </c:numRef>
          </c:xVal>
          <c:yVal>
            <c:numRef>
              <c:f>'Лечебный факультет'!$F$8:$F$168</c:f>
              <c:numCache>
                <c:formatCode>General</c:formatCode>
                <c:ptCount val="161"/>
                <c:pt idx="0">
                  <c:v>3.87385484976728E-8</c:v>
                </c:pt>
                <c:pt idx="1">
                  <c:v>5.4154005714726409E-8</c:v>
                </c:pt>
                <c:pt idx="2">
                  <c:v>7.5413149346211627E-8</c:v>
                </c:pt>
                <c:pt idx="3">
                  <c:v>1.0461472510023384E-7</c:v>
                </c:pt>
                <c:pt idx="4">
                  <c:v>1.445665468457815E-7</c:v>
                </c:pt>
                <c:pt idx="5">
                  <c:v>1.990086922018267E-7</c:v>
                </c:pt>
                <c:pt idx="6">
                  <c:v>2.7290125502652242E-7</c:v>
                </c:pt>
                <c:pt idx="7">
                  <c:v>3.7279344648278707E-7</c:v>
                </c:pt>
                <c:pt idx="8">
                  <c:v>5.0729461726029551E-7</c:v>
                </c:pt>
                <c:pt idx="9">
                  <c:v>6.8767223236469423E-7</c:v>
                </c:pt>
                <c:pt idx="10">
                  <c:v>9.2860703876607164E-7</c:v>
                </c:pt>
                <c:pt idx="11">
                  <c:v>1.2491416902483008E-6</c:v>
                </c:pt>
                <c:pt idx="12">
                  <c:v>1.6738659853472798E-6</c:v>
                </c:pt>
                <c:pt idx="13">
                  <c:v>2.2343896656443945E-6</c:v>
                </c:pt>
                <c:pt idx="14">
                  <c:v>2.9711624165126295E-6</c:v>
                </c:pt>
                <c:pt idx="15">
                  <c:v>3.9357102753325133E-6</c:v>
                </c:pt>
                <c:pt idx="16">
                  <c:v>5.1933679970815243E-6</c:v>
                </c:pt>
                <c:pt idx="17">
                  <c:v>6.8265979040600199E-6</c:v>
                </c:pt>
                <c:pt idx="18">
                  <c:v>8.938997127327101E-6</c:v>
                </c:pt>
                <c:pt idx="19">
                  <c:v>1.1660106611394262E-5</c:v>
                </c:pt>
                <c:pt idx="20">
                  <c:v>1.5151146372651795E-5</c:v>
                </c:pt>
                <c:pt idx="21">
                  <c:v>1.9611811726522809E-5</c:v>
                </c:pt>
                <c:pt idx="22">
                  <c:v>2.5288273846251193E-5</c:v>
                </c:pt>
                <c:pt idx="23">
                  <c:v>3.2482534264119665E-5</c:v>
                </c:pt>
                <c:pt idx="24">
                  <c:v>4.1563285805615321E-5</c:v>
                </c:pt>
                <c:pt idx="25">
                  <c:v>5.2978430848725796E-5</c:v>
                </c:pt>
                <c:pt idx="26">
                  <c:v>6.7269400483842699E-5</c:v>
                </c:pt>
                <c:pt idx="27">
                  <c:v>8.5087403765340939E-5</c:v>
                </c:pt>
                <c:pt idx="28">
                  <c:v>1.0721171336875992E-4</c:v>
                </c:pt>
                <c:pt idx="29">
                  <c:v>1.3457006114353423E-4</c:v>
                </c:pt>
                <c:pt idx="30">
                  <c:v>1.6826117285839338E-4</c:v>
                </c:pt>
                <c:pt idx="31">
                  <c:v>2.0957941456116976E-4</c:v>
                </c:pt>
                <c:pt idx="32">
                  <c:v>2.6004145230247702E-4</c:v>
                </c:pt>
                <c:pt idx="33">
                  <c:v>3.214147416934108E-4</c:v>
                </c:pt>
                <c:pt idx="34">
                  <c:v>3.9574756349141044E-4</c:v>
                </c:pt>
                <c:pt idx="35">
                  <c:v>4.8540020629069604E-4</c:v>
                </c:pt>
                <c:pt idx="36">
                  <c:v>5.9307676826125518E-4</c:v>
                </c:pt>
                <c:pt idx="37">
                  <c:v>7.2185690835598081E-4</c:v>
                </c:pt>
                <c:pt idx="38">
                  <c:v>8.7522672602105762E-4</c:v>
                </c:pt>
                <c:pt idx="39">
                  <c:v>1.0571077907339098E-3</c:v>
                </c:pt>
                <c:pt idx="40">
                  <c:v>1.2718831832557354E-3</c:v>
                </c:pt>
                <c:pt idx="41">
                  <c:v>1.5244192550112928E-3</c:v>
                </c:pt>
                <c:pt idx="42">
                  <c:v>1.8200816672506248E-3</c:v>
                </c:pt>
                <c:pt idx="43">
                  <c:v>2.1647441453372237E-3</c:v>
                </c:pt>
                <c:pt idx="44">
                  <c:v>2.5647882842020401E-3</c:v>
                </c:pt>
                <c:pt idx="45">
                  <c:v>3.0270926778588805E-3</c:v>
                </c:pt>
                <c:pt idx="46">
                  <c:v>3.5590096283477255E-3</c:v>
                </c:pt>
                <c:pt idx="47">
                  <c:v>4.1683277269325379E-3</c:v>
                </c:pt>
                <c:pt idx="48">
                  <c:v>4.8632187016783533E-3</c:v>
                </c:pt>
                <c:pt idx="49">
                  <c:v>5.652167098490069E-3</c:v>
                </c:pt>
                <c:pt idx="50">
                  <c:v>6.5438816135608693E-3</c:v>
                </c:pt>
                <c:pt idx="51">
                  <c:v>7.547187228063708E-3</c:v>
                </c:pt>
                <c:pt idx="52">
                  <c:v>8.6708977122435735E-3</c:v>
                </c:pt>
                <c:pt idx="53">
                  <c:v>9.9236685640396154E-3</c:v>
                </c:pt>
                <c:pt idx="54">
                  <c:v>1.1313831021537355E-2</c:v>
                </c:pt>
                <c:pt idx="55">
                  <c:v>1.2849208429482907E-2</c:v>
                </c:pt>
                <c:pt idx="56">
                  <c:v>1.4536916934161207E-2</c:v>
                </c:pt>
                <c:pt idx="57">
                  <c:v>1.6383153210326629E-2</c:v>
                </c:pt>
                <c:pt idx="58">
                  <c:v>1.8392972666745205E-2</c:v>
                </c:pt>
                <c:pt idx="59">
                  <c:v>2.057006230783192E-2</c:v>
                </c:pt>
                <c:pt idx="60">
                  <c:v>2.2916513119461496E-2</c:v>
                </c:pt>
                <c:pt idx="61">
                  <c:v>2.5432597466837108E-2</c:v>
                </c:pt>
                <c:pt idx="62">
                  <c:v>2.811655750987847E-2</c:v>
                </c:pt>
                <c:pt idx="63">
                  <c:v>3.0964411025792938E-2</c:v>
                </c:pt>
                <c:pt idx="64">
                  <c:v>3.3969781249895331E-2</c:v>
                </c:pt>
                <c:pt idx="65">
                  <c:v>3.7123757378138389E-2</c:v>
                </c:pt>
                <c:pt idx="66">
                  <c:v>4.0414792196748144E-2</c:v>
                </c:pt>
                <c:pt idx="67">
                  <c:v>4.382864290056452E-2</c:v>
                </c:pt>
                <c:pt idx="68">
                  <c:v>4.7348360524425148E-2</c:v>
                </c:pt>
                <c:pt idx="69">
                  <c:v>5.0954332542047918E-2</c:v>
                </c:pt>
                <c:pt idx="70">
                  <c:v>5.4624382094592007E-2</c:v>
                </c:pt>
                <c:pt idx="71">
                  <c:v>5.8333926016403331E-2</c:v>
                </c:pt>
                <c:pt idx="72">
                  <c:v>6.2056192358113833E-2</c:v>
                </c:pt>
                <c:pt idx="73">
                  <c:v>6.5762496506238638E-2</c:v>
                </c:pt>
                <c:pt idx="74">
                  <c:v>6.9422573310934058E-2</c:v>
                </c:pt>
                <c:pt idx="75">
                  <c:v>7.3004960913683928E-2</c:v>
                </c:pt>
                <c:pt idx="76">
                  <c:v>7.6477430273358016E-2</c:v>
                </c:pt>
                <c:pt idx="77">
                  <c:v>7.9807452784015367E-2</c:v>
                </c:pt>
                <c:pt idx="78">
                  <c:v>8.2962696922897608E-2</c:v>
                </c:pt>
                <c:pt idx="79">
                  <c:v>8.591154362169369E-2</c:v>
                </c:pt>
                <c:pt idx="80">
                  <c:v>8.8623609072628298E-2</c:v>
                </c:pt>
                <c:pt idx="81">
                  <c:v>9.1070263009750907E-2</c:v>
                </c:pt>
                <c:pt idx="82">
                  <c:v>9.3225130181410584E-2</c:v>
                </c:pt>
                <c:pt idx="83">
                  <c:v>9.5064562776639328E-2</c:v>
                </c:pt>
                <c:pt idx="84">
                  <c:v>9.6568071996819133E-2</c:v>
                </c:pt>
                <c:pt idx="85">
                  <c:v>9.7718707770871049E-2</c:v>
                </c:pt>
                <c:pt idx="86">
                  <c:v>9.8503376778824675E-2</c:v>
                </c:pt>
                <c:pt idx="87">
                  <c:v>9.8913090442206572E-2</c:v>
                </c:pt>
                <c:pt idx="88">
                  <c:v>9.8943136314164029E-2</c:v>
                </c:pt>
                <c:pt idx="89">
                  <c:v>9.8593168300015771E-2</c:v>
                </c:pt>
                <c:pt idx="90">
                  <c:v>9.7867213293117594E-2</c:v>
                </c:pt>
                <c:pt idx="91">
                  <c:v>9.6773594048144701E-2</c:v>
                </c:pt>
                <c:pt idx="92">
                  <c:v>9.5324770357228777E-2</c:v>
                </c:pt>
                <c:pt idx="93">
                  <c:v>9.3537102766700603E-2</c:v>
                </c:pt>
                <c:pt idx="94">
                  <c:v>9.1430545099308938E-2</c:v>
                </c:pt>
                <c:pt idx="95">
                  <c:v>8.9028273860619206E-2</c:v>
                </c:pt>
                <c:pt idx="96">
                  <c:v>8.6356264149609743E-2</c:v>
                </c:pt>
                <c:pt idx="97">
                  <c:v>8.3442822914265191E-2</c:v>
                </c:pt>
                <c:pt idx="98">
                  <c:v>8.031809125823762E-2</c:v>
                </c:pt>
                <c:pt idx="99">
                  <c:v>7.7013527993639155E-2</c:v>
                </c:pt>
                <c:pt idx="100">
                  <c:v>7.3561386741719276E-2</c:v>
                </c:pt>
                <c:pt idx="101">
                  <c:v>6.9994198616099762E-2</c:v>
                </c:pt>
                <c:pt idx="102">
                  <c:v>6.6344271904688723E-2</c:v>
                </c:pt>
                <c:pt idx="103">
                  <c:v>6.264321923100849E-2</c:v>
                </c:pt>
                <c:pt idx="104">
                  <c:v>5.892152146852829E-2</c:v>
                </c:pt>
                <c:pt idx="105">
                  <c:v>5.5208136255903498E-2</c:v>
                </c:pt>
                <c:pt idx="106">
                  <c:v>5.1530157375576278E-2</c:v>
                </c:pt>
                <c:pt idx="107">
                  <c:v>4.7912529574666601E-2</c:v>
                </c:pt>
                <c:pt idx="108">
                  <c:v>4.4377821687364115E-2</c:v>
                </c:pt>
                <c:pt idx="109">
                  <c:v>4.0946059221687911E-2</c:v>
                </c:pt>
                <c:pt idx="110">
                  <c:v>3.7634615955471372E-2</c:v>
                </c:pt>
                <c:pt idx="111">
                  <c:v>3.445816259516632E-2</c:v>
                </c:pt>
                <c:pt idx="112">
                  <c:v>3.1428669226902725E-2</c:v>
                </c:pt>
                <c:pt idx="113">
                  <c:v>2.8555457163424166E-2</c:v>
                </c:pt>
                <c:pt idx="114">
                  <c:v>2.5845294884595058E-2</c:v>
                </c:pt>
                <c:pt idx="115">
                  <c:v>2.3302532094893032E-2</c:v>
                </c:pt>
                <c:pt idx="116">
                  <c:v>2.0929265480949259E-2</c:v>
                </c:pt>
                <c:pt idx="117">
                  <c:v>1.8725529539326369E-2</c:v>
                </c:pt>
                <c:pt idx="118">
                  <c:v>1.6689505845173442E-2</c:v>
                </c:pt>
                <c:pt idx="119">
                  <c:v>1.4817744325594412E-2</c:v>
                </c:pt>
                <c:pt idx="120">
                  <c:v>1.3105390461955224E-2</c:v>
                </c:pt>
                <c:pt idx="121">
                  <c:v>1.1546412843916389E-2</c:v>
                </c:pt>
                <c:pt idx="122">
                  <c:v>1.0133826103741148E-2</c:v>
                </c:pt>
                <c:pt idx="123">
                  <c:v>8.8599049409110262E-3</c:v>
                </c:pt>
                <c:pt idx="124">
                  <c:v>7.7163856735889772E-3</c:v>
                </c:pt>
                <c:pt idx="125">
                  <c:v>6.6946524962300264E-3</c:v>
                </c:pt>
                <c:pt idx="126">
                  <c:v>5.7859063557047187E-3</c:v>
                </c:pt>
                <c:pt idx="127">
                  <c:v>4.9813150592380321E-3</c:v>
                </c:pt>
                <c:pt idx="128">
                  <c:v>4.2721438778025953E-3</c:v>
                </c:pt>
                <c:pt idx="129">
                  <c:v>3.6498664940508084E-3</c:v>
                </c:pt>
                <c:pt idx="130">
                  <c:v>3.1062566543345067E-3</c:v>
                </c:pt>
                <c:pt idx="131">
                  <c:v>2.6334613137850367E-3</c:v>
                </c:pt>
                <c:pt idx="132">
                  <c:v>2.2240564094687431E-3</c:v>
                </c:pt>
                <c:pt idx="133">
                  <c:v>1.8710866602382518E-3</c:v>
                </c:pt>
                <c:pt idx="134">
                  <c:v>1.5680909767914685E-3</c:v>
                </c:pt>
                <c:pt idx="135">
                  <c:v>1.3091151775769258E-3</c:v>
                </c:pt>
                <c:pt idx="136">
                  <c:v>1.0887137531556742E-3</c:v>
                </c:pt>
                <c:pt idx="137">
                  <c:v>9.019424121680668E-4</c:v>
                </c:pt>
                <c:pt idx="138">
                  <c:v>7.4434308548102315E-4</c:v>
                </c:pt>
                <c:pt idx="139">
                  <c:v>6.1192297087555767E-4</c:v>
                </c:pt>
                <c:pt idx="140">
                  <c:v>5.0112907800088007E-4</c:v>
                </c:pt>
                <c:pt idx="141">
                  <c:v>4.0881959093876856E-4</c:v>
                </c:pt>
                <c:pt idx="142">
                  <c:v>3.3223321146426898E-4</c:v>
                </c:pt>
                <c:pt idx="143">
                  <c:v>2.6895748687103042E-4</c:v>
                </c:pt>
                <c:pt idx="144">
                  <c:v>2.1689696791251124E-4</c:v>
                </c:pt>
                <c:pt idx="145">
                  <c:v>1.7424188976517373E-4</c:v>
                </c:pt>
                <c:pt idx="146">
                  <c:v>1.3943792564549861E-4</c:v>
                </c:pt>
                <c:pt idx="147">
                  <c:v>1.1115743149363557E-4</c:v>
                </c:pt>
                <c:pt idx="148">
                  <c:v>8.8272482731957541E-5</c:v>
                </c:pt>
                <c:pt idx="149">
                  <c:v>6.9829901461306709E-5</c:v>
                </c:pt>
                <c:pt idx="150">
                  <c:v>5.502838482393015E-5</c:v>
                </c:pt>
                <c:pt idx="151">
                  <c:v>4.3197772327951999E-5</c:v>
                </c:pt>
                <c:pt idx="152">
                  <c:v>3.3780430941971227E-5</c:v>
                </c:pt>
                <c:pt idx="153">
                  <c:v>2.6314690656409605E-5</c:v>
                </c:pt>
                <c:pt idx="154">
                  <c:v>2.0420228681913078E-5</c:v>
                </c:pt>
                <c:pt idx="155">
                  <c:v>1.5785276104059299E-5</c:v>
                </c:pt>
                <c:pt idx="156">
                  <c:v>1.2155505184367144E-5</c:v>
                </c:pt>
                <c:pt idx="157">
                  <c:v>9.3244471570509388E-6</c:v>
                </c:pt>
                <c:pt idx="158">
                  <c:v>7.1252879552928276E-6</c:v>
                </c:pt>
                <c:pt idx="159">
                  <c:v>5.423891550781586E-6</c:v>
                </c:pt>
                <c:pt idx="160">
                  <c:v>4.1129063744150136E-6</c:v>
                </c:pt>
              </c:numCache>
            </c:numRef>
          </c:yVal>
        </c:ser>
        <c:ser>
          <c:idx val="0"/>
          <c:order val="1"/>
          <c:tx>
            <c:strRef>
              <c:f>'Лечебный факультет'!$L$36</c:f>
              <c:strCache>
                <c:ptCount val="1"/>
                <c:pt idx="0">
                  <c:v>Стоматологический факультет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'Стоматологический факультет '!$E$8:$E$168</c:f>
              <c:numCache>
                <c:formatCode>General</c:formatCode>
                <c:ptCount val="16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</c:numCache>
            </c:numRef>
          </c:xVal>
          <c:yVal>
            <c:numRef>
              <c:f>'Стоматологический факультет '!$F$8:$F$168</c:f>
              <c:numCache>
                <c:formatCode>General</c:formatCode>
                <c:ptCount val="161"/>
                <c:pt idx="0">
                  <c:v>3.5672976612342797E-13</c:v>
                </c:pt>
                <c:pt idx="1">
                  <c:v>6.6874673173986701E-13</c:v>
                </c:pt>
                <c:pt idx="2">
                  <c:v>1.244318571138449E-12</c:v>
                </c:pt>
                <c:pt idx="3">
                  <c:v>2.2979950036292942E-12</c:v>
                </c:pt>
                <c:pt idx="4">
                  <c:v>4.2122502442565991E-12</c:v>
                </c:pt>
                <c:pt idx="5">
                  <c:v>7.6634942353265851E-12</c:v>
                </c:pt>
                <c:pt idx="6">
                  <c:v>1.3838438652828674E-11</c:v>
                </c:pt>
                <c:pt idx="7">
                  <c:v>2.4802470253302151E-11</c:v>
                </c:pt>
                <c:pt idx="8">
                  <c:v>4.4121510177178647E-11</c:v>
                </c:pt>
                <c:pt idx="9">
                  <c:v>7.7902857363755258E-11</c:v>
                </c:pt>
                <c:pt idx="10">
                  <c:v>1.3652242454634485E-10</c:v>
                </c:pt>
                <c:pt idx="11">
                  <c:v>2.3746640882160557E-10</c:v>
                </c:pt>
                <c:pt idx="12">
                  <c:v>4.0996611597606407E-10</c:v>
                </c:pt>
                <c:pt idx="13">
                  <c:v>7.0249191321010903E-10</c:v>
                </c:pt>
                <c:pt idx="14">
                  <c:v>1.1947644226270782E-9</c:v>
                </c:pt>
                <c:pt idx="15">
                  <c:v>2.0168370984138424E-9</c:v>
                </c:pt>
                <c:pt idx="16">
                  <c:v>3.3791459320451823E-9</c:v>
                </c:pt>
                <c:pt idx="17">
                  <c:v>5.6194092349620197E-9</c:v>
                </c:pt>
                <c:pt idx="18">
                  <c:v>9.2751717638653401E-9</c:v>
                </c:pt>
                <c:pt idx="19">
                  <c:v>1.5195005018038824E-8</c:v>
                </c:pt>
                <c:pt idx="20">
                  <c:v>2.4707415663584796E-8</c:v>
                </c:pt>
                <c:pt idx="21">
                  <c:v>3.987506300274689E-8</c:v>
                </c:pt>
                <c:pt idx="22">
                  <c:v>6.3873840539402911E-8</c:v>
                </c:pt>
                <c:pt idx="23">
                  <c:v>1.0155288462103448E-7</c:v>
                </c:pt>
                <c:pt idx="24">
                  <c:v>1.602540763201187E-7</c:v>
                </c:pt>
                <c:pt idx="25">
                  <c:v>2.5099986816843791E-7</c:v>
                </c:pt>
                <c:pt idx="26">
                  <c:v>3.9019840364612718E-7</c:v>
                </c:pt>
                <c:pt idx="27">
                  <c:v>6.0206734161724131E-7</c:v>
                </c:pt>
                <c:pt idx="28">
                  <c:v>9.2204525819202012E-7</c:v>
                </c:pt>
                <c:pt idx="29">
                  <c:v>1.401544831661239E-6</c:v>
                </c:pt>
                <c:pt idx="30">
                  <c:v>2.1145080194955145E-6</c:v>
                </c:pt>
                <c:pt idx="31">
                  <c:v>3.1663525288986313E-6</c:v>
                </c:pt>
                <c:pt idx="32">
                  <c:v>4.7060526527590045E-6</c:v>
                </c:pt>
                <c:pt idx="33">
                  <c:v>6.9422761462761896E-6</c:v>
                </c:pt>
                <c:pt idx="34">
                  <c:v>1.0164700214760988E-5</c:v>
                </c:pt>
                <c:pt idx="35">
                  <c:v>1.4771848717096236E-5</c:v>
                </c:pt>
                <c:pt idx="36">
                  <c:v>2.1307020060799567E-5</c:v>
                </c:pt>
                <c:pt idx="37">
                  <c:v>3.0504096427966223E-5</c:v>
                </c:pt>
                <c:pt idx="38">
                  <c:v>4.3345219081113113E-5</c:v>
                </c:pt>
                <c:pt idx="39">
                  <c:v>6.1132453536286784E-5</c:v>
                </c:pt>
                <c:pt idx="40">
                  <c:v>8.5575616665256978E-5</c:v>
                </c:pt>
                <c:pt idx="41">
                  <c:v>1.1889835202627553E-4</c:v>
                </c:pt>
                <c:pt idx="42">
                  <c:v>1.6396427001480297E-4</c:v>
                </c:pt>
                <c:pt idx="43">
                  <c:v>2.244244612807679E-4</c:v>
                </c:pt>
                <c:pt idx="44">
                  <c:v>3.0488688960013334E-4</c:v>
                </c:pt>
                <c:pt idx="45">
                  <c:v>4.1110702205492925E-4</c:v>
                </c:pt>
                <c:pt idx="46">
                  <c:v>5.5019751817786931E-4</c:v>
                </c:pt>
                <c:pt idx="47">
                  <c:v>7.3085285191939683E-4</c:v>
                </c:pt>
                <c:pt idx="48">
                  <c:v>9.6358238417674352E-4</c:v>
                </c:pt>
                <c:pt idx="49">
                  <c:v>1.2609426789165867E-3</c:v>
                </c:pt>
                <c:pt idx="50">
                  <c:v>1.6377568478226621E-3</c:v>
                </c:pt>
                <c:pt idx="51">
                  <c:v>2.1113055550205477E-3</c:v>
                </c:pt>
                <c:pt idx="52">
                  <c:v>2.7014712103197972E-3</c:v>
                </c:pt>
                <c:pt idx="53">
                  <c:v>3.430814079664956E-3</c:v>
                </c:pt>
                <c:pt idx="54">
                  <c:v>4.3245568500426554E-3</c:v>
                </c:pt>
                <c:pt idx="55">
                  <c:v>5.4104529470298431E-3</c:v>
                </c:pt>
                <c:pt idx="56">
                  <c:v>6.7185139792731909E-3</c:v>
                </c:pt>
                <c:pt idx="57">
                  <c:v>8.2805734287874806E-3</c:v>
                </c:pt>
                <c:pt idx="58">
                  <c:v>1.0129667427889259E-2</c:v>
                </c:pt>
                <c:pt idx="59">
                  <c:v>1.2299219387230519E-2</c:v>
                </c:pt>
                <c:pt idx="60">
                  <c:v>1.4822023462819967E-2</c:v>
                </c:pt>
                <c:pt idx="61">
                  <c:v>1.7729032305041397E-2</c:v>
                </c:pt>
                <c:pt idx="62">
                  <c:v>2.1047966952354617E-2</c:v>
                </c:pt>
                <c:pt idx="63">
                  <c:v>2.4801780629421861E-2</c:v>
                </c:pt>
                <c:pt idx="64">
                  <c:v>2.9007022872592669E-2</c:v>
                </c:pt>
                <c:pt idx="65">
                  <c:v>3.3672164916634349E-2</c:v>
                </c:pt>
                <c:pt idx="66">
                  <c:v>3.8795960550369261E-2</c:v>
                </c:pt>
                <c:pt idx="67">
                  <c:v>4.4365927498505466E-2</c:v>
                </c:pt>
                <c:pt idx="68">
                  <c:v>5.0357041609824363E-2</c:v>
                </c:pt>
                <c:pt idx="69">
                  <c:v>5.6730738612951706E-2</c:v>
                </c:pt>
                <c:pt idx="70">
                  <c:v>6.3434315024801333E-2</c:v>
                </c:pt>
                <c:pt idx="71">
                  <c:v>7.0400810358728236E-2</c:v>
                </c:pt>
                <c:pt idx="72">
                  <c:v>7.7549436883645351E-2</c:v>
                </c:pt>
                <c:pt idx="73">
                  <c:v>8.4786601118452237E-2</c:v>
                </c:pt>
                <c:pt idx="74">
                  <c:v>9.2007533815009715E-2</c:v>
                </c:pt>
                <c:pt idx="75">
                  <c:v>9.9098513708561112E-2</c:v>
                </c:pt>
                <c:pt idx="76">
                  <c:v>0.10593963657695706</c:v>
                </c:pt>
                <c:pt idx="77">
                  <c:v>0.11240804728444924</c:v>
                </c:pt>
                <c:pt idx="78">
                  <c:v>0.11838152083521163</c:v>
                </c:pt>
                <c:pt idx="79">
                  <c:v>0.12374225139684798</c:v>
                </c:pt>
                <c:pt idx="80">
                  <c:v>0.12838068797541777</c:v>
                </c:pt>
                <c:pt idx="81">
                  <c:v>0.13219924376372963</c:v>
                </c:pt>
                <c:pt idx="82">
                  <c:v>0.13511570443152957</c:v>
                </c:pt>
                <c:pt idx="83">
                  <c:v>0.13706616938401681</c:v>
                </c:pt>
                <c:pt idx="84">
                  <c:v>0.1380073791210164</c:v>
                </c:pt>
                <c:pt idx="85">
                  <c:v>0.13791831033514149</c:v>
                </c:pt>
                <c:pt idx="86">
                  <c:v>0.13680095661234293</c:v>
                </c:pt>
                <c:pt idx="87">
                  <c:v>0.1346802542476557</c:v>
                </c:pt>
                <c:pt idx="88">
                  <c:v>0.13160315703125117</c:v>
                </c:pt>
                <c:pt idx="89">
                  <c:v>0.12763690794526816</c:v>
                </c:pt>
                <c:pt idx="90">
                  <c:v>0.12286659661137175</c:v>
                </c:pt>
                <c:pt idx="91">
                  <c:v>0.11739212637175349</c:v>
                </c:pt>
                <c:pt idx="92">
                  <c:v>0.11132474187224492</c:v>
                </c:pt>
                <c:pt idx="93">
                  <c:v>0.1047832853839699</c:v>
                </c:pt>
                <c:pt idx="94">
                  <c:v>9.7890357035157957E-2</c:v>
                </c:pt>
                <c:pt idx="95">
                  <c:v>9.0768550600003273E-2</c:v>
                </c:pt>
                <c:pt idx="96">
                  <c:v>8.3536923236552416E-2</c:v>
                </c:pt>
                <c:pt idx="97">
                  <c:v>7.6307835973419794E-2</c:v>
                </c:pt>
                <c:pt idx="98">
                  <c:v>6.9184273725284018E-2</c:v>
                </c:pt>
                <c:pt idx="99">
                  <c:v>6.2257721413786347E-2</c:v>
                </c:pt>
                <c:pt idx="100">
                  <c:v>5.5606638763425441E-2</c:v>
                </c:pt>
                <c:pt idx="101">
                  <c:v>4.9295542850621953E-2</c:v>
                </c:pt>
                <c:pt idx="102">
                  <c:v>4.3374676591644651E-2</c:v>
                </c:pt>
                <c:pt idx="103">
                  <c:v>3.788021476850386E-2</c:v>
                </c:pt>
                <c:pt idx="104">
                  <c:v>3.2834938146118431E-2</c:v>
                </c:pt>
                <c:pt idx="105">
                  <c:v>2.8249291445391671E-2</c:v>
                </c:pt>
                <c:pt idx="106">
                  <c:v>2.4122732604893202E-2</c:v>
                </c:pt>
                <c:pt idx="107">
                  <c:v>2.0445278616245111E-2</c:v>
                </c:pt>
                <c:pt idx="108">
                  <c:v>1.7199156589250246E-2</c:v>
                </c:pt>
                <c:pt idx="109">
                  <c:v>1.4360476634376316E-2</c:v>
                </c:pt>
                <c:pt idx="110">
                  <c:v>1.1900854504391704E-2</c:v>
                </c:pt>
                <c:pt idx="111">
                  <c:v>9.7889255068572874E-3</c:v>
                </c:pt>
                <c:pt idx="112">
                  <c:v>7.9917058098320001E-3</c:v>
                </c:pt>
                <c:pt idx="113">
                  <c:v>6.4757718543746066E-3</c:v>
                </c:pt>
                <c:pt idx="114">
                  <c:v>5.2082422743473097E-3</c:v>
                </c:pt>
                <c:pt idx="115">
                  <c:v>4.15755883345118E-3</c:v>
                </c:pt>
                <c:pt idx="116">
                  <c:v>3.2940729729317394E-3</c:v>
                </c:pt>
                <c:pt idx="117">
                  <c:v>2.5904523900569061E-3</c:v>
                </c:pt>
                <c:pt idx="118">
                  <c:v>2.0219276004630809E-3</c:v>
                </c:pt>
                <c:pt idx="119">
                  <c:v>1.5664017995787626E-3</c:v>
                </c:pt>
                <c:pt idx="120">
                  <c:v>1.2044487714994391E-3</c:v>
                </c:pt>
                <c:pt idx="121">
                  <c:v>9.192234171562614E-4</c:v>
                </c:pt>
                <c:pt idx="122">
                  <c:v>6.9630804467706747E-4</c:v>
                </c:pt>
                <c:pt idx="123">
                  <c:v>5.2351524484088845E-4</c:v>
                </c:pt>
                <c:pt idx="124">
                  <c:v>3.9066530204371805E-4</c:v>
                </c:pt>
                <c:pt idx="125">
                  <c:v>2.8935296292532324E-4</c:v>
                </c:pt>
                <c:pt idx="126">
                  <c:v>2.1271524415590975E-4</c:v>
                </c:pt>
                <c:pt idx="127">
                  <c:v>1.5520899334134421E-4</c:v>
                </c:pt>
                <c:pt idx="128">
                  <c:v>1.1240425114390991E-4</c:v>
                </c:pt>
                <c:pt idx="129">
                  <c:v>8.0797175298971579E-5</c:v>
                </c:pt>
                <c:pt idx="130">
                  <c:v>5.7644411013987682E-5</c:v>
                </c:pt>
                <c:pt idx="131">
                  <c:v>4.0819325217659724E-5</c:v>
                </c:pt>
                <c:pt idx="132">
                  <c:v>2.8689436819607608E-5</c:v>
                </c:pt>
                <c:pt idx="133">
                  <c:v>2.0013627475900533E-5</c:v>
                </c:pt>
                <c:pt idx="134">
                  <c:v>1.3857254313681816E-5</c:v>
                </c:pt>
                <c:pt idx="135">
                  <c:v>9.5230518699634772E-6</c:v>
                </c:pt>
                <c:pt idx="136">
                  <c:v>6.49565124214456E-6</c:v>
                </c:pt>
                <c:pt idx="137">
                  <c:v>4.3976112537453095E-6</c:v>
                </c:pt>
                <c:pt idx="138">
                  <c:v>2.9550073019711591E-6</c:v>
                </c:pt>
                <c:pt idx="139">
                  <c:v>1.9708241177964202E-6</c:v>
                </c:pt>
                <c:pt idx="140">
                  <c:v>1.3046222019384315E-6</c:v>
                </c:pt>
                <c:pt idx="141">
                  <c:v>8.5717451157853366E-7</c:v>
                </c:pt>
                <c:pt idx="142">
                  <c:v>5.5898649959243116E-7</c:v>
                </c:pt>
                <c:pt idx="143">
                  <c:v>3.618103418774265E-7</c:v>
                </c:pt>
                <c:pt idx="144">
                  <c:v>2.3243858375788543E-7</c:v>
                </c:pt>
                <c:pt idx="145">
                  <c:v>1.4821189212780264E-7</c:v>
                </c:pt>
                <c:pt idx="146">
                  <c:v>9.3800568294556728E-8</c:v>
                </c:pt>
                <c:pt idx="147">
                  <c:v>5.8921727919811903E-8</c:v>
                </c:pt>
                <c:pt idx="148">
                  <c:v>3.6736101469614523E-8</c:v>
                </c:pt>
                <c:pt idx="149">
                  <c:v>2.2733078124528498E-8</c:v>
                </c:pt>
                <c:pt idx="150">
                  <c:v>1.3962751531307465E-8</c:v>
                </c:pt>
                <c:pt idx="151">
                  <c:v>8.5119950415675451E-9</c:v>
                </c:pt>
                <c:pt idx="152">
                  <c:v>5.1503803335700038E-9</c:v>
                </c:pt>
                <c:pt idx="153">
                  <c:v>3.0931061673727796E-9</c:v>
                </c:pt>
                <c:pt idx="154">
                  <c:v>1.8437326210291968E-9</c:v>
                </c:pt>
                <c:pt idx="155">
                  <c:v>1.0908088160890934E-9</c:v>
                </c:pt>
                <c:pt idx="156">
                  <c:v>6.405409887058017E-10</c:v>
                </c:pt>
                <c:pt idx="157">
                  <c:v>3.7332992163939246E-10</c:v>
                </c:pt>
                <c:pt idx="158">
                  <c:v>2.159664349942005E-10</c:v>
                </c:pt>
                <c:pt idx="159">
                  <c:v>1.2400160499109726E-10</c:v>
                </c:pt>
                <c:pt idx="160">
                  <c:v>7.0666883748720364E-11</c:v>
                </c:pt>
              </c:numCache>
            </c:numRef>
          </c:yVal>
        </c:ser>
        <c:axId val="73376896"/>
        <c:axId val="73378816"/>
      </c:scatterChart>
      <c:valAx>
        <c:axId val="733768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Индекс массы тела</a:t>
                </a:r>
              </a:p>
            </c:rich>
          </c:tx>
          <c:layout/>
        </c:title>
        <c:numFmt formatCode="General" sourceLinked="1"/>
        <c:tickLblPos val="nextTo"/>
        <c:crossAx val="73378816"/>
        <c:crosses val="autoZero"/>
        <c:crossBetween val="midCat"/>
      </c:valAx>
      <c:valAx>
        <c:axId val="73378816"/>
        <c:scaling>
          <c:orientation val="minMax"/>
        </c:scaling>
        <c:axPos val="l"/>
        <c:numFmt formatCode="General" sourceLinked="1"/>
        <c:tickLblPos val="nextTo"/>
        <c:crossAx val="733768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7305686789151364"/>
          <c:y val="4.5912438028579826E-2"/>
          <c:w val="0.32694313210848641"/>
          <c:h val="0.27931321084864413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'Лечебный факультет'!$K$79:$M$79</c:f>
              <c:strCache>
                <c:ptCount val="1"/>
                <c:pt idx="0">
                  <c:v>ИМТ лечебного ф.</c:v>
                </c:pt>
              </c:strCache>
            </c:strRef>
          </c:tx>
          <c:errBars>
            <c:errBarType val="both"/>
            <c:errValType val="cust"/>
            <c:plus>
              <c:numRef>
                <c:f>'Лечебный факультет'!$Q$79</c:f>
                <c:numCache>
                  <c:formatCode>General</c:formatCode>
                  <c:ptCount val="1"/>
                  <c:pt idx="0">
                    <c:v>0.63</c:v>
                  </c:pt>
                </c:numCache>
              </c:numRef>
            </c:plus>
            <c:minus>
              <c:numRef>
                <c:f>'Лечебный факультет'!$Q$79</c:f>
                <c:numCache>
                  <c:formatCode>General</c:formatCode>
                  <c:ptCount val="1"/>
                  <c:pt idx="0">
                    <c:v>0.63</c:v>
                  </c:pt>
                </c:numCache>
              </c:numRef>
            </c:minus>
          </c:errBars>
          <c:cat>
            <c:strRef>
              <c:f>'Лечебный факультет'!$N$78:$O$78</c:f>
              <c:strCache>
                <c:ptCount val="2"/>
                <c:pt idx="0">
                  <c:v>2016/17 уч.г.</c:v>
                </c:pt>
                <c:pt idx="1">
                  <c:v>2017/18 уч.г.</c:v>
                </c:pt>
              </c:strCache>
            </c:strRef>
          </c:cat>
          <c:val>
            <c:numRef>
              <c:f>'Лечебный факультет'!$N$79:$O$79</c:f>
              <c:numCache>
                <c:formatCode>General</c:formatCode>
                <c:ptCount val="2"/>
                <c:pt idx="0">
                  <c:v>21.55</c:v>
                </c:pt>
                <c:pt idx="1">
                  <c:v>21.93</c:v>
                </c:pt>
              </c:numCache>
            </c:numRef>
          </c:val>
        </c:ser>
        <c:ser>
          <c:idx val="1"/>
          <c:order val="1"/>
          <c:tx>
            <c:strRef>
              <c:f>'Лечебный факультет'!$K$80:$M$80</c:f>
              <c:strCache>
                <c:ptCount val="1"/>
                <c:pt idx="0">
                  <c:v>ИМТ стоматологического ф.</c:v>
                </c:pt>
              </c:strCache>
            </c:strRef>
          </c:tx>
          <c:errBars>
            <c:errBarType val="both"/>
            <c:errValType val="cust"/>
            <c:plus>
              <c:numRef>
                <c:f>'Лечебный факультет'!$R$79</c:f>
                <c:numCache>
                  <c:formatCode>General</c:formatCode>
                  <c:ptCount val="1"/>
                  <c:pt idx="0">
                    <c:v>0.62</c:v>
                  </c:pt>
                </c:numCache>
              </c:numRef>
            </c:plus>
            <c:minus>
              <c:numRef>
                <c:f>'Лечебный факультет'!$R$80</c:f>
                <c:numCache>
                  <c:formatCode>General</c:formatCode>
                  <c:ptCount val="1"/>
                  <c:pt idx="0">
                    <c:v>0.62</c:v>
                  </c:pt>
                </c:numCache>
              </c:numRef>
            </c:minus>
          </c:errBars>
          <c:cat>
            <c:strRef>
              <c:f>'Лечебный факультет'!$N$78:$O$78</c:f>
              <c:strCache>
                <c:ptCount val="2"/>
                <c:pt idx="0">
                  <c:v>2016/17 уч.г.</c:v>
                </c:pt>
                <c:pt idx="1">
                  <c:v>2017/18 уч.г.</c:v>
                </c:pt>
              </c:strCache>
            </c:strRef>
          </c:cat>
          <c:val>
            <c:numRef>
              <c:f>'Лечебный факультет'!$N$80:$O$80</c:f>
              <c:numCache>
                <c:formatCode>General</c:formatCode>
                <c:ptCount val="2"/>
                <c:pt idx="0">
                  <c:v>21.73</c:v>
                </c:pt>
                <c:pt idx="1">
                  <c:v>21.12</c:v>
                </c:pt>
              </c:numCache>
            </c:numRef>
          </c:val>
        </c:ser>
        <c:axId val="73609216"/>
        <c:axId val="73610752"/>
      </c:barChart>
      <c:catAx>
        <c:axId val="73609216"/>
        <c:scaling>
          <c:orientation val="minMax"/>
        </c:scaling>
        <c:axPos val="b"/>
        <c:tickLblPos val="nextTo"/>
        <c:crossAx val="73610752"/>
        <c:crosses val="autoZero"/>
        <c:auto val="1"/>
        <c:lblAlgn val="ctr"/>
        <c:lblOffset val="100"/>
      </c:catAx>
      <c:valAx>
        <c:axId val="736107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ru-RU" sz="1100"/>
                  <a:t>ИМТ</a:t>
                </a:r>
              </a:p>
            </c:rich>
          </c:tx>
          <c:layout/>
        </c:title>
        <c:numFmt formatCode="General" sourceLinked="1"/>
        <c:tickLblPos val="nextTo"/>
        <c:crossAx val="736092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4"/>
  <c:chart>
    <c:plotArea>
      <c:layout/>
      <c:barChart>
        <c:barDir val="col"/>
        <c:grouping val="clustered"/>
        <c:ser>
          <c:idx val="1"/>
          <c:order val="0"/>
          <c:spPr>
            <a:gradFill rotWithShape="1">
              <a:gsLst>
                <a:gs pos="0">
                  <a:schemeClr val="accent2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'Стоматологический факультет '!$E$1:$N$1</c:f>
              <c:numCache>
                <c:formatCode>General</c:formatCode>
                <c:ptCount val="10"/>
                <c:pt idx="0">
                  <c:v>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32</c:v>
                </c:pt>
                <c:pt idx="9">
                  <c:v>34</c:v>
                </c:pt>
              </c:numCache>
            </c:numRef>
          </c:cat>
          <c:val>
            <c:numRef>
              <c:f>'Стоматологический факультет '!$E$3:$N$3</c:f>
              <c:numCache>
                <c:formatCode>General</c:formatCode>
                <c:ptCount val="10"/>
                <c:pt idx="0">
                  <c:v>3</c:v>
                </c:pt>
                <c:pt idx="1">
                  <c:v>16</c:v>
                </c:pt>
                <c:pt idx="2">
                  <c:v>31</c:v>
                </c:pt>
                <c:pt idx="3">
                  <c:v>16</c:v>
                </c:pt>
                <c:pt idx="4">
                  <c:v>16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gapWidth val="100"/>
        <c:overlap val="-24"/>
        <c:axId val="73656960"/>
        <c:axId val="73745152"/>
      </c:barChart>
      <c:catAx>
        <c:axId val="73656960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b="1">
                    <a:solidFill>
                      <a:sysClr val="windowText" lastClr="000000"/>
                    </a:solidFill>
                  </a:rPr>
                  <a:t>Индекс массы тела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3745152"/>
        <c:crosses val="autoZero"/>
        <c:auto val="1"/>
        <c:lblAlgn val="ctr"/>
        <c:lblOffset val="100"/>
      </c:catAx>
      <c:valAx>
        <c:axId val="737451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b="1">
                    <a:solidFill>
                      <a:sysClr val="windowText" lastClr="000000"/>
                    </a:solidFill>
                  </a:rPr>
                  <a:t>Частота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365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000" b="0" i="0" baseline="0"/>
              <a:t>Индекс массы, стоматологический факультет</a:t>
            </a:r>
          </a:p>
        </c:rich>
      </c:tx>
      <c:layout>
        <c:manualLayout>
          <c:xMode val="edge"/>
          <c:yMode val="edge"/>
          <c:x val="0.24374300087489084"/>
          <c:y val="2.7777777777777811E-2"/>
        </c:manualLayout>
      </c:layout>
      <c:overlay val="1"/>
    </c:title>
    <c:plotArea>
      <c:layout>
        <c:manualLayout>
          <c:layoutTarget val="inner"/>
          <c:xMode val="edge"/>
          <c:yMode val="edge"/>
          <c:x val="0.14775240594925634"/>
          <c:y val="5.1400554097404488E-2"/>
          <c:w val="0.78622812773403328"/>
          <c:h val="0.79822506561679785"/>
        </c:manualLayout>
      </c:layout>
      <c:scatterChart>
        <c:scatterStyle val="lineMarker"/>
        <c:ser>
          <c:idx val="0"/>
          <c:order val="0"/>
          <c:tx>
            <c:strRef>
              <c:f>'Стоматологический факультет '!$D$5</c:f>
              <c:strCache>
                <c:ptCount val="1"/>
                <c:pt idx="0">
                  <c:v>Экспериментальные данные pi/Δx</c:v>
                </c:pt>
              </c:strCache>
            </c:strRef>
          </c:tx>
          <c:spPr>
            <a:ln w="19050">
              <a:noFill/>
            </a:ln>
          </c:spPr>
          <c:xVal>
            <c:numRef>
              <c:f>'Стоматологический факультет '!$E$1:$N$1</c:f>
              <c:numCache>
                <c:formatCode>General</c:formatCode>
                <c:ptCount val="10"/>
                <c:pt idx="0">
                  <c:v>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32</c:v>
                </c:pt>
                <c:pt idx="9">
                  <c:v>34</c:v>
                </c:pt>
              </c:numCache>
            </c:numRef>
          </c:xVal>
          <c:yVal>
            <c:numRef>
              <c:f>'Стоматологический факультет '!$E$5:$N$5</c:f>
              <c:numCache>
                <c:formatCode>0.00000</c:formatCode>
                <c:ptCount val="10"/>
                <c:pt idx="0">
                  <c:v>1.7241379310344827E-2</c:v>
                </c:pt>
                <c:pt idx="1">
                  <c:v>9.1954022988505746E-2</c:v>
                </c:pt>
                <c:pt idx="2">
                  <c:v>0.17816091954022989</c:v>
                </c:pt>
                <c:pt idx="3">
                  <c:v>9.1954022988505746E-2</c:v>
                </c:pt>
                <c:pt idx="4">
                  <c:v>9.1954022988505746E-2</c:v>
                </c:pt>
                <c:pt idx="5">
                  <c:v>0</c:v>
                </c:pt>
                <c:pt idx="6">
                  <c:v>2.2988505747126436E-2</c:v>
                </c:pt>
                <c:pt idx="7">
                  <c:v>0</c:v>
                </c:pt>
                <c:pt idx="8">
                  <c:v>5.7471264367816091E-3</c:v>
                </c:pt>
                <c:pt idx="9">
                  <c:v>0</c:v>
                </c:pt>
              </c:numCache>
            </c:numRef>
          </c:yVal>
        </c:ser>
        <c:ser>
          <c:idx val="1"/>
          <c:order val="1"/>
          <c:tx>
            <c:strRef>
              <c:f>'Стоматологический факультет '!$F$7</c:f>
              <c:strCache>
                <c:ptCount val="1"/>
                <c:pt idx="0">
                  <c:v>Теоретическая кривая Гаусса f(x)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'Стоматологический факультет '!$E$8:$E$168</c:f>
              <c:numCache>
                <c:formatCode>General</c:formatCode>
                <c:ptCount val="16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</c:numCache>
            </c:numRef>
          </c:xVal>
          <c:yVal>
            <c:numRef>
              <c:f>'Стоматологический факультет '!$F$8:$F$168</c:f>
              <c:numCache>
                <c:formatCode>General</c:formatCode>
                <c:ptCount val="161"/>
                <c:pt idx="0">
                  <c:v>3.5672976612342797E-13</c:v>
                </c:pt>
                <c:pt idx="1">
                  <c:v>6.6874673173986701E-13</c:v>
                </c:pt>
                <c:pt idx="2">
                  <c:v>1.244318571138449E-12</c:v>
                </c:pt>
                <c:pt idx="3">
                  <c:v>2.2979950036292942E-12</c:v>
                </c:pt>
                <c:pt idx="4">
                  <c:v>4.2122502442565991E-12</c:v>
                </c:pt>
                <c:pt idx="5">
                  <c:v>7.6634942353265851E-12</c:v>
                </c:pt>
                <c:pt idx="6">
                  <c:v>1.3838438652828674E-11</c:v>
                </c:pt>
                <c:pt idx="7">
                  <c:v>2.4802470253302151E-11</c:v>
                </c:pt>
                <c:pt idx="8">
                  <c:v>4.4121510177178647E-11</c:v>
                </c:pt>
                <c:pt idx="9">
                  <c:v>7.7902857363755258E-11</c:v>
                </c:pt>
                <c:pt idx="10">
                  <c:v>1.3652242454634485E-10</c:v>
                </c:pt>
                <c:pt idx="11">
                  <c:v>2.3746640882160557E-10</c:v>
                </c:pt>
                <c:pt idx="12">
                  <c:v>4.0996611597606407E-10</c:v>
                </c:pt>
                <c:pt idx="13">
                  <c:v>7.0249191321010903E-10</c:v>
                </c:pt>
                <c:pt idx="14">
                  <c:v>1.1947644226270782E-9</c:v>
                </c:pt>
                <c:pt idx="15">
                  <c:v>2.0168370984138424E-9</c:v>
                </c:pt>
                <c:pt idx="16">
                  <c:v>3.3791459320451823E-9</c:v>
                </c:pt>
                <c:pt idx="17">
                  <c:v>5.6194092349620197E-9</c:v>
                </c:pt>
                <c:pt idx="18">
                  <c:v>9.2751717638653401E-9</c:v>
                </c:pt>
                <c:pt idx="19">
                  <c:v>1.5195005018038824E-8</c:v>
                </c:pt>
                <c:pt idx="20">
                  <c:v>2.4707415663584796E-8</c:v>
                </c:pt>
                <c:pt idx="21">
                  <c:v>3.987506300274689E-8</c:v>
                </c:pt>
                <c:pt idx="22">
                  <c:v>6.3873840539402911E-8</c:v>
                </c:pt>
                <c:pt idx="23">
                  <c:v>1.0155288462103448E-7</c:v>
                </c:pt>
                <c:pt idx="24">
                  <c:v>1.602540763201187E-7</c:v>
                </c:pt>
                <c:pt idx="25">
                  <c:v>2.5099986816843791E-7</c:v>
                </c:pt>
                <c:pt idx="26">
                  <c:v>3.9019840364612718E-7</c:v>
                </c:pt>
                <c:pt idx="27">
                  <c:v>6.0206734161724131E-7</c:v>
                </c:pt>
                <c:pt idx="28">
                  <c:v>9.2204525819202012E-7</c:v>
                </c:pt>
                <c:pt idx="29">
                  <c:v>1.401544831661239E-6</c:v>
                </c:pt>
                <c:pt idx="30">
                  <c:v>2.1145080194955145E-6</c:v>
                </c:pt>
                <c:pt idx="31">
                  <c:v>3.1663525288986313E-6</c:v>
                </c:pt>
                <c:pt idx="32">
                  <c:v>4.7060526527590045E-6</c:v>
                </c:pt>
                <c:pt idx="33">
                  <c:v>6.9422761462761896E-6</c:v>
                </c:pt>
                <c:pt idx="34">
                  <c:v>1.0164700214760988E-5</c:v>
                </c:pt>
                <c:pt idx="35">
                  <c:v>1.4771848717096236E-5</c:v>
                </c:pt>
                <c:pt idx="36">
                  <c:v>2.1307020060799567E-5</c:v>
                </c:pt>
                <c:pt idx="37">
                  <c:v>3.0504096427966223E-5</c:v>
                </c:pt>
                <c:pt idx="38">
                  <c:v>4.3345219081113113E-5</c:v>
                </c:pt>
                <c:pt idx="39">
                  <c:v>6.1132453536286784E-5</c:v>
                </c:pt>
                <c:pt idx="40">
                  <c:v>8.5575616665256978E-5</c:v>
                </c:pt>
                <c:pt idx="41">
                  <c:v>1.1889835202627553E-4</c:v>
                </c:pt>
                <c:pt idx="42">
                  <c:v>1.6396427001480297E-4</c:v>
                </c:pt>
                <c:pt idx="43">
                  <c:v>2.244244612807679E-4</c:v>
                </c:pt>
                <c:pt idx="44">
                  <c:v>3.0488688960013334E-4</c:v>
                </c:pt>
                <c:pt idx="45">
                  <c:v>4.1110702205492925E-4</c:v>
                </c:pt>
                <c:pt idx="46">
                  <c:v>5.5019751817786931E-4</c:v>
                </c:pt>
                <c:pt idx="47">
                  <c:v>7.3085285191939683E-4</c:v>
                </c:pt>
                <c:pt idx="48">
                  <c:v>9.6358238417674352E-4</c:v>
                </c:pt>
                <c:pt idx="49">
                  <c:v>1.2609426789165867E-3</c:v>
                </c:pt>
                <c:pt idx="50">
                  <c:v>1.6377568478226621E-3</c:v>
                </c:pt>
                <c:pt idx="51">
                  <c:v>2.1113055550205477E-3</c:v>
                </c:pt>
                <c:pt idx="52">
                  <c:v>2.7014712103197972E-3</c:v>
                </c:pt>
                <c:pt idx="53">
                  <c:v>3.430814079664956E-3</c:v>
                </c:pt>
                <c:pt idx="54">
                  <c:v>4.3245568500426554E-3</c:v>
                </c:pt>
                <c:pt idx="55">
                  <c:v>5.4104529470298431E-3</c:v>
                </c:pt>
                <c:pt idx="56">
                  <c:v>6.7185139792731909E-3</c:v>
                </c:pt>
                <c:pt idx="57">
                  <c:v>8.2805734287874806E-3</c:v>
                </c:pt>
                <c:pt idx="58">
                  <c:v>1.0129667427889259E-2</c:v>
                </c:pt>
                <c:pt idx="59">
                  <c:v>1.2299219387230519E-2</c:v>
                </c:pt>
                <c:pt idx="60">
                  <c:v>1.4822023462819967E-2</c:v>
                </c:pt>
                <c:pt idx="61">
                  <c:v>1.7729032305041397E-2</c:v>
                </c:pt>
                <c:pt idx="62">
                  <c:v>2.1047966952354617E-2</c:v>
                </c:pt>
                <c:pt idx="63">
                  <c:v>2.4801780629421861E-2</c:v>
                </c:pt>
                <c:pt idx="64">
                  <c:v>2.9007022872592669E-2</c:v>
                </c:pt>
                <c:pt idx="65">
                  <c:v>3.3672164916634349E-2</c:v>
                </c:pt>
                <c:pt idx="66">
                  <c:v>3.8795960550369261E-2</c:v>
                </c:pt>
                <c:pt idx="67">
                  <c:v>4.4365927498505466E-2</c:v>
                </c:pt>
                <c:pt idx="68">
                  <c:v>5.0357041609824363E-2</c:v>
                </c:pt>
                <c:pt idx="69">
                  <c:v>5.6730738612951706E-2</c:v>
                </c:pt>
                <c:pt idx="70">
                  <c:v>6.3434315024801333E-2</c:v>
                </c:pt>
                <c:pt idx="71">
                  <c:v>7.0400810358728236E-2</c:v>
                </c:pt>
                <c:pt idx="72">
                  <c:v>7.7549436883645351E-2</c:v>
                </c:pt>
                <c:pt idx="73">
                  <c:v>8.4786601118452237E-2</c:v>
                </c:pt>
                <c:pt idx="74">
                  <c:v>9.2007533815009715E-2</c:v>
                </c:pt>
                <c:pt idx="75">
                  <c:v>9.9098513708561112E-2</c:v>
                </c:pt>
                <c:pt idx="76">
                  <c:v>0.10593963657695706</c:v>
                </c:pt>
                <c:pt idx="77">
                  <c:v>0.11240804728444924</c:v>
                </c:pt>
                <c:pt idx="78">
                  <c:v>0.11838152083521163</c:v>
                </c:pt>
                <c:pt idx="79">
                  <c:v>0.12374225139684798</c:v>
                </c:pt>
                <c:pt idx="80">
                  <c:v>0.12838068797541777</c:v>
                </c:pt>
                <c:pt idx="81">
                  <c:v>0.13219924376372963</c:v>
                </c:pt>
                <c:pt idx="82">
                  <c:v>0.13511570443152957</c:v>
                </c:pt>
                <c:pt idx="83">
                  <c:v>0.13706616938401681</c:v>
                </c:pt>
                <c:pt idx="84">
                  <c:v>0.1380073791210164</c:v>
                </c:pt>
                <c:pt idx="85">
                  <c:v>0.13791831033514149</c:v>
                </c:pt>
                <c:pt idx="86">
                  <c:v>0.13680095661234293</c:v>
                </c:pt>
                <c:pt idx="87">
                  <c:v>0.1346802542476557</c:v>
                </c:pt>
                <c:pt idx="88">
                  <c:v>0.13160315703125117</c:v>
                </c:pt>
                <c:pt idx="89">
                  <c:v>0.12763690794526816</c:v>
                </c:pt>
                <c:pt idx="90">
                  <c:v>0.12286659661137175</c:v>
                </c:pt>
                <c:pt idx="91">
                  <c:v>0.11739212637175349</c:v>
                </c:pt>
                <c:pt idx="92">
                  <c:v>0.11132474187224492</c:v>
                </c:pt>
                <c:pt idx="93">
                  <c:v>0.1047832853839699</c:v>
                </c:pt>
                <c:pt idx="94">
                  <c:v>9.7890357035157957E-2</c:v>
                </c:pt>
                <c:pt idx="95">
                  <c:v>9.0768550600003273E-2</c:v>
                </c:pt>
                <c:pt idx="96">
                  <c:v>8.3536923236552416E-2</c:v>
                </c:pt>
                <c:pt idx="97">
                  <c:v>7.6307835973419794E-2</c:v>
                </c:pt>
                <c:pt idx="98">
                  <c:v>6.9184273725284018E-2</c:v>
                </c:pt>
                <c:pt idx="99">
                  <c:v>6.2257721413786347E-2</c:v>
                </c:pt>
                <c:pt idx="100">
                  <c:v>5.5606638763425441E-2</c:v>
                </c:pt>
                <c:pt idx="101">
                  <c:v>4.9295542850621953E-2</c:v>
                </c:pt>
                <c:pt idx="102">
                  <c:v>4.3374676591644651E-2</c:v>
                </c:pt>
                <c:pt idx="103">
                  <c:v>3.788021476850386E-2</c:v>
                </c:pt>
                <c:pt idx="104">
                  <c:v>3.2834938146118431E-2</c:v>
                </c:pt>
                <c:pt idx="105">
                  <c:v>2.8249291445391671E-2</c:v>
                </c:pt>
                <c:pt idx="106">
                  <c:v>2.4122732604893202E-2</c:v>
                </c:pt>
                <c:pt idx="107">
                  <c:v>2.0445278616245111E-2</c:v>
                </c:pt>
                <c:pt idx="108">
                  <c:v>1.7199156589250246E-2</c:v>
                </c:pt>
                <c:pt idx="109">
                  <c:v>1.4360476634376316E-2</c:v>
                </c:pt>
                <c:pt idx="110">
                  <c:v>1.1900854504391704E-2</c:v>
                </c:pt>
                <c:pt idx="111">
                  <c:v>9.7889255068572874E-3</c:v>
                </c:pt>
                <c:pt idx="112">
                  <c:v>7.9917058098320001E-3</c:v>
                </c:pt>
                <c:pt idx="113">
                  <c:v>6.4757718543746066E-3</c:v>
                </c:pt>
                <c:pt idx="114">
                  <c:v>5.2082422743473097E-3</c:v>
                </c:pt>
                <c:pt idx="115">
                  <c:v>4.15755883345118E-3</c:v>
                </c:pt>
                <c:pt idx="116">
                  <c:v>3.2940729729317394E-3</c:v>
                </c:pt>
                <c:pt idx="117">
                  <c:v>2.5904523900569061E-3</c:v>
                </c:pt>
                <c:pt idx="118">
                  <c:v>2.0219276004630809E-3</c:v>
                </c:pt>
                <c:pt idx="119">
                  <c:v>1.5664017995787626E-3</c:v>
                </c:pt>
                <c:pt idx="120">
                  <c:v>1.2044487714994391E-3</c:v>
                </c:pt>
                <c:pt idx="121">
                  <c:v>9.192234171562614E-4</c:v>
                </c:pt>
                <c:pt idx="122">
                  <c:v>6.9630804467706747E-4</c:v>
                </c:pt>
                <c:pt idx="123">
                  <c:v>5.2351524484088845E-4</c:v>
                </c:pt>
                <c:pt idx="124">
                  <c:v>3.9066530204371805E-4</c:v>
                </c:pt>
                <c:pt idx="125">
                  <c:v>2.8935296292532324E-4</c:v>
                </c:pt>
                <c:pt idx="126">
                  <c:v>2.1271524415590975E-4</c:v>
                </c:pt>
                <c:pt idx="127">
                  <c:v>1.5520899334134421E-4</c:v>
                </c:pt>
                <c:pt idx="128">
                  <c:v>1.1240425114390991E-4</c:v>
                </c:pt>
                <c:pt idx="129">
                  <c:v>8.0797175298971579E-5</c:v>
                </c:pt>
                <c:pt idx="130">
                  <c:v>5.7644411013987682E-5</c:v>
                </c:pt>
                <c:pt idx="131">
                  <c:v>4.0819325217659724E-5</c:v>
                </c:pt>
                <c:pt idx="132">
                  <c:v>2.8689436819607608E-5</c:v>
                </c:pt>
                <c:pt idx="133">
                  <c:v>2.0013627475900533E-5</c:v>
                </c:pt>
                <c:pt idx="134">
                  <c:v>1.3857254313681816E-5</c:v>
                </c:pt>
                <c:pt idx="135">
                  <c:v>9.5230518699634772E-6</c:v>
                </c:pt>
                <c:pt idx="136">
                  <c:v>6.49565124214456E-6</c:v>
                </c:pt>
                <c:pt idx="137">
                  <c:v>4.3976112537453095E-6</c:v>
                </c:pt>
                <c:pt idx="138">
                  <c:v>2.9550073019711591E-6</c:v>
                </c:pt>
                <c:pt idx="139">
                  <c:v>1.9708241177964202E-6</c:v>
                </c:pt>
                <c:pt idx="140">
                  <c:v>1.3046222019384315E-6</c:v>
                </c:pt>
                <c:pt idx="141">
                  <c:v>8.5717451157853366E-7</c:v>
                </c:pt>
                <c:pt idx="142">
                  <c:v>5.5898649959243116E-7</c:v>
                </c:pt>
                <c:pt idx="143">
                  <c:v>3.618103418774265E-7</c:v>
                </c:pt>
                <c:pt idx="144">
                  <c:v>2.3243858375788543E-7</c:v>
                </c:pt>
                <c:pt idx="145">
                  <c:v>1.4821189212780264E-7</c:v>
                </c:pt>
                <c:pt idx="146">
                  <c:v>9.3800568294556728E-8</c:v>
                </c:pt>
                <c:pt idx="147">
                  <c:v>5.8921727919811903E-8</c:v>
                </c:pt>
                <c:pt idx="148">
                  <c:v>3.6736101469614523E-8</c:v>
                </c:pt>
                <c:pt idx="149">
                  <c:v>2.2733078124528498E-8</c:v>
                </c:pt>
                <c:pt idx="150">
                  <c:v>1.3962751531307465E-8</c:v>
                </c:pt>
                <c:pt idx="151">
                  <c:v>8.5119950415675451E-9</c:v>
                </c:pt>
                <c:pt idx="152">
                  <c:v>5.1503803335700038E-9</c:v>
                </c:pt>
                <c:pt idx="153">
                  <c:v>3.0931061673727796E-9</c:v>
                </c:pt>
                <c:pt idx="154">
                  <c:v>1.8437326210291968E-9</c:v>
                </c:pt>
                <c:pt idx="155">
                  <c:v>1.0908088160890934E-9</c:v>
                </c:pt>
                <c:pt idx="156">
                  <c:v>6.405409887058017E-10</c:v>
                </c:pt>
                <c:pt idx="157">
                  <c:v>3.7332992163939246E-10</c:v>
                </c:pt>
                <c:pt idx="158">
                  <c:v>2.159664349942005E-10</c:v>
                </c:pt>
                <c:pt idx="159">
                  <c:v>1.2400160499109726E-10</c:v>
                </c:pt>
                <c:pt idx="160">
                  <c:v>7.0666883748720364E-11</c:v>
                </c:pt>
              </c:numCache>
            </c:numRef>
          </c:yVal>
        </c:ser>
        <c:axId val="73756032"/>
        <c:axId val="73766016"/>
      </c:scatterChart>
      <c:valAx>
        <c:axId val="73756032"/>
        <c:scaling>
          <c:orientation val="minMax"/>
        </c:scaling>
        <c:axPos val="b"/>
        <c:numFmt formatCode="General" sourceLinked="1"/>
        <c:tickLblPos val="nextTo"/>
        <c:crossAx val="73766016"/>
        <c:crosses val="autoZero"/>
        <c:crossBetween val="midCat"/>
      </c:valAx>
      <c:valAx>
        <c:axId val="73766016"/>
        <c:scaling>
          <c:orientation val="minMax"/>
        </c:scaling>
        <c:axPos val="l"/>
        <c:numFmt formatCode="0.00000" sourceLinked="1"/>
        <c:tickLblPos val="nextTo"/>
        <c:crossAx val="737560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4245822397200369"/>
          <c:y val="0.19367672790901122"/>
          <c:w val="0.32698622047244147"/>
          <c:h val="0.27931321084864413"/>
        </c:manualLayout>
      </c:layout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Lbls>
            <c:dLbl>
              <c:idx val="5"/>
              <c:delete val="1"/>
            </c:dLbl>
            <c:dLbl>
              <c:idx val="6"/>
              <c:delete val="1"/>
            </c:dLbl>
            <c:showVal val="1"/>
            <c:showLeaderLines val="1"/>
          </c:dLbls>
          <c:cat>
            <c:strRef>
              <c:f>'Стоматологический факультет '!$I$23:$I$29</c:f>
              <c:strCache>
                <c:ptCount val="7"/>
                <c:pt idx="0">
                  <c:v>Выраженный дефицит массы тела</c:v>
                </c:pt>
                <c:pt idx="1">
                  <c:v>Недостаточная (дефицит) масса тела</c:v>
                </c:pt>
                <c:pt idx="2">
                  <c:v>Норма</c:v>
                </c:pt>
                <c:pt idx="3">
                  <c:v>Избыточная масса тела (предожирение)</c:v>
                </c:pt>
                <c:pt idx="4">
                  <c:v>Ожирение первой степени</c:v>
                </c:pt>
                <c:pt idx="5">
                  <c:v>Ожирение второй степени</c:v>
                </c:pt>
                <c:pt idx="6">
                  <c:v>Ожирение третьей степени</c:v>
                </c:pt>
              </c:strCache>
            </c:strRef>
          </c:cat>
          <c:val>
            <c:numRef>
              <c:f>'Стоматологический факультет '!$M$23:$M$29</c:f>
              <c:numCache>
                <c:formatCode>0.00%</c:formatCode>
                <c:ptCount val="7"/>
                <c:pt idx="0">
                  <c:v>1.1494252873563218E-2</c:v>
                </c:pt>
                <c:pt idx="1">
                  <c:v>0.13793103448275862</c:v>
                </c:pt>
                <c:pt idx="2">
                  <c:v>0.7931034482758621</c:v>
                </c:pt>
                <c:pt idx="3">
                  <c:v>4.5977011494252873E-2</c:v>
                </c:pt>
                <c:pt idx="4">
                  <c:v>1.1494252873563218E-2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6</xdr:row>
      <xdr:rowOff>198120</xdr:rowOff>
    </xdr:from>
    <xdr:to>
      <xdr:col>15</xdr:col>
      <xdr:colOff>7620</xdr:colOff>
      <xdr:row>21</xdr:row>
      <xdr:rowOff>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495300</xdr:colOff>
      <xdr:row>7</xdr:row>
      <xdr:rowOff>142875</xdr:rowOff>
    </xdr:from>
    <xdr:to>
      <xdr:col>23</xdr:col>
      <xdr:colOff>190500</xdr:colOff>
      <xdr:row>20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561975</xdr:colOff>
      <xdr:row>22</xdr:row>
      <xdr:rowOff>0</xdr:rowOff>
    </xdr:from>
    <xdr:to>
      <xdr:col>23</xdr:col>
      <xdr:colOff>257175</xdr:colOff>
      <xdr:row>35</xdr:row>
      <xdr:rowOff>19050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533400</xdr:colOff>
      <xdr:row>42</xdr:row>
      <xdr:rowOff>66675</xdr:rowOff>
    </xdr:from>
    <xdr:to>
      <xdr:col>17</xdr:col>
      <xdr:colOff>371475</xdr:colOff>
      <xdr:row>55</xdr:row>
      <xdr:rowOff>85725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390525</xdr:colOff>
      <xdr:row>57</xdr:row>
      <xdr:rowOff>171450</xdr:rowOff>
    </xdr:from>
    <xdr:to>
      <xdr:col>17</xdr:col>
      <xdr:colOff>228600</xdr:colOff>
      <xdr:row>70</xdr:row>
      <xdr:rowOff>190500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9525</xdr:colOff>
      <xdr:row>82</xdr:row>
      <xdr:rowOff>9525</xdr:rowOff>
    </xdr:from>
    <xdr:to>
      <xdr:col>16</xdr:col>
      <xdr:colOff>457200</xdr:colOff>
      <xdr:row>95</xdr:row>
      <xdr:rowOff>28575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7</xdr:row>
      <xdr:rowOff>15240</xdr:rowOff>
    </xdr:from>
    <xdr:to>
      <xdr:col>15</xdr:col>
      <xdr:colOff>7620</xdr:colOff>
      <xdr:row>21</xdr:row>
      <xdr:rowOff>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47625</xdr:colOff>
      <xdr:row>7</xdr:row>
      <xdr:rowOff>19050</xdr:rowOff>
    </xdr:from>
    <xdr:to>
      <xdr:col>23</xdr:col>
      <xdr:colOff>352425</xdr:colOff>
      <xdr:row>20</xdr:row>
      <xdr:rowOff>38100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19050</xdr:colOff>
      <xdr:row>21</xdr:row>
      <xdr:rowOff>190500</xdr:rowOff>
    </xdr:from>
    <xdr:to>
      <xdr:col>23</xdr:col>
      <xdr:colOff>323850</xdr:colOff>
      <xdr:row>35</xdr:row>
      <xdr:rowOff>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u.wikipedia.org/wiki/%D0%9E%D0%B6%D0%B8%D1%80%D0%B5%D0%BD%D0%B8%D0%B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ru.wikipedia.org/wiki/%D0%9E%D0%B6%D0%B8%D1%80%D0%B5%D0%BD%D0%B8%D0%B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8"/>
  <sheetViews>
    <sheetView tabSelected="1" workbookViewId="0">
      <pane ySplit="1" topLeftCell="A71" activePane="bottomLeft" state="frozen"/>
      <selection pane="bottomLeft" activeCell="O79" sqref="O79"/>
    </sheetView>
  </sheetViews>
  <sheetFormatPr defaultRowHeight="15"/>
  <cols>
    <col min="1" max="2" width="11.85546875" customWidth="1"/>
    <col min="5" max="14" width="8.7109375" customWidth="1"/>
  </cols>
  <sheetData>
    <row r="1" spans="1:19" ht="16.5" thickBot="1">
      <c r="A1" s="1" t="s">
        <v>1</v>
      </c>
      <c r="B1" s="2" t="s">
        <v>0</v>
      </c>
      <c r="C1" s="3" t="s">
        <v>3</v>
      </c>
      <c r="E1" s="11">
        <v>16</v>
      </c>
      <c r="F1" s="11">
        <v>18</v>
      </c>
      <c r="G1" s="11">
        <v>20</v>
      </c>
      <c r="H1" s="11">
        <v>22</v>
      </c>
      <c r="I1" s="11">
        <v>24</v>
      </c>
      <c r="J1" s="11">
        <v>26</v>
      </c>
      <c r="K1" s="11">
        <v>28</v>
      </c>
      <c r="L1" s="11">
        <v>30</v>
      </c>
      <c r="M1" s="11">
        <v>32</v>
      </c>
      <c r="N1" s="11">
        <v>34</v>
      </c>
      <c r="O1" s="23">
        <v>36</v>
      </c>
      <c r="P1" s="23">
        <v>38</v>
      </c>
    </row>
    <row r="2" spans="1:19" ht="16.5" thickBot="1">
      <c r="A2" s="1">
        <v>45</v>
      </c>
      <c r="B2" s="2">
        <v>1.56</v>
      </c>
      <c r="C2" s="3">
        <f>A2/(B2^2)</f>
        <v>18.491124260355029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22" t="s">
        <v>38</v>
      </c>
      <c r="P2" s="22" t="s">
        <v>39</v>
      </c>
    </row>
    <row r="3" spans="1:19" ht="16.5" thickBot="1">
      <c r="A3" s="1">
        <v>43</v>
      </c>
      <c r="B3" s="2">
        <v>1.55</v>
      </c>
      <c r="C3" s="3">
        <f t="shared" ref="C3:C66" si="0">A3/(B3^2)</f>
        <v>17.898022892819977</v>
      </c>
      <c r="E3" s="5">
        <f>COUNTIFS($C$2:$C$172,"&gt;15",$C$2:$C$172,"&lt;17")</f>
        <v>4</v>
      </c>
      <c r="F3" s="5">
        <f>COUNTIFS($C$2:$C$172,"&gt;17",$C$2:$C$172,"&lt;19")</f>
        <v>32</v>
      </c>
      <c r="G3" s="5">
        <f>COUNTIFS($C$2:$C$172,"&gt;19",$C$2:$C$172,"&lt;21")</f>
        <v>51</v>
      </c>
      <c r="H3" s="5">
        <f>COUNTIFS($C$2:$C$172,"&gt;21",$C$2:$C$172,"&lt;23")</f>
        <v>39</v>
      </c>
      <c r="I3" s="5">
        <f>COUNTIFS($C$2:$C$172,"&gt;23",$C$2:$C$172,"&lt;=25")</f>
        <v>16</v>
      </c>
      <c r="J3" s="5">
        <f>COUNTIFS($C$2:$C$172,"&gt;25",$C$2:$C$172,"&lt;27")</f>
        <v>13</v>
      </c>
      <c r="K3" s="5">
        <f>COUNTIFS($C$2:$C$172,"&gt;27",$C$2:$C$172,"&lt;29")</f>
        <v>5</v>
      </c>
      <c r="L3" s="5">
        <f>COUNTIFS($C$2:$C$172,"&gt;29",$C$2:$C$172,"&lt;31")</f>
        <v>5</v>
      </c>
      <c r="M3" s="5">
        <f>COUNTIFS($C$2:$C$172,"&gt;31",$C$2:$C$172,"&lt;33")</f>
        <v>1</v>
      </c>
      <c r="N3" s="6">
        <f>COUNTIFS($C$2:$C$172,"&gt;33",$C$2:$C$172,"&lt;35")</f>
        <v>1</v>
      </c>
      <c r="O3" s="6">
        <f>COUNTIFS($C$2:$C$172,"&gt;35",$C$2:$C$172,"&lt;37")</f>
        <v>2</v>
      </c>
      <c r="P3" s="6">
        <f>COUNTIFS($C$2:$C$172,"&gt;37",$C$2:$C$172,"&lt;39")</f>
        <v>2</v>
      </c>
      <c r="Q3" s="7" t="s">
        <v>14</v>
      </c>
      <c r="R3" s="8">
        <f>SUM(E3:P3)</f>
        <v>171</v>
      </c>
    </row>
    <row r="4" spans="1:19" ht="16.5" thickBot="1">
      <c r="A4" s="1">
        <v>66</v>
      </c>
      <c r="B4" s="2">
        <v>1.78</v>
      </c>
      <c r="C4" s="3">
        <f t="shared" si="0"/>
        <v>20.830703194041156</v>
      </c>
      <c r="E4" s="15">
        <f t="shared" ref="E4:N4" si="1">E3/$R$3</f>
        <v>2.3391812865497075E-2</v>
      </c>
      <c r="F4" s="15">
        <f t="shared" si="1"/>
        <v>0.1871345029239766</v>
      </c>
      <c r="G4" s="15">
        <f t="shared" si="1"/>
        <v>0.2982456140350877</v>
      </c>
      <c r="H4" s="15">
        <f t="shared" si="1"/>
        <v>0.22807017543859648</v>
      </c>
      <c r="I4" s="15">
        <f t="shared" si="1"/>
        <v>9.3567251461988299E-2</v>
      </c>
      <c r="J4" s="15">
        <f t="shared" si="1"/>
        <v>7.6023391812865493E-2</v>
      </c>
      <c r="K4" s="15">
        <f t="shared" si="1"/>
        <v>2.9239766081871343E-2</v>
      </c>
      <c r="L4" s="15">
        <f t="shared" si="1"/>
        <v>2.9239766081871343E-2</v>
      </c>
      <c r="M4" s="15">
        <f t="shared" si="1"/>
        <v>5.8479532163742687E-3</v>
      </c>
      <c r="N4" s="16">
        <f t="shared" si="1"/>
        <v>5.8479532163742687E-3</v>
      </c>
      <c r="O4" s="16">
        <f t="shared" ref="O4:P4" si="2">O3/$R$3</f>
        <v>1.1695906432748537E-2</v>
      </c>
      <c r="P4" s="16">
        <f t="shared" si="2"/>
        <v>1.1695906432748537E-2</v>
      </c>
      <c r="Q4" s="9" t="s">
        <v>15</v>
      </c>
      <c r="R4" s="10">
        <f>SUMPRODUCT(E1:P1,E4:P4)</f>
        <v>21.894736842105257</v>
      </c>
    </row>
    <row r="5" spans="1:19" ht="16.5" thickBot="1">
      <c r="A5" s="1">
        <v>65</v>
      </c>
      <c r="B5" s="2">
        <v>1.6</v>
      </c>
      <c r="C5" s="3">
        <f t="shared" si="0"/>
        <v>25.390624999999996</v>
      </c>
      <c r="D5" t="s">
        <v>22</v>
      </c>
      <c r="E5" s="15">
        <f>E4/2</f>
        <v>1.1695906432748537E-2</v>
      </c>
      <c r="F5" s="15">
        <f t="shared" ref="F5:P5" si="3">F4/2</f>
        <v>9.3567251461988299E-2</v>
      </c>
      <c r="G5" s="15">
        <f t="shared" si="3"/>
        <v>0.14912280701754385</v>
      </c>
      <c r="H5" s="15">
        <f t="shared" si="3"/>
        <v>0.11403508771929824</v>
      </c>
      <c r="I5" s="15">
        <f t="shared" si="3"/>
        <v>4.6783625730994149E-2</v>
      </c>
      <c r="J5" s="15">
        <f t="shared" si="3"/>
        <v>3.8011695906432746E-2</v>
      </c>
      <c r="K5" s="15">
        <f t="shared" si="3"/>
        <v>1.4619883040935672E-2</v>
      </c>
      <c r="L5" s="15">
        <f t="shared" si="3"/>
        <v>1.4619883040935672E-2</v>
      </c>
      <c r="M5" s="15">
        <f t="shared" si="3"/>
        <v>2.9239766081871343E-3</v>
      </c>
      <c r="N5" s="16">
        <f t="shared" si="3"/>
        <v>2.9239766081871343E-3</v>
      </c>
      <c r="O5" s="16">
        <f t="shared" si="3"/>
        <v>5.8479532163742687E-3</v>
      </c>
      <c r="P5" s="16">
        <f t="shared" si="3"/>
        <v>5.8479532163742687E-3</v>
      </c>
      <c r="Q5" s="9" t="s">
        <v>16</v>
      </c>
      <c r="R5" s="9">
        <f>SUMPRODUCT(E1:P1^2,E4:P4)-R4^2</f>
        <v>16.246229609110856</v>
      </c>
      <c r="S5">
        <f>VAR(C2:C172)</f>
        <v>16.153690499225924</v>
      </c>
    </row>
    <row r="6" spans="1:19" ht="16.5" thickBot="1">
      <c r="A6" s="1">
        <v>90</v>
      </c>
      <c r="B6" s="2">
        <v>1.84</v>
      </c>
      <c r="C6" s="3">
        <f t="shared" si="0"/>
        <v>26.583175803402646</v>
      </c>
      <c r="Q6" s="9" t="s">
        <v>17</v>
      </c>
      <c r="R6" s="9">
        <f>R5^0.5</f>
        <v>4.0306611875858351</v>
      </c>
    </row>
    <row r="7" spans="1:19" ht="16.5" thickBot="1">
      <c r="A7" s="1">
        <v>92</v>
      </c>
      <c r="B7" s="2">
        <v>1.74</v>
      </c>
      <c r="C7" s="3">
        <f t="shared" si="0"/>
        <v>30.38710529792575</v>
      </c>
      <c r="F7" t="s">
        <v>23</v>
      </c>
    </row>
    <row r="8" spans="1:19" ht="16.5" thickBot="1">
      <c r="A8" s="1">
        <v>76</v>
      </c>
      <c r="B8" s="2">
        <v>1.85</v>
      </c>
      <c r="C8" s="3">
        <f t="shared" si="0"/>
        <v>22.205989773557338</v>
      </c>
      <c r="E8" s="14">
        <v>0</v>
      </c>
      <c r="F8" s="14">
        <f t="shared" ref="F8:F39" si="4">NORMDIST(E8,$R$4,$R$6,0)</f>
        <v>3.87385484976728E-8</v>
      </c>
      <c r="H8" s="13"/>
    </row>
    <row r="9" spans="1:19" ht="16.5" thickBot="1">
      <c r="A9" s="1">
        <v>70</v>
      </c>
      <c r="B9" s="2">
        <v>1.87</v>
      </c>
      <c r="C9" s="3">
        <f t="shared" si="0"/>
        <v>20.017729989419198</v>
      </c>
      <c r="E9" s="14">
        <v>0.25</v>
      </c>
      <c r="F9" s="14">
        <f t="shared" si="4"/>
        <v>5.4154005714726409E-8</v>
      </c>
    </row>
    <row r="10" spans="1:19" ht="16.5" thickBot="1">
      <c r="A10" s="1">
        <v>78</v>
      </c>
      <c r="B10" s="2">
        <v>1.79</v>
      </c>
      <c r="C10" s="3">
        <f t="shared" si="0"/>
        <v>24.343809494085704</v>
      </c>
      <c r="E10" s="14">
        <v>0.5</v>
      </c>
      <c r="F10" s="14">
        <f t="shared" si="4"/>
        <v>7.5413149346211627E-8</v>
      </c>
    </row>
    <row r="11" spans="1:19" ht="16.5" thickBot="1">
      <c r="A11" s="1">
        <v>60</v>
      </c>
      <c r="B11" s="2">
        <v>1.75</v>
      </c>
      <c r="C11" s="3">
        <f t="shared" si="0"/>
        <v>19.591836734693878</v>
      </c>
      <c r="E11" s="14">
        <v>0.75</v>
      </c>
      <c r="F11" s="14">
        <f t="shared" si="4"/>
        <v>1.0461472510023384E-7</v>
      </c>
    </row>
    <row r="12" spans="1:19" ht="16.5" thickBot="1">
      <c r="A12" s="1">
        <v>52</v>
      </c>
      <c r="B12" s="2">
        <v>1.65</v>
      </c>
      <c r="C12" s="3">
        <f t="shared" si="0"/>
        <v>19.100091827364558</v>
      </c>
      <c r="E12" s="14">
        <v>1</v>
      </c>
      <c r="F12" s="14">
        <f t="shared" si="4"/>
        <v>1.445665468457815E-7</v>
      </c>
    </row>
    <row r="13" spans="1:19" ht="16.5" thickBot="1">
      <c r="A13" s="1">
        <v>56</v>
      </c>
      <c r="B13" s="2">
        <v>1.67</v>
      </c>
      <c r="C13" s="3">
        <f t="shared" si="0"/>
        <v>20.07960127648894</v>
      </c>
      <c r="E13" s="14">
        <v>1.25</v>
      </c>
      <c r="F13" s="14">
        <f t="shared" si="4"/>
        <v>1.990086922018267E-7</v>
      </c>
    </row>
    <row r="14" spans="1:19" ht="16.5" thickBot="1">
      <c r="A14" s="1">
        <v>60</v>
      </c>
      <c r="B14" s="2">
        <v>1.65</v>
      </c>
      <c r="C14" s="3">
        <f t="shared" si="0"/>
        <v>22.03856749311295</v>
      </c>
      <c r="E14" s="14">
        <v>1.5</v>
      </c>
      <c r="F14" s="14">
        <f t="shared" si="4"/>
        <v>2.7290125502652242E-7</v>
      </c>
    </row>
    <row r="15" spans="1:19" ht="16.5" thickBot="1">
      <c r="A15" s="1">
        <v>56</v>
      </c>
      <c r="B15" s="2">
        <v>1.65</v>
      </c>
      <c r="C15" s="3">
        <f t="shared" si="0"/>
        <v>20.569329660238754</v>
      </c>
      <c r="E15" s="14">
        <v>1.75</v>
      </c>
      <c r="F15" s="14">
        <f t="shared" si="4"/>
        <v>3.7279344648278707E-7</v>
      </c>
    </row>
    <row r="16" spans="1:19" ht="16.5" thickBot="1">
      <c r="A16" s="1">
        <v>63</v>
      </c>
      <c r="B16" s="2">
        <v>1.78</v>
      </c>
      <c r="C16" s="3">
        <f t="shared" si="0"/>
        <v>19.883853048857468</v>
      </c>
      <c r="E16" s="14">
        <v>2</v>
      </c>
      <c r="F16" s="14">
        <f t="shared" si="4"/>
        <v>5.0729461726029551E-7</v>
      </c>
    </row>
    <row r="17" spans="1:13" ht="16.5" thickBot="1">
      <c r="A17" s="1">
        <v>63</v>
      </c>
      <c r="B17" s="2">
        <v>1.92</v>
      </c>
      <c r="C17" s="3">
        <f t="shared" si="0"/>
        <v>17.08984375</v>
      </c>
      <c r="E17" s="14">
        <v>2.25</v>
      </c>
      <c r="F17" s="14">
        <f t="shared" si="4"/>
        <v>6.8767223236469423E-7</v>
      </c>
    </row>
    <row r="18" spans="1:13" ht="16.5" thickBot="1">
      <c r="A18" s="1">
        <v>67</v>
      </c>
      <c r="B18" s="2">
        <v>1.83</v>
      </c>
      <c r="C18" s="3">
        <f t="shared" si="0"/>
        <v>20.006569321269669</v>
      </c>
      <c r="E18" s="14">
        <v>2.5</v>
      </c>
      <c r="F18" s="14">
        <f t="shared" si="4"/>
        <v>9.2860703876607164E-7</v>
      </c>
    </row>
    <row r="19" spans="1:13" ht="16.5" thickBot="1">
      <c r="A19" s="1">
        <v>89</v>
      </c>
      <c r="B19" s="2">
        <v>1.96</v>
      </c>
      <c r="C19" s="3">
        <f t="shared" si="0"/>
        <v>23.167430237401085</v>
      </c>
      <c r="E19" s="14">
        <v>2.75</v>
      </c>
      <c r="F19" s="14">
        <f t="shared" si="4"/>
        <v>1.2491416902483008E-6</v>
      </c>
    </row>
    <row r="20" spans="1:13" ht="16.5" thickBot="1">
      <c r="A20" s="1">
        <v>70</v>
      </c>
      <c r="B20" s="2">
        <v>1.64</v>
      </c>
      <c r="C20" s="3">
        <f t="shared" si="0"/>
        <v>26.026174895895306</v>
      </c>
      <c r="E20" s="14">
        <v>3</v>
      </c>
      <c r="F20" s="14">
        <f t="shared" si="4"/>
        <v>1.6738659853472798E-6</v>
      </c>
    </row>
    <row r="21" spans="1:13" ht="16.5" thickBot="1">
      <c r="A21" s="1">
        <v>70</v>
      </c>
      <c r="B21" s="2">
        <v>1.8</v>
      </c>
      <c r="C21" s="3">
        <f t="shared" si="0"/>
        <v>21.604938271604937</v>
      </c>
      <c r="E21" s="14">
        <v>3.25</v>
      </c>
      <c r="F21" s="14">
        <f t="shared" si="4"/>
        <v>2.2343896656443945E-6</v>
      </c>
    </row>
    <row r="22" spans="1:13" ht="16.5" thickBot="1">
      <c r="A22" s="1">
        <v>62</v>
      </c>
      <c r="B22" s="2">
        <v>1.68</v>
      </c>
      <c r="C22" s="3">
        <f t="shared" si="0"/>
        <v>21.9671201814059</v>
      </c>
      <c r="E22" s="14">
        <v>3.5</v>
      </c>
      <c r="F22" s="14">
        <f t="shared" si="4"/>
        <v>2.9711624165126295E-6</v>
      </c>
    </row>
    <row r="23" spans="1:13" ht="16.5" thickBot="1">
      <c r="A23" s="1">
        <v>93</v>
      </c>
      <c r="B23" s="2">
        <v>1.9</v>
      </c>
      <c r="C23" s="3">
        <f t="shared" si="0"/>
        <v>25.761772853185597</v>
      </c>
      <c r="E23" s="14">
        <v>3.75</v>
      </c>
      <c r="F23" s="14">
        <f t="shared" si="4"/>
        <v>3.9357102753325133E-6</v>
      </c>
      <c r="H23" s="17" t="s">
        <v>24</v>
      </c>
      <c r="I23" s="18" t="s">
        <v>25</v>
      </c>
      <c r="L23">
        <f>COUNTIF($C$2:$C$172,"&lt;16")</f>
        <v>2</v>
      </c>
      <c r="M23" s="21">
        <f>L23/$R$3</f>
        <v>1.1695906432748537E-2</v>
      </c>
    </row>
    <row r="24" spans="1:13" ht="16.5" thickBot="1">
      <c r="A24" s="1">
        <v>51</v>
      </c>
      <c r="B24" s="2">
        <v>1.61</v>
      </c>
      <c r="C24" s="3">
        <f t="shared" si="0"/>
        <v>19.675166853130666</v>
      </c>
      <c r="E24" s="14">
        <v>4</v>
      </c>
      <c r="F24" s="14">
        <f t="shared" si="4"/>
        <v>5.1933679970815243E-6</v>
      </c>
      <c r="H24" s="19" t="s">
        <v>26</v>
      </c>
      <c r="I24" s="20" t="s">
        <v>27</v>
      </c>
      <c r="L24">
        <f>COUNTIFS($C$2:$C$172,"&gt;16",$C$2:$C$172,"&lt;18,5")</f>
        <v>20</v>
      </c>
      <c r="M24" s="21">
        <f t="shared" ref="M24:M29" si="5">L24/$R$3</f>
        <v>0.11695906432748537</v>
      </c>
    </row>
    <row r="25" spans="1:13" ht="16.5" thickBot="1">
      <c r="A25" s="1">
        <v>50</v>
      </c>
      <c r="B25" s="2">
        <v>1.59</v>
      </c>
      <c r="C25" s="3">
        <f t="shared" si="0"/>
        <v>19.77769866698311</v>
      </c>
      <c r="E25" s="14">
        <v>4.25</v>
      </c>
      <c r="F25" s="14">
        <f t="shared" si="4"/>
        <v>6.8265979040600199E-6</v>
      </c>
      <c r="H25" s="19" t="s">
        <v>28</v>
      </c>
      <c r="I25" s="20" t="s">
        <v>29</v>
      </c>
      <c r="L25">
        <f>COUNTIFS($C$2:$C$172,"&gt;18,5",$C$2:$C$172,"&lt;24,99")</f>
        <v>119</v>
      </c>
      <c r="M25" s="21">
        <f t="shared" si="5"/>
        <v>0.69590643274853803</v>
      </c>
    </row>
    <row r="26" spans="1:13" ht="16.5" thickBot="1">
      <c r="A26" s="1">
        <v>65.5</v>
      </c>
      <c r="B26" s="2">
        <v>1.81</v>
      </c>
      <c r="C26" s="3">
        <f t="shared" si="0"/>
        <v>19.993284698269285</v>
      </c>
      <c r="E26" s="14">
        <v>4.5</v>
      </c>
      <c r="F26" s="14">
        <f t="shared" si="4"/>
        <v>8.938997127327101E-6</v>
      </c>
      <c r="H26" s="19" t="s">
        <v>30</v>
      </c>
      <c r="I26" s="20" t="s">
        <v>31</v>
      </c>
      <c r="L26">
        <f>COUNTIFS($C$2:$C$172,"&gt;=25",$C$2:$C$172,"&lt;30")</f>
        <v>21</v>
      </c>
      <c r="M26" s="21">
        <f t="shared" si="5"/>
        <v>0.12280701754385964</v>
      </c>
    </row>
    <row r="27" spans="1:13" ht="16.5" thickBot="1">
      <c r="A27" s="1">
        <v>57</v>
      </c>
      <c r="B27" s="2">
        <v>1.75</v>
      </c>
      <c r="C27" s="3">
        <f t="shared" si="0"/>
        <v>18.612244897959183</v>
      </c>
      <c r="E27" s="14">
        <v>4.75</v>
      </c>
      <c r="F27" s="14">
        <f t="shared" si="4"/>
        <v>1.1660106611394262E-5</v>
      </c>
      <c r="H27" s="19" t="s">
        <v>32</v>
      </c>
      <c r="I27" s="20" t="s">
        <v>33</v>
      </c>
      <c r="L27">
        <f>COUNTIFS($C$2:$C$172,"&gt;30",$C$2:$C$172,"&lt;35")</f>
        <v>5</v>
      </c>
      <c r="M27" s="21">
        <f t="shared" si="5"/>
        <v>2.9239766081871343E-2</v>
      </c>
    </row>
    <row r="28" spans="1:13" ht="16.5" thickBot="1">
      <c r="A28" s="1">
        <v>64</v>
      </c>
      <c r="B28" s="2">
        <v>1.66</v>
      </c>
      <c r="C28" s="3">
        <f t="shared" si="0"/>
        <v>23.225431847873423</v>
      </c>
      <c r="E28" s="14">
        <v>5</v>
      </c>
      <c r="F28" s="14">
        <f t="shared" si="4"/>
        <v>1.5151146372651795E-5</v>
      </c>
      <c r="H28" s="19" t="s">
        <v>34</v>
      </c>
      <c r="I28" s="20" t="s">
        <v>35</v>
      </c>
      <c r="L28">
        <f>COUNTIFS($C$2:$C$172,"&gt;35",$C$2:$C$172,"&lt;40")</f>
        <v>4</v>
      </c>
      <c r="M28" s="21">
        <f t="shared" si="5"/>
        <v>2.3391812865497075E-2</v>
      </c>
    </row>
    <row r="29" spans="1:13" ht="16.5" thickBot="1">
      <c r="A29" s="1">
        <v>66</v>
      </c>
      <c r="B29" s="2">
        <v>1.78</v>
      </c>
      <c r="C29" s="3">
        <f t="shared" si="0"/>
        <v>20.830703194041156</v>
      </c>
      <c r="E29" s="14">
        <v>5.25</v>
      </c>
      <c r="F29" s="14">
        <f t="shared" si="4"/>
        <v>1.9611811726522809E-5</v>
      </c>
      <c r="H29" s="19" t="s">
        <v>36</v>
      </c>
      <c r="I29" s="20" t="s">
        <v>37</v>
      </c>
      <c r="L29">
        <f>COUNTIFS($C$2:$C$172,"&gt;40")</f>
        <v>0</v>
      </c>
      <c r="M29" s="21">
        <f t="shared" si="5"/>
        <v>0</v>
      </c>
    </row>
    <row r="30" spans="1:13" ht="16.5" thickBot="1">
      <c r="A30" s="1">
        <v>59</v>
      </c>
      <c r="B30" s="2">
        <v>1.65</v>
      </c>
      <c r="C30" s="3">
        <f t="shared" si="0"/>
        <v>21.6712580348944</v>
      </c>
      <c r="E30" s="14">
        <v>5.5</v>
      </c>
      <c r="F30" s="14">
        <f t="shared" si="4"/>
        <v>2.5288273846251193E-5</v>
      </c>
      <c r="L30">
        <f>SUM(L23:L29)</f>
        <v>171</v>
      </c>
      <c r="M30" s="21">
        <f>SUM(M23:M29)</f>
        <v>1</v>
      </c>
    </row>
    <row r="31" spans="1:13" ht="16.5" thickBot="1">
      <c r="A31" s="1">
        <v>68</v>
      </c>
      <c r="B31" s="2">
        <v>1.57</v>
      </c>
      <c r="C31" s="3">
        <f t="shared" si="0"/>
        <v>27.587326057852245</v>
      </c>
      <c r="E31" s="14">
        <v>5.75</v>
      </c>
      <c r="F31" s="14">
        <f t="shared" si="4"/>
        <v>3.2482534264119665E-5</v>
      </c>
    </row>
    <row r="32" spans="1:13" ht="16.5" thickBot="1">
      <c r="A32" s="1">
        <v>132</v>
      </c>
      <c r="B32" s="2">
        <v>1.85</v>
      </c>
      <c r="C32" s="3">
        <f t="shared" si="0"/>
        <v>38.568298027757486</v>
      </c>
      <c r="E32" s="14">
        <v>6</v>
      </c>
      <c r="F32" s="14">
        <f t="shared" si="4"/>
        <v>4.1563285805615321E-5</v>
      </c>
    </row>
    <row r="33" spans="1:12" ht="16.5" thickBot="1">
      <c r="A33" s="1">
        <v>55</v>
      </c>
      <c r="B33" s="2">
        <v>1.58</v>
      </c>
      <c r="C33" s="3">
        <f t="shared" si="0"/>
        <v>22.031725684986377</v>
      </c>
      <c r="E33" s="14">
        <v>6.25</v>
      </c>
      <c r="F33" s="14">
        <f t="shared" si="4"/>
        <v>5.2978430848725796E-5</v>
      </c>
    </row>
    <row r="34" spans="1:12" ht="16.5" thickBot="1">
      <c r="A34" s="1">
        <v>55</v>
      </c>
      <c r="B34" s="2">
        <v>1.6</v>
      </c>
      <c r="C34" s="3">
        <f t="shared" si="0"/>
        <v>21.484374999999996</v>
      </c>
      <c r="E34" s="14">
        <v>6.5</v>
      </c>
      <c r="F34" s="14">
        <f t="shared" si="4"/>
        <v>6.7269400483842699E-5</v>
      </c>
    </row>
    <row r="35" spans="1:12" ht="16.5" thickBot="1">
      <c r="A35" s="1">
        <v>46</v>
      </c>
      <c r="B35" s="2">
        <v>1.6</v>
      </c>
      <c r="C35" s="3">
        <f t="shared" si="0"/>
        <v>17.968749999999996</v>
      </c>
      <c r="E35" s="14">
        <v>6.75</v>
      </c>
      <c r="F35" s="14">
        <f t="shared" si="4"/>
        <v>8.5087403765340939E-5</v>
      </c>
    </row>
    <row r="36" spans="1:12" ht="16.5" thickBot="1">
      <c r="A36" s="1">
        <v>66</v>
      </c>
      <c r="B36" s="2">
        <v>1.71</v>
      </c>
      <c r="C36" s="3">
        <f t="shared" si="0"/>
        <v>22.571047501795427</v>
      </c>
      <c r="E36" s="14">
        <v>7</v>
      </c>
      <c r="F36" s="14">
        <f t="shared" si="4"/>
        <v>1.0721171336875992E-4</v>
      </c>
      <c r="J36" t="s">
        <v>45</v>
      </c>
      <c r="L36" t="s">
        <v>46</v>
      </c>
    </row>
    <row r="37" spans="1:12" ht="16.5" thickBot="1">
      <c r="A37" s="1">
        <v>78</v>
      </c>
      <c r="B37" s="2">
        <v>1.72</v>
      </c>
      <c r="C37" s="3">
        <f t="shared" si="0"/>
        <v>26.365603028664147</v>
      </c>
      <c r="E37" s="14">
        <v>7.25</v>
      </c>
      <c r="F37" s="14">
        <f t="shared" si="4"/>
        <v>1.3457006114353423E-4</v>
      </c>
      <c r="H37" t="s">
        <v>40</v>
      </c>
      <c r="I37">
        <f>MIN(C2:C172)</f>
        <v>15.615704937537183</v>
      </c>
      <c r="J37">
        <f>I37</f>
        <v>15.615704937537183</v>
      </c>
      <c r="K37">
        <f>QUARTILE('Стоматологический факультет '!$C$2:$C$88,0)</f>
        <v>15.570934256055365</v>
      </c>
      <c r="L37">
        <f>K37</f>
        <v>15.570934256055365</v>
      </c>
    </row>
    <row r="38" spans="1:12" ht="16.5" thickBot="1">
      <c r="A38" s="1">
        <v>67</v>
      </c>
      <c r="B38" s="2">
        <v>1.8</v>
      </c>
      <c r="C38" s="3">
        <f t="shared" si="0"/>
        <v>20.679012345679013</v>
      </c>
      <c r="E38" s="14">
        <v>7.5</v>
      </c>
      <c r="F38" s="14">
        <f t="shared" si="4"/>
        <v>1.6826117285839338E-4</v>
      </c>
      <c r="H38" t="s">
        <v>41</v>
      </c>
      <c r="I38">
        <f>QUARTILE($C$2:$C$172,1)</f>
        <v>19.333729922665082</v>
      </c>
      <c r="J38">
        <f>I38-I37</f>
        <v>3.718024985127899</v>
      </c>
      <c r="K38">
        <f>QUARTILE('Стоматологический факультет '!$C$2:$C$88,1)</f>
        <v>19.335761980709304</v>
      </c>
      <c r="L38">
        <f>K38-K37</f>
        <v>3.764827724653939</v>
      </c>
    </row>
    <row r="39" spans="1:12" ht="16.5" thickBot="1">
      <c r="A39" s="1">
        <v>44</v>
      </c>
      <c r="B39" s="2">
        <v>1.6</v>
      </c>
      <c r="C39" s="3">
        <f t="shared" si="0"/>
        <v>17.187499999999996</v>
      </c>
      <c r="E39" s="14">
        <v>7.75</v>
      </c>
      <c r="F39" s="14">
        <f t="shared" si="4"/>
        <v>2.0957941456116976E-4</v>
      </c>
      <c r="H39" t="s">
        <v>42</v>
      </c>
      <c r="I39">
        <f>QUARTILE($C$2:$C$172,2)</f>
        <v>20.957274202271499</v>
      </c>
      <c r="J39">
        <f t="shared" ref="J39:J41" si="6">I39-I38</f>
        <v>1.623544279606417</v>
      </c>
      <c r="K39">
        <f>QUARTILE('Стоматологический факультет '!$C$2:$C$88,2)</f>
        <v>20.65754000210077</v>
      </c>
      <c r="L39">
        <f t="shared" ref="L39:L41" si="7">K39-K38</f>
        <v>1.3217780213914665</v>
      </c>
    </row>
    <row r="40" spans="1:12" ht="16.5" thickBot="1">
      <c r="A40" s="1">
        <v>51</v>
      </c>
      <c r="B40" s="2">
        <v>1.6</v>
      </c>
      <c r="C40" s="3">
        <f t="shared" si="0"/>
        <v>19.921874999999996</v>
      </c>
      <c r="E40" s="14">
        <v>8</v>
      </c>
      <c r="F40" s="14">
        <f t="shared" ref="F40:F71" si="8">NORMDIST(E40,$R$4,$R$6,0)</f>
        <v>2.6004145230247702E-4</v>
      </c>
      <c r="H40" t="s">
        <v>43</v>
      </c>
      <c r="I40">
        <f>QUARTILE($C$2:$C$172,3)</f>
        <v>23.157789192774615</v>
      </c>
      <c r="J40">
        <f t="shared" si="6"/>
        <v>2.2005149905031161</v>
      </c>
      <c r="K40">
        <f>QUARTILE('Стоматологический факультет '!$C$2:$C$88,3)</f>
        <v>22.802182872279392</v>
      </c>
      <c r="L40">
        <f t="shared" si="7"/>
        <v>2.1446428701786218</v>
      </c>
    </row>
    <row r="41" spans="1:12" ht="16.5" thickBot="1">
      <c r="A41" s="1">
        <v>135</v>
      </c>
      <c r="B41" s="2">
        <v>1.93</v>
      </c>
      <c r="C41" s="3">
        <f t="shared" si="0"/>
        <v>36.242583693521972</v>
      </c>
      <c r="E41" s="14">
        <v>8.25</v>
      </c>
      <c r="F41" s="14">
        <f t="shared" si="8"/>
        <v>3.214147416934108E-4</v>
      </c>
      <c r="H41" t="s">
        <v>44</v>
      </c>
      <c r="I41">
        <f>MAX(C2:C172)</f>
        <v>38.568298027757486</v>
      </c>
      <c r="J41">
        <f t="shared" si="6"/>
        <v>15.41050883498287</v>
      </c>
      <c r="K41">
        <f>QUARTILE('Стоматологический факультет '!$C$2:$C$88,4)</f>
        <v>32.871972318339104</v>
      </c>
      <c r="L41">
        <f t="shared" si="7"/>
        <v>10.069789446059712</v>
      </c>
    </row>
    <row r="42" spans="1:12" ht="16.5" thickBot="1">
      <c r="A42" s="1">
        <v>68</v>
      </c>
      <c r="B42" s="2">
        <v>1.86</v>
      </c>
      <c r="C42" s="3">
        <f t="shared" si="0"/>
        <v>19.655451497282922</v>
      </c>
      <c r="E42" s="14">
        <v>8.5</v>
      </c>
      <c r="F42" s="14">
        <f t="shared" si="8"/>
        <v>3.9574756349141044E-4</v>
      </c>
    </row>
    <row r="43" spans="1:12" ht="16.5" thickBot="1">
      <c r="A43" s="1">
        <v>74</v>
      </c>
      <c r="B43" s="2">
        <v>1.7</v>
      </c>
      <c r="C43" s="3">
        <f t="shared" si="0"/>
        <v>25.605536332179934</v>
      </c>
      <c r="E43" s="14">
        <v>8.75</v>
      </c>
      <c r="F43" s="14">
        <f t="shared" si="8"/>
        <v>4.8540020629069604E-4</v>
      </c>
    </row>
    <row r="44" spans="1:12" ht="16.5" thickBot="1">
      <c r="A44" s="1">
        <v>58</v>
      </c>
      <c r="B44" s="2">
        <v>1.61</v>
      </c>
      <c r="C44" s="3">
        <f t="shared" si="0"/>
        <v>22.375679950619187</v>
      </c>
      <c r="E44" s="14">
        <v>9</v>
      </c>
      <c r="F44" s="14">
        <f t="shared" si="8"/>
        <v>5.9307676826125518E-4</v>
      </c>
    </row>
    <row r="45" spans="1:12" ht="16.5" thickBot="1">
      <c r="A45" s="1">
        <v>59</v>
      </c>
      <c r="B45" s="2">
        <v>1.65</v>
      </c>
      <c r="C45" s="3">
        <f t="shared" si="0"/>
        <v>21.6712580348944</v>
      </c>
      <c r="E45" s="14">
        <v>9.25</v>
      </c>
      <c r="F45" s="14">
        <f t="shared" si="8"/>
        <v>7.2185690835598081E-4</v>
      </c>
    </row>
    <row r="46" spans="1:12" ht="16.5" thickBot="1">
      <c r="A46" s="1">
        <v>61</v>
      </c>
      <c r="B46" s="2">
        <v>1.7</v>
      </c>
      <c r="C46" s="3">
        <f t="shared" si="0"/>
        <v>21.107266435986162</v>
      </c>
      <c r="E46" s="14">
        <v>9.5</v>
      </c>
      <c r="F46" s="14">
        <f t="shared" si="8"/>
        <v>8.7522672602105762E-4</v>
      </c>
    </row>
    <row r="47" spans="1:12" ht="16.5" thickBot="1">
      <c r="A47" s="1">
        <v>45</v>
      </c>
      <c r="B47" s="2">
        <v>1.65</v>
      </c>
      <c r="C47" s="3">
        <f t="shared" si="0"/>
        <v>16.528925619834713</v>
      </c>
      <c r="E47" s="14">
        <v>9.75</v>
      </c>
      <c r="F47" s="14">
        <f t="shared" si="8"/>
        <v>1.0571077907339098E-3</v>
      </c>
    </row>
    <row r="48" spans="1:12" ht="16.5" thickBot="1">
      <c r="A48" s="1">
        <v>58</v>
      </c>
      <c r="B48" s="2">
        <v>1.62</v>
      </c>
      <c r="C48" s="3">
        <f t="shared" si="0"/>
        <v>22.10028959000152</v>
      </c>
      <c r="E48" s="14">
        <v>10</v>
      </c>
      <c r="F48" s="14">
        <f t="shared" si="8"/>
        <v>1.2718831832557354E-3</v>
      </c>
    </row>
    <row r="49" spans="1:6" ht="16.5" thickBot="1">
      <c r="A49" s="1">
        <v>68</v>
      </c>
      <c r="B49" s="2">
        <v>1.8</v>
      </c>
      <c r="C49" s="3">
        <f t="shared" si="0"/>
        <v>20.987654320987652</v>
      </c>
      <c r="E49" s="14">
        <v>10.25</v>
      </c>
      <c r="F49" s="14">
        <f t="shared" si="8"/>
        <v>1.5244192550112928E-3</v>
      </c>
    </row>
    <row r="50" spans="1:6" ht="16.5" thickBot="1">
      <c r="A50" s="1">
        <v>47</v>
      </c>
      <c r="B50" s="2">
        <v>1.58</v>
      </c>
      <c r="C50" s="3">
        <f t="shared" si="0"/>
        <v>18.827111039897449</v>
      </c>
      <c r="E50" s="14">
        <v>10.5</v>
      </c>
      <c r="F50" s="14">
        <f t="shared" si="8"/>
        <v>1.8200816672506248E-3</v>
      </c>
    </row>
    <row r="51" spans="1:6" ht="16.5" thickBot="1">
      <c r="A51" s="1">
        <v>73</v>
      </c>
      <c r="B51" s="2">
        <v>1.62</v>
      </c>
      <c r="C51" s="3">
        <f t="shared" si="0"/>
        <v>27.815881725346742</v>
      </c>
      <c r="E51" s="14">
        <v>10.75</v>
      </c>
      <c r="F51" s="14">
        <f t="shared" si="8"/>
        <v>2.1647441453372237E-3</v>
      </c>
    </row>
    <row r="52" spans="1:6" ht="16.5" thickBot="1">
      <c r="A52" s="1">
        <v>67</v>
      </c>
      <c r="B52" s="2">
        <v>1.61</v>
      </c>
      <c r="C52" s="3">
        <f t="shared" si="0"/>
        <v>25.847768218818715</v>
      </c>
      <c r="E52" s="14">
        <v>11</v>
      </c>
      <c r="F52" s="14">
        <f t="shared" si="8"/>
        <v>2.5647882842020401E-3</v>
      </c>
    </row>
    <row r="53" spans="1:6" ht="16.5" thickBot="1">
      <c r="A53" s="1">
        <v>55</v>
      </c>
      <c r="B53" s="2">
        <v>1.71</v>
      </c>
      <c r="C53" s="3">
        <f t="shared" si="0"/>
        <v>18.809206251496189</v>
      </c>
      <c r="E53" s="14">
        <v>11.25</v>
      </c>
      <c r="F53" s="14">
        <f t="shared" si="8"/>
        <v>3.0270926778588805E-3</v>
      </c>
    </row>
    <row r="54" spans="1:6" ht="16.5" thickBot="1">
      <c r="A54" s="1">
        <v>59</v>
      </c>
      <c r="B54" s="2">
        <v>1.65</v>
      </c>
      <c r="C54" s="3">
        <f t="shared" si="0"/>
        <v>21.6712580348944</v>
      </c>
      <c r="E54" s="14">
        <v>11.5</v>
      </c>
      <c r="F54" s="14">
        <f t="shared" si="8"/>
        <v>3.5590096283477255E-3</v>
      </c>
    </row>
    <row r="55" spans="1:6" ht="16.5" thickBot="1">
      <c r="A55" s="1">
        <v>108</v>
      </c>
      <c r="B55" s="2">
        <v>1.82</v>
      </c>
      <c r="C55" s="3">
        <f t="shared" si="0"/>
        <v>32.604757879483152</v>
      </c>
      <c r="E55" s="14">
        <v>11.75</v>
      </c>
      <c r="F55" s="14">
        <f t="shared" si="8"/>
        <v>4.1683277269325379E-3</v>
      </c>
    </row>
    <row r="56" spans="1:6" ht="16.5" thickBot="1">
      <c r="A56" s="1">
        <v>54</v>
      </c>
      <c r="B56" s="2">
        <v>1.62</v>
      </c>
      <c r="C56" s="3">
        <f t="shared" si="0"/>
        <v>20.576131687242793</v>
      </c>
      <c r="E56" s="14">
        <v>12</v>
      </c>
      <c r="F56" s="14">
        <f t="shared" si="8"/>
        <v>4.8632187016783533E-3</v>
      </c>
    </row>
    <row r="57" spans="1:6" ht="16.5" thickBot="1">
      <c r="A57" s="1">
        <v>81</v>
      </c>
      <c r="B57" s="2">
        <v>1.73</v>
      </c>
      <c r="C57" s="3">
        <f t="shared" si="0"/>
        <v>27.064051588760066</v>
      </c>
      <c r="E57" s="14">
        <v>12.25</v>
      </c>
      <c r="F57" s="14">
        <f t="shared" si="8"/>
        <v>5.652167098490069E-3</v>
      </c>
    </row>
    <row r="58" spans="1:6" ht="16.5" thickBot="1">
      <c r="A58" s="1">
        <v>67</v>
      </c>
      <c r="B58" s="2">
        <v>1.8</v>
      </c>
      <c r="C58" s="3">
        <f t="shared" si="0"/>
        <v>20.679012345679013</v>
      </c>
      <c r="E58" s="14">
        <v>12.5</v>
      </c>
      <c r="F58" s="14">
        <f t="shared" si="8"/>
        <v>6.5438816135608693E-3</v>
      </c>
    </row>
    <row r="59" spans="1:6" ht="16.5" thickBot="1">
      <c r="A59" s="1">
        <v>75</v>
      </c>
      <c r="B59" s="2">
        <v>1.74</v>
      </c>
      <c r="C59" s="3">
        <f t="shared" si="0"/>
        <v>24.772096710265558</v>
      </c>
      <c r="E59" s="14">
        <v>12.75</v>
      </c>
      <c r="F59" s="14">
        <f t="shared" si="8"/>
        <v>7.547187228063708E-3</v>
      </c>
    </row>
    <row r="60" spans="1:6" ht="16.5" thickBot="1">
      <c r="A60" s="1">
        <v>52</v>
      </c>
      <c r="B60" s="2">
        <v>1.72</v>
      </c>
      <c r="C60" s="3">
        <f t="shared" si="0"/>
        <v>17.577068685776098</v>
      </c>
      <c r="E60" s="14">
        <v>13</v>
      </c>
      <c r="F60" s="14">
        <f t="shared" si="8"/>
        <v>8.6708977122435735E-3</v>
      </c>
    </row>
    <row r="61" spans="1:6" ht="16.5" thickBot="1">
      <c r="A61" s="1">
        <v>65</v>
      </c>
      <c r="B61" s="2">
        <v>1.7</v>
      </c>
      <c r="C61" s="3">
        <f t="shared" si="0"/>
        <v>22.491349480968861</v>
      </c>
      <c r="E61" s="14">
        <v>13.25</v>
      </c>
      <c r="F61" s="14">
        <f t="shared" si="8"/>
        <v>9.9236685640396154E-3</v>
      </c>
    </row>
    <row r="62" spans="1:6" ht="16.5" thickBot="1">
      <c r="A62" s="1">
        <v>42</v>
      </c>
      <c r="B62" s="2">
        <v>1.64</v>
      </c>
      <c r="C62" s="3">
        <f t="shared" si="0"/>
        <v>15.615704937537183</v>
      </c>
      <c r="E62" s="14">
        <v>13.5</v>
      </c>
      <c r="F62" s="14">
        <f t="shared" si="8"/>
        <v>1.1313831021537355E-2</v>
      </c>
    </row>
    <row r="63" spans="1:6" ht="16.5" thickBot="1">
      <c r="A63" s="1">
        <v>52</v>
      </c>
      <c r="B63" s="2">
        <v>1.65</v>
      </c>
      <c r="C63" s="3">
        <f t="shared" si="0"/>
        <v>19.100091827364558</v>
      </c>
      <c r="E63" s="14">
        <v>13.75</v>
      </c>
      <c r="F63" s="14">
        <f t="shared" si="8"/>
        <v>1.2849208429482907E-2</v>
      </c>
    </row>
    <row r="64" spans="1:6" ht="16.5" thickBot="1">
      <c r="A64" s="1">
        <v>46</v>
      </c>
      <c r="B64" s="2">
        <v>1.52</v>
      </c>
      <c r="C64" s="3">
        <f t="shared" si="0"/>
        <v>19.909972299168974</v>
      </c>
      <c r="E64" s="14">
        <v>14</v>
      </c>
      <c r="F64" s="14">
        <f t="shared" si="8"/>
        <v>1.4536916934161207E-2</v>
      </c>
    </row>
    <row r="65" spans="1:18" ht="16.5" thickBot="1">
      <c r="A65" s="1">
        <v>43</v>
      </c>
      <c r="B65" s="2">
        <v>1.49</v>
      </c>
      <c r="C65" s="3">
        <f t="shared" si="0"/>
        <v>19.368496914553401</v>
      </c>
      <c r="E65" s="14">
        <v>14.25</v>
      </c>
      <c r="F65" s="14">
        <f t="shared" si="8"/>
        <v>1.6383153210326629E-2</v>
      </c>
    </row>
    <row r="66" spans="1:18" ht="16.5" thickBot="1">
      <c r="A66" s="1">
        <v>55</v>
      </c>
      <c r="B66" s="2">
        <v>1.67</v>
      </c>
      <c r="C66" s="3">
        <f t="shared" si="0"/>
        <v>19.721036967980208</v>
      </c>
      <c r="E66" s="14">
        <v>14.5</v>
      </c>
      <c r="F66" s="14">
        <f t="shared" si="8"/>
        <v>1.8392972666745205E-2</v>
      </c>
    </row>
    <row r="67" spans="1:18" ht="16.5" thickBot="1">
      <c r="A67" s="1">
        <v>59</v>
      </c>
      <c r="B67" s="2">
        <v>1.68</v>
      </c>
      <c r="C67" s="3">
        <f t="shared" ref="C67:C130" si="9">A67/(B67^2)</f>
        <v>20.904195011337873</v>
      </c>
      <c r="E67" s="14">
        <v>14.75</v>
      </c>
      <c r="F67" s="14">
        <f t="shared" si="8"/>
        <v>2.057006230783192E-2</v>
      </c>
    </row>
    <row r="68" spans="1:18" ht="16.5" thickBot="1">
      <c r="A68" s="1">
        <v>65</v>
      </c>
      <c r="B68" s="2">
        <v>1.69</v>
      </c>
      <c r="C68" s="3">
        <f t="shared" si="9"/>
        <v>22.758306781975424</v>
      </c>
      <c r="E68" s="14">
        <v>15</v>
      </c>
      <c r="F68" s="14">
        <f t="shared" si="8"/>
        <v>2.2916513119461496E-2</v>
      </c>
    </row>
    <row r="69" spans="1:18" ht="16.5" thickBot="1">
      <c r="A69" s="1">
        <v>50</v>
      </c>
      <c r="B69" s="2">
        <v>1.64</v>
      </c>
      <c r="C69" s="3">
        <f t="shared" si="9"/>
        <v>18.590124925639504</v>
      </c>
      <c r="E69" s="14">
        <v>15.25</v>
      </c>
      <c r="F69" s="14">
        <f t="shared" si="8"/>
        <v>2.5432597466837108E-2</v>
      </c>
    </row>
    <row r="70" spans="1:18" ht="16.5" thickBot="1">
      <c r="A70" s="1">
        <v>52</v>
      </c>
      <c r="B70" s="2">
        <v>1.64</v>
      </c>
      <c r="C70" s="3">
        <f t="shared" si="9"/>
        <v>19.333729922665082</v>
      </c>
      <c r="E70" s="14">
        <v>15.5</v>
      </c>
      <c r="F70" s="14">
        <f t="shared" si="8"/>
        <v>2.811655750987847E-2</v>
      </c>
    </row>
    <row r="71" spans="1:18" ht="16.5" thickBot="1">
      <c r="A71" s="1">
        <v>100</v>
      </c>
      <c r="B71" s="2">
        <v>1.73</v>
      </c>
      <c r="C71" s="3">
        <f t="shared" si="9"/>
        <v>33.412409368839583</v>
      </c>
      <c r="E71" s="14">
        <v>15.75</v>
      </c>
      <c r="F71" s="14">
        <f t="shared" si="8"/>
        <v>3.0964411025792938E-2</v>
      </c>
    </row>
    <row r="72" spans="1:18" ht="16.5" thickBot="1">
      <c r="A72" s="1">
        <v>48</v>
      </c>
      <c r="B72" s="2">
        <v>1.65</v>
      </c>
      <c r="C72" s="3">
        <f t="shared" si="9"/>
        <v>17.630853994490359</v>
      </c>
      <c r="E72" s="14">
        <v>16</v>
      </c>
      <c r="F72" s="14">
        <f t="shared" ref="F72:F103" si="10">NORMDIST(E72,$R$4,$R$6,0)</f>
        <v>3.3969781249895331E-2</v>
      </c>
    </row>
    <row r="73" spans="1:18" ht="16.5" thickBot="1">
      <c r="A73" s="1">
        <v>78</v>
      </c>
      <c r="B73" s="2">
        <v>1.83</v>
      </c>
      <c r="C73" s="3">
        <f t="shared" si="9"/>
        <v>23.291229956104985</v>
      </c>
      <c r="E73" s="14">
        <v>16.25</v>
      </c>
      <c r="F73" s="14">
        <f t="shared" si="10"/>
        <v>3.7123757378138389E-2</v>
      </c>
    </row>
    <row r="74" spans="1:18" ht="16.5" thickBot="1">
      <c r="A74" s="1">
        <v>65</v>
      </c>
      <c r="B74" s="2">
        <v>1.86</v>
      </c>
      <c r="C74" s="3">
        <f t="shared" si="9"/>
        <v>18.78829922534397</v>
      </c>
      <c r="E74" s="14">
        <v>16.5</v>
      </c>
      <c r="F74" s="14">
        <f t="shared" si="10"/>
        <v>4.0414792196748144E-2</v>
      </c>
      <c r="H74" s="24" t="s">
        <v>47</v>
      </c>
    </row>
    <row r="75" spans="1:18" ht="16.5" thickBot="1">
      <c r="A75" s="1">
        <v>48</v>
      </c>
      <c r="B75" s="2">
        <v>1.67</v>
      </c>
      <c r="C75" s="3">
        <f t="shared" si="9"/>
        <v>17.21108680841909</v>
      </c>
      <c r="E75" s="14">
        <v>16.75</v>
      </c>
      <c r="F75" s="14">
        <f t="shared" si="10"/>
        <v>4.382864290056452E-2</v>
      </c>
      <c r="H75">
        <f>(C177-'Стоматологический факультет '!C93)/(R5/R3+'Стоматологический факультет '!P5/'Стоматологический факультет '!P3)^0.5</f>
        <v>1.8582503913566277</v>
      </c>
      <c r="I75" t="s">
        <v>48</v>
      </c>
    </row>
    <row r="76" spans="1:18" ht="16.5" thickBot="1">
      <c r="A76" s="1">
        <v>75</v>
      </c>
      <c r="B76" s="2">
        <v>1.8</v>
      </c>
      <c r="C76" s="3">
        <f t="shared" si="9"/>
        <v>23.148148148148145</v>
      </c>
      <c r="E76" s="14">
        <v>17</v>
      </c>
      <c r="F76" s="14">
        <f t="shared" si="10"/>
        <v>4.7348360524425148E-2</v>
      </c>
    </row>
    <row r="77" spans="1:18" ht="16.5" thickBot="1">
      <c r="A77" s="1">
        <v>118</v>
      </c>
      <c r="B77" s="2">
        <v>1.83</v>
      </c>
      <c r="C77" s="3">
        <f t="shared" si="9"/>
        <v>35.235450446415236</v>
      </c>
      <c r="E77" s="14">
        <v>17.25</v>
      </c>
      <c r="F77" s="14">
        <f t="shared" si="10"/>
        <v>5.0954332542047918E-2</v>
      </c>
      <c r="L77" t="s">
        <v>49</v>
      </c>
    </row>
    <row r="78" spans="1:18" ht="16.5" thickBot="1">
      <c r="A78" s="1">
        <v>67</v>
      </c>
      <c r="B78" s="2">
        <v>1.82</v>
      </c>
      <c r="C78" s="3">
        <f t="shared" si="9"/>
        <v>20.227025721531216</v>
      </c>
      <c r="E78" s="14">
        <v>17.5</v>
      </c>
      <c r="F78" s="14">
        <f t="shared" si="10"/>
        <v>5.4624382094592007E-2</v>
      </c>
      <c r="N78" t="s">
        <v>52</v>
      </c>
      <c r="O78" t="s">
        <v>53</v>
      </c>
    </row>
    <row r="79" spans="1:18" ht="16.5" thickBot="1">
      <c r="A79" s="1">
        <v>58</v>
      </c>
      <c r="B79" s="2">
        <v>1.74</v>
      </c>
      <c r="C79" s="3">
        <f t="shared" si="9"/>
        <v>19.157088122605362</v>
      </c>
      <c r="E79" s="14">
        <v>17.75</v>
      </c>
      <c r="F79" s="14">
        <f t="shared" si="10"/>
        <v>5.8333926016403331E-2</v>
      </c>
      <c r="K79" t="s">
        <v>50</v>
      </c>
      <c r="N79">
        <v>21.55</v>
      </c>
      <c r="O79">
        <v>21.93</v>
      </c>
      <c r="Q79">
        <v>0.63</v>
      </c>
      <c r="R79">
        <v>0.62</v>
      </c>
    </row>
    <row r="80" spans="1:18" ht="16.5" thickBot="1">
      <c r="A80" s="1">
        <v>100</v>
      </c>
      <c r="B80" s="2">
        <v>1.63</v>
      </c>
      <c r="C80" s="3">
        <f t="shared" si="9"/>
        <v>37.637848620572854</v>
      </c>
      <c r="E80" s="14">
        <v>18</v>
      </c>
      <c r="F80" s="14">
        <f t="shared" si="10"/>
        <v>6.2056192358113833E-2</v>
      </c>
      <c r="K80" t="s">
        <v>51</v>
      </c>
      <c r="N80">
        <v>21.73</v>
      </c>
      <c r="O80">
        <v>21.12</v>
      </c>
      <c r="Q80">
        <v>0.61</v>
      </c>
      <c r="R80">
        <v>0.62</v>
      </c>
    </row>
    <row r="81" spans="1:15" ht="16.5" thickBot="1">
      <c r="A81" s="1">
        <v>53</v>
      </c>
      <c r="B81" s="2">
        <v>1.65</v>
      </c>
      <c r="C81" s="3">
        <f t="shared" si="9"/>
        <v>19.467401285583104</v>
      </c>
      <c r="E81" s="14">
        <v>18.25</v>
      </c>
      <c r="F81" s="14">
        <f t="shared" si="10"/>
        <v>6.5762496506238638E-2</v>
      </c>
      <c r="N81" s="25">
        <f>AVERAGE(N79:N80)</f>
        <v>21.64</v>
      </c>
      <c r="O81" s="25">
        <f>AVERAGE(O79:O80)</f>
        <v>21.524999999999999</v>
      </c>
    </row>
    <row r="82" spans="1:15" ht="16.5" thickBot="1">
      <c r="A82" s="1">
        <v>81</v>
      </c>
      <c r="B82" s="2">
        <v>1.74</v>
      </c>
      <c r="C82" s="3">
        <f t="shared" si="9"/>
        <v>26.753864447086801</v>
      </c>
      <c r="E82" s="14">
        <v>18.5</v>
      </c>
      <c r="F82" s="14">
        <f t="shared" si="10"/>
        <v>6.9422573310934058E-2</v>
      </c>
    </row>
    <row r="83" spans="1:15" ht="16.5" thickBot="1">
      <c r="A83" s="1">
        <v>47</v>
      </c>
      <c r="B83" s="2">
        <v>1.58</v>
      </c>
      <c r="C83" s="3">
        <f t="shared" si="9"/>
        <v>18.827111039897449</v>
      </c>
      <c r="E83" s="14">
        <v>18.75</v>
      </c>
      <c r="F83" s="14">
        <f t="shared" si="10"/>
        <v>7.3004960913683928E-2</v>
      </c>
    </row>
    <row r="84" spans="1:15" ht="16.5" thickBot="1">
      <c r="A84" s="1">
        <v>49</v>
      </c>
      <c r="B84" s="2">
        <v>1.61</v>
      </c>
      <c r="C84" s="3">
        <f t="shared" si="9"/>
        <v>18.903591682419659</v>
      </c>
      <c r="E84" s="14">
        <v>19</v>
      </c>
      <c r="F84" s="14">
        <f t="shared" si="10"/>
        <v>7.6477430273358016E-2</v>
      </c>
    </row>
    <row r="85" spans="1:15" ht="16.5" thickBot="1">
      <c r="A85" s="1">
        <v>48</v>
      </c>
      <c r="B85" s="2">
        <v>1.61</v>
      </c>
      <c r="C85" s="3">
        <f t="shared" si="9"/>
        <v>18.517804097064154</v>
      </c>
      <c r="E85" s="14">
        <v>19.25</v>
      </c>
      <c r="F85" s="14">
        <f t="shared" si="10"/>
        <v>7.9807452784015367E-2</v>
      </c>
    </row>
    <row r="86" spans="1:15" ht="16.5" thickBot="1">
      <c r="A86" s="1">
        <v>47</v>
      </c>
      <c r="B86" s="2">
        <v>1.66</v>
      </c>
      <c r="C86" s="3">
        <f t="shared" si="9"/>
        <v>17.056176513282043</v>
      </c>
      <c r="E86" s="14">
        <v>19.5</v>
      </c>
      <c r="F86" s="14">
        <f t="shared" si="10"/>
        <v>8.2962696922897608E-2</v>
      </c>
    </row>
    <row r="87" spans="1:15" ht="16.5" thickBot="1">
      <c r="A87" s="1">
        <v>52</v>
      </c>
      <c r="B87" s="2">
        <v>1.7</v>
      </c>
      <c r="C87" s="3">
        <f t="shared" si="9"/>
        <v>17.993079584775089</v>
      </c>
      <c r="E87" s="14">
        <v>19.75</v>
      </c>
      <c r="F87" s="14">
        <f t="shared" si="10"/>
        <v>8.591154362169369E-2</v>
      </c>
    </row>
    <row r="88" spans="1:15" ht="16.5" thickBot="1">
      <c r="A88" s="1">
        <v>54</v>
      </c>
      <c r="B88" s="2">
        <v>1.69</v>
      </c>
      <c r="C88" s="3">
        <f t="shared" si="9"/>
        <v>18.906901018871892</v>
      </c>
      <c r="E88" s="14">
        <v>20</v>
      </c>
      <c r="F88" s="14">
        <f t="shared" si="10"/>
        <v>8.8623609072628298E-2</v>
      </c>
    </row>
    <row r="89" spans="1:15" ht="16.5" thickBot="1">
      <c r="A89" s="1">
        <v>59</v>
      </c>
      <c r="B89" s="2">
        <v>1.7</v>
      </c>
      <c r="C89" s="3">
        <f t="shared" si="9"/>
        <v>20.415224913494811</v>
      </c>
      <c r="E89" s="14">
        <v>20.25</v>
      </c>
      <c r="F89" s="14">
        <f t="shared" si="10"/>
        <v>9.1070263009750907E-2</v>
      </c>
    </row>
    <row r="90" spans="1:15" ht="16.5" thickBot="1">
      <c r="A90" s="1">
        <v>57</v>
      </c>
      <c r="B90" s="2">
        <v>1.71</v>
      </c>
      <c r="C90" s="3">
        <f t="shared" si="9"/>
        <v>19.493177387914233</v>
      </c>
      <c r="E90" s="14">
        <v>20.5</v>
      </c>
      <c r="F90" s="14">
        <f t="shared" si="10"/>
        <v>9.3225130181410584E-2</v>
      </c>
    </row>
    <row r="91" spans="1:15" ht="16.5" thickBot="1">
      <c r="A91" s="1">
        <v>55</v>
      </c>
      <c r="B91" s="2">
        <v>1.68</v>
      </c>
      <c r="C91" s="3">
        <f t="shared" si="9"/>
        <v>19.486961451247168</v>
      </c>
      <c r="E91" s="14">
        <v>20.75</v>
      </c>
      <c r="F91" s="14">
        <f t="shared" si="10"/>
        <v>9.5064562776639328E-2</v>
      </c>
    </row>
    <row r="92" spans="1:15" ht="16.5" thickBot="1">
      <c r="A92" s="1">
        <v>53</v>
      </c>
      <c r="B92" s="2">
        <v>1.65</v>
      </c>
      <c r="C92" s="3">
        <f t="shared" si="9"/>
        <v>19.467401285583104</v>
      </c>
      <c r="E92" s="14">
        <v>21</v>
      </c>
      <c r="F92" s="14">
        <f t="shared" si="10"/>
        <v>9.6568071996819133E-2</v>
      </c>
    </row>
    <row r="93" spans="1:15" ht="16.5" thickBot="1">
      <c r="A93" s="1">
        <v>58</v>
      </c>
      <c r="B93" s="2">
        <v>1.65</v>
      </c>
      <c r="C93" s="3">
        <f t="shared" si="9"/>
        <v>21.30394857667585</v>
      </c>
      <c r="E93" s="14">
        <v>21.25</v>
      </c>
      <c r="F93" s="14">
        <f t="shared" si="10"/>
        <v>9.7718707770871049E-2</v>
      </c>
    </row>
    <row r="94" spans="1:15" ht="16.5" thickBot="1">
      <c r="A94" s="1">
        <v>58</v>
      </c>
      <c r="B94" s="2">
        <v>1.68</v>
      </c>
      <c r="C94" s="3">
        <f t="shared" si="9"/>
        <v>20.549886621315196</v>
      </c>
      <c r="E94" s="14">
        <v>21.5</v>
      </c>
      <c r="F94" s="14">
        <f t="shared" si="10"/>
        <v>9.8503376778824675E-2</v>
      </c>
    </row>
    <row r="95" spans="1:15" ht="16.5" thickBot="1">
      <c r="A95" s="1">
        <v>65</v>
      </c>
      <c r="B95" s="2">
        <v>1.7</v>
      </c>
      <c r="C95" s="3">
        <f t="shared" si="9"/>
        <v>22.491349480968861</v>
      </c>
      <c r="E95" s="14">
        <v>21.75</v>
      </c>
      <c r="F95" s="14">
        <f t="shared" si="10"/>
        <v>9.8913090442206572E-2</v>
      </c>
    </row>
    <row r="96" spans="1:15" ht="16.5" thickBot="1">
      <c r="A96" s="1">
        <v>57</v>
      </c>
      <c r="B96" s="2">
        <v>1.67</v>
      </c>
      <c r="C96" s="3">
        <f t="shared" si="9"/>
        <v>20.43816558499767</v>
      </c>
      <c r="E96" s="14">
        <v>22</v>
      </c>
      <c r="F96" s="14">
        <f t="shared" si="10"/>
        <v>9.8943136314164029E-2</v>
      </c>
    </row>
    <row r="97" spans="1:6" ht="16.5" thickBot="1">
      <c r="A97" s="1">
        <v>66</v>
      </c>
      <c r="B97" s="2">
        <v>1.71</v>
      </c>
      <c r="C97" s="3">
        <f t="shared" si="9"/>
        <v>22.571047501795427</v>
      </c>
      <c r="E97" s="14">
        <v>22.25</v>
      </c>
      <c r="F97" s="14">
        <f t="shared" si="10"/>
        <v>9.8593168300015771E-2</v>
      </c>
    </row>
    <row r="98" spans="1:6" ht="16.5" thickBot="1">
      <c r="A98" s="1">
        <v>59</v>
      </c>
      <c r="B98" s="2">
        <v>1.69</v>
      </c>
      <c r="C98" s="3">
        <f t="shared" si="9"/>
        <v>20.65754000210077</v>
      </c>
      <c r="E98" s="14">
        <v>22.5</v>
      </c>
      <c r="F98" s="14">
        <f t="shared" si="10"/>
        <v>9.7867213293117594E-2</v>
      </c>
    </row>
    <row r="99" spans="1:6" ht="16.5" thickBot="1">
      <c r="A99" s="1">
        <v>49</v>
      </c>
      <c r="B99" s="2">
        <v>1.6</v>
      </c>
      <c r="C99" s="3">
        <f t="shared" si="9"/>
        <v>19.140624999999996</v>
      </c>
      <c r="E99" s="14">
        <v>22.75</v>
      </c>
      <c r="F99" s="14">
        <f t="shared" si="10"/>
        <v>9.6773594048144701E-2</v>
      </c>
    </row>
    <row r="100" spans="1:6" ht="16.5" thickBot="1">
      <c r="A100" s="1">
        <v>65.7</v>
      </c>
      <c r="B100" s="2">
        <v>1.7</v>
      </c>
      <c r="C100" s="3">
        <f t="shared" si="9"/>
        <v>22.733564013840834</v>
      </c>
      <c r="E100" s="14">
        <v>23</v>
      </c>
      <c r="F100" s="14">
        <f t="shared" si="10"/>
        <v>9.5324770357228777E-2</v>
      </c>
    </row>
    <row r="101" spans="1:6" ht="16.5" thickBot="1">
      <c r="A101" s="1">
        <v>80</v>
      </c>
      <c r="B101" s="2">
        <v>1.76</v>
      </c>
      <c r="C101" s="3">
        <f t="shared" si="9"/>
        <v>25.826446280991735</v>
      </c>
      <c r="E101" s="14">
        <v>23.25</v>
      </c>
      <c r="F101" s="14">
        <f t="shared" si="10"/>
        <v>9.3537102766700603E-2</v>
      </c>
    </row>
    <row r="102" spans="1:6" ht="16.5" thickBot="1">
      <c r="A102" s="1">
        <v>65</v>
      </c>
      <c r="B102" s="2">
        <v>1.8</v>
      </c>
      <c r="C102" s="3">
        <f t="shared" si="9"/>
        <v>20.061728395061728</v>
      </c>
      <c r="E102" s="14">
        <v>23.5</v>
      </c>
      <c r="F102" s="14">
        <f t="shared" si="10"/>
        <v>9.1430545099308938E-2</v>
      </c>
    </row>
    <row r="103" spans="1:6" ht="16.5" thickBot="1">
      <c r="A103" s="1">
        <v>54</v>
      </c>
      <c r="B103" s="2">
        <v>1.71</v>
      </c>
      <c r="C103" s="3">
        <f t="shared" si="9"/>
        <v>18.467220683287167</v>
      </c>
      <c r="E103" s="14">
        <v>23.75</v>
      </c>
      <c r="F103" s="14">
        <f t="shared" si="10"/>
        <v>8.9028273860619206E-2</v>
      </c>
    </row>
    <row r="104" spans="1:6" ht="16.5" thickBot="1">
      <c r="A104" s="1">
        <v>68</v>
      </c>
      <c r="B104" s="2">
        <v>1.73</v>
      </c>
      <c r="C104" s="3">
        <f t="shared" si="9"/>
        <v>22.720438370810918</v>
      </c>
      <c r="E104" s="14">
        <v>24</v>
      </c>
      <c r="F104" s="14">
        <f t="shared" ref="F104:F135" si="11">NORMDIST(E104,$R$4,$R$6,0)</f>
        <v>8.6356264149609743E-2</v>
      </c>
    </row>
    <row r="105" spans="1:6" ht="16.5" thickBot="1">
      <c r="A105" s="1">
        <v>48</v>
      </c>
      <c r="B105" s="2">
        <v>1.6</v>
      </c>
      <c r="C105" s="3">
        <f t="shared" si="9"/>
        <v>18.749999999999996</v>
      </c>
      <c r="E105" s="14">
        <v>24.25</v>
      </c>
      <c r="F105" s="14">
        <f t="shared" si="11"/>
        <v>8.3442822914265191E-2</v>
      </c>
    </row>
    <row r="106" spans="1:6" ht="16.5" thickBot="1">
      <c r="A106" s="1">
        <v>53</v>
      </c>
      <c r="B106" s="2">
        <v>1.66</v>
      </c>
      <c r="C106" s="3">
        <f t="shared" si="9"/>
        <v>19.233560749020178</v>
      </c>
      <c r="E106" s="14">
        <v>24.5</v>
      </c>
      <c r="F106" s="14">
        <f t="shared" si="11"/>
        <v>8.031809125823762E-2</v>
      </c>
    </row>
    <row r="107" spans="1:6" ht="16.5" thickBot="1">
      <c r="A107" s="1">
        <v>49</v>
      </c>
      <c r="B107" s="2">
        <v>1.61</v>
      </c>
      <c r="C107" s="3">
        <f t="shared" si="9"/>
        <v>18.903591682419659</v>
      </c>
      <c r="E107" s="14">
        <v>24.75</v>
      </c>
      <c r="F107" s="14">
        <f t="shared" si="11"/>
        <v>7.7013527993639155E-2</v>
      </c>
    </row>
    <row r="108" spans="1:6" ht="16.5" thickBot="1">
      <c r="A108" s="1">
        <v>60</v>
      </c>
      <c r="B108" s="2">
        <v>1.58</v>
      </c>
      <c r="C108" s="3">
        <f t="shared" si="9"/>
        <v>24.034609838166958</v>
      </c>
      <c r="E108" s="14">
        <v>25</v>
      </c>
      <c r="F108" s="14">
        <f t="shared" si="11"/>
        <v>7.3561386741719276E-2</v>
      </c>
    </row>
    <row r="109" spans="1:6" ht="16.5" thickBot="1">
      <c r="A109" s="1">
        <v>53</v>
      </c>
      <c r="B109" s="2">
        <v>1.6</v>
      </c>
      <c r="C109" s="3">
        <f t="shared" si="9"/>
        <v>20.703124999999996</v>
      </c>
      <c r="E109" s="14">
        <v>25.25</v>
      </c>
      <c r="F109" s="14">
        <f t="shared" si="11"/>
        <v>6.9994198616099762E-2</v>
      </c>
    </row>
    <row r="110" spans="1:6" ht="16.5" thickBot="1">
      <c r="A110" s="1">
        <v>45</v>
      </c>
      <c r="B110" s="2">
        <v>1.52</v>
      </c>
      <c r="C110" s="3">
        <f t="shared" si="9"/>
        <v>19.477146814404431</v>
      </c>
      <c r="E110" s="14">
        <v>25.5</v>
      </c>
      <c r="F110" s="14">
        <f t="shared" si="11"/>
        <v>6.6344271904688723E-2</v>
      </c>
    </row>
    <row r="111" spans="1:6" ht="16.5" thickBot="1">
      <c r="A111" s="1">
        <v>62</v>
      </c>
      <c r="B111" s="2">
        <v>1.66</v>
      </c>
      <c r="C111" s="3">
        <f t="shared" si="9"/>
        <v>22.499637102627378</v>
      </c>
      <c r="E111" s="14">
        <v>25.75</v>
      </c>
      <c r="F111" s="14">
        <f t="shared" si="11"/>
        <v>6.264321923100849E-2</v>
      </c>
    </row>
    <row r="112" spans="1:6" ht="16.5" thickBot="1">
      <c r="A112" s="1">
        <v>50</v>
      </c>
      <c r="B112" s="2">
        <v>1.72</v>
      </c>
      <c r="C112" s="3">
        <f t="shared" si="9"/>
        <v>16.901027582477017</v>
      </c>
      <c r="E112" s="14">
        <v>26</v>
      </c>
      <c r="F112" s="14">
        <f t="shared" si="11"/>
        <v>5.892152146852829E-2</v>
      </c>
    </row>
    <row r="113" spans="1:6" ht="16.5" thickBot="1">
      <c r="A113" s="1">
        <v>52</v>
      </c>
      <c r="B113" s="2">
        <v>1.68</v>
      </c>
      <c r="C113" s="3">
        <f t="shared" si="9"/>
        <v>18.424036281179141</v>
      </c>
      <c r="E113" s="14">
        <v>26.25</v>
      </c>
      <c r="F113" s="14">
        <f t="shared" si="11"/>
        <v>5.5208136255903498E-2</v>
      </c>
    </row>
    <row r="114" spans="1:6" ht="16.5" thickBot="1">
      <c r="A114" s="1">
        <v>60</v>
      </c>
      <c r="B114" s="2">
        <v>1.67</v>
      </c>
      <c r="C114" s="3">
        <f t="shared" si="9"/>
        <v>21.513858510523864</v>
      </c>
      <c r="E114" s="14">
        <v>26.5</v>
      </c>
      <c r="F114" s="14">
        <f t="shared" si="11"/>
        <v>5.1530157375576278E-2</v>
      </c>
    </row>
    <row r="115" spans="1:6" ht="16.5" thickBot="1">
      <c r="A115" s="1">
        <v>60</v>
      </c>
      <c r="B115" s="2">
        <v>1.65</v>
      </c>
      <c r="C115" s="3">
        <f t="shared" si="9"/>
        <v>22.03856749311295</v>
      </c>
      <c r="E115" s="14">
        <v>26.75</v>
      </c>
      <c r="F115" s="14">
        <f t="shared" si="11"/>
        <v>4.7912529574666601E-2</v>
      </c>
    </row>
    <row r="116" spans="1:6" ht="16.5" thickBot="1">
      <c r="A116" s="1">
        <v>58</v>
      </c>
      <c r="B116" s="2">
        <v>1.65</v>
      </c>
      <c r="C116" s="3">
        <f t="shared" si="9"/>
        <v>21.30394857667585</v>
      </c>
      <c r="E116" s="14">
        <v>27</v>
      </c>
      <c r="F116" s="14">
        <f t="shared" si="11"/>
        <v>4.4377821687364115E-2</v>
      </c>
    </row>
    <row r="117" spans="1:6" ht="16.5" thickBot="1">
      <c r="A117" s="1">
        <v>63</v>
      </c>
      <c r="B117" s="2">
        <v>1.68</v>
      </c>
      <c r="C117" s="3">
        <f t="shared" si="9"/>
        <v>22.321428571428577</v>
      </c>
      <c r="E117" s="14">
        <v>27.25</v>
      </c>
      <c r="F117" s="14">
        <f t="shared" si="11"/>
        <v>4.0946059221687911E-2</v>
      </c>
    </row>
    <row r="118" spans="1:6" ht="16.5" thickBot="1">
      <c r="A118" s="1">
        <v>95</v>
      </c>
      <c r="B118" s="2">
        <v>1.98</v>
      </c>
      <c r="C118" s="3">
        <f t="shared" si="9"/>
        <v>24.232221201918172</v>
      </c>
      <c r="E118" s="14">
        <v>27.5</v>
      </c>
      <c r="F118" s="14">
        <f t="shared" si="11"/>
        <v>3.7634615955471372E-2</v>
      </c>
    </row>
    <row r="119" spans="1:6" ht="16.5" thickBot="1">
      <c r="A119" s="1">
        <v>78</v>
      </c>
      <c r="B119" s="2">
        <v>1.85</v>
      </c>
      <c r="C119" s="3">
        <f t="shared" si="9"/>
        <v>22.790357925493058</v>
      </c>
      <c r="E119" s="14">
        <v>27.75</v>
      </c>
      <c r="F119" s="14">
        <f t="shared" si="11"/>
        <v>3.445816259516632E-2</v>
      </c>
    </row>
    <row r="120" spans="1:6" ht="16.5" thickBot="1">
      <c r="A120" s="1">
        <v>63</v>
      </c>
      <c r="B120" s="2">
        <v>1.71</v>
      </c>
      <c r="C120" s="3">
        <f t="shared" si="9"/>
        <v>21.545090797168363</v>
      </c>
      <c r="E120" s="14">
        <v>28</v>
      </c>
      <c r="F120" s="14">
        <f t="shared" si="11"/>
        <v>3.1428669226902725E-2</v>
      </c>
    </row>
    <row r="121" spans="1:6" ht="16.5" thickBot="1">
      <c r="A121" s="1">
        <v>79</v>
      </c>
      <c r="B121" s="2">
        <v>1.87</v>
      </c>
      <c r="C121" s="3">
        <f t="shared" si="9"/>
        <v>22.59143813091595</v>
      </c>
      <c r="E121" s="14">
        <v>28.25</v>
      </c>
      <c r="F121" s="14">
        <f t="shared" si="11"/>
        <v>2.8555457163424166E-2</v>
      </c>
    </row>
    <row r="122" spans="1:6" ht="16.5" thickBot="1">
      <c r="A122" s="1">
        <v>73</v>
      </c>
      <c r="B122" s="2">
        <v>1.83</v>
      </c>
      <c r="C122" s="3">
        <f t="shared" si="9"/>
        <v>21.798202394816204</v>
      </c>
      <c r="E122" s="14">
        <v>28.5</v>
      </c>
      <c r="F122" s="14">
        <f t="shared" si="11"/>
        <v>2.5845294884595058E-2</v>
      </c>
    </row>
    <row r="123" spans="1:6" ht="16.5" thickBot="1">
      <c r="A123" s="1">
        <v>102</v>
      </c>
      <c r="B123" s="2">
        <v>1.89</v>
      </c>
      <c r="C123" s="3">
        <f t="shared" si="9"/>
        <v>28.554631729234906</v>
      </c>
      <c r="E123" s="14">
        <v>28.75</v>
      </c>
      <c r="F123" s="14">
        <f t="shared" si="11"/>
        <v>2.3302532094893032E-2</v>
      </c>
    </row>
    <row r="124" spans="1:6" ht="16.5" thickBot="1">
      <c r="A124" s="1">
        <v>96</v>
      </c>
      <c r="B124" s="2">
        <v>1.78</v>
      </c>
      <c r="C124" s="3">
        <f t="shared" si="9"/>
        <v>30.299204645878046</v>
      </c>
      <c r="E124" s="14">
        <v>29</v>
      </c>
      <c r="F124" s="14">
        <f t="shared" si="11"/>
        <v>2.0929265480949259E-2</v>
      </c>
    </row>
    <row r="125" spans="1:6" ht="16.5" thickBot="1">
      <c r="A125" s="1">
        <v>60</v>
      </c>
      <c r="B125" s="2">
        <v>1.62</v>
      </c>
      <c r="C125" s="3">
        <f t="shared" si="9"/>
        <v>22.862368541380881</v>
      </c>
      <c r="E125" s="14">
        <v>29.25</v>
      </c>
      <c r="F125" s="14">
        <f t="shared" si="11"/>
        <v>1.8725529539326369E-2</v>
      </c>
    </row>
    <row r="126" spans="1:6" ht="16.5" thickBot="1">
      <c r="A126" s="1">
        <v>65</v>
      </c>
      <c r="B126" s="2">
        <v>1.57</v>
      </c>
      <c r="C126" s="3">
        <f t="shared" si="9"/>
        <v>26.370238143535232</v>
      </c>
      <c r="E126" s="14">
        <v>29.5</v>
      </c>
      <c r="F126" s="14">
        <f t="shared" si="11"/>
        <v>1.6689505845173442E-2</v>
      </c>
    </row>
    <row r="127" spans="1:6" ht="16.5" thickBot="1">
      <c r="A127" s="1">
        <v>75</v>
      </c>
      <c r="B127" s="2">
        <v>1.85</v>
      </c>
      <c r="C127" s="3">
        <f t="shared" si="9"/>
        <v>21.913805697589478</v>
      </c>
      <c r="E127" s="14">
        <v>29.75</v>
      </c>
      <c r="F127" s="14">
        <f t="shared" si="11"/>
        <v>1.4817744325594412E-2</v>
      </c>
    </row>
    <row r="128" spans="1:6" ht="16.5" thickBot="1">
      <c r="A128" s="1">
        <v>52</v>
      </c>
      <c r="B128" s="2">
        <v>1.64</v>
      </c>
      <c r="C128" s="3">
        <f t="shared" si="9"/>
        <v>19.333729922665082</v>
      </c>
      <c r="E128" s="14">
        <v>30</v>
      </c>
      <c r="F128" s="14">
        <f t="shared" si="11"/>
        <v>1.3105390461955224E-2</v>
      </c>
    </row>
    <row r="129" spans="1:6" ht="16.5" thickBot="1">
      <c r="A129" s="1">
        <v>54</v>
      </c>
      <c r="B129" s="2">
        <v>1.56</v>
      </c>
      <c r="C129" s="3">
        <f t="shared" si="9"/>
        <v>22.189349112426033</v>
      </c>
      <c r="E129" s="14">
        <v>30.25</v>
      </c>
      <c r="F129" s="14">
        <f t="shared" si="11"/>
        <v>1.1546412843916389E-2</v>
      </c>
    </row>
    <row r="130" spans="1:6" ht="16.5" thickBot="1">
      <c r="A130" s="1">
        <v>57</v>
      </c>
      <c r="B130" s="2">
        <v>1.68</v>
      </c>
      <c r="C130" s="3">
        <f t="shared" si="9"/>
        <v>20.195578231292519</v>
      </c>
      <c r="E130" s="14">
        <v>30.5</v>
      </c>
      <c r="F130" s="14">
        <f t="shared" si="11"/>
        <v>1.0133826103741148E-2</v>
      </c>
    </row>
    <row r="131" spans="1:6" ht="16.5" thickBot="1">
      <c r="A131" s="1">
        <v>65</v>
      </c>
      <c r="B131" s="2">
        <v>1.67</v>
      </c>
      <c r="C131" s="3">
        <f t="shared" ref="C131:C172" si="12">A131/(B131^2)</f>
        <v>23.306680053067517</v>
      </c>
      <c r="E131" s="14">
        <v>30.75</v>
      </c>
      <c r="F131" s="14">
        <f t="shared" si="11"/>
        <v>8.8599049409110262E-3</v>
      </c>
    </row>
    <row r="132" spans="1:6" ht="16.5" thickBot="1">
      <c r="A132" s="1">
        <v>93</v>
      </c>
      <c r="B132" s="2">
        <v>1.75</v>
      </c>
      <c r="C132" s="3">
        <f t="shared" si="12"/>
        <v>30.367346938775512</v>
      </c>
      <c r="E132" s="14">
        <v>31</v>
      </c>
      <c r="F132" s="14">
        <f t="shared" si="11"/>
        <v>7.7163856735889772E-3</v>
      </c>
    </row>
    <row r="133" spans="1:6" ht="16.5" thickBot="1">
      <c r="A133" s="1">
        <v>57</v>
      </c>
      <c r="B133" s="2">
        <v>1.71</v>
      </c>
      <c r="C133" s="3">
        <f t="shared" si="12"/>
        <v>19.493177387914233</v>
      </c>
      <c r="E133" s="14">
        <v>31.25</v>
      </c>
      <c r="F133" s="14">
        <f t="shared" si="11"/>
        <v>6.6946524962300264E-3</v>
      </c>
    </row>
    <row r="134" spans="1:6" ht="16.5" thickBot="1">
      <c r="A134" s="1">
        <v>60</v>
      </c>
      <c r="B134" s="2">
        <v>1.64</v>
      </c>
      <c r="C134" s="3">
        <f t="shared" si="12"/>
        <v>22.308149910767405</v>
      </c>
      <c r="E134" s="14">
        <v>31.5</v>
      </c>
      <c r="F134" s="14">
        <f t="shared" si="11"/>
        <v>5.7859063557047187E-3</v>
      </c>
    </row>
    <row r="135" spans="1:6" ht="16.5" thickBot="1">
      <c r="A135" s="1">
        <v>73</v>
      </c>
      <c r="B135" s="2">
        <v>1.76</v>
      </c>
      <c r="C135" s="3">
        <f t="shared" si="12"/>
        <v>23.566632231404959</v>
      </c>
      <c r="E135" s="14">
        <v>31.75</v>
      </c>
      <c r="F135" s="14">
        <f t="shared" si="11"/>
        <v>4.9813150592380321E-3</v>
      </c>
    </row>
    <row r="136" spans="1:6" ht="16.5" thickBot="1">
      <c r="A136" s="1">
        <v>74</v>
      </c>
      <c r="B136" s="2">
        <v>1.77</v>
      </c>
      <c r="C136" s="3">
        <f t="shared" si="12"/>
        <v>23.620287912158062</v>
      </c>
      <c r="E136" s="14">
        <v>32</v>
      </c>
      <c r="F136" s="14">
        <f t="shared" ref="F136:F167" si="13">NORMDIST(E136,$R$4,$R$6,0)</f>
        <v>4.2721438778025953E-3</v>
      </c>
    </row>
    <row r="137" spans="1:6" ht="16.5" thickBot="1">
      <c r="A137" s="1">
        <v>81</v>
      </c>
      <c r="B137" s="2">
        <v>1.8</v>
      </c>
      <c r="C137" s="3">
        <f t="shared" si="12"/>
        <v>25</v>
      </c>
      <c r="E137" s="14">
        <v>32.25</v>
      </c>
      <c r="F137" s="14">
        <f t="shared" si="13"/>
        <v>3.6498664940508084E-3</v>
      </c>
    </row>
    <row r="138" spans="1:6" ht="16.5" thickBot="1">
      <c r="A138" s="1">
        <v>70</v>
      </c>
      <c r="B138" s="2">
        <v>1.8</v>
      </c>
      <c r="C138" s="3">
        <f t="shared" si="12"/>
        <v>21.604938271604937</v>
      </c>
      <c r="E138" s="14">
        <v>32.5</v>
      </c>
      <c r="F138" s="14">
        <f t="shared" si="13"/>
        <v>3.1062566543345067E-3</v>
      </c>
    </row>
    <row r="139" spans="1:6" ht="16.5" thickBot="1">
      <c r="A139" s="1">
        <v>75</v>
      </c>
      <c r="B139" s="2">
        <v>1.75</v>
      </c>
      <c r="C139" s="3">
        <f t="shared" si="12"/>
        <v>24.489795918367346</v>
      </c>
      <c r="E139" s="14">
        <v>32.75</v>
      </c>
      <c r="F139" s="14">
        <f t="shared" si="13"/>
        <v>2.6334613137850367E-3</v>
      </c>
    </row>
    <row r="140" spans="1:6" ht="16.5" thickBot="1">
      <c r="A140" s="1">
        <v>45</v>
      </c>
      <c r="B140" s="2">
        <v>1.61</v>
      </c>
      <c r="C140" s="3">
        <f t="shared" si="12"/>
        <v>17.360441340997646</v>
      </c>
      <c r="E140" s="14">
        <v>33</v>
      </c>
      <c r="F140" s="14">
        <f t="shared" si="13"/>
        <v>2.2240564094687431E-3</v>
      </c>
    </row>
    <row r="141" spans="1:6" ht="16.5" thickBot="1">
      <c r="A141" s="1">
        <v>69</v>
      </c>
      <c r="B141" s="2">
        <v>1.75</v>
      </c>
      <c r="C141" s="3">
        <f t="shared" si="12"/>
        <v>22.530612244897959</v>
      </c>
      <c r="E141" s="14">
        <v>33.25</v>
      </c>
      <c r="F141" s="14">
        <f t="shared" si="13"/>
        <v>1.8710866602382518E-3</v>
      </c>
    </row>
    <row r="142" spans="1:6" ht="16.5" thickBot="1">
      <c r="A142" s="1">
        <v>52</v>
      </c>
      <c r="B142" s="2">
        <v>1.7</v>
      </c>
      <c r="C142" s="3">
        <f t="shared" si="12"/>
        <v>17.993079584775089</v>
      </c>
      <c r="E142" s="14">
        <v>33.5</v>
      </c>
      <c r="F142" s="14">
        <f t="shared" si="13"/>
        <v>1.5680909767914685E-3</v>
      </c>
    </row>
    <row r="143" spans="1:6" ht="16.5" thickBot="1">
      <c r="A143" s="1">
        <v>56</v>
      </c>
      <c r="B143" s="2">
        <v>1.68</v>
      </c>
      <c r="C143" s="3">
        <f t="shared" si="12"/>
        <v>19.841269841269845</v>
      </c>
      <c r="E143" s="14">
        <v>33.75</v>
      </c>
      <c r="F143" s="14">
        <f t="shared" si="13"/>
        <v>1.3091151775769258E-3</v>
      </c>
    </row>
    <row r="144" spans="1:6" ht="16.5" thickBot="1">
      <c r="A144" s="1">
        <v>62</v>
      </c>
      <c r="B144" s="2">
        <v>1.72</v>
      </c>
      <c r="C144" s="3">
        <f t="shared" si="12"/>
        <v>20.957274202271499</v>
      </c>
      <c r="E144" s="14">
        <v>34</v>
      </c>
      <c r="F144" s="14">
        <f t="shared" si="13"/>
        <v>1.0887137531556742E-3</v>
      </c>
    </row>
    <row r="145" spans="1:6" ht="16.5" thickBot="1">
      <c r="A145" s="1">
        <v>55</v>
      </c>
      <c r="B145" s="2">
        <v>1.55</v>
      </c>
      <c r="C145" s="3">
        <f t="shared" si="12"/>
        <v>22.892819979188342</v>
      </c>
      <c r="E145" s="14">
        <v>34.25</v>
      </c>
      <c r="F145" s="14">
        <f t="shared" si="13"/>
        <v>9.019424121680668E-4</v>
      </c>
    </row>
    <row r="146" spans="1:6" ht="16.5" thickBot="1">
      <c r="A146" s="1">
        <v>59</v>
      </c>
      <c r="B146" s="2">
        <v>1.75</v>
      </c>
      <c r="C146" s="3">
        <f t="shared" si="12"/>
        <v>19.26530612244898</v>
      </c>
      <c r="E146" s="14">
        <v>34.5</v>
      </c>
      <c r="F146" s="14">
        <f t="shared" si="13"/>
        <v>7.4434308548102315E-4</v>
      </c>
    </row>
    <row r="147" spans="1:6" ht="16.5" thickBot="1">
      <c r="A147" s="1">
        <v>48</v>
      </c>
      <c r="B147" s="2">
        <v>1.6</v>
      </c>
      <c r="C147" s="3">
        <f t="shared" si="12"/>
        <v>18.749999999999996</v>
      </c>
      <c r="E147" s="14">
        <v>34.75</v>
      </c>
      <c r="F147" s="14">
        <f t="shared" si="13"/>
        <v>6.1192297087555767E-4</v>
      </c>
    </row>
    <row r="148" spans="1:6" ht="16.5" thickBot="1">
      <c r="A148" s="1">
        <v>50</v>
      </c>
      <c r="B148" s="2">
        <v>1.64</v>
      </c>
      <c r="C148" s="3">
        <f t="shared" si="12"/>
        <v>18.590124925639504</v>
      </c>
      <c r="E148" s="14">
        <v>35</v>
      </c>
      <c r="F148" s="14">
        <f t="shared" si="13"/>
        <v>5.0112907800088007E-4</v>
      </c>
    </row>
    <row r="149" spans="1:6" ht="16.5" thickBot="1">
      <c r="A149" s="1">
        <v>64</v>
      </c>
      <c r="B149" s="2">
        <v>1.65</v>
      </c>
      <c r="C149" s="3">
        <f t="shared" si="12"/>
        <v>23.507805325987146</v>
      </c>
      <c r="E149" s="14">
        <v>35.25</v>
      </c>
      <c r="F149" s="14">
        <f t="shared" si="13"/>
        <v>4.0881959093876856E-4</v>
      </c>
    </row>
    <row r="150" spans="1:6" ht="16.5" thickBot="1">
      <c r="A150" s="1">
        <v>50</v>
      </c>
      <c r="B150" s="2">
        <v>1.68</v>
      </c>
      <c r="C150" s="3">
        <f t="shared" si="12"/>
        <v>17.715419501133791</v>
      </c>
      <c r="E150" s="14">
        <v>35.5</v>
      </c>
      <c r="F150" s="14">
        <f t="shared" si="13"/>
        <v>3.3223321146426898E-4</v>
      </c>
    </row>
    <row r="151" spans="1:6" ht="16.5" thickBot="1">
      <c r="A151" s="1">
        <v>94</v>
      </c>
      <c r="B151" s="2">
        <v>1.79</v>
      </c>
      <c r="C151" s="3">
        <f t="shared" si="12"/>
        <v>29.337411441590461</v>
      </c>
      <c r="E151" s="14">
        <v>35.75</v>
      </c>
      <c r="F151" s="14">
        <f t="shared" si="13"/>
        <v>2.6895748687103042E-4</v>
      </c>
    </row>
    <row r="152" spans="1:6" ht="16.5" thickBot="1">
      <c r="A152" s="1">
        <v>93</v>
      </c>
      <c r="B152" s="2">
        <v>1.86</v>
      </c>
      <c r="C152" s="3">
        <f t="shared" si="12"/>
        <v>26.881720430107524</v>
      </c>
      <c r="E152" s="14">
        <v>36</v>
      </c>
      <c r="F152" s="14">
        <f t="shared" si="13"/>
        <v>2.1689696791251124E-4</v>
      </c>
    </row>
    <row r="153" spans="1:6" ht="16.5" thickBot="1">
      <c r="A153" s="1">
        <v>58</v>
      </c>
      <c r="B153" s="2">
        <v>1.69</v>
      </c>
      <c r="C153" s="3">
        <f t="shared" si="12"/>
        <v>20.307412205454995</v>
      </c>
      <c r="E153" s="14">
        <v>36.25</v>
      </c>
      <c r="F153" s="14">
        <f t="shared" si="13"/>
        <v>1.7424188976517373E-4</v>
      </c>
    </row>
    <row r="154" spans="1:6" ht="16.5" thickBot="1">
      <c r="A154" s="1">
        <v>65</v>
      </c>
      <c r="B154" s="2">
        <v>1.68</v>
      </c>
      <c r="C154" s="3">
        <f t="shared" si="12"/>
        <v>23.030045351473927</v>
      </c>
      <c r="E154" s="14">
        <v>36.5</v>
      </c>
      <c r="F154" s="14">
        <f t="shared" si="13"/>
        <v>1.3943792564549861E-4</v>
      </c>
    </row>
    <row r="155" spans="1:6" ht="16.5" thickBot="1">
      <c r="A155" s="1">
        <v>55</v>
      </c>
      <c r="B155" s="2">
        <v>1.74</v>
      </c>
      <c r="C155" s="3">
        <f t="shared" si="12"/>
        <v>18.166204254194742</v>
      </c>
      <c r="E155" s="14">
        <v>36.75</v>
      </c>
      <c r="F155" s="14">
        <f t="shared" si="13"/>
        <v>1.1115743149363557E-4</v>
      </c>
    </row>
    <row r="156" spans="1:6" ht="16.5" thickBot="1">
      <c r="A156" s="1">
        <v>64</v>
      </c>
      <c r="B156" s="2">
        <v>1.67</v>
      </c>
      <c r="C156" s="3">
        <f t="shared" si="12"/>
        <v>22.948115744558788</v>
      </c>
      <c r="E156" s="14">
        <v>37</v>
      </c>
      <c r="F156" s="14">
        <f t="shared" si="13"/>
        <v>8.8272482731957541E-5</v>
      </c>
    </row>
    <row r="157" spans="1:6" ht="16.5" thickBot="1">
      <c r="A157" s="1">
        <v>62</v>
      </c>
      <c r="B157" s="2">
        <v>1.67</v>
      </c>
      <c r="C157" s="3">
        <f t="shared" si="12"/>
        <v>22.230987127541326</v>
      </c>
      <c r="E157" s="14">
        <v>37.25</v>
      </c>
      <c r="F157" s="14">
        <f t="shared" si="13"/>
        <v>6.9829901461306709E-5</v>
      </c>
    </row>
    <row r="158" spans="1:6" ht="16.5" thickBot="1">
      <c r="A158" s="1">
        <v>50</v>
      </c>
      <c r="B158" s="2">
        <v>1.64</v>
      </c>
      <c r="C158" s="3">
        <f t="shared" si="12"/>
        <v>18.590124925639504</v>
      </c>
      <c r="E158" s="14">
        <v>37.5</v>
      </c>
      <c r="F158" s="14">
        <f t="shared" si="13"/>
        <v>5.502838482393015E-5</v>
      </c>
    </row>
    <row r="159" spans="1:6" ht="16.5" thickBot="1">
      <c r="A159" s="1">
        <v>56</v>
      </c>
      <c r="B159" s="2">
        <v>1.69</v>
      </c>
      <c r="C159" s="3">
        <f t="shared" si="12"/>
        <v>19.607156612163443</v>
      </c>
      <c r="E159" s="14">
        <v>37.75</v>
      </c>
      <c r="F159" s="14">
        <f t="shared" si="13"/>
        <v>4.3197772327951999E-5</v>
      </c>
    </row>
    <row r="160" spans="1:6" ht="16.5" thickBot="1">
      <c r="A160" s="1">
        <v>91</v>
      </c>
      <c r="B160" s="2">
        <v>1.82</v>
      </c>
      <c r="C160" s="3">
        <f t="shared" si="12"/>
        <v>27.472527472527471</v>
      </c>
      <c r="E160" s="14">
        <v>38</v>
      </c>
      <c r="F160" s="14">
        <f t="shared" si="13"/>
        <v>3.3780430941971227E-5</v>
      </c>
    </row>
    <row r="161" spans="1:6" ht="16.5" thickBot="1">
      <c r="A161" s="1">
        <v>90</v>
      </c>
      <c r="B161" s="2">
        <v>1.75</v>
      </c>
      <c r="C161" s="3">
        <f t="shared" si="12"/>
        <v>29.387755102040817</v>
      </c>
      <c r="E161" s="14">
        <v>38.25</v>
      </c>
      <c r="F161" s="14">
        <f t="shared" si="13"/>
        <v>2.6314690656409605E-5</v>
      </c>
    </row>
    <row r="162" spans="1:6" ht="16.5" thickBot="1">
      <c r="A162" s="1">
        <v>60</v>
      </c>
      <c r="B162" s="2">
        <v>1.73</v>
      </c>
      <c r="C162" s="3">
        <f t="shared" si="12"/>
        <v>20.047445621303751</v>
      </c>
      <c r="E162" s="14">
        <v>38.5</v>
      </c>
      <c r="F162" s="14">
        <f t="shared" si="13"/>
        <v>2.0420228681913078E-5</v>
      </c>
    </row>
    <row r="163" spans="1:6" ht="16.5" thickBot="1">
      <c r="A163" s="1">
        <v>70</v>
      </c>
      <c r="B163" s="2">
        <v>1.79</v>
      </c>
      <c r="C163" s="3">
        <f t="shared" si="12"/>
        <v>21.847008520333322</v>
      </c>
      <c r="E163" s="14">
        <v>38.75</v>
      </c>
      <c r="F163" s="14">
        <f t="shared" si="13"/>
        <v>1.5785276104059299E-5</v>
      </c>
    </row>
    <row r="164" spans="1:6" ht="16.5" thickBot="1">
      <c r="A164" s="1">
        <v>60</v>
      </c>
      <c r="B164" s="2">
        <v>1.76</v>
      </c>
      <c r="C164" s="3">
        <f t="shared" si="12"/>
        <v>19.369834710743802</v>
      </c>
      <c r="E164" s="14">
        <v>39</v>
      </c>
      <c r="F164" s="14">
        <f t="shared" si="13"/>
        <v>1.2155505184367144E-5</v>
      </c>
    </row>
    <row r="165" spans="1:6" ht="16.5" thickBot="1">
      <c r="A165" s="1">
        <v>95</v>
      </c>
      <c r="B165" s="2">
        <v>1.9</v>
      </c>
      <c r="C165" s="3">
        <f t="shared" si="12"/>
        <v>26.315789473684212</v>
      </c>
      <c r="E165" s="14">
        <v>39.25</v>
      </c>
      <c r="F165" s="14">
        <f t="shared" si="13"/>
        <v>9.3244471570509388E-6</v>
      </c>
    </row>
    <row r="166" spans="1:6" ht="16.5" thickBot="1">
      <c r="A166" s="1">
        <v>60</v>
      </c>
      <c r="B166" s="2">
        <v>1.7</v>
      </c>
      <c r="C166" s="3">
        <f t="shared" si="12"/>
        <v>20.761245674740486</v>
      </c>
      <c r="E166" s="14">
        <v>39.5</v>
      </c>
      <c r="F166" s="14">
        <f t="shared" si="13"/>
        <v>7.1252879552928276E-6</v>
      </c>
    </row>
    <row r="167" spans="1:6" ht="16.5" thickBot="1">
      <c r="A167" s="1">
        <v>70</v>
      </c>
      <c r="B167" s="2">
        <v>1.67</v>
      </c>
      <c r="C167" s="3">
        <f t="shared" si="12"/>
        <v>25.099501595611173</v>
      </c>
      <c r="E167" s="14">
        <v>39.75</v>
      </c>
      <c r="F167" s="14">
        <f t="shared" si="13"/>
        <v>5.423891550781586E-6</v>
      </c>
    </row>
    <row r="168" spans="1:6" ht="16.5" thickBot="1">
      <c r="A168" s="1">
        <v>59</v>
      </c>
      <c r="B168" s="2">
        <v>1.7</v>
      </c>
      <c r="C168" s="3">
        <f t="shared" si="12"/>
        <v>20.415224913494811</v>
      </c>
      <c r="E168" s="14">
        <v>40</v>
      </c>
      <c r="F168" s="14">
        <f t="shared" ref="F168" si="14">NORMDIST(E168,$R$4,$R$6,0)</f>
        <v>4.1129063744150136E-6</v>
      </c>
    </row>
    <row r="169" spans="1:6" ht="16.5" thickBot="1">
      <c r="A169" s="1">
        <v>56</v>
      </c>
      <c r="B169" s="2">
        <v>1.77</v>
      </c>
      <c r="C169" s="3">
        <f t="shared" si="12"/>
        <v>17.874812474065561</v>
      </c>
    </row>
    <row r="170" spans="1:6" ht="16.5" thickBot="1">
      <c r="A170" s="1">
        <v>45</v>
      </c>
      <c r="B170" s="2">
        <v>1.69</v>
      </c>
      <c r="C170" s="3">
        <f t="shared" si="12"/>
        <v>15.755750849059909</v>
      </c>
    </row>
    <row r="171" spans="1:6" ht="16.5" thickBot="1">
      <c r="A171" s="1">
        <v>50</v>
      </c>
      <c r="B171" s="2">
        <v>1.7</v>
      </c>
      <c r="C171" s="3">
        <f t="shared" si="12"/>
        <v>17.301038062283737</v>
      </c>
    </row>
    <row r="172" spans="1:6" ht="16.5" thickBot="1">
      <c r="A172" s="1">
        <v>60</v>
      </c>
      <c r="B172" s="2">
        <v>1.58</v>
      </c>
      <c r="C172" s="3">
        <f t="shared" si="12"/>
        <v>24.034609838166958</v>
      </c>
    </row>
    <row r="174" spans="1:6">
      <c r="B174" t="s">
        <v>18</v>
      </c>
      <c r="C174">
        <f>MIN(C2:C172)</f>
        <v>15.615704937537183</v>
      </c>
    </row>
    <row r="175" spans="1:6">
      <c r="B175" t="s">
        <v>19</v>
      </c>
      <c r="C175">
        <f>MAX(C2:C172)</f>
        <v>38.568298027757486</v>
      </c>
    </row>
    <row r="177" spans="2:3">
      <c r="B177" t="s">
        <v>20</v>
      </c>
      <c r="C177">
        <f>AVERAGE(C2:C172)</f>
        <v>21.93106695444741</v>
      </c>
    </row>
    <row r="178" spans="2:3">
      <c r="B178" t="s">
        <v>21</v>
      </c>
      <c r="C178">
        <f>R6*2/(R3)^0.5</f>
        <v>0.61646472955572962</v>
      </c>
    </row>
  </sheetData>
  <hyperlinks>
    <hyperlink ref="I27" r:id="rId1" tooltip="Ожирение" display="https://ru.wikipedia.org/wiki/%D0%9E%D0%B6%D0%B8%D1%80%D0%B5%D0%BD%D0%B8%D0%B5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68"/>
  <sheetViews>
    <sheetView workbookViewId="0">
      <selection activeCell="A93" sqref="A93"/>
    </sheetView>
  </sheetViews>
  <sheetFormatPr defaultRowHeight="15"/>
  <cols>
    <col min="1" max="2" width="11.85546875" customWidth="1"/>
    <col min="6" max="6" width="11" bestFit="1" customWidth="1"/>
  </cols>
  <sheetData>
    <row r="1" spans="1:17" ht="16.5" thickBot="1">
      <c r="A1" s="3" t="s">
        <v>1</v>
      </c>
      <c r="B1" s="12" t="s">
        <v>2</v>
      </c>
      <c r="C1" s="3" t="s">
        <v>3</v>
      </c>
      <c r="E1" s="11">
        <v>16</v>
      </c>
      <c r="F1" s="11">
        <v>18</v>
      </c>
      <c r="G1" s="11">
        <v>20</v>
      </c>
      <c r="H1" s="11">
        <v>22</v>
      </c>
      <c r="I1" s="11">
        <v>24</v>
      </c>
      <c r="J1" s="11">
        <v>26</v>
      </c>
      <c r="K1" s="11">
        <v>28</v>
      </c>
      <c r="L1" s="11">
        <v>30</v>
      </c>
      <c r="M1" s="11">
        <v>32</v>
      </c>
      <c r="N1" s="11">
        <v>34</v>
      </c>
    </row>
    <row r="2" spans="1:17" ht="16.5" thickBot="1">
      <c r="A2" s="3">
        <v>53</v>
      </c>
      <c r="B2" s="12">
        <v>1.64</v>
      </c>
      <c r="C2" s="3">
        <f>A2/(B2^2)</f>
        <v>19.705532421177875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7" ht="16.5" thickBot="1">
      <c r="A3" s="3">
        <v>49</v>
      </c>
      <c r="B3" s="12">
        <v>1.65</v>
      </c>
      <c r="C3" s="3">
        <f t="shared" ref="C3:C66" si="0">A3/(B3^2)</f>
        <v>17.998163452708908</v>
      </c>
      <c r="E3" s="5">
        <f>COUNTIFS($C$2:$C$88,"&gt;15",$C$2:$C$88,"&lt;17")</f>
        <v>3</v>
      </c>
      <c r="F3" s="5">
        <f>COUNTIFS($C$2:$C$88,"&gt;17",$C$2:$C$88,"&lt;19")</f>
        <v>16</v>
      </c>
      <c r="G3" s="5">
        <f>COUNTIFS($C$2:$C$88,"&gt;19",$C$2:$C$88,"&lt;21")</f>
        <v>31</v>
      </c>
      <c r="H3" s="5">
        <f>COUNTIFS($C$2:$C$88,"&gt;21",$C$2:$C$88,"&lt;23")</f>
        <v>16</v>
      </c>
      <c r="I3" s="5">
        <f>COUNTIFS($C$2:$C$88,"&gt;23",$C$2:$C$88,"&lt;25")</f>
        <v>16</v>
      </c>
      <c r="J3" s="5">
        <f>COUNTIFS($C$2:$C$88,"&gt;25",$C$2:$C$88,"&lt;27")</f>
        <v>0</v>
      </c>
      <c r="K3" s="5">
        <f>COUNTIFS($C$2:$C$88,"&gt;27",$C$2:$C$88,"&lt;29")</f>
        <v>4</v>
      </c>
      <c r="L3" s="5">
        <f>COUNTIFS($C$2:$C$88,"&gt;29",$C$2:$C$88,"&lt;31")</f>
        <v>0</v>
      </c>
      <c r="M3" s="5">
        <f>COUNTIFS($C$2:$C$88,"&gt;31",$C$2:$C$88,"&lt;33")</f>
        <v>1</v>
      </c>
      <c r="N3" s="6">
        <f>COUNTIFS($C$2:$C$88,"&gt;33",$C$2:$C$88,"&lt;35")</f>
        <v>0</v>
      </c>
      <c r="O3" s="7" t="s">
        <v>14</v>
      </c>
      <c r="P3" s="8">
        <f>SUM(E3:N3)</f>
        <v>87</v>
      </c>
    </row>
    <row r="4" spans="1:17" ht="16.5" thickBot="1">
      <c r="A4" s="3">
        <v>65</v>
      </c>
      <c r="B4" s="12">
        <v>1.67</v>
      </c>
      <c r="C4" s="3">
        <f t="shared" si="0"/>
        <v>23.306680053067517</v>
      </c>
      <c r="E4" s="15">
        <f t="shared" ref="E4:N4" si="1">E3/$P$3</f>
        <v>3.4482758620689655E-2</v>
      </c>
      <c r="F4" s="15">
        <f t="shared" si="1"/>
        <v>0.18390804597701149</v>
      </c>
      <c r="G4" s="15">
        <f t="shared" si="1"/>
        <v>0.35632183908045978</v>
      </c>
      <c r="H4" s="15">
        <f t="shared" si="1"/>
        <v>0.18390804597701149</v>
      </c>
      <c r="I4" s="15">
        <f t="shared" si="1"/>
        <v>0.18390804597701149</v>
      </c>
      <c r="J4" s="15">
        <f t="shared" si="1"/>
        <v>0</v>
      </c>
      <c r="K4" s="15">
        <f t="shared" si="1"/>
        <v>4.5977011494252873E-2</v>
      </c>
      <c r="L4" s="15">
        <f t="shared" si="1"/>
        <v>0</v>
      </c>
      <c r="M4" s="15">
        <f t="shared" si="1"/>
        <v>1.1494252873563218E-2</v>
      </c>
      <c r="N4" s="16">
        <f t="shared" si="1"/>
        <v>0</v>
      </c>
      <c r="O4" s="9" t="s">
        <v>15</v>
      </c>
      <c r="P4" s="10">
        <f>SUMPRODUCT(E1:N1,E4:N4)</f>
        <v>21.103448275862068</v>
      </c>
    </row>
    <row r="5" spans="1:17" ht="16.5" thickBot="1">
      <c r="A5" s="3">
        <v>57</v>
      </c>
      <c r="B5" s="12">
        <v>1.7</v>
      </c>
      <c r="C5" s="3">
        <f t="shared" si="0"/>
        <v>19.723183391003463</v>
      </c>
      <c r="D5" t="s">
        <v>22</v>
      </c>
      <c r="E5" s="15">
        <f>E4/2</f>
        <v>1.7241379310344827E-2</v>
      </c>
      <c r="F5" s="15">
        <f t="shared" ref="F5:N5" si="2">F4/2</f>
        <v>9.1954022988505746E-2</v>
      </c>
      <c r="G5" s="15">
        <f t="shared" si="2"/>
        <v>0.17816091954022989</v>
      </c>
      <c r="H5" s="15">
        <f t="shared" si="2"/>
        <v>9.1954022988505746E-2</v>
      </c>
      <c r="I5" s="15">
        <f t="shared" si="2"/>
        <v>9.1954022988505746E-2</v>
      </c>
      <c r="J5" s="15">
        <f t="shared" si="2"/>
        <v>0</v>
      </c>
      <c r="K5" s="15">
        <f t="shared" si="2"/>
        <v>2.2988505747126436E-2</v>
      </c>
      <c r="L5" s="15">
        <f t="shared" si="2"/>
        <v>0</v>
      </c>
      <c r="M5" s="15">
        <f t="shared" si="2"/>
        <v>5.7471264367816091E-3</v>
      </c>
      <c r="N5" s="16">
        <f t="shared" si="2"/>
        <v>0</v>
      </c>
      <c r="O5" s="9" t="s">
        <v>16</v>
      </c>
      <c r="P5" s="9">
        <f>SUMPRODUCT(E1:N1^2,E4:N4)-P4^2</f>
        <v>8.3456202933016357</v>
      </c>
      <c r="Q5">
        <f>VAR(C2:C88)</f>
        <v>8.0112011232929436</v>
      </c>
    </row>
    <row r="6" spans="1:17" ht="16.5" thickBot="1">
      <c r="A6" s="3">
        <v>55</v>
      </c>
      <c r="B6" s="12">
        <v>1.67</v>
      </c>
      <c r="C6" s="3">
        <f t="shared" si="0"/>
        <v>19.721036967980208</v>
      </c>
      <c r="O6" s="9" t="s">
        <v>17</v>
      </c>
      <c r="P6" s="9">
        <f>P5^0.5</f>
        <v>2.8888787259595436</v>
      </c>
    </row>
    <row r="7" spans="1:17" ht="16.5" thickBot="1">
      <c r="A7" s="3">
        <v>48</v>
      </c>
      <c r="B7" s="12">
        <v>1.62</v>
      </c>
      <c r="C7" s="3">
        <f t="shared" si="0"/>
        <v>18.289894833104707</v>
      </c>
      <c r="F7" t="s">
        <v>23</v>
      </c>
    </row>
    <row r="8" spans="1:17" ht="16.5" thickBot="1">
      <c r="A8" s="3">
        <v>67</v>
      </c>
      <c r="B8" s="12">
        <v>1.7</v>
      </c>
      <c r="C8" s="3">
        <f t="shared" si="0"/>
        <v>23.183391003460208</v>
      </c>
      <c r="E8" s="14">
        <v>0</v>
      </c>
      <c r="F8" s="14">
        <f>NORMDIST(E8,$P$4,$P$6,0)</f>
        <v>3.5672976612342797E-13</v>
      </c>
    </row>
    <row r="9" spans="1:17" ht="16.5" thickBot="1">
      <c r="A9" s="3">
        <v>58</v>
      </c>
      <c r="B9" s="12">
        <v>1.68</v>
      </c>
      <c r="C9" s="3">
        <f t="shared" si="0"/>
        <v>20.549886621315196</v>
      </c>
      <c r="E9" s="14">
        <v>0.25</v>
      </c>
      <c r="F9" s="14">
        <f t="shared" ref="F9:F72" si="3">NORMDIST(E9,$P$4,$P$6,0)</f>
        <v>6.6874673173986701E-13</v>
      </c>
    </row>
    <row r="10" spans="1:17" ht="16.5" thickBot="1">
      <c r="A10" s="3">
        <v>56</v>
      </c>
      <c r="B10" s="12">
        <v>1.68</v>
      </c>
      <c r="C10" s="3">
        <f t="shared" si="0"/>
        <v>19.841269841269845</v>
      </c>
      <c r="E10" s="14">
        <v>0.5</v>
      </c>
      <c r="F10" s="14">
        <f t="shared" si="3"/>
        <v>1.244318571138449E-12</v>
      </c>
    </row>
    <row r="11" spans="1:17" ht="16.5" thickBot="1">
      <c r="A11" s="3">
        <v>67</v>
      </c>
      <c r="B11" s="12">
        <v>1.67</v>
      </c>
      <c r="C11" s="3">
        <f t="shared" si="0"/>
        <v>24.023808670084982</v>
      </c>
      <c r="E11" s="14">
        <v>0.75</v>
      </c>
      <c r="F11" s="14">
        <f t="shared" si="3"/>
        <v>2.2979950036292942E-12</v>
      </c>
    </row>
    <row r="12" spans="1:17" ht="16.5" thickBot="1">
      <c r="A12" s="3">
        <v>50</v>
      </c>
      <c r="B12" s="12">
        <v>1.6</v>
      </c>
      <c r="C12" s="3">
        <f t="shared" si="0"/>
        <v>19.531249999999996</v>
      </c>
      <c r="E12" s="14">
        <v>1</v>
      </c>
      <c r="F12" s="14">
        <f t="shared" si="3"/>
        <v>4.2122502442565991E-12</v>
      </c>
    </row>
    <row r="13" spans="1:17" ht="16.5" thickBot="1">
      <c r="A13" s="3">
        <v>53</v>
      </c>
      <c r="B13" s="12">
        <v>1.69</v>
      </c>
      <c r="C13" s="3">
        <f t="shared" si="0"/>
        <v>18.556773222226116</v>
      </c>
      <c r="E13" s="14">
        <v>1.25</v>
      </c>
      <c r="F13" s="14">
        <f t="shared" si="3"/>
        <v>7.6634942353265851E-12</v>
      </c>
    </row>
    <row r="14" spans="1:17" ht="16.5" thickBot="1">
      <c r="A14" s="3">
        <v>47</v>
      </c>
      <c r="B14" s="12">
        <v>1.6</v>
      </c>
      <c r="C14" s="3">
        <f t="shared" si="0"/>
        <v>18.359374999999996</v>
      </c>
      <c r="E14" s="14">
        <v>1.5</v>
      </c>
      <c r="F14" s="14">
        <f t="shared" si="3"/>
        <v>1.3838438652828674E-11</v>
      </c>
    </row>
    <row r="15" spans="1:17" ht="16.5" thickBot="1">
      <c r="A15" s="3">
        <v>67</v>
      </c>
      <c r="B15" s="12">
        <v>1.76</v>
      </c>
      <c r="C15" s="3">
        <f t="shared" si="0"/>
        <v>21.629648760330578</v>
      </c>
      <c r="E15" s="14">
        <v>1.75</v>
      </c>
      <c r="F15" s="14">
        <f t="shared" si="3"/>
        <v>2.4802470253302151E-11</v>
      </c>
    </row>
    <row r="16" spans="1:17" ht="16.5" thickBot="1">
      <c r="A16" s="3">
        <v>55</v>
      </c>
      <c r="B16" s="12">
        <v>1.75</v>
      </c>
      <c r="C16" s="3">
        <f t="shared" si="0"/>
        <v>17.959183673469386</v>
      </c>
      <c r="E16" s="14">
        <v>2</v>
      </c>
      <c r="F16" s="14">
        <f t="shared" si="3"/>
        <v>4.4121510177178647E-11</v>
      </c>
    </row>
    <row r="17" spans="1:13" ht="16.5" thickBot="1">
      <c r="A17" s="3">
        <v>67</v>
      </c>
      <c r="B17" s="12">
        <v>1.78</v>
      </c>
      <c r="C17" s="3">
        <f t="shared" si="0"/>
        <v>21.146319909102385</v>
      </c>
      <c r="E17" s="14">
        <v>2.25</v>
      </c>
      <c r="F17" s="14">
        <f t="shared" si="3"/>
        <v>7.7902857363755258E-11</v>
      </c>
    </row>
    <row r="18" spans="1:13" ht="16.5" thickBot="1">
      <c r="A18" s="3">
        <v>71</v>
      </c>
      <c r="B18" s="12">
        <v>1.79</v>
      </c>
      <c r="C18" s="3">
        <f t="shared" si="0"/>
        <v>22.15910864205237</v>
      </c>
      <c r="E18" s="14">
        <v>2.5</v>
      </c>
      <c r="F18" s="14">
        <f t="shared" si="3"/>
        <v>1.3652242454634485E-10</v>
      </c>
    </row>
    <row r="19" spans="1:13" ht="16.5" thickBot="1">
      <c r="A19" s="3">
        <v>67</v>
      </c>
      <c r="B19" s="12">
        <v>1.75</v>
      </c>
      <c r="C19" s="3">
        <f t="shared" si="0"/>
        <v>21.877551020408163</v>
      </c>
      <c r="E19" s="14">
        <v>2.75</v>
      </c>
      <c r="F19" s="14">
        <f t="shared" si="3"/>
        <v>2.3746640882160557E-10</v>
      </c>
    </row>
    <row r="20" spans="1:13" ht="16.5" thickBot="1">
      <c r="A20" s="3">
        <v>68</v>
      </c>
      <c r="B20" s="12">
        <v>1.85</v>
      </c>
      <c r="C20" s="3">
        <f t="shared" si="0"/>
        <v>19.86851716581446</v>
      </c>
      <c r="E20" s="14">
        <v>3</v>
      </c>
      <c r="F20" s="14">
        <f t="shared" si="3"/>
        <v>4.0996611597606407E-10</v>
      </c>
    </row>
    <row r="21" spans="1:13" ht="16.5" thickBot="1">
      <c r="A21" s="3">
        <v>59</v>
      </c>
      <c r="B21" s="12">
        <v>1.69</v>
      </c>
      <c r="C21" s="3">
        <f t="shared" si="0"/>
        <v>20.65754000210077</v>
      </c>
      <c r="E21" s="14">
        <v>3.25</v>
      </c>
      <c r="F21" s="14">
        <f t="shared" si="3"/>
        <v>7.0249191321010903E-10</v>
      </c>
    </row>
    <row r="22" spans="1:13" ht="16.5" thickBot="1">
      <c r="A22" s="3">
        <v>59</v>
      </c>
      <c r="B22" s="12">
        <v>1.6</v>
      </c>
      <c r="C22" s="3">
        <f t="shared" si="0"/>
        <v>23.046874999999996</v>
      </c>
      <c r="E22" s="14">
        <v>3.5</v>
      </c>
      <c r="F22" s="14">
        <f t="shared" si="3"/>
        <v>1.1947644226270782E-9</v>
      </c>
    </row>
    <row r="23" spans="1:13" ht="16.5" thickBot="1">
      <c r="A23" s="3">
        <v>65</v>
      </c>
      <c r="B23" s="12">
        <v>1.72</v>
      </c>
      <c r="C23" s="3">
        <f t="shared" si="0"/>
        <v>21.971335857220122</v>
      </c>
      <c r="E23" s="14">
        <v>3.75</v>
      </c>
      <c r="F23" s="14">
        <f t="shared" si="3"/>
        <v>2.0168370984138424E-9</v>
      </c>
      <c r="H23" s="17" t="s">
        <v>24</v>
      </c>
      <c r="I23" s="18" t="s">
        <v>25</v>
      </c>
      <c r="L23">
        <f>COUNTIF($C$2:$C$88,"&lt;16")</f>
        <v>1</v>
      </c>
      <c r="M23" s="21">
        <f>L23/$P$3</f>
        <v>1.1494252873563218E-2</v>
      </c>
    </row>
    <row r="24" spans="1:13" ht="16.5" thickBot="1">
      <c r="A24" s="3">
        <v>50</v>
      </c>
      <c r="B24" s="12">
        <v>1.61</v>
      </c>
      <c r="C24" s="3">
        <f t="shared" si="0"/>
        <v>19.289379267775161</v>
      </c>
      <c r="E24" s="14">
        <v>4</v>
      </c>
      <c r="F24" s="14">
        <f t="shared" si="3"/>
        <v>3.3791459320451823E-9</v>
      </c>
      <c r="H24" s="19" t="s">
        <v>26</v>
      </c>
      <c r="I24" s="20" t="s">
        <v>27</v>
      </c>
      <c r="L24">
        <f>COUNTIFS($C$2:$C$88,"&gt;16",$C$2:$C$88,"&lt;18,5")</f>
        <v>12</v>
      </c>
      <c r="M24" s="21">
        <f t="shared" ref="M24:M29" si="4">L24/$P$3</f>
        <v>0.13793103448275862</v>
      </c>
    </row>
    <row r="25" spans="1:13" ht="16.5" thickBot="1">
      <c r="A25" s="3">
        <v>55</v>
      </c>
      <c r="B25" s="12">
        <v>1.65</v>
      </c>
      <c r="C25" s="3">
        <f t="shared" si="0"/>
        <v>20.202020202020204</v>
      </c>
      <c r="E25" s="14">
        <v>4.25</v>
      </c>
      <c r="F25" s="14">
        <f t="shared" si="3"/>
        <v>5.6194092349620197E-9</v>
      </c>
      <c r="H25" s="19" t="s">
        <v>28</v>
      </c>
      <c r="I25" s="20" t="s">
        <v>29</v>
      </c>
      <c r="L25">
        <f>COUNTIFS($C$2:$C$88,"&gt;18,5",$C$2:$C$88,"&lt;24,99")</f>
        <v>69</v>
      </c>
      <c r="M25" s="21">
        <f t="shared" si="4"/>
        <v>0.7931034482758621</v>
      </c>
    </row>
    <row r="26" spans="1:13" ht="16.5" thickBot="1">
      <c r="A26" s="3">
        <v>52</v>
      </c>
      <c r="B26" s="12">
        <v>1.6</v>
      </c>
      <c r="C26" s="3">
        <f t="shared" si="0"/>
        <v>20.312499999999996</v>
      </c>
      <c r="E26" s="14">
        <v>4.5</v>
      </c>
      <c r="F26" s="14">
        <f t="shared" si="3"/>
        <v>9.2751717638653401E-9</v>
      </c>
      <c r="H26" s="19" t="s">
        <v>30</v>
      </c>
      <c r="I26" s="20" t="s">
        <v>31</v>
      </c>
      <c r="L26">
        <f>COUNTIFS($C$2:$C$88,"&gt;25",$C$2:$C$88,"&lt;30")</f>
        <v>4</v>
      </c>
      <c r="M26" s="21">
        <f t="shared" si="4"/>
        <v>4.5977011494252873E-2</v>
      </c>
    </row>
    <row r="27" spans="1:13" ht="16.5" thickBot="1">
      <c r="A27" s="3">
        <v>46</v>
      </c>
      <c r="B27" s="12">
        <v>1.56</v>
      </c>
      <c r="C27" s="3">
        <f t="shared" si="0"/>
        <v>18.902038132807363</v>
      </c>
      <c r="E27" s="14">
        <v>4.75</v>
      </c>
      <c r="F27" s="14">
        <f t="shared" si="3"/>
        <v>1.5195005018038824E-8</v>
      </c>
      <c r="H27" s="19" t="s">
        <v>32</v>
      </c>
      <c r="I27" s="20" t="s">
        <v>33</v>
      </c>
      <c r="L27">
        <f>COUNTIFS($C$2:$C$88,"&gt;30",$C$2:$C$88,"&lt;35")</f>
        <v>1</v>
      </c>
      <c r="M27" s="21">
        <f t="shared" si="4"/>
        <v>1.1494252873563218E-2</v>
      </c>
    </row>
    <row r="28" spans="1:13" ht="16.5" thickBot="1">
      <c r="A28" s="3">
        <v>58</v>
      </c>
      <c r="B28" s="12">
        <v>1.6</v>
      </c>
      <c r="C28" s="3">
        <f t="shared" si="0"/>
        <v>22.656249999999996</v>
      </c>
      <c r="E28" s="14">
        <v>5</v>
      </c>
      <c r="F28" s="14">
        <f t="shared" si="3"/>
        <v>2.4707415663584796E-8</v>
      </c>
      <c r="H28" s="19" t="s">
        <v>34</v>
      </c>
      <c r="I28" s="20" t="s">
        <v>35</v>
      </c>
      <c r="L28">
        <f>COUNTIFS($C$2:$C$88,"&gt;35",$C$2:$C$88,"&lt;40")</f>
        <v>0</v>
      </c>
      <c r="M28" s="21">
        <f t="shared" si="4"/>
        <v>0</v>
      </c>
    </row>
    <row r="29" spans="1:13" ht="16.5" thickBot="1">
      <c r="A29" s="3">
        <v>51</v>
      </c>
      <c r="B29" s="12">
        <v>1.75</v>
      </c>
      <c r="C29" s="3">
        <f t="shared" si="0"/>
        <v>16.653061224489797</v>
      </c>
      <c r="E29" s="14">
        <v>5.25</v>
      </c>
      <c r="F29" s="14">
        <f t="shared" si="3"/>
        <v>3.987506300274689E-8</v>
      </c>
      <c r="H29" s="19" t="s">
        <v>36</v>
      </c>
      <c r="I29" s="20" t="s">
        <v>37</v>
      </c>
      <c r="L29">
        <f>COUNTIFS($C$2:$C$88,"&gt;40")</f>
        <v>0</v>
      </c>
      <c r="M29" s="21">
        <f t="shared" si="4"/>
        <v>0</v>
      </c>
    </row>
    <row r="30" spans="1:13" ht="16.5" thickBot="1">
      <c r="A30" s="3">
        <v>55</v>
      </c>
      <c r="B30" s="12">
        <v>1.7</v>
      </c>
      <c r="C30" s="3">
        <f t="shared" si="0"/>
        <v>19.031141868512112</v>
      </c>
      <c r="E30" s="14">
        <v>5.5</v>
      </c>
      <c r="F30" s="14">
        <f t="shared" si="3"/>
        <v>6.3873840539402911E-8</v>
      </c>
      <c r="L30">
        <f>SUM(L23:L29)</f>
        <v>87</v>
      </c>
      <c r="M30" s="21">
        <f>SUM(M23:M29)</f>
        <v>0.99999999999999989</v>
      </c>
    </row>
    <row r="31" spans="1:13" ht="16.5" thickBot="1">
      <c r="A31" s="3">
        <v>45</v>
      </c>
      <c r="B31" s="12">
        <v>1.7</v>
      </c>
      <c r="C31" s="3">
        <f t="shared" si="0"/>
        <v>15.570934256055365</v>
      </c>
      <c r="E31" s="14">
        <v>5.75</v>
      </c>
      <c r="F31" s="14">
        <f t="shared" si="3"/>
        <v>1.0155288462103448E-7</v>
      </c>
    </row>
    <row r="32" spans="1:13" ht="16.5" thickBot="1">
      <c r="A32" s="3">
        <v>70</v>
      </c>
      <c r="B32" s="12">
        <v>1.6</v>
      </c>
      <c r="C32" s="3">
        <f t="shared" si="0"/>
        <v>27.343749999999996</v>
      </c>
      <c r="E32" s="14">
        <v>6</v>
      </c>
      <c r="F32" s="14">
        <f t="shared" si="3"/>
        <v>1.602540763201187E-7</v>
      </c>
    </row>
    <row r="33" spans="1:6" ht="16.5" thickBot="1">
      <c r="A33" s="3">
        <v>55</v>
      </c>
      <c r="B33" s="12">
        <v>1.65</v>
      </c>
      <c r="C33" s="3">
        <f t="shared" si="0"/>
        <v>20.202020202020204</v>
      </c>
      <c r="E33" s="14">
        <v>6.25</v>
      </c>
      <c r="F33" s="14">
        <f t="shared" si="3"/>
        <v>2.5099986816843791E-7</v>
      </c>
    </row>
    <row r="34" spans="1:6" ht="16.5" thickBot="1">
      <c r="A34" s="3">
        <v>53</v>
      </c>
      <c r="B34" s="12">
        <v>1.68</v>
      </c>
      <c r="C34" s="3">
        <f t="shared" si="0"/>
        <v>18.778344671201818</v>
      </c>
      <c r="E34" s="14">
        <v>6.5</v>
      </c>
      <c r="F34" s="14">
        <f t="shared" si="3"/>
        <v>3.9019840364612718E-7</v>
      </c>
    </row>
    <row r="35" spans="1:6" ht="16.5" thickBot="1">
      <c r="A35" s="3">
        <v>49</v>
      </c>
      <c r="B35" s="12">
        <v>1.59</v>
      </c>
      <c r="C35" s="3">
        <f t="shared" si="0"/>
        <v>19.382144693643447</v>
      </c>
      <c r="E35" s="14">
        <v>6.75</v>
      </c>
      <c r="F35" s="14">
        <f t="shared" si="3"/>
        <v>6.0206734161724131E-7</v>
      </c>
    </row>
    <row r="36" spans="1:6" ht="16.5" thickBot="1">
      <c r="A36" s="3">
        <v>55</v>
      </c>
      <c r="B36" s="12">
        <v>1.75</v>
      </c>
      <c r="C36" s="3">
        <f t="shared" si="0"/>
        <v>17.959183673469386</v>
      </c>
      <c r="E36" s="14">
        <v>7</v>
      </c>
      <c r="F36" s="14">
        <f t="shared" si="3"/>
        <v>9.2204525819202012E-7</v>
      </c>
    </row>
    <row r="37" spans="1:6" ht="16.5" thickBot="1">
      <c r="A37" s="3">
        <v>51</v>
      </c>
      <c r="B37" s="12">
        <v>1.57</v>
      </c>
      <c r="C37" s="3">
        <f t="shared" si="0"/>
        <v>20.690494543389182</v>
      </c>
      <c r="E37" s="14">
        <v>7.25</v>
      </c>
      <c r="F37" s="14">
        <f t="shared" si="3"/>
        <v>1.401544831661239E-6</v>
      </c>
    </row>
    <row r="38" spans="1:6" ht="16.5" thickBot="1">
      <c r="A38" s="3">
        <v>65</v>
      </c>
      <c r="B38" s="12">
        <v>1.72</v>
      </c>
      <c r="C38" s="3">
        <f t="shared" si="0"/>
        <v>21.971335857220122</v>
      </c>
      <c r="E38" s="14">
        <v>7.5</v>
      </c>
      <c r="F38" s="14">
        <f t="shared" si="3"/>
        <v>2.1145080194955145E-6</v>
      </c>
    </row>
    <row r="39" spans="1:6" ht="16.5" thickBot="1">
      <c r="A39" s="3">
        <v>56</v>
      </c>
      <c r="B39" s="12">
        <v>1.75</v>
      </c>
      <c r="C39" s="3">
        <f t="shared" si="0"/>
        <v>18.285714285714285</v>
      </c>
      <c r="E39" s="14">
        <v>7.75</v>
      </c>
      <c r="F39" s="14">
        <f t="shared" si="3"/>
        <v>3.1663525288986313E-6</v>
      </c>
    </row>
    <row r="40" spans="1:6" ht="16.5" thickBot="1">
      <c r="A40" s="3">
        <v>75</v>
      </c>
      <c r="B40" s="12">
        <v>1.82</v>
      </c>
      <c r="C40" s="3">
        <f t="shared" si="0"/>
        <v>22.642192971863299</v>
      </c>
      <c r="E40" s="14">
        <v>8</v>
      </c>
      <c r="F40" s="14">
        <f t="shared" si="3"/>
        <v>4.7060526527590045E-6</v>
      </c>
    </row>
    <row r="41" spans="1:6" ht="16.5" thickBot="1">
      <c r="A41" s="3">
        <v>72</v>
      </c>
      <c r="B41" s="12">
        <v>1.76</v>
      </c>
      <c r="C41" s="3">
        <f t="shared" si="0"/>
        <v>23.243801652892564</v>
      </c>
      <c r="E41" s="14">
        <v>8.25</v>
      </c>
      <c r="F41" s="14">
        <f t="shared" si="3"/>
        <v>6.9422761462761896E-6</v>
      </c>
    </row>
    <row r="42" spans="1:6" ht="16.5" thickBot="1">
      <c r="A42" s="3">
        <v>75</v>
      </c>
      <c r="B42" s="12">
        <v>1.74</v>
      </c>
      <c r="C42" s="3">
        <f t="shared" si="0"/>
        <v>24.772096710265558</v>
      </c>
      <c r="E42" s="14">
        <v>8.5</v>
      </c>
      <c r="F42" s="14">
        <f t="shared" si="3"/>
        <v>1.0164700214760988E-5</v>
      </c>
    </row>
    <row r="43" spans="1:6" ht="16.5" thickBot="1">
      <c r="A43" s="3">
        <v>73</v>
      </c>
      <c r="B43" s="12">
        <v>1.76</v>
      </c>
      <c r="C43" s="3">
        <f t="shared" si="0"/>
        <v>23.566632231404959</v>
      </c>
      <c r="E43" s="14">
        <v>8.75</v>
      </c>
      <c r="F43" s="14">
        <f t="shared" si="3"/>
        <v>1.4771848717096236E-5</v>
      </c>
    </row>
    <row r="44" spans="1:6" ht="16.5" thickBot="1">
      <c r="A44" s="3">
        <v>52</v>
      </c>
      <c r="B44" s="12">
        <v>1.67</v>
      </c>
      <c r="C44" s="3">
        <f t="shared" si="0"/>
        <v>18.645344042454013</v>
      </c>
      <c r="E44" s="14">
        <v>9</v>
      </c>
      <c r="F44" s="14">
        <f t="shared" si="3"/>
        <v>2.1307020060799567E-5</v>
      </c>
    </row>
    <row r="45" spans="1:6" ht="16.5" thickBot="1">
      <c r="A45" s="3">
        <v>50</v>
      </c>
      <c r="B45" s="12">
        <v>1.58</v>
      </c>
      <c r="C45" s="3">
        <f t="shared" si="0"/>
        <v>20.028841531805796</v>
      </c>
      <c r="E45" s="14">
        <v>9.25</v>
      </c>
      <c r="F45" s="14">
        <f t="shared" si="3"/>
        <v>3.0504096427966223E-5</v>
      </c>
    </row>
    <row r="46" spans="1:6" ht="16.5" thickBot="1">
      <c r="A46" s="3">
        <v>58</v>
      </c>
      <c r="B46" s="12">
        <v>1.7</v>
      </c>
      <c r="C46" s="3">
        <f t="shared" si="0"/>
        <v>20.069204152249139</v>
      </c>
      <c r="E46" s="14">
        <v>9.5</v>
      </c>
      <c r="F46" s="14">
        <f t="shared" si="3"/>
        <v>4.3345219081113113E-5</v>
      </c>
    </row>
    <row r="47" spans="1:6" ht="16.5" thickBot="1">
      <c r="A47" s="3">
        <v>65</v>
      </c>
      <c r="B47" s="12">
        <v>1.75</v>
      </c>
      <c r="C47" s="3">
        <f t="shared" si="0"/>
        <v>21.224489795918366</v>
      </c>
      <c r="E47" s="14">
        <v>9.75</v>
      </c>
      <c r="F47" s="14">
        <f t="shared" si="3"/>
        <v>6.1132453536286784E-5</v>
      </c>
    </row>
    <row r="48" spans="1:6" ht="16.5" thickBot="1">
      <c r="A48" s="3">
        <v>56</v>
      </c>
      <c r="B48" s="12">
        <v>1.67</v>
      </c>
      <c r="C48" s="3">
        <f t="shared" si="0"/>
        <v>20.07960127648894</v>
      </c>
      <c r="E48" s="14">
        <v>10</v>
      </c>
      <c r="F48" s="14">
        <f t="shared" si="3"/>
        <v>8.5575616665256978E-5</v>
      </c>
    </row>
    <row r="49" spans="1:6" ht="16.5" thickBot="1">
      <c r="A49" s="3">
        <v>55</v>
      </c>
      <c r="B49" s="12">
        <v>1.63</v>
      </c>
      <c r="C49" s="3">
        <f t="shared" si="0"/>
        <v>20.700816741315069</v>
      </c>
      <c r="E49" s="14">
        <v>10.25</v>
      </c>
      <c r="F49" s="14">
        <f t="shared" si="3"/>
        <v>1.1889835202627553E-4</v>
      </c>
    </row>
    <row r="50" spans="1:6" ht="16.5" thickBot="1">
      <c r="A50" s="3">
        <v>55</v>
      </c>
      <c r="B50" s="12">
        <v>1.66</v>
      </c>
      <c r="C50" s="3">
        <f t="shared" si="0"/>
        <v>19.959355494266223</v>
      </c>
      <c r="E50" s="14">
        <v>10.5</v>
      </c>
      <c r="F50" s="14">
        <f t="shared" si="3"/>
        <v>1.6396427001480297E-4</v>
      </c>
    </row>
    <row r="51" spans="1:6" ht="16.5" thickBot="1">
      <c r="A51" s="3">
        <v>62</v>
      </c>
      <c r="B51" s="12">
        <v>1.63</v>
      </c>
      <c r="C51" s="3">
        <f t="shared" si="0"/>
        <v>23.335466144755166</v>
      </c>
      <c r="E51" s="14">
        <v>10.75</v>
      </c>
      <c r="F51" s="14">
        <f t="shared" si="3"/>
        <v>2.244244612807679E-4</v>
      </c>
    </row>
    <row r="52" spans="1:6" ht="16.5" thickBot="1">
      <c r="A52" s="3">
        <v>58</v>
      </c>
      <c r="B52" s="12">
        <v>1.6</v>
      </c>
      <c r="C52" s="3">
        <f t="shared" si="0"/>
        <v>22.656249999999996</v>
      </c>
      <c r="E52" s="14">
        <v>11</v>
      </c>
      <c r="F52" s="14">
        <f t="shared" si="3"/>
        <v>3.0488688960013334E-4</v>
      </c>
    </row>
    <row r="53" spans="1:6" ht="16.5" thickBot="1">
      <c r="A53" s="3">
        <v>64</v>
      </c>
      <c r="B53" s="12">
        <v>1.67</v>
      </c>
      <c r="C53" s="3">
        <f t="shared" si="0"/>
        <v>22.948115744558788</v>
      </c>
      <c r="E53" s="14">
        <v>11.25</v>
      </c>
      <c r="F53" s="14">
        <f t="shared" si="3"/>
        <v>4.1110702205492925E-4</v>
      </c>
    </row>
    <row r="54" spans="1:6" ht="16.5" thickBot="1">
      <c r="A54" s="3">
        <v>78</v>
      </c>
      <c r="B54" s="12">
        <v>1.83</v>
      </c>
      <c r="C54" s="3">
        <f t="shared" si="0"/>
        <v>23.291229956104985</v>
      </c>
      <c r="E54" s="14">
        <v>11.5</v>
      </c>
      <c r="F54" s="14">
        <f t="shared" si="3"/>
        <v>5.5019751817786931E-4</v>
      </c>
    </row>
    <row r="55" spans="1:6" ht="16.5" thickBot="1">
      <c r="A55" s="3">
        <v>87</v>
      </c>
      <c r="B55" s="12">
        <v>1.87</v>
      </c>
      <c r="C55" s="3">
        <f t="shared" si="0"/>
        <v>24.879178701135288</v>
      </c>
      <c r="E55" s="14">
        <v>11.75</v>
      </c>
      <c r="F55" s="14">
        <f t="shared" si="3"/>
        <v>7.3085285191939683E-4</v>
      </c>
    </row>
    <row r="56" spans="1:6" ht="16.5" thickBot="1">
      <c r="A56" s="3">
        <v>73</v>
      </c>
      <c r="B56" s="12">
        <v>1.78</v>
      </c>
      <c r="C56" s="3">
        <f t="shared" si="0"/>
        <v>23.040020199469762</v>
      </c>
      <c r="E56" s="14">
        <v>12</v>
      </c>
      <c r="F56" s="14">
        <f t="shared" si="3"/>
        <v>9.6358238417674352E-4</v>
      </c>
    </row>
    <row r="57" spans="1:6" ht="16.5" thickBot="1">
      <c r="A57" s="3">
        <v>53</v>
      </c>
      <c r="B57" s="12">
        <v>1.75</v>
      </c>
      <c r="C57" s="3">
        <f t="shared" si="0"/>
        <v>17.306122448979593</v>
      </c>
      <c r="E57" s="14">
        <v>12.25</v>
      </c>
      <c r="F57" s="14">
        <f t="shared" si="3"/>
        <v>1.2609426789165867E-3</v>
      </c>
    </row>
    <row r="58" spans="1:6" ht="16.5" thickBot="1">
      <c r="A58" s="3">
        <v>59</v>
      </c>
      <c r="B58" s="12">
        <v>1.66</v>
      </c>
      <c r="C58" s="3">
        <f t="shared" si="0"/>
        <v>21.410944984758313</v>
      </c>
      <c r="E58" s="14">
        <v>12.5</v>
      </c>
      <c r="F58" s="14">
        <f t="shared" si="3"/>
        <v>1.6377568478226621E-3</v>
      </c>
    </row>
    <row r="59" spans="1:6" ht="16.5" thickBot="1">
      <c r="A59" s="3">
        <v>80</v>
      </c>
      <c r="B59" s="12">
        <v>1.7</v>
      </c>
      <c r="C59" s="3">
        <f t="shared" si="0"/>
        <v>27.681660899653981</v>
      </c>
      <c r="E59" s="14">
        <v>12.75</v>
      </c>
      <c r="F59" s="14">
        <f t="shared" si="3"/>
        <v>2.1113055550205477E-3</v>
      </c>
    </row>
    <row r="60" spans="1:6" ht="16.5" thickBot="1">
      <c r="A60" s="3">
        <v>87</v>
      </c>
      <c r="B60" s="12">
        <v>1.9</v>
      </c>
      <c r="C60" s="3">
        <f t="shared" si="0"/>
        <v>24.099722991689752</v>
      </c>
      <c r="E60" s="14">
        <v>13</v>
      </c>
      <c r="F60" s="14">
        <f t="shared" si="3"/>
        <v>2.7014712103197972E-3</v>
      </c>
    </row>
    <row r="61" spans="1:6" ht="16.5" thickBot="1">
      <c r="A61" s="3">
        <v>73</v>
      </c>
      <c r="B61" s="12">
        <v>1.76</v>
      </c>
      <c r="C61" s="3">
        <f t="shared" si="0"/>
        <v>23.566632231404959</v>
      </c>
      <c r="E61" s="14">
        <v>13.25</v>
      </c>
      <c r="F61" s="14">
        <f t="shared" si="3"/>
        <v>3.430814079664956E-3</v>
      </c>
    </row>
    <row r="62" spans="1:6" ht="16.5" thickBot="1">
      <c r="A62" s="3">
        <v>95</v>
      </c>
      <c r="B62" s="12">
        <v>1.7</v>
      </c>
      <c r="C62" s="3">
        <f t="shared" si="0"/>
        <v>32.871972318339104</v>
      </c>
      <c r="E62" s="14">
        <v>13.5</v>
      </c>
      <c r="F62" s="14">
        <f t="shared" si="3"/>
        <v>4.3245568500426554E-3</v>
      </c>
    </row>
    <row r="63" spans="1:6" ht="16.5" thickBot="1">
      <c r="A63" s="3">
        <v>61</v>
      </c>
      <c r="B63" s="12">
        <v>1.61</v>
      </c>
      <c r="C63" s="3">
        <f t="shared" si="0"/>
        <v>23.533042706685695</v>
      </c>
      <c r="E63" s="14">
        <v>13.75</v>
      </c>
      <c r="F63" s="14">
        <f t="shared" si="3"/>
        <v>5.4104529470298431E-3</v>
      </c>
    </row>
    <row r="64" spans="1:6" ht="16.5" thickBot="1">
      <c r="A64" s="3">
        <v>70</v>
      </c>
      <c r="B64" s="12">
        <v>1.81</v>
      </c>
      <c r="C64" s="3">
        <f t="shared" si="0"/>
        <v>21.366869143188548</v>
      </c>
      <c r="E64" s="14">
        <v>14</v>
      </c>
      <c r="F64" s="14">
        <f t="shared" si="3"/>
        <v>6.7185139792731909E-3</v>
      </c>
    </row>
    <row r="65" spans="1:6" ht="16.5" thickBot="1">
      <c r="A65" s="3">
        <v>60</v>
      </c>
      <c r="B65" s="12">
        <v>1.7</v>
      </c>
      <c r="C65" s="3">
        <f t="shared" si="0"/>
        <v>20.761245674740486</v>
      </c>
      <c r="E65" s="14">
        <v>14.25</v>
      </c>
      <c r="F65" s="14">
        <f t="shared" si="3"/>
        <v>8.2805734287874806E-3</v>
      </c>
    </row>
    <row r="66" spans="1:6" ht="16.5" thickBot="1">
      <c r="A66" s="3">
        <v>53</v>
      </c>
      <c r="B66" s="12">
        <v>1.65</v>
      </c>
      <c r="C66" s="3">
        <f t="shared" si="0"/>
        <v>19.467401285583104</v>
      </c>
      <c r="E66" s="14">
        <v>14.5</v>
      </c>
      <c r="F66" s="14">
        <f t="shared" si="3"/>
        <v>1.0129667427889259E-2</v>
      </c>
    </row>
    <row r="67" spans="1:6" ht="16.5" thickBot="1">
      <c r="A67" s="3">
        <v>55</v>
      </c>
      <c r="B67" s="12">
        <v>1.65</v>
      </c>
      <c r="C67" s="3">
        <f t="shared" ref="C67:C88" si="5">A67/(B67^2)</f>
        <v>20.202020202020204</v>
      </c>
      <c r="E67" s="14">
        <v>14.75</v>
      </c>
      <c r="F67" s="14">
        <f t="shared" si="3"/>
        <v>1.2299219387230519E-2</v>
      </c>
    </row>
    <row r="68" spans="1:6" ht="16.5" thickBot="1">
      <c r="A68" s="3">
        <v>47</v>
      </c>
      <c r="B68" s="12">
        <v>1.63</v>
      </c>
      <c r="C68" s="3">
        <f t="shared" si="5"/>
        <v>17.689788851669238</v>
      </c>
      <c r="E68" s="14">
        <v>15</v>
      </c>
      <c r="F68" s="14">
        <f t="shared" si="3"/>
        <v>1.4822023462819967E-2</v>
      </c>
    </row>
    <row r="69" spans="1:6" ht="16.5" thickBot="1">
      <c r="A69" s="3">
        <v>49</v>
      </c>
      <c r="B69" s="12">
        <v>1.54</v>
      </c>
      <c r="C69" s="3">
        <f t="shared" si="5"/>
        <v>20.66115702479339</v>
      </c>
      <c r="E69" s="14">
        <v>15.25</v>
      </c>
      <c r="F69" s="14">
        <f t="shared" si="3"/>
        <v>1.7729032305041397E-2</v>
      </c>
    </row>
    <row r="70" spans="1:6" ht="16.5" thickBot="1">
      <c r="A70" s="3">
        <v>60</v>
      </c>
      <c r="B70" s="12">
        <v>1.71</v>
      </c>
      <c r="C70" s="3">
        <f t="shared" si="5"/>
        <v>20.519134092541297</v>
      </c>
      <c r="E70" s="14">
        <v>15.5</v>
      </c>
      <c r="F70" s="14">
        <f t="shared" si="3"/>
        <v>2.1047966952354617E-2</v>
      </c>
    </row>
    <row r="71" spans="1:6" ht="16.5" thickBot="1">
      <c r="A71" s="3">
        <v>48</v>
      </c>
      <c r="B71" s="12">
        <v>1.6</v>
      </c>
      <c r="C71" s="3">
        <f t="shared" si="5"/>
        <v>18.749999999999996</v>
      </c>
      <c r="E71" s="14">
        <v>15.75</v>
      </c>
      <c r="F71" s="14">
        <f t="shared" si="3"/>
        <v>2.4801780629421861E-2</v>
      </c>
    </row>
    <row r="72" spans="1:6" ht="16.5" thickBot="1">
      <c r="A72" s="3">
        <v>54</v>
      </c>
      <c r="B72" s="12">
        <v>1.71</v>
      </c>
      <c r="C72" s="3">
        <f t="shared" si="5"/>
        <v>18.467220683287167</v>
      </c>
      <c r="E72" s="14">
        <v>16</v>
      </c>
      <c r="F72" s="14">
        <f t="shared" si="3"/>
        <v>2.9007022872592669E-2</v>
      </c>
    </row>
    <row r="73" spans="1:6" ht="16.5" thickBot="1">
      <c r="A73" s="3">
        <v>55</v>
      </c>
      <c r="B73" s="12">
        <v>1.62</v>
      </c>
      <c r="C73" s="3">
        <f t="shared" si="5"/>
        <v>20.957171162932475</v>
      </c>
      <c r="E73" s="14">
        <v>16.25</v>
      </c>
      <c r="F73" s="14">
        <f t="shared" ref="F73:F136" si="6">NORMDIST(E73,$P$4,$P$6,0)</f>
        <v>3.3672164916634349E-2</v>
      </c>
    </row>
    <row r="74" spans="1:6" ht="16.5" thickBot="1">
      <c r="A74" s="3">
        <v>79</v>
      </c>
      <c r="B74" s="12">
        <v>1.79</v>
      </c>
      <c r="C74" s="3">
        <f t="shared" si="5"/>
        <v>24.655909615804749</v>
      </c>
      <c r="E74" s="14">
        <v>16.5</v>
      </c>
      <c r="F74" s="14">
        <f t="shared" si="6"/>
        <v>3.8795960550369261E-2</v>
      </c>
    </row>
    <row r="75" spans="1:6" ht="16.5" thickBot="1">
      <c r="A75" s="3">
        <v>74</v>
      </c>
      <c r="B75" s="12">
        <v>1.75</v>
      </c>
      <c r="C75" s="3">
        <f t="shared" si="5"/>
        <v>24.163265306122447</v>
      </c>
      <c r="E75" s="14">
        <v>16.75</v>
      </c>
      <c r="F75" s="14">
        <f t="shared" si="6"/>
        <v>4.4365927498505466E-2</v>
      </c>
    </row>
    <row r="76" spans="1:6" ht="16.5" thickBot="1">
      <c r="A76" s="3">
        <v>78</v>
      </c>
      <c r="B76" s="12">
        <v>1.9</v>
      </c>
      <c r="C76" s="3">
        <f t="shared" si="5"/>
        <v>21.606648199445985</v>
      </c>
      <c r="E76" s="14">
        <v>17</v>
      </c>
      <c r="F76" s="14">
        <f t="shared" si="6"/>
        <v>5.0357041609824363E-2</v>
      </c>
    </row>
    <row r="77" spans="1:6" ht="16.5" thickBot="1">
      <c r="A77" s="3">
        <v>66</v>
      </c>
      <c r="B77" s="12">
        <v>1.85</v>
      </c>
      <c r="C77" s="3">
        <f t="shared" si="5"/>
        <v>19.284149013878743</v>
      </c>
      <c r="E77" s="14">
        <v>17.25</v>
      </c>
      <c r="F77" s="14">
        <f t="shared" si="6"/>
        <v>5.6730738612951706E-2</v>
      </c>
    </row>
    <row r="78" spans="1:6" ht="16.5" thickBot="1">
      <c r="A78" s="3">
        <v>95</v>
      </c>
      <c r="B78" s="12">
        <v>1.85</v>
      </c>
      <c r="C78" s="3">
        <f t="shared" si="5"/>
        <v>27.757487216946675</v>
      </c>
      <c r="E78" s="14">
        <v>17.5</v>
      </c>
      <c r="F78" s="14">
        <f t="shared" si="6"/>
        <v>6.3434315024801333E-2</v>
      </c>
    </row>
    <row r="79" spans="1:6" ht="16.5" thickBot="1">
      <c r="A79" s="3">
        <v>55</v>
      </c>
      <c r="B79" s="12">
        <v>1.71</v>
      </c>
      <c r="C79" s="3">
        <f t="shared" si="5"/>
        <v>18.809206251496189</v>
      </c>
      <c r="E79" s="14">
        <v>17.75</v>
      </c>
      <c r="F79" s="14">
        <f t="shared" si="6"/>
        <v>7.0400810358728236E-2</v>
      </c>
    </row>
    <row r="80" spans="1:6" ht="16.5" thickBot="1">
      <c r="A80" s="3">
        <v>43</v>
      </c>
      <c r="B80" s="12">
        <v>1.58</v>
      </c>
      <c r="C80" s="3">
        <f t="shared" si="5"/>
        <v>17.224803717352987</v>
      </c>
      <c r="E80" s="14">
        <v>18</v>
      </c>
      <c r="F80" s="14">
        <f t="shared" si="6"/>
        <v>7.7549436883645351E-2</v>
      </c>
    </row>
    <row r="81" spans="1:6" ht="16.5" thickBot="1">
      <c r="A81" s="3">
        <v>54</v>
      </c>
      <c r="B81" s="12">
        <v>1.59</v>
      </c>
      <c r="C81" s="3">
        <f t="shared" si="5"/>
        <v>21.359914560341757</v>
      </c>
      <c r="E81" s="14">
        <v>18.25</v>
      </c>
      <c r="F81" s="14">
        <f t="shared" si="6"/>
        <v>8.4786601118452237E-2</v>
      </c>
    </row>
    <row r="82" spans="1:6" ht="16.5" thickBot="1">
      <c r="A82" s="3">
        <v>60</v>
      </c>
      <c r="B82" s="12">
        <v>1.64</v>
      </c>
      <c r="C82" s="3">
        <f t="shared" si="5"/>
        <v>22.308149910767405</v>
      </c>
      <c r="E82" s="14">
        <v>18.5</v>
      </c>
      <c r="F82" s="14">
        <f t="shared" si="6"/>
        <v>9.2007533815009715E-2</v>
      </c>
    </row>
    <row r="83" spans="1:6" ht="16.5" thickBot="1">
      <c r="A83" s="3">
        <v>44</v>
      </c>
      <c r="B83" s="12">
        <v>1.64</v>
      </c>
      <c r="C83" s="3">
        <f t="shared" si="5"/>
        <v>16.359309934562763</v>
      </c>
      <c r="E83" s="14">
        <v>18.75</v>
      </c>
      <c r="F83" s="14">
        <f t="shared" si="6"/>
        <v>9.9098513708561112E-2</v>
      </c>
    </row>
    <row r="84" spans="1:6" ht="16.5" thickBot="1">
      <c r="A84" s="3">
        <v>59</v>
      </c>
      <c r="B84" s="12">
        <v>1.68</v>
      </c>
      <c r="C84" s="3">
        <f t="shared" si="5"/>
        <v>20.904195011337873</v>
      </c>
      <c r="E84" s="14">
        <v>19</v>
      </c>
      <c r="F84" s="14">
        <f t="shared" si="6"/>
        <v>0.10593963657695706</v>
      </c>
    </row>
    <row r="85" spans="1:6" ht="16.5" thickBot="1">
      <c r="A85" s="3">
        <v>52</v>
      </c>
      <c r="B85" s="12">
        <v>1.62</v>
      </c>
      <c r="C85" s="3">
        <f t="shared" si="5"/>
        <v>19.814052735863431</v>
      </c>
      <c r="E85" s="14">
        <v>19.25</v>
      </c>
      <c r="F85" s="14">
        <f t="shared" si="6"/>
        <v>0.11240804728444924</v>
      </c>
    </row>
    <row r="86" spans="1:6" ht="16.5" thickBot="1">
      <c r="A86" s="3">
        <v>63</v>
      </c>
      <c r="B86" s="12">
        <v>1.75</v>
      </c>
      <c r="C86" s="3">
        <f t="shared" si="5"/>
        <v>20.571428571428573</v>
      </c>
      <c r="E86" s="14">
        <v>19.5</v>
      </c>
      <c r="F86" s="14">
        <f t="shared" si="6"/>
        <v>0.11838152083521163</v>
      </c>
    </row>
    <row r="87" spans="1:6" ht="16.5" thickBot="1">
      <c r="A87" s="3">
        <v>96</v>
      </c>
      <c r="B87" s="12">
        <v>1.86</v>
      </c>
      <c r="C87" s="3">
        <f t="shared" si="5"/>
        <v>27.748872702046476</v>
      </c>
      <c r="E87" s="14">
        <v>19.75</v>
      </c>
      <c r="F87" s="14">
        <f t="shared" si="6"/>
        <v>0.12374225139684798</v>
      </c>
    </row>
    <row r="88" spans="1:6" ht="16.5" thickBot="1">
      <c r="A88" s="3">
        <v>65</v>
      </c>
      <c r="B88" s="12">
        <v>1.8</v>
      </c>
      <c r="C88" s="3">
        <f t="shared" si="5"/>
        <v>20.061728395061728</v>
      </c>
      <c r="E88" s="14">
        <v>20</v>
      </c>
      <c r="F88" s="14">
        <f t="shared" si="6"/>
        <v>0.12838068797541777</v>
      </c>
    </row>
    <row r="89" spans="1:6" ht="15.75" thickBot="1">
      <c r="E89" s="14">
        <v>20.25</v>
      </c>
      <c r="F89" s="14">
        <f t="shared" si="6"/>
        <v>0.13219924376372963</v>
      </c>
    </row>
    <row r="90" spans="1:6" ht="15.75" thickBot="1">
      <c r="B90" t="s">
        <v>18</v>
      </c>
      <c r="C90">
        <f>MIN(C2:C88)</f>
        <v>15.570934256055365</v>
      </c>
      <c r="E90" s="14">
        <v>20.5</v>
      </c>
      <c r="F90" s="14">
        <f t="shared" si="6"/>
        <v>0.13511570443152957</v>
      </c>
    </row>
    <row r="91" spans="1:6" ht="15.75" thickBot="1">
      <c r="B91" t="s">
        <v>19</v>
      </c>
      <c r="C91">
        <f>MAX(C2:C88)</f>
        <v>32.871972318339104</v>
      </c>
      <c r="E91" s="14">
        <v>20.75</v>
      </c>
      <c r="F91" s="14">
        <f t="shared" si="6"/>
        <v>0.13706616938401681</v>
      </c>
    </row>
    <row r="92" spans="1:6" ht="15.75" thickBot="1">
      <c r="E92" s="14">
        <v>21</v>
      </c>
      <c r="F92" s="14">
        <f t="shared" si="6"/>
        <v>0.1380073791210164</v>
      </c>
    </row>
    <row r="93" spans="1:6" ht="15.75" thickBot="1">
      <c r="A93">
        <f>AVERAGE(A2:A88)</f>
        <v>61.137931034482762</v>
      </c>
      <c r="B93" t="s">
        <v>20</v>
      </c>
      <c r="C93">
        <f>AVERAGE(C2:C88)</f>
        <v>21.119086248021709</v>
      </c>
      <c r="E93" s="14">
        <v>21.25</v>
      </c>
      <c r="F93" s="14">
        <f t="shared" si="6"/>
        <v>0.13791831033514149</v>
      </c>
    </row>
    <row r="94" spans="1:6" ht="15.75" thickBot="1">
      <c r="B94" t="s">
        <v>21</v>
      </c>
      <c r="C94">
        <f>P6*2/(P3)^0.5</f>
        <v>0.61944061874549305</v>
      </c>
      <c r="E94" s="14">
        <v>21.5</v>
      </c>
      <c r="F94" s="14">
        <f t="shared" si="6"/>
        <v>0.13680095661234293</v>
      </c>
    </row>
    <row r="95" spans="1:6" ht="15.75" thickBot="1">
      <c r="E95" s="14">
        <v>21.75</v>
      </c>
      <c r="F95" s="14">
        <f t="shared" si="6"/>
        <v>0.1346802542476557</v>
      </c>
    </row>
    <row r="96" spans="1:6" ht="15.75" thickBot="1">
      <c r="E96" s="14">
        <v>22</v>
      </c>
      <c r="F96" s="14">
        <f t="shared" si="6"/>
        <v>0.13160315703125117</v>
      </c>
    </row>
    <row r="97" spans="5:6" ht="15.75" thickBot="1">
      <c r="E97" s="14">
        <v>22.25</v>
      </c>
      <c r="F97" s="14">
        <f t="shared" si="6"/>
        <v>0.12763690794526816</v>
      </c>
    </row>
    <row r="98" spans="5:6" ht="15.75" thickBot="1">
      <c r="E98" s="14">
        <v>22.5</v>
      </c>
      <c r="F98" s="14">
        <f t="shared" si="6"/>
        <v>0.12286659661137175</v>
      </c>
    </row>
    <row r="99" spans="5:6" ht="15.75" thickBot="1">
      <c r="E99" s="14">
        <v>22.75</v>
      </c>
      <c r="F99" s="14">
        <f t="shared" si="6"/>
        <v>0.11739212637175349</v>
      </c>
    </row>
    <row r="100" spans="5:6" ht="15.75" thickBot="1">
      <c r="E100" s="14">
        <v>23</v>
      </c>
      <c r="F100" s="14">
        <f t="shared" si="6"/>
        <v>0.11132474187224492</v>
      </c>
    </row>
    <row r="101" spans="5:6" ht="15.75" thickBot="1">
      <c r="E101" s="14">
        <v>23.25</v>
      </c>
      <c r="F101" s="14">
        <f t="shared" si="6"/>
        <v>0.1047832853839699</v>
      </c>
    </row>
    <row r="102" spans="5:6" ht="15.75" thickBot="1">
      <c r="E102" s="14">
        <v>23.5</v>
      </c>
      <c r="F102" s="14">
        <f t="shared" si="6"/>
        <v>9.7890357035157957E-2</v>
      </c>
    </row>
    <row r="103" spans="5:6" ht="15.75" thickBot="1">
      <c r="E103" s="14">
        <v>23.75</v>
      </c>
      <c r="F103" s="14">
        <f t="shared" si="6"/>
        <v>9.0768550600003273E-2</v>
      </c>
    </row>
    <row r="104" spans="5:6" ht="15.75" thickBot="1">
      <c r="E104" s="14">
        <v>24</v>
      </c>
      <c r="F104" s="14">
        <f t="shared" si="6"/>
        <v>8.3536923236552416E-2</v>
      </c>
    </row>
    <row r="105" spans="5:6" ht="15.75" thickBot="1">
      <c r="E105" s="14">
        <v>24.25</v>
      </c>
      <c r="F105" s="14">
        <f t="shared" si="6"/>
        <v>7.6307835973419794E-2</v>
      </c>
    </row>
    <row r="106" spans="5:6" ht="15.75" thickBot="1">
      <c r="E106" s="14">
        <v>24.5</v>
      </c>
      <c r="F106" s="14">
        <f t="shared" si="6"/>
        <v>6.9184273725284018E-2</v>
      </c>
    </row>
    <row r="107" spans="5:6" ht="15.75" thickBot="1">
      <c r="E107" s="14">
        <v>24.75</v>
      </c>
      <c r="F107" s="14">
        <f t="shared" si="6"/>
        <v>6.2257721413786347E-2</v>
      </c>
    </row>
    <row r="108" spans="5:6" ht="15.75" thickBot="1">
      <c r="E108" s="14">
        <v>25</v>
      </c>
      <c r="F108" s="14">
        <f t="shared" si="6"/>
        <v>5.5606638763425441E-2</v>
      </c>
    </row>
    <row r="109" spans="5:6" ht="15.75" thickBot="1">
      <c r="E109" s="14">
        <v>25.25</v>
      </c>
      <c r="F109" s="14">
        <f t="shared" si="6"/>
        <v>4.9295542850621953E-2</v>
      </c>
    </row>
    <row r="110" spans="5:6" ht="15.75" thickBot="1">
      <c r="E110" s="14">
        <v>25.5</v>
      </c>
      <c r="F110" s="14">
        <f t="shared" si="6"/>
        <v>4.3374676591644651E-2</v>
      </c>
    </row>
    <row r="111" spans="5:6" ht="15.75" thickBot="1">
      <c r="E111" s="14">
        <v>25.75</v>
      </c>
      <c r="F111" s="14">
        <f t="shared" si="6"/>
        <v>3.788021476850386E-2</v>
      </c>
    </row>
    <row r="112" spans="5:6" ht="15.75" thickBot="1">
      <c r="E112" s="14">
        <v>26</v>
      </c>
      <c r="F112" s="14">
        <f t="shared" si="6"/>
        <v>3.2834938146118431E-2</v>
      </c>
    </row>
    <row r="113" spans="5:6" ht="15.75" thickBot="1">
      <c r="E113" s="14">
        <v>26.25</v>
      </c>
      <c r="F113" s="14">
        <f t="shared" si="6"/>
        <v>2.8249291445391671E-2</v>
      </c>
    </row>
    <row r="114" spans="5:6" ht="15.75" thickBot="1">
      <c r="E114" s="14">
        <v>26.5</v>
      </c>
      <c r="F114" s="14">
        <f t="shared" si="6"/>
        <v>2.4122732604893202E-2</v>
      </c>
    </row>
    <row r="115" spans="5:6" ht="15.75" thickBot="1">
      <c r="E115" s="14">
        <v>26.75</v>
      </c>
      <c r="F115" s="14">
        <f t="shared" si="6"/>
        <v>2.0445278616245111E-2</v>
      </c>
    </row>
    <row r="116" spans="5:6" ht="15.75" thickBot="1">
      <c r="E116" s="14">
        <v>27</v>
      </c>
      <c r="F116" s="14">
        <f t="shared" si="6"/>
        <v>1.7199156589250246E-2</v>
      </c>
    </row>
    <row r="117" spans="5:6" ht="15.75" thickBot="1">
      <c r="E117" s="14">
        <v>27.25</v>
      </c>
      <c r="F117" s="14">
        <f t="shared" si="6"/>
        <v>1.4360476634376316E-2</v>
      </c>
    </row>
    <row r="118" spans="5:6" ht="15.75" thickBot="1">
      <c r="E118" s="14">
        <v>27.5</v>
      </c>
      <c r="F118" s="14">
        <f t="shared" si="6"/>
        <v>1.1900854504391704E-2</v>
      </c>
    </row>
    <row r="119" spans="5:6" ht="15.75" thickBot="1">
      <c r="E119" s="14">
        <v>27.75</v>
      </c>
      <c r="F119" s="14">
        <f t="shared" si="6"/>
        <v>9.7889255068572874E-3</v>
      </c>
    </row>
    <row r="120" spans="5:6" ht="15.75" thickBot="1">
      <c r="E120" s="14">
        <v>28</v>
      </c>
      <c r="F120" s="14">
        <f t="shared" si="6"/>
        <v>7.9917058098320001E-3</v>
      </c>
    </row>
    <row r="121" spans="5:6" ht="15.75" thickBot="1">
      <c r="E121" s="14">
        <v>28.25</v>
      </c>
      <c r="F121" s="14">
        <f t="shared" si="6"/>
        <v>6.4757718543746066E-3</v>
      </c>
    </row>
    <row r="122" spans="5:6" ht="15.75" thickBot="1">
      <c r="E122" s="14">
        <v>28.5</v>
      </c>
      <c r="F122" s="14">
        <f t="shared" si="6"/>
        <v>5.2082422743473097E-3</v>
      </c>
    </row>
    <row r="123" spans="5:6" ht="15.75" thickBot="1">
      <c r="E123" s="14">
        <v>28.75</v>
      </c>
      <c r="F123" s="14">
        <f t="shared" si="6"/>
        <v>4.15755883345118E-3</v>
      </c>
    </row>
    <row r="124" spans="5:6" ht="15.75" thickBot="1">
      <c r="E124" s="14">
        <v>29</v>
      </c>
      <c r="F124" s="14">
        <f t="shared" si="6"/>
        <v>3.2940729729317394E-3</v>
      </c>
    </row>
    <row r="125" spans="5:6" ht="15.75" thickBot="1">
      <c r="E125" s="14">
        <v>29.25</v>
      </c>
      <c r="F125" s="14">
        <f t="shared" si="6"/>
        <v>2.5904523900569061E-3</v>
      </c>
    </row>
    <row r="126" spans="5:6" ht="15.75" thickBot="1">
      <c r="E126" s="14">
        <v>29.5</v>
      </c>
      <c r="F126" s="14">
        <f t="shared" si="6"/>
        <v>2.0219276004630809E-3</v>
      </c>
    </row>
    <row r="127" spans="5:6" ht="15.75" thickBot="1">
      <c r="E127" s="14">
        <v>29.75</v>
      </c>
      <c r="F127" s="14">
        <f t="shared" si="6"/>
        <v>1.5664017995787626E-3</v>
      </c>
    </row>
    <row r="128" spans="5:6" ht="15.75" thickBot="1">
      <c r="E128" s="14">
        <v>30</v>
      </c>
      <c r="F128" s="14">
        <f t="shared" si="6"/>
        <v>1.2044487714994391E-3</v>
      </c>
    </row>
    <row r="129" spans="5:6" ht="15.75" thickBot="1">
      <c r="E129" s="14">
        <v>30.25</v>
      </c>
      <c r="F129" s="14">
        <f t="shared" si="6"/>
        <v>9.192234171562614E-4</v>
      </c>
    </row>
    <row r="130" spans="5:6" ht="15.75" thickBot="1">
      <c r="E130" s="14">
        <v>30.5</v>
      </c>
      <c r="F130" s="14">
        <f t="shared" si="6"/>
        <v>6.9630804467706747E-4</v>
      </c>
    </row>
    <row r="131" spans="5:6" ht="15.75" thickBot="1">
      <c r="E131" s="14">
        <v>30.75</v>
      </c>
      <c r="F131" s="14">
        <f t="shared" si="6"/>
        <v>5.2351524484088845E-4</v>
      </c>
    </row>
    <row r="132" spans="5:6" ht="15.75" thickBot="1">
      <c r="E132" s="14">
        <v>31</v>
      </c>
      <c r="F132" s="14">
        <f t="shared" si="6"/>
        <v>3.9066530204371805E-4</v>
      </c>
    </row>
    <row r="133" spans="5:6" ht="15.75" thickBot="1">
      <c r="E133" s="14">
        <v>31.25</v>
      </c>
      <c r="F133" s="14">
        <f t="shared" si="6"/>
        <v>2.8935296292532324E-4</v>
      </c>
    </row>
    <row r="134" spans="5:6" ht="15.75" thickBot="1">
      <c r="E134" s="14">
        <v>31.5</v>
      </c>
      <c r="F134" s="14">
        <f t="shared" si="6"/>
        <v>2.1271524415590975E-4</v>
      </c>
    </row>
    <row r="135" spans="5:6" ht="15.75" thickBot="1">
      <c r="E135" s="14">
        <v>31.75</v>
      </c>
      <c r="F135" s="14">
        <f t="shared" si="6"/>
        <v>1.5520899334134421E-4</v>
      </c>
    </row>
    <row r="136" spans="5:6" ht="15.75" thickBot="1">
      <c r="E136" s="14">
        <v>32</v>
      </c>
      <c r="F136" s="14">
        <f t="shared" si="6"/>
        <v>1.1240425114390991E-4</v>
      </c>
    </row>
    <row r="137" spans="5:6" ht="15.75" thickBot="1">
      <c r="E137" s="14">
        <v>32.25</v>
      </c>
      <c r="F137" s="14">
        <f t="shared" ref="F137:F168" si="7">NORMDIST(E137,$P$4,$P$6,0)</f>
        <v>8.0797175298971579E-5</v>
      </c>
    </row>
    <row r="138" spans="5:6" ht="15.75" thickBot="1">
      <c r="E138" s="14">
        <v>32.5</v>
      </c>
      <c r="F138" s="14">
        <f t="shared" si="7"/>
        <v>5.7644411013987682E-5</v>
      </c>
    </row>
    <row r="139" spans="5:6" ht="15.75" thickBot="1">
      <c r="E139" s="14">
        <v>32.75</v>
      </c>
      <c r="F139" s="14">
        <f t="shared" si="7"/>
        <v>4.0819325217659724E-5</v>
      </c>
    </row>
    <row r="140" spans="5:6" ht="15.75" thickBot="1">
      <c r="E140" s="14">
        <v>33</v>
      </c>
      <c r="F140" s="14">
        <f t="shared" si="7"/>
        <v>2.8689436819607608E-5</v>
      </c>
    </row>
    <row r="141" spans="5:6" ht="15.75" thickBot="1">
      <c r="E141" s="14">
        <v>33.25</v>
      </c>
      <c r="F141" s="14">
        <f t="shared" si="7"/>
        <v>2.0013627475900533E-5</v>
      </c>
    </row>
    <row r="142" spans="5:6" ht="15.75" thickBot="1">
      <c r="E142" s="14">
        <v>33.5</v>
      </c>
      <c r="F142" s="14">
        <f t="shared" si="7"/>
        <v>1.3857254313681816E-5</v>
      </c>
    </row>
    <row r="143" spans="5:6" ht="15.75" thickBot="1">
      <c r="E143" s="14">
        <v>33.75</v>
      </c>
      <c r="F143" s="14">
        <f t="shared" si="7"/>
        <v>9.5230518699634772E-6</v>
      </c>
    </row>
    <row r="144" spans="5:6" ht="15.75" thickBot="1">
      <c r="E144" s="14">
        <v>34</v>
      </c>
      <c r="F144" s="14">
        <f t="shared" si="7"/>
        <v>6.49565124214456E-6</v>
      </c>
    </row>
    <row r="145" spans="5:6" ht="15.75" thickBot="1">
      <c r="E145" s="14">
        <v>34.25</v>
      </c>
      <c r="F145" s="14">
        <f t="shared" si="7"/>
        <v>4.3976112537453095E-6</v>
      </c>
    </row>
    <row r="146" spans="5:6" ht="15.75" thickBot="1">
      <c r="E146" s="14">
        <v>34.5</v>
      </c>
      <c r="F146" s="14">
        <f t="shared" si="7"/>
        <v>2.9550073019711591E-6</v>
      </c>
    </row>
    <row r="147" spans="5:6" ht="15.75" thickBot="1">
      <c r="E147" s="14">
        <v>34.75</v>
      </c>
      <c r="F147" s="14">
        <f t="shared" si="7"/>
        <v>1.9708241177964202E-6</v>
      </c>
    </row>
    <row r="148" spans="5:6" ht="15.75" thickBot="1">
      <c r="E148" s="14">
        <v>35</v>
      </c>
      <c r="F148" s="14">
        <f t="shared" si="7"/>
        <v>1.3046222019384315E-6</v>
      </c>
    </row>
    <row r="149" spans="5:6" ht="15.75" thickBot="1">
      <c r="E149" s="14">
        <v>35.25</v>
      </c>
      <c r="F149" s="14">
        <f t="shared" si="7"/>
        <v>8.5717451157853366E-7</v>
      </c>
    </row>
    <row r="150" spans="5:6" ht="15.75" thickBot="1">
      <c r="E150" s="14">
        <v>35.5</v>
      </c>
      <c r="F150" s="14">
        <f t="shared" si="7"/>
        <v>5.5898649959243116E-7</v>
      </c>
    </row>
    <row r="151" spans="5:6" ht="15.75" thickBot="1">
      <c r="E151" s="14">
        <v>35.75</v>
      </c>
      <c r="F151" s="14">
        <f t="shared" si="7"/>
        <v>3.618103418774265E-7</v>
      </c>
    </row>
    <row r="152" spans="5:6" ht="15.75" thickBot="1">
      <c r="E152" s="14">
        <v>36</v>
      </c>
      <c r="F152" s="14">
        <f t="shared" si="7"/>
        <v>2.3243858375788543E-7</v>
      </c>
    </row>
    <row r="153" spans="5:6" ht="15.75" thickBot="1">
      <c r="E153" s="14">
        <v>36.25</v>
      </c>
      <c r="F153" s="14">
        <f t="shared" si="7"/>
        <v>1.4821189212780264E-7</v>
      </c>
    </row>
    <row r="154" spans="5:6" ht="15.75" thickBot="1">
      <c r="E154" s="14">
        <v>36.5</v>
      </c>
      <c r="F154" s="14">
        <f t="shared" si="7"/>
        <v>9.3800568294556728E-8</v>
      </c>
    </row>
    <row r="155" spans="5:6" ht="15.75" thickBot="1">
      <c r="E155" s="14">
        <v>36.75</v>
      </c>
      <c r="F155" s="14">
        <f t="shared" si="7"/>
        <v>5.8921727919811903E-8</v>
      </c>
    </row>
    <row r="156" spans="5:6" ht="15.75" thickBot="1">
      <c r="E156" s="14">
        <v>37</v>
      </c>
      <c r="F156" s="14">
        <f t="shared" si="7"/>
        <v>3.6736101469614523E-8</v>
      </c>
    </row>
    <row r="157" spans="5:6" ht="15.75" thickBot="1">
      <c r="E157" s="14">
        <v>37.25</v>
      </c>
      <c r="F157" s="14">
        <f t="shared" si="7"/>
        <v>2.2733078124528498E-8</v>
      </c>
    </row>
    <row r="158" spans="5:6" ht="15.75" thickBot="1">
      <c r="E158" s="14">
        <v>37.5</v>
      </c>
      <c r="F158" s="14">
        <f t="shared" si="7"/>
        <v>1.3962751531307465E-8</v>
      </c>
    </row>
    <row r="159" spans="5:6" ht="15.75" thickBot="1">
      <c r="E159" s="14">
        <v>37.75</v>
      </c>
      <c r="F159" s="14">
        <f t="shared" si="7"/>
        <v>8.5119950415675451E-9</v>
      </c>
    </row>
    <row r="160" spans="5:6" ht="15.75" thickBot="1">
      <c r="E160" s="14">
        <v>38</v>
      </c>
      <c r="F160" s="14">
        <f t="shared" si="7"/>
        <v>5.1503803335700038E-9</v>
      </c>
    </row>
    <row r="161" spans="5:6" ht="15.75" thickBot="1">
      <c r="E161" s="14">
        <v>38.25</v>
      </c>
      <c r="F161" s="14">
        <f t="shared" si="7"/>
        <v>3.0931061673727796E-9</v>
      </c>
    </row>
    <row r="162" spans="5:6" ht="15.75" thickBot="1">
      <c r="E162" s="14">
        <v>38.5</v>
      </c>
      <c r="F162" s="14">
        <f t="shared" si="7"/>
        <v>1.8437326210291968E-9</v>
      </c>
    </row>
    <row r="163" spans="5:6" ht="15.75" thickBot="1">
      <c r="E163" s="14">
        <v>38.75</v>
      </c>
      <c r="F163" s="14">
        <f t="shared" si="7"/>
        <v>1.0908088160890934E-9</v>
      </c>
    </row>
    <row r="164" spans="5:6" ht="15.75" thickBot="1">
      <c r="E164" s="14">
        <v>39</v>
      </c>
      <c r="F164" s="14">
        <f t="shared" si="7"/>
        <v>6.405409887058017E-10</v>
      </c>
    </row>
    <row r="165" spans="5:6" ht="15.75" thickBot="1">
      <c r="E165" s="14">
        <v>39.25</v>
      </c>
      <c r="F165" s="14">
        <f t="shared" si="7"/>
        <v>3.7332992163939246E-10</v>
      </c>
    </row>
    <row r="166" spans="5:6" ht="15.75" thickBot="1">
      <c r="E166" s="14">
        <v>39.5</v>
      </c>
      <c r="F166" s="14">
        <f t="shared" si="7"/>
        <v>2.159664349942005E-10</v>
      </c>
    </row>
    <row r="167" spans="5:6" ht="15.75" thickBot="1">
      <c r="E167" s="14">
        <v>39.75</v>
      </c>
      <c r="F167" s="14">
        <f t="shared" si="7"/>
        <v>1.2400160499109726E-10</v>
      </c>
    </row>
    <row r="168" spans="5:6" ht="15.75" thickBot="1">
      <c r="E168" s="14">
        <v>40</v>
      </c>
      <c r="F168" s="14">
        <f t="shared" si="7"/>
        <v>7.0666883748720364E-11</v>
      </c>
    </row>
  </sheetData>
  <hyperlinks>
    <hyperlink ref="I27" r:id="rId1" tooltip="Ожирение" display="https://ru.wikipedia.org/wiki/%D0%9E%D0%B6%D0%B8%D1%80%D0%B5%D0%BD%D0%B8%D0%B5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Лечебный факультет</vt:lpstr>
      <vt:lpstr>Стоматологический факультет 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sm</cp:lastModifiedBy>
  <dcterms:created xsi:type="dcterms:W3CDTF">2017-09-11T15:53:09Z</dcterms:created>
  <dcterms:modified xsi:type="dcterms:W3CDTF">2020-04-26T12:28:58Z</dcterms:modified>
</cp:coreProperties>
</file>