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Расчеты\Расчет деталировка\"/>
    </mc:Choice>
  </mc:AlternateContent>
  <bookViews>
    <workbookView xWindow="0" yWindow="0" windowWidth="20490" windowHeight="7365" tabRatio="873"/>
  </bookViews>
  <sheets>
    <sheet name="ДБ1Р(к)" sheetId="25" r:id="rId1"/>
    <sheet name="Списки" sheetId="26" r:id="rId2"/>
  </sheets>
  <externalReferences>
    <externalReference r:id="rId3"/>
    <externalReference r:id="rId4"/>
    <externalReference r:id="rId5"/>
  </externalReferences>
  <definedNames>
    <definedName name="вес_вып_порог_1030">[1]Данные!$J$76</definedName>
    <definedName name="вес_вып_порог_430">[1]Данные!$J$70</definedName>
    <definedName name="вес_вып_порог_530">[1]Данные!$J$71</definedName>
    <definedName name="вес_вып_порог_630">[1]Данные!$J$72</definedName>
    <definedName name="вес_вып_порог_730">[1]Данные!$J$73</definedName>
    <definedName name="вес_вып_порог_830">[1]Данные!$J$74</definedName>
    <definedName name="вес_вып_порог_930">[1]Данные!$J$75</definedName>
    <definedName name="вес_гипс_125">[1]Данные!$J$36</definedName>
    <definedName name="вес_нерж.сталь_1">[1]Данные!$J$42</definedName>
    <definedName name="вес_пенопласт_20">[1]Данные!$J$40</definedName>
    <definedName name="вес_пенопласт_43">[1]Данные!$J$41</definedName>
    <definedName name="вес_перемычка_дверная_нижняя">[1]Данные!$J$18</definedName>
    <definedName name="вес_перемычка_универсальная">[1]Данные!$J$11</definedName>
    <definedName name="вес_сталь_оц_09">[1]Данные!$J$33</definedName>
    <definedName name="вес_створка_рама">[1]Данные!$J$17</definedName>
    <definedName name="вес_стекло_6">[1]Данные!$J$31</definedName>
    <definedName name="вес_сухарь">[1]Данные!$J$44</definedName>
    <definedName name="вес_штапик">[1]Данные!$J$4</definedName>
    <definedName name="вес_штапик_сэндвич">[1]Данные!$J$5</definedName>
    <definedName name="вес_штульп">[1]Данные!$J$19</definedName>
    <definedName name="Вып.порог">[1]Данные!$C$70:$C$78</definedName>
    <definedName name="Номер_заказа">[2]ДАНО!$B$2</definedName>
    <definedName name="Торцевая_заглушка">[1]Данные!$C$68:$C$69</definedName>
    <definedName name="Цвет_ГМЛ">[2]ДАНО!$C$10</definedName>
    <definedName name="Цвет_Штапик">[2]ДАНО!$C$8</definedName>
    <definedName name="цена_вып_порог_830">[1]Данные!$K$74</definedName>
    <definedName name="цена_гипс_125">[1]Данные!$K$36</definedName>
    <definedName name="цена_гипс_95">[1]Данные!$K$37</definedName>
    <definedName name="цена_замок_ответка_карман">[1]Данные!$K$53</definedName>
    <definedName name="цена_кляймер_заклепка">[1]Данные!$K$47</definedName>
    <definedName name="цена_М6">[1]Данные!$K$46</definedName>
    <definedName name="цена_наж_гарнитур">[1]Данные!$K$62</definedName>
    <definedName name="цена_накладка_на_цилиндр">[1]Данные!$K$60</definedName>
    <definedName name="цена_пенопласт_20">[1]Данные!$K$40</definedName>
    <definedName name="цена_пенопласт_43">[1]Данные!$K$41</definedName>
    <definedName name="цена_перемычка_дверная_нижняя_анод">[1]Данные!$L$18</definedName>
    <definedName name="цена_перемычка_дверная_нижняя_бп">[1]Данные!$K$18</definedName>
    <definedName name="цена_перемычка_каркасная_нижняя">[1]Данные!$K$9</definedName>
    <definedName name="цена_перемычка_универсальная_анод">[1]Данные!$L$11</definedName>
    <definedName name="цена_перемычка_универсальная_бп">[1]Данные!$K$11</definedName>
    <definedName name="цена_петля_крепеж_Fapim_RAL9003">[1]Данные!$K$52</definedName>
    <definedName name="цена_петля_крепеж_Fapim_анод">[1]Данные!$K$50</definedName>
    <definedName name="цена_покрас_перемычка_дверная_нижняя">[1]Данные!$M$18</definedName>
    <definedName name="цена_покрас_перемычка_каркасная_нижняя">[1]Данные!$M$9</definedName>
    <definedName name="цена_покрас_перемычка_универсальная_бп">[1]Данные!$M$11</definedName>
    <definedName name="цена_покрас_сталь_оц_090">[1]Данные!$M$33</definedName>
    <definedName name="цена_покрас_створка_рама">[1]Данные!$M$17</definedName>
    <definedName name="цена_покрас_труба_сталь_50х50х2.5">[1]Данные!$M$13</definedName>
    <definedName name="цена_покрас_штапик">[1]Данные!$M$4</definedName>
    <definedName name="цена_покрас_штапик_под_сэндвич">[1]Данные!$M$5</definedName>
    <definedName name="цена_работа_ДБ">[1]Данные!$K$102</definedName>
    <definedName name="цена_сталь_оц_055_RAL9003">[1]Данные!$K$35</definedName>
    <definedName name="цена_сталь_оц_090">[1]Данные!$K$33</definedName>
    <definedName name="цена_створка_рама_анод">[1]Данные!$L$17</definedName>
    <definedName name="цена_створка_рама_бп">[1]Данные!$K$17</definedName>
    <definedName name="цена_стекло_6">[1]Данные!$K$31</definedName>
    <definedName name="цена_сухарь">[1]Данные!$K$44</definedName>
    <definedName name="цена_труба_сталь_50х50х2.5">[1]Данные!$K$13</definedName>
    <definedName name="цена_уголок">[1]Данные!$K$45</definedName>
    <definedName name="цена_уп_панельный_сер">[1]Данные!$K$26</definedName>
    <definedName name="цена_уп_примыкания_сер">[1]Данные!$K$25</definedName>
    <definedName name="цена_уп_стекольный_сер">[1]Данные!$K$27</definedName>
    <definedName name="цена_цилиндр_ключ_ключ">[1]Данные!$K$57</definedName>
    <definedName name="цена_штапик_анод">[1]Данные!$L$4</definedName>
    <definedName name="цена_штапик_бп">[1]Данные!$K$4</definedName>
    <definedName name="цена_штапик_сэндвич_анод">[1]Данные!$L$5</definedName>
    <definedName name="цена_эл.мех.замка">[1]Данные!$K$84</definedName>
  </definedNames>
  <calcPr calcId="162913"/>
</workbook>
</file>

<file path=xl/calcChain.xml><?xml version="1.0" encoding="utf-8"?>
<calcChain xmlns="http://schemas.openxmlformats.org/spreadsheetml/2006/main">
  <c r="AA14" i="25" l="1"/>
  <c r="G31" i="25" l="1"/>
  <c r="D3" i="26"/>
  <c r="A31" i="25" s="1"/>
  <c r="D2" i="26"/>
  <c r="C3" i="26"/>
  <c r="C2" i="26"/>
  <c r="A4" i="26" l="1"/>
  <c r="A3" i="26"/>
  <c r="A2" i="26"/>
  <c r="D30" i="25" s="1"/>
  <c r="J31" i="25" l="1"/>
  <c r="E12" i="25" l="1"/>
  <c r="E21" i="25" s="1"/>
  <c r="E23" i="25" s="1"/>
  <c r="I3" i="26" l="1"/>
  <c r="I4" i="26"/>
  <c r="I5" i="26"/>
  <c r="I6" i="26"/>
  <c r="I7" i="26"/>
  <c r="I8" i="26"/>
  <c r="I9" i="26"/>
  <c r="I10" i="26"/>
  <c r="I2" i="26"/>
  <c r="H3" i="26"/>
  <c r="H4" i="26"/>
  <c r="H2" i="26"/>
  <c r="G3" i="26"/>
  <c r="G4" i="26"/>
  <c r="G5" i="26"/>
  <c r="G2" i="26"/>
  <c r="F3" i="26"/>
  <c r="F2" i="26"/>
  <c r="B3" i="26"/>
  <c r="B2" i="26"/>
  <c r="E3" i="26"/>
  <c r="E4" i="26"/>
  <c r="E2" i="26"/>
  <c r="I38" i="25" l="1"/>
  <c r="G13" i="25" l="1"/>
  <c r="I37" i="25" l="1"/>
  <c r="M28" i="25" l="1"/>
  <c r="M27" i="25"/>
  <c r="M26" i="25"/>
  <c r="M24" i="25"/>
  <c r="M36" i="25"/>
  <c r="M34" i="25"/>
  <c r="M33" i="25"/>
  <c r="L28" i="25" l="1"/>
  <c r="N46" i="25"/>
  <c r="N43" i="25"/>
  <c r="M40" i="25"/>
  <c r="N28" i="25"/>
  <c r="N27" i="25"/>
  <c r="N26" i="25"/>
  <c r="N24" i="25"/>
  <c r="N36" i="25"/>
  <c r="N34" i="25"/>
  <c r="N33" i="25"/>
  <c r="M13" i="25"/>
  <c r="M10" i="25"/>
  <c r="L33" i="25"/>
  <c r="G19" i="25" l="1"/>
  <c r="G21" i="25" s="1"/>
  <c r="J19" i="25"/>
  <c r="J18" i="25"/>
  <c r="J37" i="25"/>
  <c r="E39" i="25"/>
  <c r="M19" i="25" l="1"/>
  <c r="L19" i="25"/>
  <c r="G15" i="25"/>
  <c r="L13" i="25"/>
  <c r="J42" i="25"/>
  <c r="L15" i="25" l="1"/>
  <c r="M15" i="25"/>
  <c r="G18" i="25"/>
  <c r="I22" i="25"/>
  <c r="G39" i="25"/>
  <c r="L39" i="25" s="1"/>
  <c r="L18" i="25" l="1"/>
  <c r="M18" i="25"/>
  <c r="G32" i="25"/>
  <c r="M32" i="25" s="1"/>
  <c r="N32" i="25" s="1"/>
  <c r="J38" i="25"/>
  <c r="J39" i="25"/>
  <c r="G40" i="25"/>
  <c r="L40" i="25" s="1"/>
  <c r="J40" i="25"/>
  <c r="J41" i="25"/>
  <c r="G41" i="25" l="1"/>
  <c r="L41" i="25" s="1"/>
  <c r="K28" i="25" l="1"/>
  <c r="J28" i="25"/>
  <c r="J27" i="25"/>
  <c r="J26" i="25"/>
  <c r="J24" i="25"/>
  <c r="J23" i="25"/>
  <c r="J22" i="25"/>
  <c r="J21" i="25"/>
  <c r="J20" i="25"/>
  <c r="J36" i="25"/>
  <c r="J33" i="25"/>
  <c r="J32" i="25"/>
  <c r="J17" i="25"/>
  <c r="E17" i="25"/>
  <c r="J16" i="25"/>
  <c r="E16" i="25"/>
  <c r="J15" i="25"/>
  <c r="E15" i="25"/>
  <c r="J14" i="25"/>
  <c r="H14" i="25"/>
  <c r="J13" i="25"/>
  <c r="H13" i="25"/>
  <c r="J12" i="25"/>
  <c r="H12" i="25"/>
  <c r="G10" i="25"/>
  <c r="L10" i="25" s="1"/>
  <c r="J29" i="25"/>
  <c r="G9" i="25"/>
  <c r="G12" i="25" l="1"/>
  <c r="G17" i="25"/>
  <c r="G20" i="25" s="1"/>
  <c r="L9" i="25"/>
  <c r="G16" i="25"/>
  <c r="H20" i="25" s="1"/>
  <c r="G11" i="25"/>
  <c r="L11" i="25" s="1"/>
  <c r="J30" i="25"/>
  <c r="J34" i="25"/>
  <c r="G22" i="25"/>
  <c r="J25" i="25"/>
  <c r="J9" i="25"/>
  <c r="J10" i="25"/>
  <c r="AB13" i="25" l="1"/>
  <c r="I35" i="25"/>
  <c r="M16" i="25"/>
  <c r="L16" i="25"/>
  <c r="L12" i="25"/>
  <c r="M17" i="25"/>
  <c r="L17" i="25"/>
  <c r="G30" i="25"/>
  <c r="M30" i="25" s="1"/>
  <c r="N30" i="25" s="1"/>
  <c r="G14" i="25"/>
  <c r="L14" i="25" s="1"/>
  <c r="H21" i="25"/>
  <c r="L21" i="25" s="1"/>
  <c r="L20" i="25"/>
  <c r="J11" i="25"/>
  <c r="AA13" i="25" l="1"/>
  <c r="M20" i="25"/>
  <c r="N20" i="25" s="1"/>
  <c r="G29" i="25"/>
  <c r="M29" i="25" s="1"/>
  <c r="N29" i="25" s="1"/>
  <c r="H22" i="25"/>
  <c r="J35" i="25" l="1"/>
  <c r="M45" i="25" l="1"/>
  <c r="M47" i="25" s="1"/>
  <c r="L22" i="25" l="1"/>
  <c r="L45" i="25" s="1"/>
  <c r="L47" i="25" s="1"/>
  <c r="M22" i="25"/>
  <c r="N22" i="25" s="1"/>
  <c r="N19" i="25" l="1"/>
  <c r="N18" i="25"/>
  <c r="N17" i="25"/>
  <c r="N16" i="25"/>
  <c r="N15" i="25"/>
  <c r="N13" i="25"/>
  <c r="N10" i="25"/>
  <c r="N40" i="25"/>
  <c r="M38" i="25" l="1"/>
  <c r="N38" i="25" s="1"/>
  <c r="M35" i="25"/>
  <c r="N35" i="25" s="1"/>
  <c r="N45" i="25" s="1"/>
  <c r="N47" i="25" s="1"/>
  <c r="M25" i="25"/>
  <c r="N25" i="25" s="1"/>
  <c r="M23" i="25"/>
  <c r="N23" i="25" s="1"/>
  <c r="M21" i="25" l="1"/>
  <c r="N21" i="25" s="1"/>
</calcChain>
</file>

<file path=xl/sharedStrings.xml><?xml version="1.0" encoding="utf-8"?>
<sst xmlns="http://schemas.openxmlformats.org/spreadsheetml/2006/main" count="116" uniqueCount="80">
  <si>
    <t>Наименование изделия</t>
  </si>
  <si>
    <t>Рама</t>
  </si>
  <si>
    <t>№ п/п</t>
  </si>
  <si>
    <t>Створка</t>
  </si>
  <si>
    <t>-</t>
  </si>
  <si>
    <t>90х45</t>
  </si>
  <si>
    <t>45х45</t>
  </si>
  <si>
    <t>45х90</t>
  </si>
  <si>
    <t>мм</t>
  </si>
  <si>
    <t>шт.</t>
  </si>
  <si>
    <t>СПЕЦИФИКАЦИЯ</t>
  </si>
  <si>
    <t>Накладка на цилиндр</t>
  </si>
  <si>
    <t>Болт крепежный М6</t>
  </si>
  <si>
    <t>Кол-во на ед.пр., шт.</t>
  </si>
  <si>
    <t>Заказ на кол-во блоков:</t>
  </si>
  <si>
    <t>Итого, шт.</t>
  </si>
  <si>
    <t>APT RE11843</t>
  </si>
  <si>
    <t>Штапик</t>
  </si>
  <si>
    <t>Перем.нижн.</t>
  </si>
  <si>
    <t>APT RE11845</t>
  </si>
  <si>
    <t>APT RE11840</t>
  </si>
  <si>
    <t>APT RE11842</t>
  </si>
  <si>
    <t>APT RE11844</t>
  </si>
  <si>
    <t>Высота C:</t>
  </si>
  <si>
    <t>Угол запила,°/ ширина</t>
  </si>
  <si>
    <t>Длина/ высота</t>
  </si>
  <si>
    <t>Сухарь</t>
  </si>
  <si>
    <t>APT RE9209</t>
  </si>
  <si>
    <t>Уплотнитель</t>
  </si>
  <si>
    <t>Выпадающий порог</t>
  </si>
  <si>
    <t>Примыкания АРТ 1066</t>
  </si>
  <si>
    <t>Масса, кг</t>
  </si>
  <si>
    <t>Наличник</t>
  </si>
  <si>
    <t>На ед.пр.</t>
  </si>
  <si>
    <t>Нерж.сталь</t>
  </si>
  <si>
    <t>к-т</t>
  </si>
  <si>
    <t>Петля дверная + крепежн.комплект</t>
  </si>
  <si>
    <t>ДБ1Р (комбинир, вып.порог)</t>
  </si>
  <si>
    <t>Уголки для створок заполнения</t>
  </si>
  <si>
    <t>Импост</t>
  </si>
  <si>
    <t>Работа</t>
  </si>
  <si>
    <t>Серый</t>
  </si>
  <si>
    <t>Цена анод, руб.</t>
  </si>
  <si>
    <t>Цена RAL, руб.</t>
  </si>
  <si>
    <t>Наж. гарнитур (дверной - 2 ручки)</t>
  </si>
  <si>
    <t>Прозрачное</t>
  </si>
  <si>
    <t>Замки кляймерные + заклепка</t>
  </si>
  <si>
    <t>Высота по коробке Б</t>
  </si>
  <si>
    <t>Ширина по коробке А</t>
  </si>
  <si>
    <t>ЗАПОЛНЕНИЕ</t>
  </si>
  <si>
    <t>ВЫПАДАЮЩИЙ ПОРОГ</t>
  </si>
  <si>
    <t>ЦИЛИНДР</t>
  </si>
  <si>
    <t>ЗАПИРАНИЕ</t>
  </si>
  <si>
    <t>РУЧКИ</t>
  </si>
  <si>
    <t>кг</t>
  </si>
  <si>
    <t>руб.</t>
  </si>
  <si>
    <t>ЗАПОЛНЕНИЕ СТЕКЛО</t>
  </si>
  <si>
    <t>Панельный АРТ 1002</t>
  </si>
  <si>
    <t>Пенопласт, 43 мм</t>
  </si>
  <si>
    <t>Сталь оцинк. листовая 0,9 мм</t>
  </si>
  <si>
    <t>Цвет матовый RAL</t>
  </si>
  <si>
    <t>Ед. изм.</t>
  </si>
  <si>
    <t>Заглушки ∅10</t>
  </si>
  <si>
    <t>Замок ригельный с фалевой защелкой; ответ.планка; карман</t>
  </si>
  <si>
    <t>мм, зазор</t>
  </si>
  <si>
    <t>Fapim</t>
  </si>
  <si>
    <t>WALA</t>
  </si>
  <si>
    <t>вып.порог</t>
  </si>
  <si>
    <t>Цилиндр профильный</t>
  </si>
  <si>
    <t>УПЛОТНИТЕЛЬ СТЕКОЛЬНЫЙ</t>
  </si>
  <si>
    <t>УПЛОТНИТЕЛЬ ПВХ</t>
  </si>
  <si>
    <t>Стекло закаленное 4 мм</t>
  </si>
  <si>
    <t>ПВХ 5х10 мм (дистанц.)</t>
  </si>
  <si>
    <t>Электромеханический замок н.о. типа Soca sl-100a/b</t>
  </si>
  <si>
    <t>Необходимо сделать</t>
  </si>
  <si>
    <t>Раскрой</t>
  </si>
  <si>
    <t>Наименование профиля</t>
  </si>
  <si>
    <t>Длина,мм</t>
  </si>
  <si>
    <t>колво шт</t>
  </si>
  <si>
    <t>отход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</si>
</sst>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#,##0.00&quot;р.&quot;"/>
    <numFmt numFmtId="166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GOST type B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GOST type B"/>
      <family val="2"/>
    </font>
    <font>
      <b/>
      <sz val="13"/>
      <color theme="1"/>
      <name val="ISOCPEUR"/>
      <family val="2"/>
      <charset val="204"/>
    </font>
    <font>
      <sz val="13"/>
      <color theme="1"/>
      <name val="ISOCPEUR"/>
      <family val="2"/>
      <charset val="204"/>
    </font>
    <font>
      <sz val="13"/>
      <name val="ISOCPEUR"/>
      <family val="2"/>
      <charset val="204"/>
    </font>
    <font>
      <sz val="11"/>
      <color theme="1"/>
      <name val="ISOCPEUR"/>
      <family val="2"/>
      <charset val="204"/>
    </font>
    <font>
      <b/>
      <sz val="12"/>
      <color theme="1"/>
      <name val="ISOCPEUR"/>
      <family val="2"/>
      <charset val="204"/>
    </font>
    <font>
      <sz val="10"/>
      <color theme="1"/>
      <name val="ISOCPEUR"/>
      <family val="2"/>
      <charset val="204"/>
    </font>
    <font>
      <b/>
      <sz val="11"/>
      <color theme="1"/>
      <name val="ISOCPEUR"/>
      <family val="2"/>
      <charset val="204"/>
    </font>
    <font>
      <sz val="14"/>
      <color theme="1"/>
      <name val="ISOCPEUR"/>
      <family val="2"/>
      <charset val="204"/>
    </font>
    <font>
      <sz val="10"/>
      <name val="ISOCPEUR"/>
      <family val="2"/>
      <charset val="204"/>
    </font>
    <font>
      <sz val="12"/>
      <color theme="1"/>
      <name val="ISOCPEUR"/>
      <family val="2"/>
      <charset val="204"/>
    </font>
    <font>
      <sz val="14"/>
      <name val="ISOCPEUR"/>
      <family val="2"/>
      <charset val="204"/>
    </font>
    <font>
      <b/>
      <sz val="14"/>
      <color theme="1"/>
      <name val="ISOCPEUR"/>
      <family val="2"/>
      <charset val="204"/>
    </font>
    <font>
      <sz val="16"/>
      <color theme="1"/>
      <name val="ISOCPEU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0" fillId="2" borderId="0" xfId="0" applyFill="1"/>
    <xf numFmtId="0" fontId="9" fillId="0" borderId="0" xfId="0" applyFont="1" applyFill="1" applyBorder="1" applyAlignment="1">
      <alignment horizontal="left" vertical="center"/>
    </xf>
    <xf numFmtId="0" fontId="9" fillId="0" borderId="0" xfId="2" applyFont="1"/>
    <xf numFmtId="0" fontId="0" fillId="0" borderId="0" xfId="2" applyFont="1"/>
    <xf numFmtId="0" fontId="11" fillId="0" borderId="25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22" xfId="2" applyFont="1" applyFill="1" applyBorder="1" applyAlignment="1">
      <alignment vertical="center"/>
    </xf>
    <xf numFmtId="0" fontId="11" fillId="0" borderId="0" xfId="2" applyFont="1" applyBorder="1" applyAlignment="1">
      <alignment horizontal="left"/>
    </xf>
    <xf numFmtId="0" fontId="12" fillId="0" borderId="6" xfId="2" applyFont="1" applyBorder="1" applyAlignment="1">
      <alignment horizontal="left" vertical="center"/>
    </xf>
    <xf numFmtId="0" fontId="13" fillId="0" borderId="0" xfId="2" applyFont="1"/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5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5" fillId="0" borderId="0" xfId="2" applyFont="1"/>
    <xf numFmtId="0" fontId="16" fillId="0" borderId="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Border="1" applyAlignment="1">
      <alignment horizontal="center" vertical="center" wrapText="1"/>
    </xf>
    <xf numFmtId="2" fontId="16" fillId="0" borderId="0" xfId="2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/>
    <xf numFmtId="0" fontId="13" fillId="0" borderId="0" xfId="2" applyFont="1" applyBorder="1" applyAlignment="1">
      <alignment horizontal="center" vertical="center"/>
    </xf>
    <xf numFmtId="2" fontId="15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165" fontId="15" fillId="0" borderId="0" xfId="2" applyNumberFormat="1" applyFont="1" applyFill="1" applyAlignment="1">
      <alignment horizontal="center" vertical="center"/>
    </xf>
    <xf numFmtId="0" fontId="17" fillId="0" borderId="0" xfId="2" applyFont="1" applyFill="1"/>
    <xf numFmtId="165" fontId="18" fillId="3" borderId="0" xfId="2" applyNumberFormat="1" applyFont="1" applyFill="1" applyAlignment="1">
      <alignment horizontal="center" vertical="center"/>
    </xf>
    <xf numFmtId="0" fontId="14" fillId="4" borderId="0" xfId="2" applyFont="1" applyFill="1" applyBorder="1" applyAlignment="1">
      <alignment horizontal="center" vertical="center"/>
    </xf>
    <xf numFmtId="10" fontId="13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Fill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center"/>
    </xf>
    <xf numFmtId="0" fontId="13" fillId="0" borderId="0" xfId="2" applyFont="1" applyFill="1" applyBorder="1" applyAlignment="1">
      <alignment horizontal="center" vertical="center"/>
    </xf>
    <xf numFmtId="1" fontId="13" fillId="0" borderId="0" xfId="2" applyNumberFormat="1" applyFont="1" applyBorder="1" applyAlignment="1">
      <alignment horizontal="center" vertical="center"/>
    </xf>
    <xf numFmtId="2" fontId="19" fillId="0" borderId="0" xfId="2" applyNumberFormat="1" applyFont="1" applyAlignment="1">
      <alignment horizontal="center" vertical="center"/>
    </xf>
    <xf numFmtId="165" fontId="19" fillId="0" borderId="0" xfId="2" applyNumberFormat="1" applyFont="1" applyAlignment="1">
      <alignment horizontal="center" vertical="center"/>
    </xf>
    <xf numFmtId="165" fontId="19" fillId="0" borderId="0" xfId="2" applyNumberFormat="1" applyFont="1" applyFill="1" applyAlignment="1">
      <alignment horizontal="center" vertical="center"/>
    </xf>
    <xf numFmtId="0" fontId="13" fillId="0" borderId="0" xfId="2" applyFont="1" applyFill="1"/>
    <xf numFmtId="0" fontId="13" fillId="0" borderId="0" xfId="2" applyFont="1" applyAlignment="1">
      <alignment horizontal="center" vertical="center" wrapText="1"/>
    </xf>
    <xf numFmtId="2" fontId="16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165" fontId="16" fillId="0" borderId="0" xfId="2" applyNumberFormat="1" applyFont="1" applyFill="1" applyAlignment="1">
      <alignment horizontal="center" vertical="center"/>
    </xf>
    <xf numFmtId="9" fontId="13" fillId="0" borderId="0" xfId="2" applyNumberFormat="1" applyFont="1" applyAlignment="1">
      <alignment horizontal="center" vertical="center" wrapText="1"/>
    </xf>
    <xf numFmtId="9" fontId="13" fillId="0" borderId="0" xfId="2" applyNumberFormat="1" applyFont="1" applyFill="1" applyAlignment="1">
      <alignment horizontal="center" vertical="center" wrapText="1"/>
    </xf>
    <xf numFmtId="9" fontId="13" fillId="0" borderId="0" xfId="2" applyNumberFormat="1" applyFont="1" applyAlignment="1">
      <alignment vertical="center" wrapText="1"/>
    </xf>
    <xf numFmtId="2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17" fillId="0" borderId="9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5" borderId="9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7" fillId="0" borderId="15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11" fillId="5" borderId="1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right" vertical="center" indent="1"/>
    </xf>
    <xf numFmtId="0" fontId="21" fillId="0" borderId="10" xfId="2" applyFont="1" applyBorder="1" applyAlignment="1">
      <alignment horizontal="right" vertical="center" indent="1"/>
    </xf>
    <xf numFmtId="0" fontId="21" fillId="0" borderId="1" xfId="2" applyFont="1" applyFill="1" applyBorder="1" applyAlignment="1">
      <alignment horizontal="right" vertical="center" indent="1"/>
    </xf>
    <xf numFmtId="0" fontId="21" fillId="0" borderId="11" xfId="2" applyFont="1" applyBorder="1" applyAlignment="1">
      <alignment horizontal="right" vertical="center" indent="1"/>
    </xf>
    <xf numFmtId="0" fontId="21" fillId="0" borderId="1" xfId="2" applyFont="1" applyBorder="1" applyAlignment="1">
      <alignment horizontal="right" vertical="center" indent="1"/>
    </xf>
    <xf numFmtId="0" fontId="21" fillId="0" borderId="12" xfId="2" applyFont="1" applyBorder="1" applyAlignment="1">
      <alignment horizontal="right" vertical="center" indent="1"/>
    </xf>
    <xf numFmtId="0" fontId="21" fillId="0" borderId="13" xfId="2" applyFont="1" applyBorder="1" applyAlignment="1">
      <alignment horizontal="right" vertical="center" indent="1"/>
    </xf>
    <xf numFmtId="0" fontId="21" fillId="0" borderId="9" xfId="2" applyFont="1" applyBorder="1" applyAlignment="1">
      <alignment horizontal="right" vertical="center" indent="1"/>
    </xf>
    <xf numFmtId="0" fontId="21" fillId="0" borderId="32" xfId="2" applyFont="1" applyBorder="1" applyAlignment="1">
      <alignment horizontal="right" vertical="center" indent="1"/>
    </xf>
    <xf numFmtId="0" fontId="21" fillId="0" borderId="37" xfId="2" applyFont="1" applyBorder="1" applyAlignment="1">
      <alignment horizontal="right" vertical="center" indent="1"/>
    </xf>
    <xf numFmtId="0" fontId="21" fillId="0" borderId="10" xfId="2" applyFont="1" applyFill="1" applyBorder="1" applyAlignment="1">
      <alignment horizontal="right" vertical="center" indent="1"/>
    </xf>
    <xf numFmtId="0" fontId="21" fillId="0" borderId="11" xfId="2" applyFont="1" applyFill="1" applyBorder="1" applyAlignment="1">
      <alignment horizontal="right" vertical="center" indent="1"/>
    </xf>
    <xf numFmtId="0" fontId="21" fillId="0" borderId="4" xfId="2" applyFont="1" applyFill="1" applyBorder="1" applyAlignment="1">
      <alignment horizontal="right" vertical="center" indent="1"/>
    </xf>
    <xf numFmtId="0" fontId="21" fillId="0" borderId="24" xfId="2" applyFont="1" applyFill="1" applyBorder="1" applyAlignment="1">
      <alignment horizontal="right" vertical="center" indent="1"/>
    </xf>
    <xf numFmtId="0" fontId="21" fillId="0" borderId="12" xfId="2" applyFont="1" applyFill="1" applyBorder="1" applyAlignment="1">
      <alignment horizontal="right" vertical="center" indent="1"/>
    </xf>
    <xf numFmtId="0" fontId="21" fillId="0" borderId="13" xfId="2" applyFont="1" applyFill="1" applyBorder="1" applyAlignment="1">
      <alignment horizontal="right" vertical="center" indent="1"/>
    </xf>
    <xf numFmtId="0" fontId="21" fillId="0" borderId="28" xfId="2" applyFont="1" applyBorder="1" applyAlignment="1">
      <alignment horizontal="right" vertical="center" indent="1"/>
    </xf>
    <xf numFmtId="1" fontId="21" fillId="0" borderId="1" xfId="2" applyNumberFormat="1" applyFont="1" applyFill="1" applyBorder="1" applyAlignment="1">
      <alignment horizontal="right" vertical="center" indent="1"/>
    </xf>
    <xf numFmtId="0" fontId="21" fillId="0" borderId="5" xfId="2" applyFont="1" applyFill="1" applyBorder="1" applyAlignment="1">
      <alignment horizontal="right" vertical="center" indent="1"/>
    </xf>
    <xf numFmtId="0" fontId="21" fillId="0" borderId="6" xfId="2" applyFont="1" applyFill="1" applyBorder="1" applyAlignment="1">
      <alignment horizontal="right" vertical="center" indent="1"/>
    </xf>
    <xf numFmtId="1" fontId="21" fillId="0" borderId="15" xfId="2" applyNumberFormat="1" applyFont="1" applyBorder="1" applyAlignment="1">
      <alignment horizontal="right" vertical="center" indent="1"/>
    </xf>
    <xf numFmtId="0" fontId="21" fillId="0" borderId="16" xfId="2" applyFont="1" applyBorder="1" applyAlignment="1">
      <alignment horizontal="right" vertical="center" indent="1"/>
    </xf>
    <xf numFmtId="1" fontId="21" fillId="0" borderId="12" xfId="2" applyNumberFormat="1" applyFont="1" applyFill="1" applyBorder="1" applyAlignment="1">
      <alignment horizontal="right" vertical="center" indent="1"/>
    </xf>
    <xf numFmtId="1" fontId="21" fillId="0" borderId="6" xfId="2" applyNumberFormat="1" applyFont="1" applyFill="1" applyBorder="1" applyAlignment="1">
      <alignment horizontal="right" vertical="center" indent="1"/>
    </xf>
    <xf numFmtId="0" fontId="21" fillId="0" borderId="15" xfId="2" applyFont="1" applyBorder="1" applyAlignment="1">
      <alignment horizontal="right" vertical="center" indent="1"/>
    </xf>
    <xf numFmtId="2" fontId="19" fillId="0" borderId="15" xfId="2" applyNumberFormat="1" applyFont="1" applyBorder="1" applyAlignment="1">
      <alignment horizontal="center" vertical="center" wrapText="1"/>
    </xf>
    <xf numFmtId="1" fontId="21" fillId="0" borderId="1" xfId="2" applyNumberFormat="1" applyFont="1" applyBorder="1" applyAlignment="1">
      <alignment horizontal="right" vertical="center" indent="1"/>
    </xf>
    <xf numFmtId="0" fontId="21" fillId="2" borderId="12" xfId="2" quotePrefix="1" applyFont="1" applyFill="1" applyBorder="1" applyAlignment="1">
      <alignment horizontal="right" vertical="center" indent="1"/>
    </xf>
    <xf numFmtId="0" fontId="21" fillId="0" borderId="28" xfId="2" applyFont="1" applyFill="1" applyBorder="1" applyAlignment="1">
      <alignment horizontal="right" vertical="center" indent="1"/>
    </xf>
    <xf numFmtId="0" fontId="11" fillId="5" borderId="9" xfId="2" applyFont="1" applyFill="1" applyBorder="1" applyAlignment="1">
      <alignment horizontal="center" vertical="center"/>
    </xf>
    <xf numFmtId="1" fontId="21" fillId="6" borderId="1" xfId="2" applyNumberFormat="1" applyFont="1" applyFill="1" applyBorder="1" applyAlignment="1">
      <alignment horizontal="right" vertical="center" indent="1"/>
    </xf>
    <xf numFmtId="1" fontId="21" fillId="6" borderId="9" xfId="2" applyNumberFormat="1" applyFont="1" applyFill="1" applyBorder="1" applyAlignment="1">
      <alignment horizontal="right" vertical="center" indent="1"/>
    </xf>
    <xf numFmtId="0" fontId="14" fillId="0" borderId="0" xfId="2" applyFont="1" applyAlignment="1"/>
    <xf numFmtId="0" fontId="14" fillId="0" borderId="0" xfId="2" applyFont="1" applyAlignment="1">
      <alignment horizontal="center" vertical="center"/>
    </xf>
    <xf numFmtId="0" fontId="11" fillId="0" borderId="44" xfId="2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1" fontId="21" fillId="6" borderId="4" xfId="2" applyNumberFormat="1" applyFont="1" applyFill="1" applyBorder="1" applyAlignment="1">
      <alignment horizontal="right" vertical="center" indent="1"/>
    </xf>
    <xf numFmtId="166" fontId="21" fillId="0" borderId="9" xfId="2" applyNumberFormat="1" applyFont="1" applyFill="1" applyBorder="1" applyAlignment="1">
      <alignment horizontal="right" vertical="center" indent="1"/>
    </xf>
    <xf numFmtId="166" fontId="21" fillId="0" borderId="1" xfId="2" applyNumberFormat="1" applyFont="1" applyFill="1" applyBorder="1" applyAlignment="1">
      <alignment horizontal="right" vertical="center" indent="1"/>
    </xf>
    <xf numFmtId="166" fontId="21" fillId="6" borderId="1" xfId="2" applyNumberFormat="1" applyFont="1" applyFill="1" applyBorder="1" applyAlignment="1">
      <alignment horizontal="right" vertical="center" indent="1"/>
    </xf>
    <xf numFmtId="166" fontId="21" fillId="0" borderId="6" xfId="2" applyNumberFormat="1" applyFont="1" applyFill="1" applyBorder="1" applyAlignment="1">
      <alignment horizontal="right" vertical="center" indent="1"/>
    </xf>
    <xf numFmtId="0" fontId="17" fillId="0" borderId="9" xfId="2" applyFont="1" applyFill="1" applyBorder="1" applyAlignment="1">
      <alignment horizontal="right" vertical="center" indent="1"/>
    </xf>
    <xf numFmtId="0" fontId="17" fillId="0" borderId="1" xfId="2" applyFont="1" applyFill="1" applyBorder="1" applyAlignment="1">
      <alignment horizontal="right" vertical="center" indent="1"/>
    </xf>
    <xf numFmtId="0" fontId="17" fillId="0" borderId="6" xfId="2" applyFont="1" applyFill="1" applyBorder="1" applyAlignment="1">
      <alignment horizontal="right" vertical="center" indent="1"/>
    </xf>
    <xf numFmtId="0" fontId="17" fillId="0" borderId="1" xfId="2" applyFont="1" applyBorder="1" applyAlignment="1">
      <alignment horizontal="right" vertical="center" indent="1"/>
    </xf>
    <xf numFmtId="166" fontId="21" fillId="0" borderId="32" xfId="2" applyNumberFormat="1" applyFont="1" applyFill="1" applyBorder="1" applyAlignment="1">
      <alignment horizontal="right" vertical="center" indent="1"/>
    </xf>
    <xf numFmtId="0" fontId="11" fillId="7" borderId="2" xfId="2" applyFon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2" borderId="0" xfId="0" applyFill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7" fillId="7" borderId="0" xfId="2" applyFont="1" applyFill="1"/>
    <xf numFmtId="1" fontId="21" fillId="7" borderId="9" xfId="2" applyNumberFormat="1" applyFont="1" applyFill="1" applyBorder="1" applyAlignment="1">
      <alignment horizontal="right" vertical="center" inden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1" fillId="7" borderId="38" xfId="2" applyFont="1" applyFill="1" applyBorder="1" applyAlignment="1">
      <alignment horizontal="left" vertical="center" wrapText="1"/>
    </xf>
    <xf numFmtId="0" fontId="11" fillId="7" borderId="30" xfId="2" applyFont="1" applyFill="1" applyBorder="1" applyAlignment="1">
      <alignment horizontal="left" vertical="center" wrapText="1"/>
    </xf>
    <xf numFmtId="0" fontId="11" fillId="0" borderId="43" xfId="2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>
      <alignment horizontal="left" vertical="center" wrapText="1"/>
    </xf>
    <xf numFmtId="0" fontId="10" fillId="5" borderId="41" xfId="2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/>
    </xf>
    <xf numFmtId="0" fontId="11" fillId="0" borderId="14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left" vertical="center" wrapText="1"/>
    </xf>
    <xf numFmtId="0" fontId="14" fillId="5" borderId="41" xfId="2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36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1" fillId="0" borderId="42" xfId="2" applyFont="1" applyBorder="1" applyAlignment="1">
      <alignment vertical="center" wrapText="1"/>
    </xf>
    <xf numFmtId="0" fontId="11" fillId="0" borderId="12" xfId="2" applyFont="1" applyBorder="1" applyAlignment="1">
      <alignment vertical="center" wrapText="1"/>
    </xf>
    <xf numFmtId="0" fontId="11" fillId="0" borderId="33" xfId="2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42" xfId="2" applyFont="1" applyFill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23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7" xfId="2" applyFont="1" applyBorder="1" applyAlignment="1">
      <alignment vertical="center" wrapText="1"/>
    </xf>
    <xf numFmtId="0" fontId="11" fillId="0" borderId="9" xfId="2" applyFont="1" applyBorder="1" applyAlignment="1">
      <alignment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 wrapText="1"/>
    </xf>
    <xf numFmtId="0" fontId="17" fillId="0" borderId="32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5" fillId="0" borderId="1" xfId="2" applyFont="1" applyBorder="1"/>
    <xf numFmtId="0" fontId="22" fillId="8" borderId="0" xfId="2" applyFont="1" applyFill="1"/>
    <xf numFmtId="0" fontId="13" fillId="8" borderId="0" xfId="2" applyFont="1" applyFill="1"/>
    <xf numFmtId="0" fontId="17" fillId="0" borderId="1" xfId="2" applyFont="1" applyBorder="1"/>
    <xf numFmtId="166" fontId="17" fillId="0" borderId="1" xfId="2" applyNumberFormat="1" applyFont="1" applyBorder="1"/>
    <xf numFmtId="0" fontId="17" fillId="0" borderId="2" xfId="2" applyFont="1" applyBorder="1" applyAlignment="1">
      <alignment horizontal="center"/>
    </xf>
    <xf numFmtId="0" fontId="17" fillId="0" borderId="45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2" fontId="15" fillId="0" borderId="1" xfId="2" applyNumberFormat="1" applyFont="1" applyBorder="1"/>
  </cellXfs>
  <cellStyles count="22">
    <cellStyle name="Обычный" xfId="0" builtinId="0"/>
    <cellStyle name="Обычный 2" xfId="1"/>
    <cellStyle name="Обычный 2 2" xfId="2"/>
    <cellStyle name="Обычный 2 3" xfId="5"/>
    <cellStyle name="Обычный 2 3 2" xfId="6"/>
    <cellStyle name="Обычный 2 3 2 2" xfId="11"/>
    <cellStyle name="Обычный 2 3 2 2 2" xfId="21"/>
    <cellStyle name="Обычный 2 3 2 3" xfId="16"/>
    <cellStyle name="Обычный 2 3 3" xfId="10"/>
    <cellStyle name="Обычный 2 3 3 2" xfId="20"/>
    <cellStyle name="Обычный 2 3 4" xfId="15"/>
    <cellStyle name="Обычный 2 4" xfId="7"/>
    <cellStyle name="Обычный 2 4 2" xfId="17"/>
    <cellStyle name="Обычный 2 5" xfId="12"/>
    <cellStyle name="Обычный 3" xfId="3"/>
    <cellStyle name="Обычный 3 2" xfId="8"/>
    <cellStyle name="Обычный 3 2 2" xfId="18"/>
    <cellStyle name="Обычный 3 3" xfId="13"/>
    <cellStyle name="Обычный 4" xfId="4"/>
    <cellStyle name="Обычный 4 2" xfId="9"/>
    <cellStyle name="Обычный 4 2 2" xfId="19"/>
    <cellStyle name="Обычный 4 3" xfId="14"/>
  </cellStyles>
  <dxfs count="0"/>
  <tableStyles count="0" defaultTableStyle="TableStyleMedium2" defaultPivotStyle="PivotStyleLight16"/>
  <colors>
    <mruColors>
      <color rgb="FFFF6600"/>
      <color rgb="FFFFFFCC"/>
      <color rgb="FFFF66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294749</xdr:colOff>
      <xdr:row>3</xdr:row>
      <xdr:rowOff>12697</xdr:rowOff>
    </xdr:from>
    <xdr:to>
      <xdr:col>23</xdr:col>
      <xdr:colOff>76200</xdr:colOff>
      <xdr:row>34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0749" y="593722"/>
          <a:ext cx="5096401" cy="7616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1080;&#1089;&#1093;&#1086;&#1076;&#1085;&#1080;&#1082;)%20&#1050;&#1086;&#1085;&#1090;&#1091;&#1088;.%20&#1053;&#1086;&#1084;&#1077;&#1085;&#1082;&#1083;&#1072;&#1090;&#1091;&#1088;&#1072;%20&#1089;&#1090;&#1072;&#1088;&#1099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\Desktop\&#1047;&#1072;&#1082;&#1072;&#1079;&#1099;\~%20&#1064;&#1072;&#1073;&#1083;&#1086;&#1085;&#1099;\&#1064;&#1072;&#1073;&#1083;&#1086;&#1085;%20&#1054;&#1050;&#1063;&#1055;%20&#1050;&#1086;&#1085;&#1090;&#1091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90;&#1091;&#1088;.%20&#1053;&#1086;&#1084;&#1077;&#1085;&#1082;&#1083;&#107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Б1Р(к)"/>
      <sheetName val="ДБ1Р(г)"/>
      <sheetName val="ДБ2Р(к+к)"/>
      <sheetName val="ДБ2Р(г+г)"/>
      <sheetName val="ДБ2Р(к+г)"/>
      <sheetName val="ДБ2Р Ж(к+г)"/>
      <sheetName val="ДБ1Рнп(г)"/>
      <sheetName val="ДБ1Р нп(к)"/>
      <sheetName val="ДБ2Р нп(г+г)"/>
      <sheetName val="ДБ2Р нпЖ(к+г)"/>
      <sheetName val="ДБ1О(к)"/>
      <sheetName val="ДБ1О(г)"/>
      <sheetName val="ДБ2О(к)"/>
      <sheetName val="ДБ2О(к) (2)"/>
      <sheetName val="ДБ2О(стекл.) "/>
      <sheetName val="ОБ1(Р)"/>
      <sheetName val="ОБ2(Р+Г) (2)"/>
      <sheetName val="ОБ1(Г)"/>
      <sheetName val="ОБ2(Г)"/>
      <sheetName val="ОБ4(Г)"/>
      <sheetName val="ОБ2(Г) (ж)"/>
      <sheetName val="ПШ (АхА)"/>
      <sheetName val="ДБ1Рнп(ревиз)"/>
      <sheetName val="Потолочные панели"/>
      <sheetName val="Фальшокно"/>
      <sheetName val="Сэндвич50 со стеклом"/>
      <sheetName val="ДБ Эконом Класс"/>
      <sheetName val="Геометрия"/>
      <sheetName val="ПШ"/>
      <sheetName val="ДБ1РОБ"/>
      <sheetName val="ПГМ"/>
    </sheetNames>
    <sheetDataSet>
      <sheetData sheetId="0">
        <row r="4">
          <cell r="J4">
            <v>0.49</v>
          </cell>
          <cell r="K4">
            <v>94.26</v>
          </cell>
          <cell r="L4">
            <v>123.56</v>
          </cell>
          <cell r="M4">
            <v>50.16</v>
          </cell>
        </row>
        <row r="5">
          <cell r="J5">
            <v>0.21</v>
          </cell>
          <cell r="L5">
            <v>56.6</v>
          </cell>
          <cell r="M5">
            <v>22.8</v>
          </cell>
        </row>
        <row r="9">
          <cell r="K9">
            <v>339.46</v>
          </cell>
          <cell r="M9">
            <v>86.64</v>
          </cell>
        </row>
        <row r="11">
          <cell r="J11">
            <v>2</v>
          </cell>
          <cell r="K11">
            <v>417.48</v>
          </cell>
          <cell r="L11">
            <v>406.79</v>
          </cell>
          <cell r="M11">
            <v>45.6</v>
          </cell>
        </row>
        <row r="13">
          <cell r="K13">
            <v>145.44999999999999</v>
          </cell>
          <cell r="M13">
            <v>141.232</v>
          </cell>
        </row>
        <row r="17">
          <cell r="J17">
            <v>1.22</v>
          </cell>
          <cell r="K17">
            <v>244</v>
          </cell>
          <cell r="L17">
            <v>276.67</v>
          </cell>
          <cell r="M17">
            <v>56.088000000000001</v>
          </cell>
        </row>
        <row r="18">
          <cell r="J18">
            <v>2.2599999999999998</v>
          </cell>
          <cell r="K18">
            <v>439.73</v>
          </cell>
          <cell r="L18">
            <v>502.44</v>
          </cell>
          <cell r="M18">
            <v>89.376000000000005</v>
          </cell>
        </row>
        <row r="19">
          <cell r="J19">
            <v>0.59</v>
          </cell>
        </row>
        <row r="25">
          <cell r="K25">
            <v>9.24</v>
          </cell>
        </row>
        <row r="26">
          <cell r="K26">
            <v>21.93</v>
          </cell>
        </row>
        <row r="27">
          <cell r="K27">
            <v>18.46</v>
          </cell>
        </row>
        <row r="31">
          <cell r="J31">
            <v>15</v>
          </cell>
          <cell r="K31">
            <v>1050</v>
          </cell>
        </row>
        <row r="33">
          <cell r="J33">
            <v>7.27</v>
          </cell>
          <cell r="K33">
            <v>404.21138211382117</v>
          </cell>
          <cell r="M33">
            <v>228</v>
          </cell>
        </row>
        <row r="35">
          <cell r="K35">
            <v>252</v>
          </cell>
        </row>
        <row r="36">
          <cell r="J36">
            <v>8.3000000000000007</v>
          </cell>
          <cell r="K36">
            <v>76.94</v>
          </cell>
        </row>
        <row r="37">
          <cell r="K37">
            <v>72.44</v>
          </cell>
        </row>
        <row r="40">
          <cell r="J40">
            <v>0.5</v>
          </cell>
          <cell r="K40">
            <v>36.358333333333334</v>
          </cell>
        </row>
        <row r="41">
          <cell r="J41">
            <v>1.075</v>
          </cell>
          <cell r="K41">
            <v>77.400000000000006</v>
          </cell>
        </row>
        <row r="42">
          <cell r="J42">
            <v>8</v>
          </cell>
        </row>
        <row r="44">
          <cell r="J44">
            <v>3.86</v>
          </cell>
          <cell r="K44">
            <v>753.48</v>
          </cell>
        </row>
        <row r="45">
          <cell r="K45">
            <v>6.52</v>
          </cell>
        </row>
        <row r="46">
          <cell r="K46">
            <v>5</v>
          </cell>
        </row>
        <row r="47">
          <cell r="K47">
            <v>18.68</v>
          </cell>
        </row>
        <row r="50">
          <cell r="K50">
            <v>1052.98</v>
          </cell>
        </row>
        <row r="52">
          <cell r="K52">
            <v>1458.92</v>
          </cell>
        </row>
        <row r="53">
          <cell r="K53">
            <v>412.8</v>
          </cell>
        </row>
        <row r="57">
          <cell r="K57">
            <v>281.48</v>
          </cell>
        </row>
        <row r="60">
          <cell r="K60">
            <v>102.3</v>
          </cell>
        </row>
        <row r="62">
          <cell r="K62">
            <v>492.28</v>
          </cell>
        </row>
        <row r="68">
          <cell r="C68" t="str">
            <v>REA 287 (п)</v>
          </cell>
        </row>
        <row r="69">
          <cell r="C69" t="str">
            <v>REA 288 (л)</v>
          </cell>
        </row>
        <row r="70">
          <cell r="C70">
            <v>430</v>
          </cell>
          <cell r="J70">
            <v>0.4</v>
          </cell>
        </row>
        <row r="71">
          <cell r="C71">
            <v>530</v>
          </cell>
          <cell r="J71">
            <v>0.45</v>
          </cell>
        </row>
        <row r="72">
          <cell r="C72">
            <v>630</v>
          </cell>
          <cell r="J72">
            <v>0.47</v>
          </cell>
        </row>
        <row r="73">
          <cell r="C73">
            <v>730</v>
          </cell>
          <cell r="J73">
            <v>0.48</v>
          </cell>
        </row>
        <row r="74">
          <cell r="C74">
            <v>830</v>
          </cell>
          <cell r="J74">
            <v>0.49</v>
          </cell>
          <cell r="K74">
            <v>807.67</v>
          </cell>
        </row>
        <row r="75">
          <cell r="C75">
            <v>930</v>
          </cell>
          <cell r="J75">
            <v>0.5</v>
          </cell>
        </row>
        <row r="76">
          <cell r="C76">
            <v>1030</v>
          </cell>
          <cell r="J76">
            <v>0.55000000000000004</v>
          </cell>
        </row>
        <row r="77">
          <cell r="C77">
            <v>1130</v>
          </cell>
        </row>
        <row r="78">
          <cell r="C78">
            <v>1230</v>
          </cell>
        </row>
        <row r="84">
          <cell r="K84">
            <v>3000</v>
          </cell>
        </row>
        <row r="102">
          <cell r="K102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О"/>
      <sheetName val="ЦП"/>
      <sheetName val="НП"/>
      <sheetName val="ВП"/>
      <sheetName val="И"/>
      <sheetName val="Панели"/>
      <sheetName val="Крепеж"/>
      <sheetName val="Расходная"/>
      <sheetName val="Стойки"/>
    </sheetNames>
    <sheetDataSet>
      <sheetData sheetId="0">
        <row r="2">
          <cell r="B2">
            <v>1</v>
          </cell>
        </row>
        <row r="8">
          <cell r="C8" t="str">
            <v>RAL 9003</v>
          </cell>
        </row>
        <row r="10">
          <cell r="C10" t="str">
            <v>RAL 9003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Контур. Номенклатура"/>
    </sheetNames>
    <definedNames>
      <definedName name="вес_RE11840" refersTo="='Данные'!$K$19"/>
      <definedName name="вес_RE11842" refersTo="='Данные'!$K$11"/>
      <definedName name="вес_RE11843" refersTo="='Данные'!$K$4"/>
      <definedName name="вес_RE11844" refersTo="='Данные'!$K$5"/>
      <definedName name="вес_RE11845" refersTo="='Данные'!$K$18"/>
      <definedName name="вес_вып_порог_1030" refersTo="='Данные'!$K$99"/>
      <definedName name="вес_вып_порог_430" refersTo="='Данные'!$K$93"/>
      <definedName name="вес_вып_порог_530" refersTo="='Данные'!$K$94"/>
      <definedName name="вес_вып_порог_630" refersTo="='Данные'!$K$95"/>
      <definedName name="вес_вып_порог_730" refersTo="='Данные'!$K$96"/>
      <definedName name="вес_вып_порог_830" refersTo="='Данные'!$K$97"/>
      <definedName name="вес_вып_порог_930" refersTo="='Данные'!$K$98"/>
      <definedName name="вес_гипс_125" refersTo="='Данные'!$K$46"/>
      <definedName name="вес_пенопласт_43" refersTo="='Данные'!$K$51"/>
      <definedName name="вес_сталь_оц_09" refersTo="='Данные'!$K$43"/>
      <definedName name="вес_стекло_6" refersTo="='Данные'!$K$41"/>
      <definedName name="вес_сухарь" refersTo="='Данные'!$K$57"/>
      <definedName name="цена_RE11840_RAL" refersTo="='Данные'!$P$19"/>
      <definedName name="цена_RE11840_анод" refersTo="='Данные'!$L$19"/>
      <definedName name="цена_RE11842_RAL" refersTo="='Данные'!$P$11"/>
      <definedName name="цена_RE11842_анод" refersTo="='Данные'!$L$11"/>
      <definedName name="цена_RE11843_RAL" refersTo="='Данные'!$P$4"/>
      <definedName name="цена_RE11843_анод" refersTo="='Данные'!$L$4"/>
      <definedName name="цена_RE11844_RAL" refersTo="='Данные'!$P$5"/>
      <definedName name="цена_RE11844_анод" refersTo="='Данные'!$L$5"/>
      <definedName name="цена_RE11845_RAL" refersTo="='Данные'!$P$18"/>
      <definedName name="цена_RE11845_анод" refersTo="='Данные'!$L$18"/>
      <definedName name="цена_вып_порог_830" refersTo="='Данные'!$M$97"/>
      <definedName name="цена_гипс_125" refersTo="='Данные'!$M$46"/>
      <definedName name="цена_замок_ответка_карман" refersTo="='Данные'!$M$70"/>
      <definedName name="цена_кляймер_заклепка" refersTo="='Данные'!$M$63"/>
      <definedName name="цена_М6" refersTo="='Данные'!$M$62"/>
      <definedName name="цена_наж_гарнитур" refersTo="='Данные'!$M$83"/>
      <definedName name="цена_накладка_на_цилиндр" refersTo="='Данные'!$M$81"/>
      <definedName name="цена_пенопласт_43" refersTo="='Данные'!$M$51"/>
      <definedName name="цена_петля_крепеж_Fapim_анод" refersTo="='Данные'!$M$66"/>
      <definedName name="цена_сталь_оц_090_RAL" refersTo="='Данные'!$P$43"/>
      <definedName name="цена_стекло_6"/>
      <definedName name="цена_сухарь" refersTo="='Данные'!$M$57"/>
      <definedName name="цена_уголок" refersTo="='Данные'!$M$61"/>
      <definedName name="цена_уп_панельный_сер" refersTo="='Данные'!$M$32"/>
      <definedName name="цена_уп_примыкания_сер" refersTo="='Данные'!$M$31"/>
      <definedName name="цена_уп_стекольный_сер" refersTo="='Данные'!$M$34"/>
      <definedName name="цена_цилиндр_ключ_ключ" refersTo="='Данные'!$M$78"/>
    </definedNames>
    <sheetDataSet>
      <sheetData sheetId="0">
        <row r="4">
          <cell r="K4">
            <v>0.47</v>
          </cell>
          <cell r="L4">
            <v>129.41999999999999</v>
          </cell>
          <cell r="P4">
            <v>146.18</v>
          </cell>
        </row>
        <row r="5">
          <cell r="K5">
            <v>0.20699999999999999</v>
          </cell>
          <cell r="L5">
            <v>56.6</v>
          </cell>
          <cell r="P5">
            <v>80.2</v>
          </cell>
        </row>
        <row r="11">
          <cell r="K11">
            <v>1.9219999999999999</v>
          </cell>
          <cell r="L11">
            <v>436.53</v>
          </cell>
          <cell r="P11">
            <v>464.68</v>
          </cell>
        </row>
        <row r="18">
          <cell r="K18">
            <v>1.2170000000000001</v>
          </cell>
          <cell r="L18">
            <v>276.67</v>
          </cell>
          <cell r="P18">
            <v>302.05599999999998</v>
          </cell>
        </row>
        <row r="19">
          <cell r="K19">
            <v>2.2549999999999999</v>
          </cell>
          <cell r="L19">
            <v>502.44</v>
          </cell>
          <cell r="P19">
            <v>532.24199999999996</v>
          </cell>
        </row>
        <row r="31">
          <cell r="M31">
            <v>9.24</v>
          </cell>
        </row>
        <row r="32">
          <cell r="M32">
            <v>21.93</v>
          </cell>
        </row>
        <row r="33">
          <cell r="E33" t="str">
            <v>Стекольный АРТ 1654</v>
          </cell>
        </row>
        <row r="34">
          <cell r="E34" t="str">
            <v>Стекольный АРТ 994</v>
          </cell>
          <cell r="M34">
            <v>18.46</v>
          </cell>
        </row>
        <row r="35">
          <cell r="E35" t="str">
            <v>ПВХ 4х10 мм (дистанц.)</v>
          </cell>
        </row>
        <row r="36">
          <cell r="E36" t="str">
            <v>ПВХ 5х10 мм (дистанц.)</v>
          </cell>
        </row>
        <row r="40">
          <cell r="E40" t="str">
            <v>Стекло закаленное 4 мм</v>
          </cell>
        </row>
        <row r="41">
          <cell r="D41" t="str">
            <v>Прозрачное</v>
          </cell>
          <cell r="E41" t="str">
            <v>Стекло закаленное 6 мм</v>
          </cell>
          <cell r="K41">
            <v>15</v>
          </cell>
        </row>
        <row r="42">
          <cell r="D42" t="str">
            <v>Матовое</v>
          </cell>
          <cell r="E42" t="str">
            <v>Стекло закаленное 6 мм матовое</v>
          </cell>
        </row>
        <row r="43">
          <cell r="K43">
            <v>7.27</v>
          </cell>
          <cell r="P43">
            <v>640.21138211382117</v>
          </cell>
        </row>
        <row r="46">
          <cell r="D46" t="str">
            <v>Гипсокартон 12,5 мм</v>
          </cell>
          <cell r="K46">
            <v>8.3000000000000007</v>
          </cell>
          <cell r="M46">
            <v>76.94</v>
          </cell>
        </row>
        <row r="47">
          <cell r="D47" t="str">
            <v>Пенопласт, 43 мм</v>
          </cell>
        </row>
        <row r="48">
          <cell r="D48" t="str">
            <v>Пенопласт, 20 мм</v>
          </cell>
        </row>
        <row r="51">
          <cell r="K51">
            <v>1.075</v>
          </cell>
          <cell r="M51">
            <v>77.400000000000006</v>
          </cell>
        </row>
        <row r="57">
          <cell r="K57">
            <v>3.8639999999999999</v>
          </cell>
          <cell r="M57">
            <v>753.48</v>
          </cell>
        </row>
        <row r="61">
          <cell r="M61">
            <v>6.52</v>
          </cell>
        </row>
        <row r="62">
          <cell r="M62">
            <v>5</v>
          </cell>
        </row>
        <row r="63">
          <cell r="M63">
            <v>18.68</v>
          </cell>
        </row>
        <row r="66">
          <cell r="M66">
            <v>1052.98</v>
          </cell>
        </row>
        <row r="70">
          <cell r="E70" t="str">
            <v>Замок ригельный с фалевой защелкой; ответ.планка; карман</v>
          </cell>
          <cell r="M70">
            <v>412.8</v>
          </cell>
        </row>
        <row r="71">
          <cell r="E71" t="str">
            <v>Замок ригельный с роликовой защелкой; ответн.планка; карман</v>
          </cell>
        </row>
        <row r="72">
          <cell r="E72" t="str">
            <v>Замок с фалевой защелкой; ответная планка</v>
          </cell>
        </row>
        <row r="73">
          <cell r="E73" t="str">
            <v>Замок ригельный; ответная планка; карман</v>
          </cell>
        </row>
        <row r="78">
          <cell r="E78" t="str">
            <v>Цилиндр профильный</v>
          </cell>
          <cell r="M78">
            <v>281.48</v>
          </cell>
        </row>
        <row r="79">
          <cell r="E79" t="str">
            <v>Цилиндр профильный с ручкой</v>
          </cell>
        </row>
        <row r="80">
          <cell r="E80" t="str">
            <v>Полуцилиндр профильный</v>
          </cell>
        </row>
        <row r="81">
          <cell r="M81">
            <v>102.3</v>
          </cell>
        </row>
        <row r="83">
          <cell r="E83" t="str">
            <v>Наж. гарнитур (с 2-х сторон)</v>
          </cell>
          <cell r="M83">
            <v>492.28</v>
          </cell>
        </row>
        <row r="84">
          <cell r="E84" t="str">
            <v xml:space="preserve">Наж. гарнитур (с 1-ой стороны) </v>
          </cell>
        </row>
        <row r="93">
          <cell r="D93">
            <v>430</v>
          </cell>
          <cell r="K93">
            <v>0.4</v>
          </cell>
        </row>
        <row r="94">
          <cell r="D94">
            <v>530</v>
          </cell>
          <cell r="K94">
            <v>0.45</v>
          </cell>
        </row>
        <row r="95">
          <cell r="D95">
            <v>630</v>
          </cell>
          <cell r="K95">
            <v>0.47</v>
          </cell>
        </row>
        <row r="96">
          <cell r="D96">
            <v>730</v>
          </cell>
          <cell r="K96">
            <v>0.48</v>
          </cell>
        </row>
        <row r="97">
          <cell r="D97">
            <v>830</v>
          </cell>
          <cell r="K97">
            <v>0.49</v>
          </cell>
          <cell r="M97">
            <v>807.67</v>
          </cell>
        </row>
        <row r="98">
          <cell r="D98">
            <v>930</v>
          </cell>
          <cell r="K98">
            <v>0.5</v>
          </cell>
        </row>
        <row r="99">
          <cell r="D99">
            <v>1030</v>
          </cell>
          <cell r="K99">
            <v>0.55000000000000004</v>
          </cell>
        </row>
        <row r="100">
          <cell r="D100">
            <v>1130</v>
          </cell>
        </row>
        <row r="101">
          <cell r="D101">
            <v>1230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59999389629810485"/>
    <pageSetUpPr fitToPage="1"/>
  </sheetPr>
  <dimension ref="A2:AB48"/>
  <sheetViews>
    <sheetView tabSelected="1" topLeftCell="L7" zoomScaleNormal="100" workbookViewId="0">
      <selection activeCell="Y8" sqref="Y8"/>
    </sheetView>
  </sheetViews>
  <sheetFormatPr defaultColWidth="8.85546875" defaultRowHeight="15" x14ac:dyDescent="0.25"/>
  <cols>
    <col min="1" max="1" width="8.85546875" style="14"/>
    <col min="2" max="2" width="5.7109375" style="14" customWidth="1"/>
    <col min="3" max="3" width="12.7109375" style="14" customWidth="1"/>
    <col min="4" max="4" width="24.7109375" style="14" customWidth="1"/>
    <col min="5" max="5" width="12.7109375" style="14" customWidth="1"/>
    <col min="6" max="6" width="5.7109375" style="14" customWidth="1"/>
    <col min="7" max="7" width="10.5703125" style="15" bestFit="1" customWidth="1"/>
    <col min="8" max="8" width="10.7109375" style="15" customWidth="1"/>
    <col min="9" max="9" width="9.28515625" style="15" customWidth="1"/>
    <col min="10" max="10" width="8.7109375" style="15" customWidth="1"/>
    <col min="11" max="11" width="9.7109375" style="15" customWidth="1"/>
    <col min="12" max="12" width="9.28515625" style="15" bestFit="1" customWidth="1"/>
    <col min="13" max="13" width="12.7109375" style="15" bestFit="1" customWidth="1"/>
    <col min="14" max="14" width="13.140625" style="16" bestFit="1" customWidth="1"/>
    <col min="15" max="15" width="8.85546875" style="17"/>
    <col min="16" max="23" width="8.85546875" style="14"/>
    <col min="24" max="24" width="11.42578125" style="14" customWidth="1"/>
    <col min="25" max="25" width="27.85546875" style="14" bestFit="1" customWidth="1"/>
    <col min="26" max="26" width="11.42578125" style="14" bestFit="1" customWidth="1"/>
    <col min="27" max="27" width="11.7109375" style="14" bestFit="1" customWidth="1"/>
    <col min="28" max="28" width="8" style="14" bestFit="1" customWidth="1"/>
    <col min="29" max="16384" width="8.85546875" style="14"/>
  </cols>
  <sheetData>
    <row r="2" spans="1:28" ht="16.5" x14ac:dyDescent="0.3">
      <c r="A2" s="15" t="s">
        <v>67</v>
      </c>
      <c r="B2" s="107">
        <v>10</v>
      </c>
      <c r="C2" s="153" t="s">
        <v>37</v>
      </c>
      <c r="D2" s="153"/>
      <c r="E2" s="153"/>
      <c r="F2" s="153"/>
      <c r="G2" s="153"/>
      <c r="H2" s="153"/>
      <c r="I2" s="153"/>
      <c r="J2" s="153"/>
      <c r="K2" s="106"/>
    </row>
    <row r="3" spans="1:28" x14ac:dyDescent="0.25">
      <c r="A3" s="14" t="s">
        <v>65</v>
      </c>
      <c r="B3" s="18">
        <v>4</v>
      </c>
      <c r="C3" s="14" t="s">
        <v>64</v>
      </c>
      <c r="D3" s="14" t="s">
        <v>14</v>
      </c>
      <c r="I3" s="19">
        <v>1</v>
      </c>
    </row>
    <row r="4" spans="1:28" x14ac:dyDescent="0.25">
      <c r="A4" s="14" t="s">
        <v>66</v>
      </c>
      <c r="B4" s="54">
        <v>5</v>
      </c>
      <c r="D4" s="14" t="s">
        <v>47</v>
      </c>
      <c r="I4" s="19">
        <v>2000</v>
      </c>
    </row>
    <row r="5" spans="1:28" x14ac:dyDescent="0.25">
      <c r="D5" s="14" t="s">
        <v>48</v>
      </c>
      <c r="I5" s="19">
        <v>970</v>
      </c>
    </row>
    <row r="6" spans="1:28" ht="15.75" thickBot="1" x14ac:dyDescent="0.3">
      <c r="D6" s="14" t="s">
        <v>23</v>
      </c>
      <c r="I6" s="18">
        <v>1200</v>
      </c>
    </row>
    <row r="7" spans="1:28" s="20" customFormat="1" ht="18" customHeight="1" thickBot="1" x14ac:dyDescent="0.3">
      <c r="B7" s="186" t="s">
        <v>10</v>
      </c>
      <c r="C7" s="187"/>
      <c r="D7" s="187"/>
      <c r="E7" s="187"/>
      <c r="F7" s="187"/>
      <c r="G7" s="187"/>
      <c r="H7" s="187"/>
      <c r="I7" s="187"/>
      <c r="J7" s="188"/>
      <c r="K7" s="21"/>
      <c r="L7" s="22"/>
      <c r="M7" s="22"/>
      <c r="N7" s="23"/>
      <c r="O7" s="24"/>
    </row>
    <row r="8" spans="1:28" s="20" customFormat="1" ht="48" customHeight="1" thickBot="1" x14ac:dyDescent="0.3">
      <c r="B8" s="5" t="s">
        <v>2</v>
      </c>
      <c r="C8" s="189" t="s">
        <v>0</v>
      </c>
      <c r="D8" s="190"/>
      <c r="E8" s="6" t="s">
        <v>60</v>
      </c>
      <c r="F8" s="6" t="s">
        <v>61</v>
      </c>
      <c r="G8" s="6" t="s">
        <v>25</v>
      </c>
      <c r="H8" s="6" t="s">
        <v>24</v>
      </c>
      <c r="I8" s="99" t="s">
        <v>13</v>
      </c>
      <c r="J8" s="7" t="s">
        <v>15</v>
      </c>
      <c r="K8" s="25"/>
      <c r="L8" s="26" t="s">
        <v>31</v>
      </c>
      <c r="M8" s="27" t="s">
        <v>42</v>
      </c>
      <c r="N8" s="27" t="s">
        <v>43</v>
      </c>
      <c r="O8" s="24"/>
    </row>
    <row r="9" spans="1:28" s="20" customFormat="1" ht="18" customHeight="1" x14ac:dyDescent="0.35">
      <c r="A9" s="28"/>
      <c r="B9" s="8">
        <v>1</v>
      </c>
      <c r="C9" s="191" t="s">
        <v>1</v>
      </c>
      <c r="D9" s="194" t="s">
        <v>19</v>
      </c>
      <c r="E9" s="198">
        <v>9002</v>
      </c>
      <c r="F9" s="185" t="s">
        <v>8</v>
      </c>
      <c r="G9" s="111">
        <f>I4</f>
        <v>2000</v>
      </c>
      <c r="H9" s="115" t="s">
        <v>5</v>
      </c>
      <c r="I9" s="74">
        <v>1</v>
      </c>
      <c r="J9" s="75">
        <f t="shared" ref="J9:J41" si="0">I9*$I$3</f>
        <v>1</v>
      </c>
      <c r="K9" s="29"/>
      <c r="L9" s="30">
        <f>(G9*I9/10^3)*[3]!вес_RE11845</f>
        <v>2.4340000000000002</v>
      </c>
      <c r="M9" s="31"/>
      <c r="N9" s="32"/>
      <c r="O9" s="24"/>
      <c r="Y9" s="202" t="s">
        <v>74</v>
      </c>
      <c r="Z9" s="202"/>
      <c r="AA9" s="203"/>
    </row>
    <row r="10" spans="1:28" s="20" customFormat="1" ht="18" customHeight="1" x14ac:dyDescent="0.3">
      <c r="A10" s="28"/>
      <c r="B10" s="9">
        <v>2</v>
      </c>
      <c r="C10" s="192"/>
      <c r="D10" s="183"/>
      <c r="E10" s="199"/>
      <c r="F10" s="134"/>
      <c r="G10" s="112">
        <f>I5</f>
        <v>970</v>
      </c>
      <c r="H10" s="116" t="s">
        <v>6</v>
      </c>
      <c r="I10" s="76">
        <v>1</v>
      </c>
      <c r="J10" s="77">
        <f t="shared" si="0"/>
        <v>1</v>
      </c>
      <c r="K10" s="29"/>
      <c r="L10" s="30">
        <f>(G10*I10/10^3)*[3]!вес_RE11845</f>
        <v>1.18049</v>
      </c>
      <c r="M10" s="31">
        <f>6*[3]!цена_RE11845_анод</f>
        <v>1660.02</v>
      </c>
      <c r="N10" s="32">
        <f>6*[3]!цена_RE11845_RAL</f>
        <v>1812.3359999999998</v>
      </c>
      <c r="O10" s="24"/>
      <c r="Y10" s="14"/>
      <c r="Z10" s="14"/>
      <c r="AA10" s="14"/>
    </row>
    <row r="11" spans="1:28" s="20" customFormat="1" ht="18" customHeight="1" x14ac:dyDescent="0.3">
      <c r="A11" s="28"/>
      <c r="B11" s="9">
        <v>3</v>
      </c>
      <c r="C11" s="192"/>
      <c r="D11" s="184"/>
      <c r="E11" s="200"/>
      <c r="F11" s="135"/>
      <c r="G11" s="112">
        <f>G9</f>
        <v>2000</v>
      </c>
      <c r="H11" s="116" t="s">
        <v>7</v>
      </c>
      <c r="I11" s="76">
        <v>1</v>
      </c>
      <c r="J11" s="77">
        <f t="shared" si="0"/>
        <v>1</v>
      </c>
      <c r="K11" s="29"/>
      <c r="L11" s="30">
        <f>(G11*I11/10^3)*[3]!вес_RE11845</f>
        <v>2.4340000000000002</v>
      </c>
      <c r="M11" s="31"/>
      <c r="N11" s="32"/>
      <c r="O11" s="24"/>
      <c r="Y11" s="206" t="s">
        <v>75</v>
      </c>
      <c r="Z11" s="207"/>
      <c r="AA11" s="207"/>
      <c r="AB11" s="208"/>
    </row>
    <row r="12" spans="1:28" s="20" customFormat="1" ht="18" customHeight="1" x14ac:dyDescent="0.3">
      <c r="A12" s="28"/>
      <c r="B12" s="9">
        <v>4</v>
      </c>
      <c r="C12" s="193" t="s">
        <v>3</v>
      </c>
      <c r="D12" s="195" t="s">
        <v>19</v>
      </c>
      <c r="E12" s="133">
        <f>E9</f>
        <v>9002</v>
      </c>
      <c r="F12" s="133" t="s">
        <v>8</v>
      </c>
      <c r="G12" s="113">
        <f>G9-40.8-5-$B$2</f>
        <v>1944.2</v>
      </c>
      <c r="H12" s="118" t="str">
        <f>H9</f>
        <v>90х45</v>
      </c>
      <c r="I12" s="78">
        <v>1</v>
      </c>
      <c r="J12" s="77">
        <f t="shared" si="0"/>
        <v>1</v>
      </c>
      <c r="K12" s="29"/>
      <c r="L12" s="30">
        <f>(G12*I12/10^3)*[3]!вес_RE11845</f>
        <v>2.3660914000000002</v>
      </c>
      <c r="M12" s="31"/>
      <c r="N12" s="32"/>
      <c r="O12" s="24"/>
      <c r="Y12" s="204" t="s">
        <v>76</v>
      </c>
      <c r="Z12" s="204" t="s">
        <v>77</v>
      </c>
      <c r="AA12" s="57" t="s">
        <v>78</v>
      </c>
      <c r="AB12" s="204" t="s">
        <v>79</v>
      </c>
    </row>
    <row r="13" spans="1:28" s="20" customFormat="1" ht="18" customHeight="1" x14ac:dyDescent="0.3">
      <c r="A13" s="28"/>
      <c r="B13" s="9">
        <v>5</v>
      </c>
      <c r="C13" s="170"/>
      <c r="D13" s="196"/>
      <c r="E13" s="134"/>
      <c r="F13" s="134"/>
      <c r="G13" s="112">
        <f>I5-2*(40.8+$B$3)</f>
        <v>880.4</v>
      </c>
      <c r="H13" s="118" t="str">
        <f>H10</f>
        <v>45х45</v>
      </c>
      <c r="I13" s="78">
        <v>1</v>
      </c>
      <c r="J13" s="77">
        <f t="shared" si="0"/>
        <v>1</v>
      </c>
      <c r="K13" s="29"/>
      <c r="L13" s="30">
        <f>(G13*I13/10^3)*[3]!вес_RE11845</f>
        <v>1.0714467999999999</v>
      </c>
      <c r="M13" s="31">
        <f>6*[3]!цена_RE11845_анод</f>
        <v>1660.02</v>
      </c>
      <c r="N13" s="32">
        <f>6*[3]!цена_RE11845_RAL</f>
        <v>1812.3359999999998</v>
      </c>
      <c r="O13" s="24"/>
      <c r="Y13" s="57" t="s">
        <v>19</v>
      </c>
      <c r="Z13" s="57">
        <v>4500</v>
      </c>
      <c r="AA13" s="205">
        <f>(G9+G10+G11+G12+G13+G14)/Z13</f>
        <v>2.1641777777777778</v>
      </c>
      <c r="AB13" s="209">
        <f>(G9+G11)-Z13</f>
        <v>-500</v>
      </c>
    </row>
    <row r="14" spans="1:28" s="20" customFormat="1" ht="18" customHeight="1" x14ac:dyDescent="0.3">
      <c r="A14" s="28"/>
      <c r="B14" s="9">
        <v>6</v>
      </c>
      <c r="C14" s="171"/>
      <c r="D14" s="197"/>
      <c r="E14" s="135"/>
      <c r="F14" s="135"/>
      <c r="G14" s="112">
        <f>G12</f>
        <v>1944.2</v>
      </c>
      <c r="H14" s="118" t="str">
        <f>H11</f>
        <v>45х90</v>
      </c>
      <c r="I14" s="78">
        <v>1</v>
      </c>
      <c r="J14" s="77">
        <f t="shared" si="0"/>
        <v>1</v>
      </c>
      <c r="K14" s="29"/>
      <c r="L14" s="30">
        <f>(G14*I14/10^3)*[3]!вес_RE11845</f>
        <v>2.3660914000000002</v>
      </c>
      <c r="M14" s="31"/>
      <c r="N14" s="32"/>
      <c r="O14" s="24"/>
      <c r="Y14" s="57" t="s">
        <v>21</v>
      </c>
      <c r="Z14" s="57">
        <v>6000</v>
      </c>
      <c r="AA14" s="205">
        <f>G15/Z14</f>
        <v>0.1258</v>
      </c>
      <c r="AB14" s="201"/>
    </row>
    <row r="15" spans="1:28" s="20" customFormat="1" ht="18" customHeight="1" x14ac:dyDescent="0.3">
      <c r="A15" s="28"/>
      <c r="B15" s="9">
        <v>7</v>
      </c>
      <c r="C15" s="10" t="s">
        <v>39</v>
      </c>
      <c r="D15" s="71" t="s">
        <v>21</v>
      </c>
      <c r="E15" s="57">
        <f>E12</f>
        <v>9002</v>
      </c>
      <c r="F15" s="57" t="s">
        <v>8</v>
      </c>
      <c r="G15" s="112">
        <f>G13-2*62.8</f>
        <v>754.8</v>
      </c>
      <c r="H15" s="118"/>
      <c r="I15" s="78">
        <v>1</v>
      </c>
      <c r="J15" s="77">
        <f t="shared" si="0"/>
        <v>1</v>
      </c>
      <c r="K15" s="29"/>
      <c r="L15" s="30">
        <f>(G15*I15/10^3)*[3]!вес_RE11842</f>
        <v>1.4507255999999997</v>
      </c>
      <c r="M15" s="31">
        <f>$G$15*$I$15/1000*[3]!цена_RE11842_анод</f>
        <v>329.49284399999993</v>
      </c>
      <c r="N15" s="32">
        <f>$G15*$I15/1000*[3]!цена_RE11842_RAL</f>
        <v>350.74046399999997</v>
      </c>
      <c r="O15" s="24"/>
      <c r="Y15" s="201"/>
      <c r="Z15" s="201"/>
      <c r="AA15" s="201"/>
      <c r="AB15" s="201"/>
    </row>
    <row r="16" spans="1:28" s="20" customFormat="1" ht="18" customHeight="1" x14ac:dyDescent="0.3">
      <c r="A16" s="28"/>
      <c r="B16" s="9">
        <v>8</v>
      </c>
      <c r="C16" s="10" t="s">
        <v>18</v>
      </c>
      <c r="D16" s="71" t="s">
        <v>20</v>
      </c>
      <c r="E16" s="57">
        <f>E12</f>
        <v>9002</v>
      </c>
      <c r="F16" s="57" t="s">
        <v>8</v>
      </c>
      <c r="G16" s="112">
        <f>G13-2*62.8</f>
        <v>754.8</v>
      </c>
      <c r="H16" s="118"/>
      <c r="I16" s="78">
        <v>1</v>
      </c>
      <c r="J16" s="77">
        <f t="shared" si="0"/>
        <v>1</v>
      </c>
      <c r="K16" s="29"/>
      <c r="L16" s="30">
        <f>(G16*I16/10^3)*[3]!вес_RE11840</f>
        <v>1.7020739999999996</v>
      </c>
      <c r="M16" s="31">
        <f>$G16*$I16/1000*[3]!цена_RE11840_анод</f>
        <v>379.24171199999995</v>
      </c>
      <c r="N16" s="32">
        <f>$G16*$I16/1000*[3]!цена_RE11840_RAL</f>
        <v>401.73626159999992</v>
      </c>
      <c r="O16" s="24"/>
      <c r="Y16" s="201"/>
      <c r="Z16" s="201"/>
      <c r="AA16" s="201"/>
      <c r="AB16" s="201"/>
    </row>
    <row r="17" spans="1:28" s="20" customFormat="1" ht="18" customHeight="1" x14ac:dyDescent="0.3">
      <c r="A17" s="28"/>
      <c r="B17" s="9">
        <v>9</v>
      </c>
      <c r="C17" s="137" t="s">
        <v>17</v>
      </c>
      <c r="D17" s="179" t="s">
        <v>16</v>
      </c>
      <c r="E17" s="133">
        <f>E12</f>
        <v>9002</v>
      </c>
      <c r="F17" s="133" t="s">
        <v>8</v>
      </c>
      <c r="G17" s="112">
        <f>G12-62.8-I6-25</f>
        <v>656.40000000000009</v>
      </c>
      <c r="H17" s="176" t="s">
        <v>6</v>
      </c>
      <c r="I17" s="78">
        <v>4</v>
      </c>
      <c r="J17" s="77">
        <f t="shared" si="0"/>
        <v>4</v>
      </c>
      <c r="K17" s="29"/>
      <c r="L17" s="30">
        <f>(G17*I17/10^3)*[3]!вес_RE11843</f>
        <v>1.234032</v>
      </c>
      <c r="M17" s="31">
        <f>$G17*$I17/1000*[3]!цена_RE11843_анод</f>
        <v>339.80515200000002</v>
      </c>
      <c r="N17" s="32">
        <f>$G17*$I17/1000*[3]!цена_RE11843_RAL</f>
        <v>383.81020800000005</v>
      </c>
      <c r="O17" s="24"/>
      <c r="Y17" s="201"/>
      <c r="Z17" s="201"/>
      <c r="AA17" s="201"/>
      <c r="AB17" s="201"/>
    </row>
    <row r="18" spans="1:28" s="20" customFormat="1" ht="18" customHeight="1" x14ac:dyDescent="0.3">
      <c r="A18" s="28"/>
      <c r="B18" s="9">
        <v>10</v>
      </c>
      <c r="C18" s="138"/>
      <c r="D18" s="180"/>
      <c r="E18" s="134"/>
      <c r="F18" s="134"/>
      <c r="G18" s="112">
        <f>G15</f>
        <v>754.8</v>
      </c>
      <c r="H18" s="177"/>
      <c r="I18" s="78">
        <v>8</v>
      </c>
      <c r="J18" s="77">
        <f t="shared" si="0"/>
        <v>8</v>
      </c>
      <c r="K18" s="29"/>
      <c r="L18" s="30">
        <f>(G18*I18/10^3)*[3]!вес_RE11843</f>
        <v>2.8380479999999997</v>
      </c>
      <c r="M18" s="31">
        <f>$G18*$I18/1000*[3]!цена_RE11843_анод</f>
        <v>781.48972799999979</v>
      </c>
      <c r="N18" s="32">
        <f>$G18*$I18/1000*[3]!цена_RE11843_RAL</f>
        <v>882.69331199999999</v>
      </c>
      <c r="O18" s="24"/>
      <c r="Y18" s="201"/>
      <c r="Z18" s="201"/>
      <c r="AA18" s="201"/>
      <c r="AB18" s="201"/>
    </row>
    <row r="19" spans="1:28" s="20" customFormat="1" ht="18" customHeight="1" thickBot="1" x14ac:dyDescent="0.35">
      <c r="A19" s="33"/>
      <c r="B19" s="9">
        <v>11</v>
      </c>
      <c r="C19" s="139"/>
      <c r="D19" s="181"/>
      <c r="E19" s="136"/>
      <c r="F19" s="136"/>
      <c r="G19" s="119">
        <f>I6-25-80</f>
        <v>1095</v>
      </c>
      <c r="H19" s="178"/>
      <c r="I19" s="82">
        <v>4</v>
      </c>
      <c r="J19" s="83">
        <f t="shared" si="0"/>
        <v>4</v>
      </c>
      <c r="K19" s="29"/>
      <c r="L19" s="30">
        <f>(G19*I19/10^3)*[3]!вес_RE11843</f>
        <v>2.0585999999999998</v>
      </c>
      <c r="M19" s="31">
        <f>$G19*$I19/1000*[3]!цена_RE11843_анод</f>
        <v>566.85959999999989</v>
      </c>
      <c r="N19" s="32">
        <f>$G19*$I19/1000*[3]!цена_RE11843_RAL</f>
        <v>640.26840000000004</v>
      </c>
      <c r="O19" s="24"/>
      <c r="Y19" s="201"/>
      <c r="Z19" s="201"/>
      <c r="AA19" s="201"/>
      <c r="AB19" s="201"/>
    </row>
    <row r="20" spans="1:28" s="20" customFormat="1" ht="18" customHeight="1" x14ac:dyDescent="0.3">
      <c r="A20" s="33"/>
      <c r="B20" s="9">
        <v>12</v>
      </c>
      <c r="C20" s="143" t="s">
        <v>71</v>
      </c>
      <c r="D20" s="144"/>
      <c r="E20" s="103" t="s">
        <v>45</v>
      </c>
      <c r="F20" s="55" t="s">
        <v>8</v>
      </c>
      <c r="G20" s="132">
        <f>G17-2*(13.5+A31)</f>
        <v>619.40000000000009</v>
      </c>
      <c r="H20" s="132">
        <f>G16-2*(13.5+A31)</f>
        <v>717.8</v>
      </c>
      <c r="I20" s="81">
        <v>2</v>
      </c>
      <c r="J20" s="75">
        <f t="shared" ref="J20:J28" si="1">I20*$I$3</f>
        <v>2</v>
      </c>
      <c r="K20" s="29"/>
      <c r="L20" s="30">
        <f>(G20*H20/10^6)*I20*[3]!вес_стекло_6</f>
        <v>13.338159600000003</v>
      </c>
      <c r="M20" s="31" t="e">
        <f>($G20*$H20/10^6)*$I20*[3]!цена_стекло_6</f>
        <v>#NAME?</v>
      </c>
      <c r="N20" s="34" t="e">
        <f t="shared" ref="N20:N29" si="2">M20</f>
        <v>#NAME?</v>
      </c>
      <c r="O20" s="24"/>
      <c r="Y20" s="201"/>
      <c r="Z20" s="201"/>
      <c r="AA20" s="201"/>
      <c r="AB20" s="201"/>
    </row>
    <row r="21" spans="1:28" s="20" customFormat="1" ht="18" customHeight="1" x14ac:dyDescent="0.3">
      <c r="A21" s="33"/>
      <c r="B21" s="9">
        <v>13</v>
      </c>
      <c r="C21" s="145" t="s">
        <v>59</v>
      </c>
      <c r="D21" s="146"/>
      <c r="E21" s="60">
        <f>E12</f>
        <v>9002</v>
      </c>
      <c r="F21" s="56" t="s">
        <v>8</v>
      </c>
      <c r="G21" s="91">
        <f>G19-35</f>
        <v>1060</v>
      </c>
      <c r="H21" s="100">
        <f>ROUND((G16-35),0)</f>
        <v>720</v>
      </c>
      <c r="I21" s="78">
        <v>2</v>
      </c>
      <c r="J21" s="77">
        <f t="shared" si="1"/>
        <v>2</v>
      </c>
      <c r="K21" s="29"/>
      <c r="L21" s="30">
        <f>(G21*H21/10^6)*I21*[3]!вес_сталь_оц_09</f>
        <v>11.096927999999998</v>
      </c>
      <c r="M21" s="31">
        <f>($G21*$H21/10^6)*$I21*[3]!цена_сталь_оц_090_RAL</f>
        <v>977.2186536585366</v>
      </c>
      <c r="N21" s="34">
        <f t="shared" si="2"/>
        <v>977.2186536585366</v>
      </c>
      <c r="O21" s="24"/>
    </row>
    <row r="22" spans="1:28" ht="18" customHeight="1" thickBot="1" x14ac:dyDescent="0.35">
      <c r="A22" s="33"/>
      <c r="B22" s="9">
        <v>14</v>
      </c>
      <c r="C22" s="147" t="s">
        <v>58</v>
      </c>
      <c r="D22" s="148"/>
      <c r="E22" s="61"/>
      <c r="F22" s="58" t="s">
        <v>8</v>
      </c>
      <c r="G22" s="96">
        <f>G21-70</f>
        <v>990</v>
      </c>
      <c r="H22" s="96">
        <f>H21-70</f>
        <v>650</v>
      </c>
      <c r="I22" s="79">
        <f>IF(C22="Пенопласт, 43 мм",1,2)</f>
        <v>1</v>
      </c>
      <c r="J22" s="80">
        <f t="shared" si="1"/>
        <v>1</v>
      </c>
      <c r="K22" s="29"/>
      <c r="L22" s="30">
        <f>(G22*H22/10^6)*I22*IF(C22="Пенопласт, 43 мм",[3]!вес_пенопласт_43,[3]!вес_гипс_125)</f>
        <v>0.69176249999999995</v>
      </c>
      <c r="M22" s="32">
        <f>($G22*$H22/10^6)*$I22*IF(C22="Пенопласт, 43 мм",[3]!цена_пенопласт_43,[3]!цена_гипс_125)</f>
        <v>49.806899999999999</v>
      </c>
      <c r="N22" s="34">
        <f t="shared" si="2"/>
        <v>49.806899999999999</v>
      </c>
    </row>
    <row r="23" spans="1:28" s="20" customFormat="1" ht="18" customHeight="1" x14ac:dyDescent="0.3">
      <c r="A23" s="33"/>
      <c r="B23" s="9">
        <v>15</v>
      </c>
      <c r="C23" s="149" t="s">
        <v>36</v>
      </c>
      <c r="D23" s="150"/>
      <c r="E23" s="62">
        <f>E21</f>
        <v>9002</v>
      </c>
      <c r="F23" s="55" t="s">
        <v>35</v>
      </c>
      <c r="G23" s="74"/>
      <c r="H23" s="74"/>
      <c r="I23" s="74">
        <v>3</v>
      </c>
      <c r="J23" s="84">
        <f t="shared" si="1"/>
        <v>3</v>
      </c>
      <c r="K23" s="29"/>
      <c r="L23" s="30"/>
      <c r="M23" s="31">
        <f>$I23*[3]!цена_петля_крепеж_Fapim_анод</f>
        <v>3158.94</v>
      </c>
      <c r="N23" s="34">
        <f t="shared" si="2"/>
        <v>3158.94</v>
      </c>
      <c r="O23" s="24"/>
    </row>
    <row r="24" spans="1:28" s="20" customFormat="1" ht="18" customHeight="1" x14ac:dyDescent="0.3">
      <c r="A24" s="33"/>
      <c r="B24" s="9">
        <v>16</v>
      </c>
      <c r="C24" s="158" t="s">
        <v>44</v>
      </c>
      <c r="D24" s="159"/>
      <c r="E24" s="73" t="s">
        <v>34</v>
      </c>
      <c r="F24" s="56" t="s">
        <v>35</v>
      </c>
      <c r="G24" s="76"/>
      <c r="H24" s="76"/>
      <c r="I24" s="76">
        <v>1</v>
      </c>
      <c r="J24" s="85">
        <f t="shared" si="1"/>
        <v>1</v>
      </c>
      <c r="K24" s="29"/>
      <c r="L24" s="30"/>
      <c r="M24" s="31">
        <f>$I24*[3]!цена_наж_гарнитур</f>
        <v>492.28</v>
      </c>
      <c r="N24" s="34">
        <f t="shared" si="2"/>
        <v>492.28</v>
      </c>
      <c r="O24" s="24"/>
    </row>
    <row r="25" spans="1:28" s="20" customFormat="1" ht="32.1" customHeight="1" x14ac:dyDescent="0.3">
      <c r="A25" s="33"/>
      <c r="B25" s="9">
        <v>17</v>
      </c>
      <c r="C25" s="156" t="s">
        <v>63</v>
      </c>
      <c r="D25" s="157"/>
      <c r="E25" s="56"/>
      <c r="F25" s="56" t="s">
        <v>35</v>
      </c>
      <c r="G25" s="76"/>
      <c r="H25" s="76"/>
      <c r="I25" s="76">
        <v>1</v>
      </c>
      <c r="J25" s="85">
        <f t="shared" si="1"/>
        <v>1</v>
      </c>
      <c r="K25" s="29"/>
      <c r="L25" s="30"/>
      <c r="M25" s="31">
        <f>$I25*[3]!цена_замок_ответка_карман</f>
        <v>412.8</v>
      </c>
      <c r="N25" s="34">
        <f t="shared" si="2"/>
        <v>412.8</v>
      </c>
      <c r="O25" s="24"/>
    </row>
    <row r="26" spans="1:28" s="20" customFormat="1" ht="18" customHeight="1" x14ac:dyDescent="0.3">
      <c r="A26" s="33"/>
      <c r="B26" s="9">
        <v>18</v>
      </c>
      <c r="C26" s="151" t="s">
        <v>68</v>
      </c>
      <c r="D26" s="152"/>
      <c r="E26" s="56"/>
      <c r="F26" s="56" t="s">
        <v>9</v>
      </c>
      <c r="G26" s="76"/>
      <c r="H26" s="76"/>
      <c r="I26" s="76">
        <v>1</v>
      </c>
      <c r="J26" s="85">
        <f t="shared" si="1"/>
        <v>1</v>
      </c>
      <c r="K26" s="29"/>
      <c r="L26" s="30"/>
      <c r="M26" s="31">
        <f>$I26*[3]!цена_цилиндр_ключ_ключ</f>
        <v>281.48</v>
      </c>
      <c r="N26" s="34">
        <f t="shared" si="2"/>
        <v>281.48</v>
      </c>
      <c r="O26" s="24"/>
    </row>
    <row r="27" spans="1:28" s="20" customFormat="1" ht="18" customHeight="1" x14ac:dyDescent="0.3">
      <c r="A27" s="33"/>
      <c r="B27" s="9">
        <v>19</v>
      </c>
      <c r="C27" s="166" t="s">
        <v>11</v>
      </c>
      <c r="D27" s="167"/>
      <c r="E27" s="72" t="s">
        <v>34</v>
      </c>
      <c r="F27" s="63" t="s">
        <v>35</v>
      </c>
      <c r="G27" s="86"/>
      <c r="H27" s="86"/>
      <c r="I27" s="86">
        <v>1</v>
      </c>
      <c r="J27" s="87">
        <f t="shared" si="1"/>
        <v>1</v>
      </c>
      <c r="K27" s="29"/>
      <c r="L27" s="30"/>
      <c r="M27" s="31">
        <f>$I27*[3]!цена_накладка_на_цилиндр</f>
        <v>102.3</v>
      </c>
      <c r="N27" s="34">
        <f t="shared" si="2"/>
        <v>102.3</v>
      </c>
      <c r="O27" s="24"/>
    </row>
    <row r="28" spans="1:28" s="20" customFormat="1" ht="18" customHeight="1" thickBot="1" x14ac:dyDescent="0.35">
      <c r="A28" s="33"/>
      <c r="B28" s="9">
        <v>20</v>
      </c>
      <c r="C28" s="168" t="s">
        <v>29</v>
      </c>
      <c r="D28" s="169"/>
      <c r="E28" s="58"/>
      <c r="F28" s="58" t="s">
        <v>8</v>
      </c>
      <c r="G28" s="101">
        <v>930</v>
      </c>
      <c r="H28" s="88"/>
      <c r="I28" s="88">
        <v>1</v>
      </c>
      <c r="J28" s="89">
        <f t="shared" si="1"/>
        <v>1</v>
      </c>
      <c r="K28" s="35">
        <f>$I$5-2*62.5</f>
        <v>845</v>
      </c>
      <c r="L28" s="30">
        <f>IF(G28=430,[3]!вес_вып_порог_430,IF(G28=530,[3]!вес_вып_порог_530,IF(G28=630,[3]!вес_вып_порог_630,IF(G28=730,[3]!вес_вып_порог_730,IF(G28=830,[3]!вес_вып_порог_830,IF(G28=930,[3]!вес_вып_порог_930,IF(G28=1030,[3]!вес_вып_порог_1030,0)))))))</f>
        <v>0.5</v>
      </c>
      <c r="M28" s="31">
        <f>$I28*[3]!цена_вып_порог_830</f>
        <v>807.67</v>
      </c>
      <c r="N28" s="34">
        <f t="shared" si="2"/>
        <v>807.67</v>
      </c>
      <c r="O28" s="24"/>
    </row>
    <row r="29" spans="1:28" s="20" customFormat="1" ht="18" customHeight="1" x14ac:dyDescent="0.3">
      <c r="A29" s="33"/>
      <c r="B29" s="9">
        <v>21</v>
      </c>
      <c r="C29" s="160" t="s">
        <v>28</v>
      </c>
      <c r="D29" s="11" t="s">
        <v>30</v>
      </c>
      <c r="E29" s="64" t="s">
        <v>41</v>
      </c>
      <c r="F29" s="65" t="s">
        <v>8</v>
      </c>
      <c r="G29" s="97">
        <f>ROUNDUP(2*(G12*I12+G13*I13+G14*I14)/10,0)*10</f>
        <v>9540</v>
      </c>
      <c r="H29" s="93"/>
      <c r="I29" s="93">
        <v>1</v>
      </c>
      <c r="J29" s="102">
        <f t="shared" si="0"/>
        <v>1</v>
      </c>
      <c r="K29" s="36"/>
      <c r="L29" s="30"/>
      <c r="M29" s="31">
        <f>$G29*$I29/1000*[3]!цена_уп_примыкания_сер</f>
        <v>88.149599999999992</v>
      </c>
      <c r="N29" s="34">
        <f t="shared" si="2"/>
        <v>88.149599999999992</v>
      </c>
      <c r="O29" s="24"/>
    </row>
    <row r="30" spans="1:28" s="20" customFormat="1" ht="18" customHeight="1" x14ac:dyDescent="0.3">
      <c r="A30" s="33"/>
      <c r="B30" s="9">
        <v>22</v>
      </c>
      <c r="C30" s="160"/>
      <c r="D30" s="120" t="str">
        <f>IF(C20=Списки!A2,Списки!C2,Списки!C3)</f>
        <v>Стекольный АРТ 1654</v>
      </c>
      <c r="E30" s="64" t="s">
        <v>41</v>
      </c>
      <c r="F30" s="57" t="s">
        <v>8</v>
      </c>
      <c r="G30" s="91">
        <f>ROUNDUP((G17*I17+G18*I18/2)/10,0)*10</f>
        <v>5650</v>
      </c>
      <c r="H30" s="76"/>
      <c r="I30" s="76">
        <v>1</v>
      </c>
      <c r="J30" s="85">
        <f t="shared" si="0"/>
        <v>1</v>
      </c>
      <c r="K30" s="36"/>
      <c r="L30" s="30"/>
      <c r="M30" s="31">
        <f>$G30*$I30/1000*[3]!цена_уп_стекольный_сер</f>
        <v>104.29900000000001</v>
      </c>
      <c r="N30" s="34">
        <f t="shared" ref="N30:N38" si="3">M30</f>
        <v>104.29900000000001</v>
      </c>
      <c r="O30" s="24"/>
    </row>
    <row r="31" spans="1:28" s="20" customFormat="1" ht="18" customHeight="1" x14ac:dyDescent="0.3">
      <c r="A31" s="131">
        <f>IF(D31=Списки!D3,5,4)</f>
        <v>5</v>
      </c>
      <c r="B31" s="9">
        <v>23</v>
      </c>
      <c r="C31" s="160"/>
      <c r="D31" s="120" t="s">
        <v>72</v>
      </c>
      <c r="E31" s="109" t="s">
        <v>4</v>
      </c>
      <c r="F31" s="57" t="s">
        <v>8</v>
      </c>
      <c r="G31" s="110">
        <f>200*(I17+I18/2)</f>
        <v>1600</v>
      </c>
      <c r="H31" s="86"/>
      <c r="I31" s="76">
        <v>1</v>
      </c>
      <c r="J31" s="85">
        <f t="shared" si="0"/>
        <v>1</v>
      </c>
      <c r="K31" s="36"/>
      <c r="L31" s="30"/>
      <c r="M31" s="31"/>
      <c r="N31" s="34"/>
      <c r="O31" s="24"/>
    </row>
    <row r="32" spans="1:28" s="20" customFormat="1" ht="18" customHeight="1" thickBot="1" x14ac:dyDescent="0.35">
      <c r="A32" s="33"/>
      <c r="B32" s="9">
        <v>24</v>
      </c>
      <c r="C32" s="161"/>
      <c r="D32" s="108" t="s">
        <v>57</v>
      </c>
      <c r="E32" s="66" t="s">
        <v>4</v>
      </c>
      <c r="F32" s="61" t="s">
        <v>8</v>
      </c>
      <c r="G32" s="96">
        <f>ROUNDUP((G18*I18/2+G19*I19)/10,0)*10</f>
        <v>7400</v>
      </c>
      <c r="H32" s="88"/>
      <c r="I32" s="88">
        <v>1</v>
      </c>
      <c r="J32" s="89">
        <f t="shared" si="0"/>
        <v>1</v>
      </c>
      <c r="K32" s="36"/>
      <c r="L32" s="30"/>
      <c r="M32" s="31">
        <f>$G32*$I32/1000*[3]!цена_уп_панельный_сер</f>
        <v>162.28200000000001</v>
      </c>
      <c r="N32" s="34">
        <f t="shared" si="3"/>
        <v>162.28200000000001</v>
      </c>
      <c r="O32" s="24"/>
    </row>
    <row r="33" spans="1:15" s="20" customFormat="1" ht="18" customHeight="1" x14ac:dyDescent="0.3">
      <c r="A33" s="33"/>
      <c r="B33" s="9">
        <v>25</v>
      </c>
      <c r="C33" s="12" t="s">
        <v>26</v>
      </c>
      <c r="D33" s="13" t="s">
        <v>27</v>
      </c>
      <c r="E33" s="65"/>
      <c r="F33" s="65" t="s">
        <v>8</v>
      </c>
      <c r="G33" s="97">
        <v>43</v>
      </c>
      <c r="H33" s="93"/>
      <c r="I33" s="93">
        <v>4</v>
      </c>
      <c r="J33" s="102">
        <f t="shared" si="0"/>
        <v>4</v>
      </c>
      <c r="K33" s="29"/>
      <c r="L33" s="30">
        <f>(G33*I33/10^3)*[3]!вес_сухарь</f>
        <v>0.66460799999999998</v>
      </c>
      <c r="M33" s="31">
        <f>$G33*$I33/1000*[3]!цена_сухарь</f>
        <v>129.59855999999999</v>
      </c>
      <c r="N33" s="34">
        <f t="shared" si="3"/>
        <v>129.59855999999999</v>
      </c>
      <c r="O33" s="24"/>
    </row>
    <row r="34" spans="1:15" s="20" customFormat="1" ht="18" customHeight="1" x14ac:dyDescent="0.3">
      <c r="A34" s="33"/>
      <c r="B34" s="9">
        <v>26</v>
      </c>
      <c r="C34" s="162" t="s">
        <v>38</v>
      </c>
      <c r="D34" s="163"/>
      <c r="E34" s="57"/>
      <c r="F34" s="56" t="s">
        <v>9</v>
      </c>
      <c r="G34" s="76"/>
      <c r="H34" s="76"/>
      <c r="I34" s="76">
        <v>32</v>
      </c>
      <c r="J34" s="85">
        <f t="shared" si="0"/>
        <v>32</v>
      </c>
      <c r="K34" s="29"/>
      <c r="L34" s="30"/>
      <c r="M34" s="31">
        <f>$I34*[3]!цена_уголок</f>
        <v>208.64</v>
      </c>
      <c r="N34" s="34">
        <f t="shared" si="3"/>
        <v>208.64</v>
      </c>
      <c r="O34" s="24"/>
    </row>
    <row r="35" spans="1:15" s="20" customFormat="1" ht="18" customHeight="1" x14ac:dyDescent="0.3">
      <c r="A35" s="33"/>
      <c r="B35" s="9">
        <v>27</v>
      </c>
      <c r="C35" s="162" t="s">
        <v>46</v>
      </c>
      <c r="D35" s="163"/>
      <c r="E35" s="57"/>
      <c r="F35" s="56" t="s">
        <v>9</v>
      </c>
      <c r="G35" s="76"/>
      <c r="H35" s="76"/>
      <c r="I35" s="104">
        <f>I17/2*(1+ROUNDUP((G17-220)/250,0))+I18/2*(1+ROUNDUP((G18-220)/250,0))+I19/2*(1+ROUNDUP((G19-220)/250,0))</f>
        <v>32</v>
      </c>
      <c r="J35" s="85">
        <f t="shared" si="0"/>
        <v>32</v>
      </c>
      <c r="K35" s="29"/>
      <c r="L35" s="30"/>
      <c r="M35" s="31">
        <f>$I35*[3]!цена_кляймер_заклепка</f>
        <v>597.76</v>
      </c>
      <c r="N35" s="34">
        <f t="shared" si="3"/>
        <v>597.76</v>
      </c>
      <c r="O35" s="24"/>
    </row>
    <row r="36" spans="1:15" s="20" customFormat="1" ht="18" customHeight="1" thickBot="1" x14ac:dyDescent="0.35">
      <c r="A36" s="33"/>
      <c r="B36" s="9">
        <v>28</v>
      </c>
      <c r="C36" s="164" t="s">
        <v>12</v>
      </c>
      <c r="D36" s="165"/>
      <c r="E36" s="61"/>
      <c r="F36" s="58" t="s">
        <v>9</v>
      </c>
      <c r="G36" s="88"/>
      <c r="H36" s="88"/>
      <c r="I36" s="88">
        <v>6</v>
      </c>
      <c r="J36" s="89">
        <f t="shared" si="0"/>
        <v>6</v>
      </c>
      <c r="K36" s="29"/>
      <c r="L36" s="30"/>
      <c r="M36" s="31">
        <f>$I36*[3]!цена_М6</f>
        <v>30</v>
      </c>
      <c r="N36" s="34">
        <f t="shared" si="3"/>
        <v>30</v>
      </c>
      <c r="O36" s="24"/>
    </row>
    <row r="37" spans="1:15" s="20" customFormat="1" ht="18" customHeight="1" thickBot="1" x14ac:dyDescent="0.35">
      <c r="A37" s="33"/>
      <c r="B37" s="9">
        <v>29</v>
      </c>
      <c r="C37" s="174" t="s">
        <v>62</v>
      </c>
      <c r="D37" s="175"/>
      <c r="E37" s="67"/>
      <c r="F37" s="68" t="s">
        <v>9</v>
      </c>
      <c r="G37" s="92"/>
      <c r="H37" s="92"/>
      <c r="I37" s="92">
        <f>3+2*(ROUNDUP((I4-300)/400,0))+ROUNDUP((I5-300)/400,0)</f>
        <v>15</v>
      </c>
      <c r="J37" s="102">
        <f>I37*$I$3</f>
        <v>15</v>
      </c>
      <c r="K37" s="29"/>
      <c r="L37" s="30"/>
      <c r="M37" s="31"/>
      <c r="N37" s="32"/>
      <c r="O37" s="24"/>
    </row>
    <row r="38" spans="1:15" s="20" customFormat="1" ht="18" customHeight="1" x14ac:dyDescent="0.3">
      <c r="A38" s="33"/>
      <c r="B38" s="9">
        <v>30</v>
      </c>
      <c r="C38" s="172" t="s">
        <v>46</v>
      </c>
      <c r="D38" s="173"/>
      <c r="E38" s="59"/>
      <c r="F38" s="55" t="s">
        <v>9</v>
      </c>
      <c r="G38" s="74"/>
      <c r="H38" s="74"/>
      <c r="I38" s="105">
        <f>3+2*(ROUNDUP((I4-220)/250,0))+ROUNDUP((I5-220)/250,0)</f>
        <v>22</v>
      </c>
      <c r="J38" s="84">
        <f t="shared" ref="J38" si="4">I38*$I$3</f>
        <v>22</v>
      </c>
      <c r="K38" s="29"/>
      <c r="L38" s="30"/>
      <c r="M38" s="31">
        <f>$I38*[3]!цена_кляймер_заклепка</f>
        <v>410.96</v>
      </c>
      <c r="N38" s="34">
        <f t="shared" si="3"/>
        <v>410.96</v>
      </c>
      <c r="O38" s="24"/>
    </row>
    <row r="39" spans="1:15" s="20" customFormat="1" ht="18" customHeight="1" x14ac:dyDescent="0.3">
      <c r="A39" s="33"/>
      <c r="B39" s="9">
        <v>31</v>
      </c>
      <c r="C39" s="170" t="s">
        <v>32</v>
      </c>
      <c r="D39" s="182" t="s">
        <v>22</v>
      </c>
      <c r="E39" s="140">
        <f>E9</f>
        <v>9002</v>
      </c>
      <c r="F39" s="133" t="s">
        <v>8</v>
      </c>
      <c r="G39" s="114">
        <f>I4+30+20</f>
        <v>2050</v>
      </c>
      <c r="H39" s="117" t="s">
        <v>5</v>
      </c>
      <c r="I39" s="93">
        <v>1</v>
      </c>
      <c r="J39" s="90">
        <f t="shared" si="0"/>
        <v>1</v>
      </c>
      <c r="K39" s="29"/>
      <c r="L39" s="30">
        <f>(G39*I39/10^3)*[3]!вес_RE11844</f>
        <v>0.42434999999999995</v>
      </c>
      <c r="M39" s="31"/>
      <c r="N39" s="37"/>
      <c r="O39" s="24"/>
    </row>
    <row r="40" spans="1:15" s="20" customFormat="1" ht="18" customHeight="1" x14ac:dyDescent="0.3">
      <c r="A40" s="33"/>
      <c r="B40" s="9">
        <v>32</v>
      </c>
      <c r="C40" s="170"/>
      <c r="D40" s="183"/>
      <c r="E40" s="141"/>
      <c r="F40" s="134"/>
      <c r="G40" s="112">
        <f>I5+60</f>
        <v>1030</v>
      </c>
      <c r="H40" s="116" t="s">
        <v>6</v>
      </c>
      <c r="I40" s="76">
        <v>1</v>
      </c>
      <c r="J40" s="77">
        <f t="shared" si="0"/>
        <v>1</v>
      </c>
      <c r="K40" s="29"/>
      <c r="L40" s="30">
        <f>(G40*I40/10^3)*[3]!вес_RE11844</f>
        <v>0.21320999999999998</v>
      </c>
      <c r="M40" s="31">
        <f>6*[3]!цена_RE11844_анод</f>
        <v>339.6</v>
      </c>
      <c r="N40" s="37">
        <f>6*[3]!цена_RE11844_RAL</f>
        <v>481.20000000000005</v>
      </c>
      <c r="O40" s="24"/>
    </row>
    <row r="41" spans="1:15" s="20" customFormat="1" ht="18" customHeight="1" thickBot="1" x14ac:dyDescent="0.35">
      <c r="A41" s="33"/>
      <c r="B41" s="9">
        <v>33</v>
      </c>
      <c r="C41" s="171"/>
      <c r="D41" s="184"/>
      <c r="E41" s="142"/>
      <c r="F41" s="135"/>
      <c r="G41" s="112">
        <f>G39</f>
        <v>2050</v>
      </c>
      <c r="H41" s="116" t="s">
        <v>7</v>
      </c>
      <c r="I41" s="76">
        <v>1</v>
      </c>
      <c r="J41" s="77">
        <f t="shared" si="0"/>
        <v>1</v>
      </c>
      <c r="K41" s="29"/>
      <c r="L41" s="30">
        <f>(G41*I41/10^3)*[3]!вес_RE11844</f>
        <v>0.42434999999999995</v>
      </c>
      <c r="M41" s="31"/>
      <c r="N41" s="32"/>
      <c r="O41" s="24"/>
    </row>
    <row r="42" spans="1:15" s="20" customFormat="1" ht="32.1" customHeight="1" thickBot="1" x14ac:dyDescent="0.35">
      <c r="A42" s="33"/>
      <c r="B42" s="9">
        <v>34</v>
      </c>
      <c r="C42" s="154" t="s">
        <v>73</v>
      </c>
      <c r="D42" s="155"/>
      <c r="E42" s="69"/>
      <c r="F42" s="70" t="s">
        <v>9</v>
      </c>
      <c r="G42" s="98"/>
      <c r="H42" s="98"/>
      <c r="I42" s="94">
        <v>1</v>
      </c>
      <c r="J42" s="95">
        <f>I42*$I$3</f>
        <v>1</v>
      </c>
      <c r="K42" s="29"/>
      <c r="L42" s="30"/>
      <c r="M42" s="31"/>
      <c r="N42" s="32"/>
      <c r="O42" s="24"/>
    </row>
    <row r="43" spans="1:15" s="20" customFormat="1" ht="18.75" x14ac:dyDescent="0.3">
      <c r="A43" s="33"/>
      <c r="B43" s="29"/>
      <c r="C43" s="38"/>
      <c r="D43" s="39" t="s">
        <v>40</v>
      </c>
      <c r="E43" s="29"/>
      <c r="F43" s="40"/>
      <c r="G43" s="29"/>
      <c r="H43" s="29"/>
      <c r="I43" s="41"/>
      <c r="J43" s="29"/>
      <c r="K43" s="29"/>
      <c r="L43" s="30"/>
      <c r="M43" s="31">
        <v>1500</v>
      </c>
      <c r="N43" s="32">
        <f>M43</f>
        <v>1500</v>
      </c>
      <c r="O43" s="24"/>
    </row>
    <row r="44" spans="1:15" s="20" customFormat="1" ht="18.75" x14ac:dyDescent="0.3">
      <c r="A44" s="33"/>
      <c r="B44" s="29"/>
      <c r="C44" s="38"/>
      <c r="D44" s="39"/>
      <c r="E44" s="29"/>
      <c r="F44" s="40"/>
      <c r="G44" s="29"/>
      <c r="H44" s="29"/>
      <c r="I44" s="41"/>
      <c r="J44" s="29"/>
      <c r="K44" s="29"/>
      <c r="L44" s="42" t="s">
        <v>54</v>
      </c>
      <c r="M44" s="43" t="s">
        <v>55</v>
      </c>
      <c r="N44" s="44" t="s">
        <v>55</v>
      </c>
      <c r="O44" s="24"/>
    </row>
    <row r="45" spans="1:15" ht="27" customHeight="1" x14ac:dyDescent="0.25">
      <c r="A45" s="45"/>
      <c r="K45" s="46" t="s">
        <v>33</v>
      </c>
      <c r="L45" s="47">
        <f>SUM(L9:L36)</f>
        <v>47.427057300000001</v>
      </c>
      <c r="M45" s="48" t="e">
        <f>SUM(M9:M43)</f>
        <v>#NAME?</v>
      </c>
      <c r="N45" s="49" t="e">
        <f>SUM(N9:N43)</f>
        <v>#NAME?</v>
      </c>
    </row>
    <row r="46" spans="1:15" ht="27" customHeight="1" x14ac:dyDescent="0.25">
      <c r="K46" s="46"/>
      <c r="L46" s="50">
        <v>0.1</v>
      </c>
      <c r="M46" s="50">
        <v>0.45</v>
      </c>
      <c r="N46" s="51">
        <f>M46</f>
        <v>0.45</v>
      </c>
    </row>
    <row r="47" spans="1:15" ht="27" customHeight="1" x14ac:dyDescent="0.25">
      <c r="K47" s="50"/>
      <c r="L47" s="47">
        <f>L45*(1+L46)</f>
        <v>52.169763030000006</v>
      </c>
      <c r="M47" s="48" t="e">
        <f t="shared" ref="M47:N47" si="5">M45*(1+M46)</f>
        <v>#NAME?</v>
      </c>
      <c r="N47" s="49" t="e">
        <f t="shared" si="5"/>
        <v>#NAME?</v>
      </c>
    </row>
    <row r="48" spans="1:15" x14ac:dyDescent="0.25">
      <c r="K48" s="52"/>
      <c r="L48" s="53"/>
    </row>
  </sheetData>
  <mergeCells count="37">
    <mergeCell ref="Y11:AB11"/>
    <mergeCell ref="F12:F14"/>
    <mergeCell ref="F9:F11"/>
    <mergeCell ref="B7:J7"/>
    <mergeCell ref="C8:D8"/>
    <mergeCell ref="C9:C11"/>
    <mergeCell ref="C12:C14"/>
    <mergeCell ref="D9:D11"/>
    <mergeCell ref="D12:D14"/>
    <mergeCell ref="E12:E14"/>
    <mergeCell ref="E9:E11"/>
    <mergeCell ref="C2:J2"/>
    <mergeCell ref="C42:D42"/>
    <mergeCell ref="C25:D25"/>
    <mergeCell ref="C24:D24"/>
    <mergeCell ref="C29:C32"/>
    <mergeCell ref="C34:D34"/>
    <mergeCell ref="C35:D35"/>
    <mergeCell ref="C36:D36"/>
    <mergeCell ref="C27:D27"/>
    <mergeCell ref="C28:D28"/>
    <mergeCell ref="C39:C41"/>
    <mergeCell ref="C38:D38"/>
    <mergeCell ref="C37:D37"/>
    <mergeCell ref="H17:H19"/>
    <mergeCell ref="D17:D19"/>
    <mergeCell ref="D39:D41"/>
    <mergeCell ref="F39:F41"/>
    <mergeCell ref="F17:F19"/>
    <mergeCell ref="C17:C19"/>
    <mergeCell ref="E17:E19"/>
    <mergeCell ref="E39:E41"/>
    <mergeCell ref="C20:D20"/>
    <mergeCell ref="C21:D21"/>
    <mergeCell ref="C22:D22"/>
    <mergeCell ref="C23:D23"/>
    <mergeCell ref="C26:D26"/>
  </mergeCells>
  <pageMargins left="0.70866141732283472" right="0.19685039370078741" top="0.39370078740157483" bottom="0.19685039370078741" header="0.31496062992125984" footer="0.31496062992125984"/>
  <pageSetup paperSize="9" scale="4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Списки!$A$2:$A$3</xm:f>
          </x14:formula1>
          <xm:sqref>C20:D20</xm:sqref>
        </x14:dataValidation>
        <x14:dataValidation type="list" allowBlank="1" showInputMessage="1" showErrorMessage="1">
          <x14:formula1>
            <xm:f>Списки!$B$2:$B$3</xm:f>
          </x14:formula1>
          <xm:sqref>E20</xm:sqref>
        </x14:dataValidation>
        <x14:dataValidation type="list" allowBlank="1" showInputMessage="1" showErrorMessage="1">
          <x14:formula1>
            <xm:f>Списки!$D$2:$D$3</xm:f>
          </x14:formula1>
          <xm:sqref>D31</xm:sqref>
        </x14:dataValidation>
        <x14:dataValidation type="list" allowBlank="1" showInputMessage="1" showErrorMessage="1">
          <x14:formula1>
            <xm:f>Списки!$E$2:$E$4</xm:f>
          </x14:formula1>
          <xm:sqref>C22:D22</xm:sqref>
        </x14:dataValidation>
        <x14:dataValidation type="list" allowBlank="1" showInputMessage="1" showErrorMessage="1">
          <x14:formula1>
            <xm:f>Списки!$F$2:$F$2</xm:f>
          </x14:formula1>
          <xm:sqref>C24:D24</xm:sqref>
        </x14:dataValidation>
        <x14:dataValidation type="list" allowBlank="1" showInputMessage="1" showErrorMessage="1">
          <x14:formula1>
            <xm:f>Списки!$G$2:$G$5</xm:f>
          </x14:formula1>
          <xm:sqref>C25:D25</xm:sqref>
        </x14:dataValidation>
        <x14:dataValidation type="list" allowBlank="1" showInputMessage="1" showErrorMessage="1">
          <x14:formula1>
            <xm:f>Списки!$H$2:$H$4</xm:f>
          </x14:formula1>
          <xm:sqref>C26:D26</xm:sqref>
        </x14:dataValidation>
        <x14:dataValidation type="list" allowBlank="1" showInputMessage="1" showErrorMessage="1">
          <x14:formula1>
            <xm:f>Списки!$I$2:$I$10</xm:f>
          </x14:formula1>
          <xm:sqref>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Normal="100" workbookViewId="0">
      <selection activeCell="D2" sqref="D2"/>
    </sheetView>
  </sheetViews>
  <sheetFormatPr defaultRowHeight="15" x14ac:dyDescent="0.25"/>
  <cols>
    <col min="1" max="1" width="23" customWidth="1"/>
    <col min="2" max="2" width="13.140625" bestFit="1" customWidth="1"/>
    <col min="3" max="3" width="14.42578125" bestFit="1" customWidth="1"/>
    <col min="4" max="5" width="13.85546875" bestFit="1" customWidth="1"/>
    <col min="6" max="6" width="14.28515625" bestFit="1" customWidth="1"/>
    <col min="7" max="7" width="14.7109375" bestFit="1" customWidth="1"/>
    <col min="8" max="8" width="13.42578125" bestFit="1" customWidth="1"/>
    <col min="9" max="9" width="15.28515625" bestFit="1" customWidth="1"/>
    <col min="10" max="10" width="13" customWidth="1"/>
  </cols>
  <sheetData>
    <row r="1" spans="1:9" s="1" customFormat="1" ht="36.75" customHeight="1" x14ac:dyDescent="0.25">
      <c r="A1" s="126" t="s">
        <v>49</v>
      </c>
      <c r="B1" s="126" t="s">
        <v>56</v>
      </c>
      <c r="C1" s="126" t="s">
        <v>69</v>
      </c>
      <c r="D1" s="126" t="s">
        <v>70</v>
      </c>
      <c r="E1" s="126" t="s">
        <v>49</v>
      </c>
      <c r="F1" s="126" t="s">
        <v>53</v>
      </c>
      <c r="G1" s="126" t="s">
        <v>52</v>
      </c>
      <c r="H1" s="126" t="s">
        <v>51</v>
      </c>
      <c r="I1" s="126" t="s">
        <v>50</v>
      </c>
    </row>
    <row r="2" spans="1:9" ht="85.5" x14ac:dyDescent="0.25">
      <c r="A2" s="128" t="str">
        <f>[3]Данные!$E40</f>
        <v>Стекло закаленное 4 мм</v>
      </c>
      <c r="B2" s="128" t="str">
        <f>[3]Данные!$D41</f>
        <v>Прозрачное</v>
      </c>
      <c r="C2" s="128" t="str">
        <f>[3]Данные!$E33</f>
        <v>Стекольный АРТ 1654</v>
      </c>
      <c r="D2" s="128" t="str">
        <f>[3]Данные!$E35</f>
        <v>ПВХ 4х10 мм (дистанц.)</v>
      </c>
      <c r="E2" s="129" t="str">
        <f>[3]Данные!$D46</f>
        <v>Гипсокартон 12,5 мм</v>
      </c>
      <c r="F2" s="124" t="str">
        <f>[3]Данные!$E83</f>
        <v>Наж. гарнитур (с 2-х сторон)</v>
      </c>
      <c r="G2" s="124" t="str">
        <f>[3]Данные!$E70</f>
        <v>Замок ригельный с фалевой защелкой; ответ.планка; карман</v>
      </c>
      <c r="H2" s="124" t="str">
        <f>[3]Данные!$E78</f>
        <v>Цилиндр профильный</v>
      </c>
      <c r="I2" s="123">
        <f>[3]Данные!$D93</f>
        <v>430</v>
      </c>
    </row>
    <row r="3" spans="1:9" ht="85.5" x14ac:dyDescent="0.25">
      <c r="A3" s="128" t="str">
        <f>[3]Данные!$E41</f>
        <v>Стекло закаленное 6 мм</v>
      </c>
      <c r="B3" s="128" t="str">
        <f>[3]Данные!$D42</f>
        <v>Матовое</v>
      </c>
      <c r="C3" s="128" t="str">
        <f>[3]Данные!$E34</f>
        <v>Стекольный АРТ 994</v>
      </c>
      <c r="D3" s="128" t="str">
        <f>[3]Данные!$E36</f>
        <v>ПВХ 5х10 мм (дистанц.)</v>
      </c>
      <c r="E3" s="129" t="str">
        <f>[3]Данные!$D47</f>
        <v>Пенопласт, 43 мм</v>
      </c>
      <c r="F3" s="124" t="str">
        <f>[3]Данные!$E84</f>
        <v xml:space="preserve">Наж. гарнитур (с 1-ой стороны) </v>
      </c>
      <c r="G3" s="124" t="str">
        <f>[3]Данные!$E71</f>
        <v>Замок ригельный с роликовой защелкой; ответн.планка; карман</v>
      </c>
      <c r="H3" s="124" t="str">
        <f>[3]Данные!$E79</f>
        <v>Цилиндр профильный с ручкой</v>
      </c>
      <c r="I3" s="123">
        <f>[3]Данные!$D94</f>
        <v>530</v>
      </c>
    </row>
    <row r="4" spans="1:9" ht="71.25" x14ac:dyDescent="0.25">
      <c r="A4" s="128" t="str">
        <f>[3]Данные!$E42</f>
        <v>Стекло закаленное 6 мм матовое</v>
      </c>
      <c r="B4" s="130"/>
      <c r="C4" s="130"/>
      <c r="D4" s="130"/>
      <c r="E4" s="129" t="str">
        <f>[3]Данные!$D48</f>
        <v>Пенопласт, 20 мм</v>
      </c>
      <c r="F4" s="127"/>
      <c r="G4" s="124" t="str">
        <f>[3]Данные!$E72</f>
        <v>Замок с фалевой защелкой; ответная планка</v>
      </c>
      <c r="H4" s="124" t="str">
        <f>[3]Данные!$E80</f>
        <v>Полуцилиндр профильный</v>
      </c>
      <c r="I4" s="123">
        <f>[3]Данные!$D95</f>
        <v>630</v>
      </c>
    </row>
    <row r="5" spans="1:9" ht="57" x14ac:dyDescent="0.25">
      <c r="A5" s="128"/>
      <c r="B5" s="130"/>
      <c r="C5" s="130"/>
      <c r="D5" s="130"/>
      <c r="E5" s="127"/>
      <c r="F5" s="127"/>
      <c r="G5" s="124" t="str">
        <f>[3]Данные!$E73</f>
        <v>Замок ригельный; ответная планка; карман</v>
      </c>
      <c r="H5" s="127"/>
      <c r="I5" s="123">
        <f>[3]Данные!$D96</f>
        <v>730</v>
      </c>
    </row>
    <row r="6" spans="1:9" s="121" customFormat="1" x14ac:dyDescent="0.25">
      <c r="E6" s="125"/>
      <c r="F6" s="125"/>
      <c r="G6" s="125"/>
      <c r="H6" s="125"/>
      <c r="I6" s="2">
        <f>[3]Данные!$D97</f>
        <v>830</v>
      </c>
    </row>
    <row r="7" spans="1:9" s="121" customFormat="1" x14ac:dyDescent="0.25">
      <c r="E7" s="125"/>
      <c r="F7" s="125"/>
      <c r="G7" s="125"/>
      <c r="H7" s="125"/>
      <c r="I7" s="2">
        <f>[3]Данные!$D98</f>
        <v>930</v>
      </c>
    </row>
    <row r="8" spans="1:9" s="121" customFormat="1" x14ac:dyDescent="0.25">
      <c r="I8" s="122">
        <f>[3]Данные!$D99</f>
        <v>1030</v>
      </c>
    </row>
    <row r="9" spans="1:9" s="121" customFormat="1" x14ac:dyDescent="0.25">
      <c r="I9" s="122">
        <f>[3]Данные!$D100</f>
        <v>1130</v>
      </c>
    </row>
    <row r="10" spans="1:9" s="121" customFormat="1" x14ac:dyDescent="0.25">
      <c r="I10" s="122">
        <f>[3]Данные!$D101</f>
        <v>1230</v>
      </c>
    </row>
    <row r="11" spans="1:9" s="121" customFormat="1" x14ac:dyDescent="0.25"/>
    <row r="12" spans="1:9" s="121" customFormat="1" x14ac:dyDescent="0.25"/>
    <row r="13" spans="1:9" s="121" customFormat="1" x14ac:dyDescent="0.25">
      <c r="A13" s="122"/>
    </row>
    <row r="14" spans="1:9" s="121" customFormat="1" x14ac:dyDescent="0.25"/>
    <row r="15" spans="1:9" s="121" customFormat="1" x14ac:dyDescent="0.25"/>
    <row r="16" spans="1:9" s="121" customFormat="1" x14ac:dyDescent="0.25"/>
    <row r="17" spans="1:1" s="121" customFormat="1" x14ac:dyDescent="0.25">
      <c r="A17" s="122"/>
    </row>
    <row r="18" spans="1:1" s="121" customFormat="1" x14ac:dyDescent="0.25"/>
    <row r="19" spans="1:1" s="121" customFormat="1" x14ac:dyDescent="0.25"/>
    <row r="20" spans="1:1" s="121" customFormat="1" x14ac:dyDescent="0.25"/>
    <row r="21" spans="1:1" s="121" customFormat="1" x14ac:dyDescent="0.25"/>
    <row r="22" spans="1:1" s="121" customFormat="1" x14ac:dyDescent="0.25">
      <c r="A22" s="122"/>
    </row>
    <row r="23" spans="1:1" s="121" customFormat="1" x14ac:dyDescent="0.25"/>
    <row r="24" spans="1:1" s="121" customFormat="1" x14ac:dyDescent="0.25"/>
    <row r="25" spans="1:1" s="121" customFormat="1" x14ac:dyDescent="0.25"/>
    <row r="26" spans="1:1" s="121" customFormat="1" x14ac:dyDescent="0.25">
      <c r="A26" s="2"/>
    </row>
    <row r="27" spans="1:1" s="121" customFormat="1" x14ac:dyDescent="0.25"/>
    <row r="28" spans="1:1" s="121" customFormat="1" x14ac:dyDescent="0.25"/>
    <row r="29" spans="1:1" s="121" customFormat="1" x14ac:dyDescent="0.25"/>
    <row r="30" spans="1:1" s="121" customFormat="1" x14ac:dyDescent="0.25"/>
    <row r="31" spans="1:1" s="121" customFormat="1" x14ac:dyDescent="0.25"/>
    <row r="32" spans="1:1" s="121" customFormat="1" x14ac:dyDescent="0.25">
      <c r="A32" s="2"/>
    </row>
    <row r="33" s="121" customFormat="1" ht="15.75" customHeight="1" x14ac:dyDescent="0.25"/>
    <row r="34" s="121" customFormat="1" x14ac:dyDescent="0.25"/>
    <row r="35" s="121" customFormat="1" x14ac:dyDescent="0.25"/>
    <row r="36" s="121" customFormat="1" x14ac:dyDescent="0.25"/>
    <row r="37" s="121" customFormat="1" x14ac:dyDescent="0.25"/>
    <row r="38" s="121" customFormat="1" x14ac:dyDescent="0.25"/>
    <row r="50" spans="2:3" x14ac:dyDescent="0.25">
      <c r="B50" s="4"/>
      <c r="C5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ДБ1Р(к)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2017-01-31T09:52:39Z</cp:lastPrinted>
  <dcterms:created xsi:type="dcterms:W3CDTF">2016-02-15T08:37:58Z</dcterms:created>
  <dcterms:modified xsi:type="dcterms:W3CDTF">2020-05-27T08:59:07Z</dcterms:modified>
</cp:coreProperties>
</file>