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codeName="ЭтаКнига"/>
  <xr:revisionPtr revIDLastSave="0" documentId="13_ncr:1_{0BFF1A75-4E78-43E2-B6BA-4BC1CF1446C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ГРАФИК" sheetId="1" r:id="rId1"/>
    <sheet name="ТАБЕЛЬ" sheetId="2" r:id="rId2"/>
    <sheet name="Легенда" sheetId="3" r:id="rId3"/>
    <sheet name="Нормы раб.времени" sheetId="4" r:id="rId4"/>
    <sheet name="Коды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2" i="1"/>
  <c r="AH25" i="1" l="1"/>
  <c r="C23" i="2" l="1"/>
  <c r="C33" i="2"/>
  <c r="AL76" i="1"/>
  <c r="AL70" i="1"/>
  <c r="AL64" i="1"/>
  <c r="AL58" i="1"/>
  <c r="AL52" i="1"/>
  <c r="AL46" i="1"/>
  <c r="AL40" i="1"/>
  <c r="AL34" i="1"/>
  <c r="AL28" i="1"/>
  <c r="AL22" i="1"/>
  <c r="AK76" i="1"/>
  <c r="AK70" i="1"/>
  <c r="AK64" i="1"/>
  <c r="AK58" i="1"/>
  <c r="AK52" i="1"/>
  <c r="AK46" i="1"/>
  <c r="AK40" i="1"/>
  <c r="AK34" i="1"/>
  <c r="AK28" i="1"/>
  <c r="AK22" i="1"/>
  <c r="AO8" i="1" l="1"/>
  <c r="AO7" i="1"/>
  <c r="D33" i="2" l="1"/>
  <c r="D31" i="2"/>
  <c r="C31" i="2"/>
  <c r="D29" i="2"/>
  <c r="C29" i="2"/>
  <c r="D27" i="2"/>
  <c r="C27" i="2"/>
  <c r="D25" i="2"/>
  <c r="C25" i="2"/>
  <c r="D23" i="2"/>
  <c r="D21" i="2"/>
  <c r="C21" i="2"/>
  <c r="D19" i="2"/>
  <c r="C19" i="2"/>
  <c r="D17" i="2"/>
  <c r="C17" i="2"/>
  <c r="D15" i="2"/>
  <c r="C15" i="2"/>
  <c r="AH10" i="2"/>
  <c r="AD10" i="2"/>
  <c r="Z10" i="2"/>
  <c r="V10" i="2"/>
  <c r="R10" i="2"/>
  <c r="N10" i="2"/>
  <c r="J10" i="2"/>
  <c r="F10" i="2"/>
  <c r="BE7" i="2"/>
  <c r="AU7" i="2"/>
  <c r="R7" i="2"/>
  <c r="H22" i="4"/>
  <c r="G22" i="4"/>
  <c r="F22" i="4"/>
  <c r="E22" i="4"/>
  <c r="D22" i="4"/>
  <c r="C22" i="4"/>
  <c r="H18" i="4"/>
  <c r="H23" i="4" s="1"/>
  <c r="G18" i="4"/>
  <c r="F18" i="4"/>
  <c r="E18" i="4"/>
  <c r="E23" i="4" s="1"/>
  <c r="D18" i="4"/>
  <c r="D23" i="4" s="1"/>
  <c r="C18" i="4"/>
  <c r="H13" i="4"/>
  <c r="G13" i="4"/>
  <c r="F13" i="4"/>
  <c r="E13" i="4"/>
  <c r="D13" i="4"/>
  <c r="C13" i="4"/>
  <c r="H9" i="4"/>
  <c r="H14" i="4" s="1"/>
  <c r="G9" i="4"/>
  <c r="F9" i="4"/>
  <c r="E9" i="4"/>
  <c r="E14" i="4" s="1"/>
  <c r="E24" i="4" s="1"/>
  <c r="D9" i="4"/>
  <c r="D14" i="4" s="1"/>
  <c r="D24" i="4" s="1"/>
  <c r="C9" i="4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J76" i="1" a="1"/>
  <c r="AJ76" i="1" s="1"/>
  <c r="AI76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J70" i="1" a="1"/>
  <c r="AJ70" i="1" s="1"/>
  <c r="AI70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J64" i="1" a="1"/>
  <c r="AJ64" i="1" s="1"/>
  <c r="AI64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J58" i="1" a="1"/>
  <c r="AJ58" i="1" s="1"/>
  <c r="AI58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J52" i="1" a="1"/>
  <c r="AJ52" i="1" s="1"/>
  <c r="AI52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J46" i="1" a="1"/>
  <c r="AJ46" i="1" s="1"/>
  <c r="AI46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J40" i="1" a="1"/>
  <c r="AJ40" i="1" s="1"/>
  <c r="AI40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J34" i="1" a="1"/>
  <c r="AJ34" i="1" s="1"/>
  <c r="AI34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J28" i="1" a="1"/>
  <c r="AJ28" i="1" s="1"/>
  <c r="AI28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J22" i="1" a="1"/>
  <c r="AJ22" i="1" s="1"/>
  <c r="AI22" i="1"/>
  <c r="AF19" i="1"/>
  <c r="AF21" i="1" s="1"/>
  <c r="AB19" i="1"/>
  <c r="AB21" i="1" s="1"/>
  <c r="AA19" i="1"/>
  <c r="AA21" i="1" s="1"/>
  <c r="X19" i="1"/>
  <c r="X21" i="1" s="1"/>
  <c r="T19" i="1"/>
  <c r="T21" i="1" s="1"/>
  <c r="S19" i="1"/>
  <c r="S21" i="1" s="1"/>
  <c r="P19" i="1"/>
  <c r="P21" i="1" s="1"/>
  <c r="L19" i="1"/>
  <c r="L21" i="1" s="1"/>
  <c r="K19" i="1"/>
  <c r="K21" i="1" s="1"/>
  <c r="H19" i="1"/>
  <c r="H21" i="1" s="1"/>
  <c r="D19" i="1"/>
  <c r="D21" i="1" s="1"/>
  <c r="AO9" i="1"/>
  <c r="AH19" i="1"/>
  <c r="AH21" i="1" s="1"/>
  <c r="AM2" i="1"/>
  <c r="AM3" i="1" s="1"/>
  <c r="F14" i="4" l="1"/>
  <c r="F24" i="4" s="1"/>
  <c r="F23" i="4"/>
  <c r="C14" i="4"/>
  <c r="G14" i="4"/>
  <c r="G24" i="4" s="1"/>
  <c r="C23" i="4"/>
  <c r="G23" i="4"/>
  <c r="AM4" i="1"/>
  <c r="AJ79" i="1"/>
  <c r="AJ49" i="1"/>
  <c r="AJ55" i="1"/>
  <c r="AJ67" i="1"/>
  <c r="AJ43" i="1"/>
  <c r="AJ61" i="1"/>
  <c r="F15" i="2"/>
  <c r="F16" i="2" s="1"/>
  <c r="AJ25" i="1"/>
  <c r="AJ31" i="1"/>
  <c r="AJ37" i="1"/>
  <c r="AJ73" i="1"/>
  <c r="G10" i="2"/>
  <c r="G13" i="2" s="1"/>
  <c r="K10" i="2"/>
  <c r="K13" i="2" s="1"/>
  <c r="O10" i="2"/>
  <c r="O13" i="2" s="1"/>
  <c r="S10" i="2"/>
  <c r="S13" i="2" s="1"/>
  <c r="W10" i="2"/>
  <c r="W13" i="2" s="1"/>
  <c r="AA10" i="2"/>
  <c r="AA13" i="2" s="1"/>
  <c r="AE10" i="2"/>
  <c r="AE13" i="2" s="1"/>
  <c r="AI10" i="2"/>
  <c r="AI13" i="2" s="1"/>
  <c r="H10" i="2"/>
  <c r="H13" i="2" s="1"/>
  <c r="L10" i="2"/>
  <c r="L13" i="2" s="1"/>
  <c r="P10" i="2"/>
  <c r="P13" i="2" s="1"/>
  <c r="T10" i="2"/>
  <c r="T13" i="2" s="1"/>
  <c r="X10" i="2"/>
  <c r="AB10" i="2"/>
  <c r="AB13" i="2" s="1"/>
  <c r="AF10" i="2"/>
  <c r="AJ10" i="2"/>
  <c r="AJ13" i="2" s="1"/>
  <c r="G19" i="1"/>
  <c r="G21" i="1" s="1"/>
  <c r="O19" i="1"/>
  <c r="O21" i="1" s="1"/>
  <c r="W19" i="1"/>
  <c r="W21" i="1" s="1"/>
  <c r="AE19" i="1"/>
  <c r="AE21" i="1" s="1"/>
  <c r="I10" i="2"/>
  <c r="M10" i="2"/>
  <c r="Q10" i="2"/>
  <c r="Q13" i="2" s="1"/>
  <c r="U10" i="2"/>
  <c r="U13" i="2" s="1"/>
  <c r="Y10" i="2"/>
  <c r="Y13" i="2" s="1"/>
  <c r="AC10" i="2"/>
  <c r="AG10" i="2"/>
  <c r="AG13" i="2" s="1"/>
  <c r="I13" i="2"/>
  <c r="F33" i="2"/>
  <c r="F34" i="2" s="1"/>
  <c r="F31" i="2"/>
  <c r="F32" i="2" s="1"/>
  <c r="F29" i="2"/>
  <c r="F30" i="2" s="1"/>
  <c r="F27" i="2"/>
  <c r="F28" i="2" s="1"/>
  <c r="F25" i="2"/>
  <c r="F26" i="2" s="1"/>
  <c r="F23" i="2"/>
  <c r="F24" i="2" s="1"/>
  <c r="F21" i="2"/>
  <c r="F22" i="2" s="1"/>
  <c r="F19" i="2"/>
  <c r="F20" i="2" s="1"/>
  <c r="F17" i="2"/>
  <c r="F18" i="2" s="1"/>
  <c r="F13" i="2"/>
  <c r="J13" i="2"/>
  <c r="N13" i="2"/>
  <c r="R13" i="2"/>
  <c r="V13" i="2"/>
  <c r="Z13" i="2"/>
  <c r="AD13" i="2"/>
  <c r="AH13" i="2"/>
  <c r="H24" i="4"/>
  <c r="E19" i="1"/>
  <c r="E21" i="1" s="1"/>
  <c r="I19" i="1"/>
  <c r="I21" i="1" s="1"/>
  <c r="M19" i="1"/>
  <c r="Q19" i="1"/>
  <c r="Q21" i="1" s="1"/>
  <c r="U19" i="1"/>
  <c r="U21" i="1" s="1"/>
  <c r="Y19" i="1"/>
  <c r="Y21" i="1" s="1"/>
  <c r="AC19" i="1"/>
  <c r="AC21" i="1" s="1"/>
  <c r="AG19" i="1"/>
  <c r="AG21" i="1" s="1"/>
  <c r="F19" i="1"/>
  <c r="F21" i="1" s="1"/>
  <c r="J19" i="1"/>
  <c r="J21" i="1" s="1"/>
  <c r="N19" i="1"/>
  <c r="N21" i="1" s="1"/>
  <c r="R19" i="1"/>
  <c r="R21" i="1" s="1"/>
  <c r="V19" i="1"/>
  <c r="V21" i="1" s="1"/>
  <c r="Z19" i="1"/>
  <c r="Z21" i="1" s="1"/>
  <c r="AD19" i="1"/>
  <c r="AD21" i="1" s="1"/>
  <c r="C24" i="4" l="1"/>
  <c r="H27" i="2"/>
  <c r="H28" i="2" s="1"/>
  <c r="M19" i="2"/>
  <c r="M20" i="2" s="1"/>
  <c r="J29" i="2"/>
  <c r="J30" i="2" s="1"/>
  <c r="M27" i="2"/>
  <c r="M28" i="2" s="1"/>
  <c r="G17" i="2"/>
  <c r="G18" i="2" s="1"/>
  <c r="AC23" i="2"/>
  <c r="AC24" i="2" s="1"/>
  <c r="X21" i="2"/>
  <c r="X22" i="2" s="1"/>
  <c r="AC15" i="2"/>
  <c r="AC16" i="2" s="1"/>
  <c r="I25" i="2"/>
  <c r="I26" i="2" s="1"/>
  <c r="H15" i="2"/>
  <c r="H16" i="2" s="1"/>
  <c r="P25" i="2"/>
  <c r="P26" i="2" s="1"/>
  <c r="H23" i="2"/>
  <c r="H24" i="2" s="1"/>
  <c r="G25" i="2"/>
  <c r="G26" i="2" s="1"/>
  <c r="M15" i="2"/>
  <c r="M16" i="2" s="1"/>
  <c r="I33" i="2"/>
  <c r="I34" i="2" s="1"/>
  <c r="L33" i="2"/>
  <c r="L34" i="2" s="1"/>
  <c r="N19" i="2"/>
  <c r="N20" i="2" s="1"/>
  <c r="K19" i="2"/>
  <c r="K20" i="2" s="1"/>
  <c r="G33" i="2"/>
  <c r="G34" i="2" s="1"/>
  <c r="Y25" i="2"/>
  <c r="Y26" i="2" s="1"/>
  <c r="Z27" i="2"/>
  <c r="Z28" i="2" s="1"/>
  <c r="AF23" i="2"/>
  <c r="AF24" i="2" s="1"/>
  <c r="L23" i="2"/>
  <c r="L24" i="2" s="1"/>
  <c r="N27" i="2"/>
  <c r="N28" i="2" s="1"/>
  <c r="K27" i="2"/>
  <c r="K28" i="2" s="1"/>
  <c r="J21" i="2"/>
  <c r="J22" i="2" s="1"/>
  <c r="Y33" i="2"/>
  <c r="Y34" i="2" s="1"/>
  <c r="R17" i="2"/>
  <c r="R18" i="2" s="1"/>
  <c r="T25" i="2"/>
  <c r="T26" i="2" s="1"/>
  <c r="AJ27" i="2"/>
  <c r="AJ28" i="2" s="1"/>
  <c r="AB25" i="2"/>
  <c r="AB26" i="2" s="1"/>
  <c r="T29" i="2"/>
  <c r="T30" i="2" s="1"/>
  <c r="AD21" i="2"/>
  <c r="AD22" i="2" s="1"/>
  <c r="AF25" i="2"/>
  <c r="AF26" i="2" s="1"/>
  <c r="M21" i="1"/>
  <c r="V31" i="2"/>
  <c r="V32" i="2" s="1"/>
  <c r="V23" i="2"/>
  <c r="V24" i="2" s="1"/>
  <c r="AH33" i="2"/>
  <c r="AH34" i="2" s="1"/>
  <c r="AH25" i="2"/>
  <c r="AH26" i="2" s="1"/>
  <c r="S23" i="2"/>
  <c r="S24" i="2" s="1"/>
  <c r="W25" i="2"/>
  <c r="W26" i="2" s="1"/>
  <c r="W17" i="2"/>
  <c r="W18" i="2" s="1"/>
  <c r="AA19" i="2"/>
  <c r="AA20" i="2" s="1"/>
  <c r="AE21" i="2"/>
  <c r="AE22" i="2" s="1"/>
  <c r="AI23" i="2"/>
  <c r="AI24" i="2" s="1"/>
  <c r="AH17" i="2"/>
  <c r="AH18" i="2" s="1"/>
  <c r="O29" i="2"/>
  <c r="O30" i="2" s="1"/>
  <c r="O21" i="2"/>
  <c r="O22" i="2" s="1"/>
  <c r="S31" i="2"/>
  <c r="S32" i="2" s="1"/>
  <c r="W33" i="2"/>
  <c r="W34" i="2" s="1"/>
  <c r="AA27" i="2"/>
  <c r="AA28" i="2" s="1"/>
  <c r="AE29" i="2"/>
  <c r="AE30" i="2" s="1"/>
  <c r="AI31" i="2"/>
  <c r="AI32" i="2" s="1"/>
  <c r="AE15" i="2"/>
  <c r="AE16" i="2" s="1"/>
  <c r="U23" i="2"/>
  <c r="U24" i="2" s="1"/>
  <c r="AG29" i="2"/>
  <c r="AG30" i="2" s="1"/>
  <c r="U31" i="2"/>
  <c r="U32" i="2" s="1"/>
  <c r="R25" i="2"/>
  <c r="R26" i="2" s="1"/>
  <c r="X15" i="2"/>
  <c r="X16" i="2" s="1"/>
  <c r="AJ21" i="2"/>
  <c r="AJ22" i="2" s="1"/>
  <c r="AB21" i="2"/>
  <c r="AB22" i="2" s="1"/>
  <c r="T23" i="2"/>
  <c r="T24" i="2" s="1"/>
  <c r="AD29" i="2"/>
  <c r="AD30" i="2" s="1"/>
  <c r="U19" i="2"/>
  <c r="U20" i="2" s="1"/>
  <c r="AC29" i="2"/>
  <c r="AC30" i="2" s="1"/>
  <c r="AC27" i="2"/>
  <c r="AC28" i="2" s="1"/>
  <c r="Q29" i="2"/>
  <c r="Q30" i="2" s="1"/>
  <c r="Z19" i="2"/>
  <c r="Z20" i="2" s="1"/>
  <c r="R33" i="2"/>
  <c r="R34" i="2" s="1"/>
  <c r="AF31" i="2"/>
  <c r="AF32" i="2" s="1"/>
  <c r="X33" i="2"/>
  <c r="X34" i="2" s="1"/>
  <c r="P17" i="2"/>
  <c r="P18" i="2" s="1"/>
  <c r="O15" i="2"/>
  <c r="O16" i="2" s="1"/>
  <c r="M17" i="2"/>
  <c r="M18" i="2" s="1"/>
  <c r="M21" i="2"/>
  <c r="M22" i="2" s="1"/>
  <c r="H31" i="2"/>
  <c r="H32" i="2" s="1"/>
  <c r="Y21" i="2"/>
  <c r="Y22" i="2" s="1"/>
  <c r="AG17" i="2"/>
  <c r="AG18" i="2" s="1"/>
  <c r="Y15" i="2"/>
  <c r="Y16" i="2" s="1"/>
  <c r="I15" i="2"/>
  <c r="I16" i="2" s="1"/>
  <c r="AG31" i="2"/>
  <c r="AG32" i="2" s="1"/>
  <c r="Y27" i="2"/>
  <c r="Y28" i="2" s="1"/>
  <c r="U25" i="2"/>
  <c r="U26" i="2" s="1"/>
  <c r="U33" i="2"/>
  <c r="U34" i="2" s="1"/>
  <c r="Q31" i="2"/>
  <c r="Q32" i="2" s="1"/>
  <c r="M29" i="2"/>
  <c r="M30" i="2" s="1"/>
  <c r="I27" i="2"/>
  <c r="I28" i="2" s="1"/>
  <c r="Z15" i="2"/>
  <c r="Z16" i="2" s="1"/>
  <c r="Z21" i="2"/>
  <c r="Z22" i="2" s="1"/>
  <c r="Z29" i="2"/>
  <c r="Z30" i="2" s="1"/>
  <c r="R19" i="2"/>
  <c r="R20" i="2" s="1"/>
  <c r="R27" i="2"/>
  <c r="R28" i="2" s="1"/>
  <c r="AJ15" i="2"/>
  <c r="AJ16" i="2" s="1"/>
  <c r="T15" i="2"/>
  <c r="T16" i="2" s="1"/>
  <c r="AJ29" i="2"/>
  <c r="AJ30" i="2" s="1"/>
  <c r="AJ23" i="2"/>
  <c r="AJ24" i="2" s="1"/>
  <c r="AF17" i="2"/>
  <c r="AF18" i="2" s="1"/>
  <c r="AB33" i="2"/>
  <c r="AB34" i="2" s="1"/>
  <c r="AB23" i="2"/>
  <c r="AB24" i="2" s="1"/>
  <c r="X27" i="2"/>
  <c r="X28" i="2" s="1"/>
  <c r="X23" i="2"/>
  <c r="X24" i="2" s="1"/>
  <c r="T17" i="2"/>
  <c r="T18" i="2" s="1"/>
  <c r="T31" i="2"/>
  <c r="T32" i="2" s="1"/>
  <c r="P19" i="2"/>
  <c r="P20" i="2" s="1"/>
  <c r="P33" i="2"/>
  <c r="P34" i="2" s="1"/>
  <c r="L17" i="2"/>
  <c r="L18" i="2" s="1"/>
  <c r="L27" i="2"/>
  <c r="L28" i="2" s="1"/>
  <c r="H17" i="2"/>
  <c r="H18" i="2" s="1"/>
  <c r="H29" i="2"/>
  <c r="H30" i="2" s="1"/>
  <c r="AD23" i="2"/>
  <c r="AD24" i="2" s="1"/>
  <c r="AD31" i="2"/>
  <c r="AD32" i="2" s="1"/>
  <c r="N21" i="2"/>
  <c r="N22" i="2" s="1"/>
  <c r="N29" i="2"/>
  <c r="N30" i="2" s="1"/>
  <c r="M23" i="2"/>
  <c r="M24" i="2" s="1"/>
  <c r="Y17" i="2"/>
  <c r="Y18" i="2" s="1"/>
  <c r="AA15" i="2"/>
  <c r="AA16" i="2" s="1"/>
  <c r="K15" i="2"/>
  <c r="K16" i="2" s="1"/>
  <c r="AI17" i="2"/>
  <c r="AI18" i="2" s="1"/>
  <c r="AI25" i="2"/>
  <c r="AI26" i="2" s="1"/>
  <c r="AI33" i="2"/>
  <c r="AI34" i="2" s="1"/>
  <c r="AE23" i="2"/>
  <c r="AE24" i="2" s="1"/>
  <c r="AE31" i="2"/>
  <c r="AE32" i="2" s="1"/>
  <c r="AA21" i="2"/>
  <c r="AA22" i="2" s="1"/>
  <c r="AA29" i="2"/>
  <c r="AA30" i="2" s="1"/>
  <c r="W19" i="2"/>
  <c r="W20" i="2" s="1"/>
  <c r="W27" i="2"/>
  <c r="W28" i="2" s="1"/>
  <c r="S17" i="2"/>
  <c r="S18" i="2" s="1"/>
  <c r="S25" i="2"/>
  <c r="S26" i="2" s="1"/>
  <c r="S33" i="2"/>
  <c r="S34" i="2" s="1"/>
  <c r="O23" i="2"/>
  <c r="O24" i="2" s="1"/>
  <c r="O31" i="2"/>
  <c r="O32" i="2" s="1"/>
  <c r="K21" i="2"/>
  <c r="K22" i="2" s="1"/>
  <c r="K29" i="2"/>
  <c r="K30" i="2" s="1"/>
  <c r="G19" i="2"/>
  <c r="G20" i="2" s="1"/>
  <c r="G27" i="2"/>
  <c r="G28" i="2" s="1"/>
  <c r="AH15" i="2"/>
  <c r="AH16" i="2" s="1"/>
  <c r="AH19" i="2"/>
  <c r="AH20" i="2" s="1"/>
  <c r="AH27" i="2"/>
  <c r="AH28" i="2" s="1"/>
  <c r="V17" i="2"/>
  <c r="V18" i="2" s="1"/>
  <c r="V25" i="2"/>
  <c r="V26" i="2" s="1"/>
  <c r="V33" i="2"/>
  <c r="V34" i="2" s="1"/>
  <c r="J23" i="2"/>
  <c r="J24" i="2" s="1"/>
  <c r="J31" i="2"/>
  <c r="J32" i="2" s="1"/>
  <c r="Y19" i="2"/>
  <c r="Y20" i="2" s="1"/>
  <c r="Y23" i="2"/>
  <c r="Y24" i="2" s="1"/>
  <c r="I19" i="2"/>
  <c r="I20" i="2" s="1"/>
  <c r="I23" i="2"/>
  <c r="I24" i="2" s="1"/>
  <c r="L29" i="2"/>
  <c r="L30" i="2" s="1"/>
  <c r="AC17" i="2"/>
  <c r="AC18" i="2" s="1"/>
  <c r="AC21" i="2"/>
  <c r="AC22" i="2" s="1"/>
  <c r="AF13" i="2"/>
  <c r="AF27" i="2"/>
  <c r="AF28" i="2" s="1"/>
  <c r="P27" i="2"/>
  <c r="P28" i="2" s="1"/>
  <c r="I21" i="2"/>
  <c r="I22" i="2" s="1"/>
  <c r="Q17" i="2"/>
  <c r="Q18" i="2" s="1"/>
  <c r="U15" i="2"/>
  <c r="U16" i="2" s="1"/>
  <c r="AG25" i="2"/>
  <c r="AG26" i="2" s="1"/>
  <c r="AG33" i="2"/>
  <c r="AG34" i="2" s="1"/>
  <c r="AC31" i="2"/>
  <c r="AC32" i="2" s="1"/>
  <c r="Y29" i="2"/>
  <c r="Y30" i="2" s="1"/>
  <c r="U27" i="2"/>
  <c r="U28" i="2" s="1"/>
  <c r="Q25" i="2"/>
  <c r="Q26" i="2" s="1"/>
  <c r="Q33" i="2"/>
  <c r="Q34" i="2" s="1"/>
  <c r="M31" i="2"/>
  <c r="M32" i="2" s="1"/>
  <c r="I29" i="2"/>
  <c r="I30" i="2" s="1"/>
  <c r="N15" i="2"/>
  <c r="N16" i="2" s="1"/>
  <c r="Z23" i="2"/>
  <c r="Z24" i="2" s="1"/>
  <c r="Z31" i="2"/>
  <c r="Z32" i="2" s="1"/>
  <c r="R21" i="2"/>
  <c r="R22" i="2" s="1"/>
  <c r="R29" i="2"/>
  <c r="R30" i="2" s="1"/>
  <c r="AJ33" i="2"/>
  <c r="AJ34" i="2" s="1"/>
  <c r="AF15" i="2"/>
  <c r="AF16" i="2" s="1"/>
  <c r="P15" i="2"/>
  <c r="P16" i="2" s="1"/>
  <c r="AC13" i="2"/>
  <c r="M13" i="2"/>
  <c r="AJ17" i="2"/>
  <c r="AJ18" i="2" s="1"/>
  <c r="AJ31" i="2"/>
  <c r="AJ32" i="2" s="1"/>
  <c r="AF19" i="2"/>
  <c r="AF20" i="2" s="1"/>
  <c r="AF33" i="2"/>
  <c r="AF34" i="2" s="1"/>
  <c r="AB17" i="2"/>
  <c r="AB18" i="2" s="1"/>
  <c r="AB27" i="2"/>
  <c r="AB28" i="2" s="1"/>
  <c r="X17" i="2"/>
  <c r="X18" i="2" s="1"/>
  <c r="X29" i="2"/>
  <c r="X30" i="2" s="1"/>
  <c r="T19" i="2"/>
  <c r="T20" i="2" s="1"/>
  <c r="P29" i="2"/>
  <c r="P30" i="2" s="1"/>
  <c r="P21" i="2"/>
  <c r="P22" i="2" s="1"/>
  <c r="L31" i="2"/>
  <c r="L32" i="2" s="1"/>
  <c r="L19" i="2"/>
  <c r="L20" i="2" s="1"/>
  <c r="H25" i="2"/>
  <c r="H26" i="2" s="1"/>
  <c r="H19" i="2"/>
  <c r="H20" i="2" s="1"/>
  <c r="AD17" i="2"/>
  <c r="AD18" i="2" s="1"/>
  <c r="AD25" i="2"/>
  <c r="AD26" i="2" s="1"/>
  <c r="AD33" i="2"/>
  <c r="AD34" i="2" s="1"/>
  <c r="N23" i="2"/>
  <c r="N24" i="2" s="1"/>
  <c r="N31" i="2"/>
  <c r="N32" i="2" s="1"/>
  <c r="AG21" i="2"/>
  <c r="AG22" i="2" s="1"/>
  <c r="I17" i="2"/>
  <c r="I18" i="2" s="1"/>
  <c r="W15" i="2"/>
  <c r="W16" i="2" s="1"/>
  <c r="G15" i="2"/>
  <c r="G16" i="2" s="1"/>
  <c r="AI19" i="2"/>
  <c r="AI20" i="2" s="1"/>
  <c r="AI27" i="2"/>
  <c r="AI28" i="2" s="1"/>
  <c r="AE17" i="2"/>
  <c r="AE18" i="2" s="1"/>
  <c r="AE25" i="2"/>
  <c r="AE26" i="2" s="1"/>
  <c r="AE33" i="2"/>
  <c r="AE34" i="2" s="1"/>
  <c r="AA23" i="2"/>
  <c r="AA24" i="2" s="1"/>
  <c r="AA31" i="2"/>
  <c r="AA32" i="2" s="1"/>
  <c r="W21" i="2"/>
  <c r="W22" i="2" s="1"/>
  <c r="W29" i="2"/>
  <c r="W30" i="2" s="1"/>
  <c r="S19" i="2"/>
  <c r="S20" i="2" s="1"/>
  <c r="S27" i="2"/>
  <c r="S28" i="2" s="1"/>
  <c r="O17" i="2"/>
  <c r="O18" i="2" s="1"/>
  <c r="O25" i="2"/>
  <c r="O26" i="2" s="1"/>
  <c r="O33" i="2"/>
  <c r="O34" i="2" s="1"/>
  <c r="K23" i="2"/>
  <c r="K24" i="2" s="1"/>
  <c r="K31" i="2"/>
  <c r="K32" i="2" s="1"/>
  <c r="G21" i="2"/>
  <c r="G22" i="2" s="1"/>
  <c r="G29" i="2"/>
  <c r="G30" i="2" s="1"/>
  <c r="V15" i="2"/>
  <c r="V16" i="2" s="1"/>
  <c r="AH21" i="2"/>
  <c r="AH22" i="2" s="1"/>
  <c r="AH29" i="2"/>
  <c r="AH30" i="2" s="1"/>
  <c r="V19" i="2"/>
  <c r="V20" i="2" s="1"/>
  <c r="V27" i="2"/>
  <c r="V28" i="2" s="1"/>
  <c r="J17" i="2"/>
  <c r="J18" i="2" s="1"/>
  <c r="J25" i="2"/>
  <c r="J26" i="2" s="1"/>
  <c r="J33" i="2"/>
  <c r="J34" i="2" s="1"/>
  <c r="U21" i="2"/>
  <c r="U22" i="2" s="1"/>
  <c r="U17" i="2"/>
  <c r="U18" i="2" s="1"/>
  <c r="R15" i="2"/>
  <c r="R16" i="2" s="1"/>
  <c r="X13" i="2"/>
  <c r="X31" i="2"/>
  <c r="X32" i="2" s="1"/>
  <c r="AJ25" i="2"/>
  <c r="AJ26" i="2" s="1"/>
  <c r="AC19" i="2"/>
  <c r="AC20" i="2" s="1"/>
  <c r="AG15" i="2"/>
  <c r="AG16" i="2" s="1"/>
  <c r="Q15" i="2"/>
  <c r="Q16" i="2" s="1"/>
  <c r="AG27" i="2"/>
  <c r="AG28" i="2" s="1"/>
  <c r="AC25" i="2"/>
  <c r="AC26" i="2" s="1"/>
  <c r="AC33" i="2"/>
  <c r="AC34" i="2" s="1"/>
  <c r="Y31" i="2"/>
  <c r="Y32" i="2" s="1"/>
  <c r="U29" i="2"/>
  <c r="U30" i="2" s="1"/>
  <c r="Q27" i="2"/>
  <c r="Q28" i="2" s="1"/>
  <c r="M25" i="2"/>
  <c r="M26" i="2" s="1"/>
  <c r="M33" i="2"/>
  <c r="M34" i="2" s="1"/>
  <c r="I31" i="2"/>
  <c r="I32" i="2" s="1"/>
  <c r="Z17" i="2"/>
  <c r="Z18" i="2" s="1"/>
  <c r="Z25" i="2"/>
  <c r="Z26" i="2" s="1"/>
  <c r="Z33" i="2"/>
  <c r="Z34" i="2" s="1"/>
  <c r="R23" i="2"/>
  <c r="R24" i="2" s="1"/>
  <c r="R31" i="2"/>
  <c r="R32" i="2" s="1"/>
  <c r="AB29" i="2"/>
  <c r="AB30" i="2" s="1"/>
  <c r="AB15" i="2"/>
  <c r="AB16" i="2" s="1"/>
  <c r="L15" i="2"/>
  <c r="L16" i="2" s="1"/>
  <c r="AJ19" i="2"/>
  <c r="AJ20" i="2" s="1"/>
  <c r="AF29" i="2"/>
  <c r="AF30" i="2" s="1"/>
  <c r="AF21" i="2"/>
  <c r="AF22" i="2" s="1"/>
  <c r="AB31" i="2"/>
  <c r="AB32" i="2" s="1"/>
  <c r="AB19" i="2"/>
  <c r="AB20" i="2" s="1"/>
  <c r="X25" i="2"/>
  <c r="X26" i="2" s="1"/>
  <c r="X19" i="2"/>
  <c r="X20" i="2" s="1"/>
  <c r="T27" i="2"/>
  <c r="T28" i="2" s="1"/>
  <c r="T21" i="2"/>
  <c r="T22" i="2" s="1"/>
  <c r="P31" i="2"/>
  <c r="P32" i="2" s="1"/>
  <c r="P23" i="2"/>
  <c r="P24" i="2" s="1"/>
  <c r="L25" i="2"/>
  <c r="L26" i="2" s="1"/>
  <c r="L21" i="2"/>
  <c r="L22" i="2" s="1"/>
  <c r="H33" i="2"/>
  <c r="H34" i="2" s="1"/>
  <c r="H21" i="2"/>
  <c r="H22" i="2" s="1"/>
  <c r="AD19" i="2"/>
  <c r="AD20" i="2" s="1"/>
  <c r="AD27" i="2"/>
  <c r="AD28" i="2" s="1"/>
  <c r="N17" i="2"/>
  <c r="N18" i="2" s="1"/>
  <c r="N25" i="2"/>
  <c r="N26" i="2" s="1"/>
  <c r="N33" i="2"/>
  <c r="N34" i="2" s="1"/>
  <c r="Q21" i="2"/>
  <c r="Q22" i="2" s="1"/>
  <c r="AI15" i="2"/>
  <c r="AI16" i="2" s="1"/>
  <c r="S15" i="2"/>
  <c r="S16" i="2" s="1"/>
  <c r="AI21" i="2"/>
  <c r="AI22" i="2" s="1"/>
  <c r="AI29" i="2"/>
  <c r="AI30" i="2" s="1"/>
  <c r="AE19" i="2"/>
  <c r="AE20" i="2" s="1"/>
  <c r="AE27" i="2"/>
  <c r="AE28" i="2" s="1"/>
  <c r="AA17" i="2"/>
  <c r="AA18" i="2" s="1"/>
  <c r="AA25" i="2"/>
  <c r="AA26" i="2" s="1"/>
  <c r="AA33" i="2"/>
  <c r="AA34" i="2" s="1"/>
  <c r="W23" i="2"/>
  <c r="W24" i="2" s="1"/>
  <c r="W31" i="2"/>
  <c r="W32" i="2" s="1"/>
  <c r="S21" i="2"/>
  <c r="S22" i="2" s="1"/>
  <c r="S29" i="2"/>
  <c r="S30" i="2" s="1"/>
  <c r="O19" i="2"/>
  <c r="O20" i="2" s="1"/>
  <c r="O27" i="2"/>
  <c r="O28" i="2" s="1"/>
  <c r="K17" i="2"/>
  <c r="K18" i="2" s="1"/>
  <c r="K25" i="2"/>
  <c r="K26" i="2" s="1"/>
  <c r="K33" i="2"/>
  <c r="K34" i="2" s="1"/>
  <c r="G23" i="2"/>
  <c r="G24" i="2" s="1"/>
  <c r="G31" i="2"/>
  <c r="G32" i="2" s="1"/>
  <c r="J15" i="2"/>
  <c r="J16" i="2" s="1"/>
  <c r="AH23" i="2"/>
  <c r="AH24" i="2" s="1"/>
  <c r="AH31" i="2"/>
  <c r="AH32" i="2" s="1"/>
  <c r="V21" i="2"/>
  <c r="V22" i="2" s="1"/>
  <c r="V29" i="2"/>
  <c r="V30" i="2" s="1"/>
  <c r="J19" i="2"/>
  <c r="J20" i="2" s="1"/>
  <c r="J27" i="2"/>
  <c r="J28" i="2" s="1"/>
  <c r="AG23" i="2"/>
  <c r="AG24" i="2" s="1"/>
  <c r="AG19" i="2"/>
  <c r="AG20" i="2" s="1"/>
  <c r="Q23" i="2"/>
  <c r="Q24" i="2" s="1"/>
  <c r="Q19" i="2"/>
  <c r="Q20" i="2" s="1"/>
  <c r="T33" i="2"/>
  <c r="T34" i="2" s="1"/>
  <c r="AD15" i="2"/>
  <c r="AD16" i="2" s="1"/>
  <c r="F36" i="2"/>
  <c r="F35" i="2"/>
  <c r="AK33" i="2" l="1"/>
  <c r="H35" i="2"/>
  <c r="J35" i="2"/>
  <c r="I36" i="2"/>
  <c r="AI36" i="2"/>
  <c r="Z35" i="2"/>
  <c r="AL23" i="2"/>
  <c r="AL17" i="2"/>
  <c r="Q36" i="2"/>
  <c r="AB36" i="2"/>
  <c r="AA35" i="2"/>
  <c r="AA36" i="2"/>
  <c r="AD35" i="2"/>
  <c r="AK21" i="2"/>
  <c r="W36" i="2"/>
  <c r="V36" i="2"/>
  <c r="O35" i="2"/>
  <c r="AK19" i="2"/>
  <c r="AH36" i="2"/>
  <c r="AK27" i="2"/>
  <c r="AC36" i="2"/>
  <c r="Q35" i="2"/>
  <c r="U35" i="2"/>
  <c r="AK23" i="2"/>
  <c r="AD36" i="2"/>
  <c r="O36" i="2"/>
  <c r="H36" i="2"/>
  <c r="AK17" i="2"/>
  <c r="P35" i="2"/>
  <c r="J36" i="2"/>
  <c r="AK31" i="2"/>
  <c r="R35" i="2"/>
  <c r="S35" i="2"/>
  <c r="L35" i="2"/>
  <c r="G36" i="2"/>
  <c r="AF35" i="2"/>
  <c r="AL27" i="2"/>
  <c r="Z36" i="2"/>
  <c r="AG35" i="2"/>
  <c r="AL15" i="2"/>
  <c r="V35" i="2"/>
  <c r="N36" i="2"/>
  <c r="K35" i="2"/>
  <c r="AL31" i="2"/>
  <c r="R36" i="2"/>
  <c r="S36" i="2"/>
  <c r="L36" i="2"/>
  <c r="G35" i="2"/>
  <c r="AF36" i="2"/>
  <c r="AL25" i="2"/>
  <c r="M35" i="2"/>
  <c r="AJ35" i="2"/>
  <c r="AG36" i="2"/>
  <c r="AK15" i="2"/>
  <c r="T35" i="2"/>
  <c r="I35" i="2"/>
  <c r="AK29" i="2"/>
  <c r="Y35" i="2"/>
  <c r="AE35" i="2"/>
  <c r="X35" i="2"/>
  <c r="P36" i="2"/>
  <c r="AL29" i="2"/>
  <c r="N35" i="2"/>
  <c r="Y36" i="2"/>
  <c r="AE36" i="2"/>
  <c r="X36" i="2"/>
  <c r="AL19" i="2"/>
  <c r="AC35" i="2"/>
  <c r="K36" i="2"/>
  <c r="AL21" i="2"/>
  <c r="AH35" i="2"/>
  <c r="AI35" i="2"/>
  <c r="AB35" i="2"/>
  <c r="W35" i="2"/>
  <c r="U36" i="2"/>
  <c r="AK25" i="2"/>
  <c r="M36" i="2"/>
  <c r="AJ36" i="2"/>
  <c r="AL33" i="2"/>
  <c r="T36" i="2"/>
  <c r="AU27" i="2"/>
  <c r="BD27" i="2"/>
  <c r="AU25" i="2"/>
  <c r="BD25" i="2"/>
  <c r="AU31" i="2"/>
  <c r="BD31" i="2"/>
  <c r="AU29" i="2"/>
  <c r="BD29" i="2"/>
  <c r="BD19" i="2"/>
  <c r="AU19" i="2"/>
  <c r="AU23" i="2"/>
  <c r="BD23" i="2"/>
  <c r="BD17" i="2"/>
  <c r="AU17" i="2"/>
  <c r="BD21" i="2"/>
  <c r="AU21" i="2"/>
  <c r="AU33" i="2"/>
  <c r="BD33" i="2"/>
  <c r="AU15" i="2" l="1"/>
  <c r="BD15" i="2"/>
  <c r="AK36" i="2"/>
  <c r="AK35" i="2"/>
</calcChain>
</file>

<file path=xl/sharedStrings.xml><?xml version="1.0" encoding="utf-8"?>
<sst xmlns="http://schemas.openxmlformats.org/spreadsheetml/2006/main" count="477" uniqueCount="239">
  <si>
    <t>СЕГОДНЯ</t>
  </si>
  <si>
    <t>количество дней месяца</t>
  </si>
  <si>
    <t>месяц</t>
  </si>
  <si>
    <t>год</t>
  </si>
  <si>
    <t>УТВЕРЖДАЮ</t>
  </si>
  <si>
    <t xml:space="preserve"> </t>
  </si>
  <si>
    <t>0бед</t>
  </si>
  <si>
    <t>_______________   Л.А.Синченко</t>
  </si>
  <si>
    <t>В</t>
  </si>
  <si>
    <t>ГРАФИК</t>
  </si>
  <si>
    <t>УЧЕТА ИСПОЛЬЗОВАНИЯ РАБОЧЕГО ВРЕМЕНИ ОБСЛУЖИВАЮЩЕГО ПЕРСОНАЛА</t>
  </si>
  <si>
    <t>Сентябрь</t>
  </si>
  <si>
    <t>№</t>
  </si>
  <si>
    <t>Фамилия Инициалы</t>
  </si>
  <si>
    <t>ВСЕГО</t>
  </si>
  <si>
    <t>по календарю</t>
  </si>
  <si>
    <t>Должность</t>
  </si>
  <si>
    <t>Ставка</t>
  </si>
  <si>
    <t>дней</t>
  </si>
  <si>
    <t>часов</t>
  </si>
  <si>
    <t>раб.
дней</t>
  </si>
  <si>
    <t>Алексашин А.Н.</t>
  </si>
  <si>
    <t>обед</t>
  </si>
  <si>
    <t>Слесарь-ремонтник</t>
  </si>
  <si>
    <t>р.д.</t>
  </si>
  <si>
    <t>пр</t>
  </si>
  <si>
    <t>Алексеева Р.И.</t>
  </si>
  <si>
    <t>Электрик</t>
  </si>
  <si>
    <t>Белова А.Н.</t>
  </si>
  <si>
    <t>Береговой Г.П.</t>
  </si>
  <si>
    <t>Сторож</t>
  </si>
  <si>
    <t>Бронников М.Ю.</t>
  </si>
  <si>
    <t>Кассир Билетный</t>
  </si>
  <si>
    <t>С графиком ознакомлен(а):</t>
  </si>
  <si>
    <t>"___"______________2020</t>
  </si>
  <si>
    <t>Бутелин Ю.Н.</t>
  </si>
  <si>
    <t>Виличинская А.С.</t>
  </si>
  <si>
    <t>Воротынцева В.Н.</t>
  </si>
  <si>
    <t>Дынин Д.В.</t>
  </si>
  <si>
    <t>Жилин Е.В.</t>
  </si>
  <si>
    <t>Загайнов О.Н.</t>
  </si>
  <si>
    <t>Иванов В.А.</t>
  </si>
  <si>
    <t>Инякин С.В.</t>
  </si>
  <si>
    <t>Карасев А.Н.</t>
  </si>
  <si>
    <t>Кононов Д.А.</t>
  </si>
  <si>
    <t>Лопатин А.О.</t>
  </si>
  <si>
    <t>Медведев А.П.</t>
  </si>
  <si>
    <t>Окорочкова О.Т.</t>
  </si>
  <si>
    <t>Перминов К.И.</t>
  </si>
  <si>
    <t>Пермякова Т.М.</t>
  </si>
  <si>
    <t>Рамазанов М.А.</t>
  </si>
  <si>
    <t>Слезинский В.Е.</t>
  </si>
  <si>
    <t>название структурного подразделения</t>
  </si>
  <si>
    <t>ГРАФИК РАБОТЫ</t>
  </si>
  <si>
    <t>с</t>
  </si>
  <si>
    <t>по</t>
  </si>
  <si>
    <t>обслуживающего персонала на</t>
  </si>
  <si>
    <t>года</t>
  </si>
  <si>
    <t>Рабочих дней</t>
  </si>
  <si>
    <t>Рабочих часов</t>
  </si>
  <si>
    <t>МАРТ</t>
  </si>
  <si>
    <t>№ п/п</t>
  </si>
  <si>
    <t>Табельний номер</t>
  </si>
  <si>
    <t>номер</t>
  </si>
  <si>
    <t>Отметки о явках и неявках на работу по числам месяца (часов)</t>
  </si>
  <si>
    <t>отработано за месяц</t>
  </si>
  <si>
    <t>Всего неявок</t>
  </si>
  <si>
    <t>Дни неявок</t>
  </si>
  <si>
    <t>Выходные дни</t>
  </si>
  <si>
    <t>дни явок</t>
  </si>
  <si>
    <t>всего отработано</t>
  </si>
  <si>
    <t>Очередной отпуск</t>
  </si>
  <si>
    <t>Больничные</t>
  </si>
  <si>
    <t>Бесплатный отпуск (А)</t>
  </si>
  <si>
    <t>Отпуск родовой</t>
  </si>
  <si>
    <t>Учеьный отпуск</t>
  </si>
  <si>
    <t>Отпуск ЧАЭС</t>
  </si>
  <si>
    <t>Прогул</t>
  </si>
  <si>
    <t>Отпуск женский</t>
  </si>
  <si>
    <t>Командировка</t>
  </si>
  <si>
    <t>из них</t>
  </si>
  <si>
    <t>Ночные</t>
  </si>
  <si>
    <t>Вечерние</t>
  </si>
  <si>
    <t>Праздничные</t>
  </si>
  <si>
    <t>Сверхурочные</t>
  </si>
  <si>
    <t>Работы в выходной</t>
  </si>
  <si>
    <t>Переработка</t>
  </si>
  <si>
    <t>6</t>
  </si>
  <si>
    <t>11</t>
  </si>
  <si>
    <t>День НЧ - Ч</t>
  </si>
  <si>
    <t>Месяц</t>
  </si>
  <si>
    <t>Раб.Время</t>
  </si>
  <si>
    <t>Управляющий Участка</t>
  </si>
  <si>
    <t>НЧ</t>
  </si>
  <si>
    <t>Январь</t>
  </si>
  <si>
    <t>Ч</t>
  </si>
  <si>
    <t>Февраль</t>
  </si>
  <si>
    <t>Март</t>
  </si>
  <si>
    <t>Апрель</t>
  </si>
  <si>
    <t>Контролёр-посадчик Аттракциона</t>
  </si>
  <si>
    <t>Май</t>
  </si>
  <si>
    <t>Дежурный Зала</t>
  </si>
  <si>
    <t>Июнь</t>
  </si>
  <si>
    <t>Кассир</t>
  </si>
  <si>
    <t>Июль</t>
  </si>
  <si>
    <t>Август</t>
  </si>
  <si>
    <t>Октябрь</t>
  </si>
  <si>
    <t>Ноябрь</t>
  </si>
  <si>
    <t>Декабрь</t>
  </si>
  <si>
    <t>Б</t>
  </si>
  <si>
    <t>К</t>
  </si>
  <si>
    <t>О</t>
  </si>
  <si>
    <t>П</t>
  </si>
  <si>
    <t>ОТ</t>
  </si>
  <si>
    <t>Р</t>
  </si>
  <si>
    <t>Нормы рабочего времени на 2020 год</t>
  </si>
  <si>
    <t>Количество дней</t>
  </si>
  <si>
    <t>Рабочее время в часах при рабочей неделе</t>
  </si>
  <si>
    <t>календарных</t>
  </si>
  <si>
    <t>рабочих</t>
  </si>
  <si>
    <t>выходных и праздничных</t>
  </si>
  <si>
    <t>40-часовой</t>
  </si>
  <si>
    <t>36-часовой</t>
  </si>
  <si>
    <t>24-часовой</t>
  </si>
  <si>
    <t>1 квартал</t>
  </si>
  <si>
    <t>2 квартал</t>
  </si>
  <si>
    <t>1 полугодие</t>
  </si>
  <si>
    <t>3 квартал</t>
  </si>
  <si>
    <t>4 квартал</t>
  </si>
  <si>
    <t>2 полугодие</t>
  </si>
  <si>
    <t>Весь год</t>
  </si>
  <si>
    <t>Переносы выходных дней и праздников в 2020 году</t>
  </si>
  <si>
    <t>Откуда</t>
  </si>
  <si>
    <t>Куда</t>
  </si>
  <si>
    <t>УСЛОВНЫЕ ОБОЗНАЧЕНИЯ</t>
  </si>
  <si>
    <t>цифровой</t>
  </si>
  <si>
    <t>Я</t>
  </si>
  <si>
    <t>01</t>
  </si>
  <si>
    <t>19</t>
  </si>
  <si>
    <t>Продолжительность работы в дневное время</t>
  </si>
  <si>
    <t>Н</t>
  </si>
  <si>
    <t>02</t>
  </si>
  <si>
    <t>Продолжительность работы в ночное время</t>
  </si>
  <si>
    <t>Т</t>
  </si>
  <si>
    <t>20</t>
  </si>
  <si>
    <t>РВ</t>
  </si>
  <si>
    <t>03</t>
  </si>
  <si>
    <t>Продолжительность работы в выходные и нерабочие праздничные дни</t>
  </si>
  <si>
    <t>С</t>
  </si>
  <si>
    <t>04</t>
  </si>
  <si>
    <t>ЛЧ</t>
  </si>
  <si>
    <t>21</t>
  </si>
  <si>
    <t>Продолжительность сверхурочной работы</t>
  </si>
  <si>
    <t>ВМ</t>
  </si>
  <si>
    <t>05</t>
  </si>
  <si>
    <t>Продолжительность работы вахтовым методом</t>
  </si>
  <si>
    <t>ПВ</t>
  </si>
  <si>
    <t>22</t>
  </si>
  <si>
    <t>06</t>
  </si>
  <si>
    <t>Служебная командировка</t>
  </si>
  <si>
    <t>ПК</t>
  </si>
  <si>
    <t>07</t>
  </si>
  <si>
    <t>Г</t>
  </si>
  <si>
    <t>23</t>
  </si>
  <si>
    <t>Повышение квалификации с отрывом от работы</t>
  </si>
  <si>
    <t>ПМ</t>
  </si>
  <si>
    <t>08</t>
  </si>
  <si>
    <t>Повышение квалификации с отрывом от работы в другой местности</t>
  </si>
  <si>
    <t>ПР</t>
  </si>
  <si>
    <t>24</t>
  </si>
  <si>
    <t>09</t>
  </si>
  <si>
    <t>Ежегодный основной оплачиваемый отпуск</t>
  </si>
  <si>
    <t>ОД</t>
  </si>
  <si>
    <t>10</t>
  </si>
  <si>
    <t>НС</t>
  </si>
  <si>
    <t>25</t>
  </si>
  <si>
    <t>Ежегодный дополнительный оплачиваемый отпуск</t>
  </si>
  <si>
    <t>У</t>
  </si>
  <si>
    <t>26</t>
  </si>
  <si>
    <t>Выходные дни (еженедельный отпуск) и нерабочие праздничные дни</t>
  </si>
  <si>
    <t>УВ</t>
  </si>
  <si>
    <t>12</t>
  </si>
  <si>
    <t>Дополнительные выходные дни (оплачиваемые)</t>
  </si>
  <si>
    <t>ОВ</t>
  </si>
  <si>
    <t>27</t>
  </si>
  <si>
    <t>Дополнительные выходные дни (без сохранения заработной платы)</t>
  </si>
  <si>
    <t>НВ</t>
  </si>
  <si>
    <t>28</t>
  </si>
  <si>
    <t>ЗБ</t>
  </si>
  <si>
    <t>29</t>
  </si>
  <si>
    <t>УД</t>
  </si>
  <si>
    <t>13</t>
  </si>
  <si>
    <t>Забастовка (при условиях и в порядке, предусмотренных законом)</t>
  </si>
  <si>
    <t>Дополнительный отпуск в связи с обучением без сохранения заработной платы</t>
  </si>
  <si>
    <t>НН</t>
  </si>
  <si>
    <t>30</t>
  </si>
  <si>
    <t>14</t>
  </si>
  <si>
    <t>Неявки по невыясненным причинам (до выяснения обстоятельств)</t>
  </si>
  <si>
    <t>Отпуск по беременности и родам (отпуск в связи с усыновлением новорожденного ребенка)</t>
  </si>
  <si>
    <t>Время простоя по вине работодателя</t>
  </si>
  <si>
    <t>РП</t>
  </si>
  <si>
    <t>31</t>
  </si>
  <si>
    <t>ОЖ</t>
  </si>
  <si>
    <t>15</t>
  </si>
  <si>
    <t>НП</t>
  </si>
  <si>
    <t>32</t>
  </si>
  <si>
    <t>Отпуск по уходу за ребенком до достижения им возраста трех лет</t>
  </si>
  <si>
    <t>Время простоя по причинам, не зависящим от работодателя и работника</t>
  </si>
  <si>
    <t>ДО</t>
  </si>
  <si>
    <t>16</t>
  </si>
  <si>
    <t>Время простоя по вине работника</t>
  </si>
  <si>
    <t>ВП</t>
  </si>
  <si>
    <t>33</t>
  </si>
  <si>
    <t>НО</t>
  </si>
  <si>
    <t>34</t>
  </si>
  <si>
    <t>ОЗ</t>
  </si>
  <si>
    <t>17</t>
  </si>
  <si>
    <t>НБ</t>
  </si>
  <si>
    <t>35</t>
  </si>
  <si>
    <t>ДБ</t>
  </si>
  <si>
    <t>18</t>
  </si>
  <si>
    <t>Ежегодный дополнительный отпуск без сохранения заработной платы</t>
  </si>
  <si>
    <t>Время приостановки работы в случае задержки выплаты заработной платы</t>
  </si>
  <si>
    <t>НЗ</t>
  </si>
  <si>
    <t>36</t>
  </si>
  <si>
    <t>Код
буквенный</t>
  </si>
  <si>
    <t>Временная нетрудоспособность (кроме случаев, предусмотренных кодом "Т")
с назначением пособия согласно законодательству</t>
  </si>
  <si>
    <t>Временная нетрудоспособность без назначения пособия в случаях,
предусмотренных законодательством</t>
  </si>
  <si>
    <t>Сокращенная продолжительность рабочего времени против нормальной
продолжительности рабочего дня в случаях, предусмотренных законодательством</t>
  </si>
  <si>
    <t>Время вынужденного прогула в случае признания увольнения, перевода на другую работу
или отстранения от работы незаконными с восстановлением на прежней работе</t>
  </si>
  <si>
    <t>Невыходы на время исполнения государственных или общественных обязанностей
согласно законодательству</t>
  </si>
  <si>
    <t>Прогулы (отсутствие на рабочем месте без уважительных причин в течение времени,
установленного законодательством)</t>
  </si>
  <si>
    <t>Продолжительность работы в режиме неполного рабочего времени по инициативе
работодателя в случаях, предусмотренных законодательством</t>
  </si>
  <si>
    <t>Отстранение от работы (недопущение к работе) с оплатой (пособием) в соответствии
с законодательством</t>
  </si>
  <si>
    <t>Отстранение от работы (недопущение к работе) по причинам, предусмотренным
законодательством, без начисления заработной платы</t>
  </si>
  <si>
    <t>Отпуск без сохранения заработной платы при условиях, предусмотренных действующим 
законодательством Российской Федерации</t>
  </si>
  <si>
    <t>Дополнительный отпуск в связи с обучением с сохранением среднего
заработка работникам, совмещающим работу с обучением</t>
  </si>
  <si>
    <t>Сокращенная продолжительность рабочего времени для обучающихся 
без отрыва от производства с частичным сохранением заработной платы</t>
  </si>
  <si>
    <t>Отпуск без сохранения заработной платы, 
предоставленный работнику по разрешению работодателя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</si>
</sst>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419]d\-mmm\-yyyy;@"/>
    <numFmt numFmtId="165" formatCode="[$-F800]dddd\,\ mmmm\ dd\,\ yyyy"/>
    <numFmt numFmtId="166" formatCode="[h]:mm"/>
    <numFmt numFmtId="167" formatCode="\н\а\ [$-F419]mmmm\ yyyy;@"/>
    <numFmt numFmtId="168" formatCode="ddd"/>
    <numFmt numFmtId="169" formatCode="h:mm;@"/>
    <numFmt numFmtId="170" formatCode="dd\.mm\.yy;@"/>
    <numFmt numFmtId="171" formatCode="d/m;@"/>
    <numFmt numFmtId="172" formatCode="[$-419]mmmm\ yyyy;@"/>
    <numFmt numFmtId="173" formatCode="[$-419]mmmm;@"/>
    <numFmt numFmtId="174" formatCode="ddd\ dd/mm/yyyy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8"/>
      <color rgb="FFC00000"/>
      <name val="Segoe UI"/>
      <family val="2"/>
      <charset val="204"/>
    </font>
    <font>
      <sz val="10"/>
      <color rgb="FFC00000"/>
      <name val="Segoe UI"/>
      <family val="2"/>
      <charset val="204"/>
    </font>
    <font>
      <sz val="10"/>
      <name val="Segoe UI"/>
      <family val="2"/>
      <charset val="204"/>
    </font>
    <font>
      <b/>
      <sz val="10"/>
      <name val="Segoe UI"/>
      <family val="2"/>
      <charset val="204"/>
    </font>
    <font>
      <sz val="11"/>
      <name val="Segoe UI"/>
      <family val="2"/>
      <charset val="204"/>
    </font>
    <font>
      <b/>
      <sz val="11"/>
      <color theme="0"/>
      <name val="Segoe UI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83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shrinkToFit="1"/>
    </xf>
    <xf numFmtId="165" fontId="3" fillId="0" borderId="0" xfId="0" applyNumberFormat="1" applyFont="1"/>
    <xf numFmtId="14" fontId="4" fillId="0" borderId="0" xfId="0" applyNumberFormat="1" applyFont="1" applyAlignment="1"/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/>
    <xf numFmtId="166" fontId="0" fillId="0" borderId="0" xfId="0" applyNumberFormat="1" applyAlignment="1"/>
    <xf numFmtId="0" fontId="6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/>
    <xf numFmtId="0" fontId="10" fillId="0" borderId="2" xfId="0" applyFont="1" applyBorder="1" applyAlignment="1">
      <alignment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/>
    </xf>
    <xf numFmtId="0" fontId="10" fillId="0" borderId="9" xfId="0" applyFont="1" applyBorder="1" applyAlignment="1">
      <alignment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top" textRotation="90"/>
    </xf>
    <xf numFmtId="0" fontId="12" fillId="0" borderId="7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5" xfId="0" applyFont="1" applyBorder="1" applyAlignment="1">
      <alignment horizontal="center" textRotation="90" wrapText="1"/>
    </xf>
    <xf numFmtId="168" fontId="1" fillId="0" borderId="7" xfId="0" applyNumberFormat="1" applyFont="1" applyBorder="1" applyAlignment="1">
      <alignment horizontal="center" vertical="center"/>
    </xf>
    <xf numFmtId="168" fontId="1" fillId="3" borderId="7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2" xfId="0" applyBorder="1" applyAlignment="1">
      <alignment vertical="top"/>
    </xf>
    <xf numFmtId="0" fontId="12" fillId="0" borderId="5" xfId="0" applyFont="1" applyBorder="1" applyAlignment="1">
      <alignment horizontal="center" vertical="center" wrapText="1"/>
    </xf>
    <xf numFmtId="166" fontId="13" fillId="3" borderId="1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166" fontId="1" fillId="0" borderId="14" xfId="0" applyNumberFormat="1" applyFont="1" applyBorder="1"/>
    <xf numFmtId="0" fontId="1" fillId="0" borderId="14" xfId="0" applyFont="1" applyBorder="1"/>
    <xf numFmtId="0" fontId="1" fillId="4" borderId="14" xfId="0" applyFont="1" applyFill="1" applyBorder="1"/>
    <xf numFmtId="0" fontId="0" fillId="0" borderId="15" xfId="0" applyBorder="1" applyAlignment="1">
      <alignment vertical="top"/>
    </xf>
    <xf numFmtId="0" fontId="12" fillId="0" borderId="19" xfId="0" applyFont="1" applyBorder="1" applyAlignment="1">
      <alignment horizontal="center" vertical="center" wrapText="1"/>
    </xf>
    <xf numFmtId="166" fontId="13" fillId="3" borderId="20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vertical="center"/>
    </xf>
    <xf numFmtId="0" fontId="0" fillId="0" borderId="11" xfId="0" applyBorder="1"/>
    <xf numFmtId="0" fontId="0" fillId="0" borderId="4" xfId="0" applyBorder="1"/>
    <xf numFmtId="0" fontId="14" fillId="0" borderId="21" xfId="0" applyFont="1" applyBorder="1" applyAlignment="1">
      <alignment vertical="center" textRotation="90" wrapText="1"/>
    </xf>
    <xf numFmtId="169" fontId="15" fillId="3" borderId="20" xfId="0" applyNumberFormat="1" applyFont="1" applyFill="1" applyBorder="1" applyAlignment="1">
      <alignment horizontal="center" vertical="center" wrapText="1"/>
    </xf>
    <xf numFmtId="169" fontId="0" fillId="0" borderId="16" xfId="0" applyNumberFormat="1" applyBorder="1"/>
    <xf numFmtId="20" fontId="13" fillId="0" borderId="20" xfId="0" applyNumberFormat="1" applyFont="1" applyBorder="1" applyAlignment="1">
      <alignment horizontal="center" vertical="center" wrapText="1"/>
    </xf>
    <xf numFmtId="20" fontId="13" fillId="3" borderId="20" xfId="0" applyNumberFormat="1" applyFont="1" applyFill="1" applyBorder="1" applyAlignment="1">
      <alignment horizontal="center" vertical="center" wrapText="1"/>
    </xf>
    <xf numFmtId="166" fontId="16" fillId="0" borderId="20" xfId="0" applyNumberFormat="1" applyFont="1" applyBorder="1" applyAlignment="1">
      <alignment horizontal="center" vertical="center" wrapText="1"/>
    </xf>
    <xf numFmtId="169" fontId="16" fillId="0" borderId="20" xfId="0" applyNumberFormat="1" applyFont="1" applyBorder="1" applyAlignment="1">
      <alignment horizontal="center" vertical="center" wrapText="1"/>
    </xf>
    <xf numFmtId="169" fontId="16" fillId="3" borderId="2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vertical="top"/>
    </xf>
    <xf numFmtId="0" fontId="14" fillId="0" borderId="22" xfId="0" applyFont="1" applyBorder="1" applyAlignment="1">
      <alignment vertical="center" textRotation="90" wrapText="1"/>
    </xf>
    <xf numFmtId="166" fontId="16" fillId="0" borderId="23" xfId="0" applyNumberFormat="1" applyFont="1" applyBorder="1" applyAlignment="1">
      <alignment horizontal="center" vertical="center" wrapText="1"/>
    </xf>
    <xf numFmtId="166" fontId="16" fillId="3" borderId="23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center"/>
    </xf>
    <xf numFmtId="169" fontId="0" fillId="0" borderId="11" xfId="0" applyNumberFormat="1" applyBorder="1"/>
    <xf numFmtId="169" fontId="15" fillId="0" borderId="20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0" fillId="0" borderId="0" xfId="0" applyBorder="1" applyAlignment="1">
      <alignment horizontal="center" vertical="top"/>
    </xf>
    <xf numFmtId="0" fontId="13" fillId="0" borderId="0" xfId="0" applyFont="1" applyBorder="1" applyAlignment="1">
      <alignment horizontal="left" vertical="top"/>
    </xf>
    <xf numFmtId="166" fontId="16" fillId="0" borderId="0" xfId="0" applyNumberFormat="1" applyFont="1" applyBorder="1" applyAlignment="1">
      <alignment horizontal="center" wrapText="1"/>
    </xf>
    <xf numFmtId="166" fontId="16" fillId="0" borderId="0" xfId="0" applyNumberFormat="1" applyFont="1" applyFill="1" applyBorder="1" applyAlignment="1">
      <alignment horizontal="center" wrapText="1"/>
    </xf>
    <xf numFmtId="0" fontId="0" fillId="0" borderId="25" xfId="0" applyBorder="1"/>
    <xf numFmtId="0" fontId="0" fillId="0" borderId="26" xfId="0" applyBorder="1"/>
    <xf numFmtId="0" fontId="1" fillId="0" borderId="0" xfId="0" applyFont="1" applyFill="1" applyBorder="1" applyAlignment="1">
      <alignment vertical="top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/>
    <xf numFmtId="14" fontId="19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0" fontId="23" fillId="0" borderId="1" xfId="0" applyNumberFormat="1" applyFont="1" applyBorder="1" applyAlignment="1">
      <alignment vertical="center" wrapText="1"/>
    </xf>
    <xf numFmtId="170" fontId="22" fillId="0" borderId="0" xfId="0" applyNumberFormat="1" applyFont="1" applyAlignment="1">
      <alignment vertical="center" wrapText="1"/>
    </xf>
    <xf numFmtId="170" fontId="22" fillId="0" borderId="1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171" fontId="18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2" fillId="0" borderId="0" xfId="0" applyFont="1" applyAlignment="1"/>
    <xf numFmtId="0" fontId="20" fillId="0" borderId="1" xfId="0" applyFont="1" applyBorder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0" fontId="20" fillId="0" borderId="1" xfId="0" applyFont="1" applyBorder="1" applyAlignment="1">
      <alignment horizontal="center" vertical="center" wrapText="1"/>
    </xf>
    <xf numFmtId="173" fontId="19" fillId="0" borderId="0" xfId="0" applyNumberFormat="1" applyFont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textRotation="90" wrapText="1"/>
    </xf>
    <xf numFmtId="0" fontId="17" fillId="0" borderId="29" xfId="0" applyFont="1" applyBorder="1" applyAlignment="1">
      <alignment horizontal="center" vertical="center" textRotation="90" wrapText="1"/>
    </xf>
    <xf numFmtId="0" fontId="26" fillId="0" borderId="14" xfId="0" applyFont="1" applyBorder="1" applyAlignment="1">
      <alignment vertical="center" textRotation="90" wrapText="1"/>
    </xf>
    <xf numFmtId="0" fontId="17" fillId="0" borderId="14" xfId="0" applyFont="1" applyBorder="1" applyAlignment="1">
      <alignment horizontal="center" vertical="center" textRotation="90" wrapText="1"/>
    </xf>
    <xf numFmtId="0" fontId="23" fillId="0" borderId="9" xfId="0" applyFont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168" fontId="23" fillId="3" borderId="34" xfId="0" applyNumberFormat="1" applyFont="1" applyFill="1" applyBorder="1" applyAlignment="1">
      <alignment horizontal="center" vertical="center" wrapText="1"/>
    </xf>
    <xf numFmtId="168" fontId="23" fillId="0" borderId="14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7" xfId="0" applyFont="1" applyBorder="1" applyAlignment="1">
      <alignment horizontal="center" vertical="center" textRotation="90" wrapText="1"/>
    </xf>
    <xf numFmtId="0" fontId="23" fillId="0" borderId="29" xfId="0" applyFont="1" applyBorder="1" applyAlignment="1">
      <alignment horizontal="center" vertical="center" textRotation="90" wrapText="1"/>
    </xf>
    <xf numFmtId="0" fontId="23" fillId="0" borderId="14" xfId="0" applyFont="1" applyBorder="1" applyAlignment="1">
      <alignment vertical="center" textRotation="90" wrapText="1"/>
    </xf>
    <xf numFmtId="0" fontId="23" fillId="0" borderId="8" xfId="0" applyFont="1" applyBorder="1" applyAlignment="1">
      <alignment horizontal="center" vertical="center" textRotation="90" wrapText="1"/>
    </xf>
    <xf numFmtId="0" fontId="23" fillId="0" borderId="14" xfId="0" applyFont="1" applyBorder="1" applyAlignment="1">
      <alignment horizontal="center" vertical="center" textRotation="90" wrapText="1"/>
    </xf>
    <xf numFmtId="49" fontId="23" fillId="0" borderId="7" xfId="0" applyNumberFormat="1" applyFont="1" applyBorder="1" applyAlignment="1">
      <alignment horizontal="center" vertical="center" wrapText="1"/>
    </xf>
    <xf numFmtId="0" fontId="23" fillId="0" borderId="14" xfId="0" applyNumberFormat="1" applyFont="1" applyBorder="1" applyAlignment="1">
      <alignment horizontal="center" vertical="center" wrapText="1"/>
    </xf>
    <xf numFmtId="0" fontId="23" fillId="0" borderId="7" xfId="0" applyNumberFormat="1" applyFont="1" applyBorder="1" applyAlignment="1">
      <alignment horizontal="center" textRotation="255" wrapText="1"/>
    </xf>
    <xf numFmtId="0" fontId="23" fillId="0" borderId="7" xfId="0" applyNumberFormat="1" applyFont="1" applyBorder="1" applyAlignment="1">
      <alignment vertical="center" wrapText="1"/>
    </xf>
    <xf numFmtId="49" fontId="23" fillId="0" borderId="29" xfId="0" applyNumberFormat="1" applyFont="1" applyBorder="1" applyAlignment="1">
      <alignment vertical="center" wrapText="1"/>
    </xf>
    <xf numFmtId="49" fontId="23" fillId="0" borderId="14" xfId="0" applyNumberFormat="1" applyFont="1" applyBorder="1" applyAlignment="1">
      <alignment vertical="center" wrapText="1"/>
    </xf>
    <xf numFmtId="49" fontId="23" fillId="0" borderId="8" xfId="0" applyNumberFormat="1" applyFont="1" applyBorder="1" applyAlignment="1">
      <alignment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 shrinkToFit="1"/>
    </xf>
    <xf numFmtId="20" fontId="23" fillId="3" borderId="36" xfId="0" applyNumberFormat="1" applyFont="1" applyFill="1" applyBorder="1" applyAlignment="1">
      <alignment horizontal="center" vertical="center" wrapText="1" shrinkToFit="1"/>
    </xf>
    <xf numFmtId="0" fontId="27" fillId="0" borderId="4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 shrinkToFit="1"/>
    </xf>
    <xf numFmtId="0" fontId="27" fillId="0" borderId="25" xfId="0" applyFont="1" applyBorder="1" applyAlignment="1">
      <alignment vertical="center" wrapText="1"/>
    </xf>
    <xf numFmtId="49" fontId="27" fillId="0" borderId="11" xfId="0" applyNumberFormat="1" applyFont="1" applyBorder="1" applyAlignment="1">
      <alignment horizontal="center" vertical="center" wrapText="1" shrinkToFit="1"/>
    </xf>
    <xf numFmtId="0" fontId="23" fillId="0" borderId="37" xfId="0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 shrinkToFit="1"/>
    </xf>
    <xf numFmtId="0" fontId="27" fillId="0" borderId="35" xfId="0" applyFont="1" applyBorder="1" applyAlignment="1">
      <alignment vertical="center" wrapText="1"/>
    </xf>
    <xf numFmtId="49" fontId="27" fillId="0" borderId="16" xfId="0" applyNumberFormat="1" applyFont="1" applyBorder="1" applyAlignment="1">
      <alignment horizontal="center" vertical="center" wrapText="1" shrinkToFit="1"/>
    </xf>
    <xf numFmtId="20" fontId="27" fillId="0" borderId="4" xfId="0" applyNumberFormat="1" applyFont="1" applyBorder="1" applyAlignment="1">
      <alignment vertical="center" wrapText="1" shrinkToFit="1"/>
    </xf>
    <xf numFmtId="20" fontId="27" fillId="0" borderId="11" xfId="0" applyNumberFormat="1" applyFont="1" applyBorder="1" applyAlignment="1">
      <alignment vertical="center" wrapText="1" shrinkToFit="1"/>
    </xf>
    <xf numFmtId="0" fontId="27" fillId="0" borderId="11" xfId="0" applyFont="1" applyBorder="1" applyAlignment="1">
      <alignment horizontal="center" vertical="center" wrapText="1"/>
    </xf>
    <xf numFmtId="20" fontId="27" fillId="0" borderId="15" xfId="0" applyNumberFormat="1" applyFont="1" applyBorder="1" applyAlignment="1">
      <alignment vertical="center" wrapText="1" shrinkToFit="1"/>
    </xf>
    <xf numFmtId="0" fontId="27" fillId="0" borderId="16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 shrinkToFit="1"/>
    </xf>
    <xf numFmtId="0" fontId="27" fillId="0" borderId="0" xfId="0" applyFont="1" applyAlignment="1">
      <alignment vertical="center" wrapText="1"/>
    </xf>
    <xf numFmtId="20" fontId="27" fillId="0" borderId="9" xfId="0" applyNumberFormat="1" applyFont="1" applyBorder="1" applyAlignment="1">
      <alignment vertical="center" wrapText="1" shrinkToFit="1"/>
    </xf>
    <xf numFmtId="0" fontId="17" fillId="0" borderId="5" xfId="0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166" fontId="23" fillId="0" borderId="34" xfId="0" applyNumberFormat="1" applyFont="1" applyBorder="1" applyAlignment="1">
      <alignment horizontal="center" vertical="center" wrapText="1"/>
    </xf>
    <xf numFmtId="166" fontId="19" fillId="0" borderId="33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/>
    <xf numFmtId="0" fontId="0" fillId="0" borderId="0" xfId="0"/>
    <xf numFmtId="0" fontId="30" fillId="0" borderId="0" xfId="0" applyFont="1"/>
    <xf numFmtId="0" fontId="30" fillId="0" borderId="0" xfId="0" applyFont="1" applyAlignment="1">
      <alignment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right" vertical="center" wrapText="1"/>
    </xf>
    <xf numFmtId="0" fontId="30" fillId="0" borderId="38" xfId="0" applyFont="1" applyBorder="1" applyAlignment="1">
      <alignment vertical="center" wrapText="1"/>
    </xf>
    <xf numFmtId="0" fontId="31" fillId="5" borderId="38" xfId="0" applyFont="1" applyFill="1" applyBorder="1" applyAlignment="1">
      <alignment horizontal="right" vertical="center" wrapText="1"/>
    </xf>
    <xf numFmtId="0" fontId="31" fillId="5" borderId="38" xfId="0" applyFont="1" applyFill="1" applyBorder="1" applyAlignment="1">
      <alignment vertical="center" wrapText="1"/>
    </xf>
    <xf numFmtId="0" fontId="32" fillId="6" borderId="38" xfId="0" applyFont="1" applyFill="1" applyBorder="1" applyAlignment="1">
      <alignment horizontal="right" vertical="center" wrapText="1"/>
    </xf>
    <xf numFmtId="0" fontId="32" fillId="6" borderId="38" xfId="0" applyFont="1" applyFill="1" applyBorder="1" applyAlignment="1">
      <alignment vertical="center" wrapText="1"/>
    </xf>
    <xf numFmtId="0" fontId="32" fillId="6" borderId="39" xfId="0" applyFont="1" applyFill="1" applyBorder="1" applyAlignment="1">
      <alignment horizontal="right" vertical="center" wrapText="1"/>
    </xf>
    <xf numFmtId="0" fontId="32" fillId="6" borderId="39" xfId="0" applyFont="1" applyFill="1" applyBorder="1" applyAlignment="1">
      <alignment vertical="center" wrapText="1"/>
    </xf>
    <xf numFmtId="0" fontId="33" fillId="2" borderId="0" xfId="1" applyFont="1" applyAlignment="1">
      <alignment horizontal="right" vertical="center" wrapText="1"/>
    </xf>
    <xf numFmtId="0" fontId="33" fillId="2" borderId="0" xfId="1" applyFont="1" applyAlignment="1">
      <alignment vertical="center" wrapText="1"/>
    </xf>
    <xf numFmtId="0" fontId="34" fillId="0" borderId="1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74" fontId="0" fillId="0" borderId="0" xfId="0" applyNumberForma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20" fontId="27" fillId="0" borderId="2" xfId="0" applyNumberFormat="1" applyFont="1" applyBorder="1" applyAlignment="1">
      <alignment vertical="center" wrapText="1" shrinkToFit="1"/>
    </xf>
    <xf numFmtId="1" fontId="27" fillId="0" borderId="4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5" fillId="0" borderId="28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18" fillId="0" borderId="27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" fillId="0" borderId="0" xfId="0" applyFont="1" applyAlignment="1"/>
    <xf numFmtId="0" fontId="1" fillId="0" borderId="1" xfId="0" applyFont="1" applyBorder="1" applyAlignment="1"/>
    <xf numFmtId="0" fontId="35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24" fillId="0" borderId="1" xfId="0" applyNumberFormat="1" applyFont="1" applyBorder="1" applyAlignment="1">
      <alignment horizontal="right" vertical="center"/>
    </xf>
    <xf numFmtId="0" fontId="36" fillId="7" borderId="0" xfId="0" applyFont="1" applyFill="1"/>
    <xf numFmtId="0" fontId="0" fillId="7" borderId="0" xfId="0" applyFill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7" fontId="1" fillId="0" borderId="1" xfId="0" applyNumberFormat="1" applyFont="1" applyBorder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 shrinkToFit="1"/>
    </xf>
    <xf numFmtId="0" fontId="18" fillId="0" borderId="11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4" xfId="0" applyNumberFormat="1" applyFont="1" applyBorder="1" applyAlignment="1">
      <alignment horizontal="center" vertical="center" wrapText="1" shrinkToFit="1"/>
    </xf>
    <xf numFmtId="0" fontId="17" fillId="0" borderId="11" xfId="0" applyNumberFormat="1" applyFont="1" applyBorder="1" applyAlignment="1">
      <alignment horizontal="center" vertical="center" wrapText="1" shrinkToFit="1"/>
    </xf>
    <xf numFmtId="49" fontId="17" fillId="0" borderId="4" xfId="0" applyNumberFormat="1" applyFont="1" applyBorder="1" applyAlignment="1">
      <alignment horizontal="center" vertical="center" wrapText="1" shrinkToFit="1"/>
    </xf>
    <xf numFmtId="49" fontId="17" fillId="0" borderId="11" xfId="0" applyNumberFormat="1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166" fontId="22" fillId="0" borderId="4" xfId="0" applyNumberFormat="1" applyFont="1" applyBorder="1" applyAlignment="1">
      <alignment horizontal="center" vertical="center" wrapText="1" shrinkToFit="1"/>
    </xf>
    <xf numFmtId="166" fontId="22" fillId="0" borderId="11" xfId="0" applyNumberFormat="1" applyFont="1" applyBorder="1" applyAlignment="1">
      <alignment horizontal="center" vertical="center" wrapText="1" shrinkToFit="1"/>
    </xf>
    <xf numFmtId="0" fontId="22" fillId="0" borderId="16" xfId="0" applyFont="1" applyBorder="1" applyAlignment="1">
      <alignment horizontal="center" vertical="center" wrapText="1" shrinkToFit="1"/>
    </xf>
    <xf numFmtId="166" fontId="22" fillId="0" borderId="16" xfId="0" applyNumberFormat="1" applyFont="1" applyBorder="1" applyAlignment="1">
      <alignment horizontal="center" vertical="center" wrapText="1" shrinkToFit="1"/>
    </xf>
    <xf numFmtId="20" fontId="27" fillId="0" borderId="4" xfId="0" applyNumberFormat="1" applyFont="1" applyBorder="1" applyAlignment="1">
      <alignment horizontal="center" vertical="center" wrapText="1" shrinkToFit="1"/>
    </xf>
    <xf numFmtId="20" fontId="27" fillId="0" borderId="11" xfId="0" applyNumberFormat="1" applyFont="1" applyBorder="1" applyAlignment="1">
      <alignment horizontal="center" vertical="center" wrapText="1" shrinkToFit="1"/>
    </xf>
    <xf numFmtId="166" fontId="22" fillId="0" borderId="2" xfId="0" applyNumberFormat="1" applyFont="1" applyBorder="1" applyAlignment="1">
      <alignment horizontal="center" vertical="center" wrapText="1" shrinkToFit="1"/>
    </xf>
    <xf numFmtId="166" fontId="22" fillId="0" borderId="9" xfId="0" applyNumberFormat="1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15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3" borderId="16" xfId="0" applyFont="1" applyFill="1" applyBorder="1" applyAlignment="1">
      <alignment horizontal="center" vertical="center" textRotation="90" wrapText="1"/>
    </xf>
    <xf numFmtId="0" fontId="17" fillId="3" borderId="11" xfId="0" applyFont="1" applyFill="1" applyBorder="1" applyAlignment="1">
      <alignment horizontal="center" vertical="center" textRotation="90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49" fontId="23" fillId="0" borderId="7" xfId="0" applyNumberFormat="1" applyFont="1" applyBorder="1" applyAlignment="1">
      <alignment horizontal="center" vertical="center" wrapText="1"/>
    </xf>
    <xf numFmtId="49" fontId="23" fillId="0" borderId="29" xfId="0" applyNumberFormat="1" applyFont="1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center" wrapText="1"/>
    </xf>
    <xf numFmtId="0" fontId="23" fillId="0" borderId="7" xfId="0" applyNumberFormat="1" applyFont="1" applyBorder="1" applyAlignment="1">
      <alignment horizontal="center" vertical="center" wrapText="1"/>
    </xf>
    <xf numFmtId="49" fontId="23" fillId="0" borderId="35" xfId="0" applyNumberFormat="1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textRotation="90" wrapText="1"/>
    </xf>
    <xf numFmtId="0" fontId="19" fillId="0" borderId="16" xfId="0" applyFont="1" applyBorder="1" applyAlignment="1">
      <alignment horizontal="center" vertical="center" textRotation="90" wrapText="1"/>
    </xf>
    <xf numFmtId="0" fontId="19" fillId="0" borderId="11" xfId="0" applyFont="1" applyBorder="1" applyAlignment="1">
      <alignment horizontal="center" vertical="center" textRotation="90" wrapText="1"/>
    </xf>
    <xf numFmtId="0" fontId="19" fillId="3" borderId="4" xfId="0" applyFont="1" applyFill="1" applyBorder="1" applyAlignment="1">
      <alignment horizontal="center" vertical="center" textRotation="90" wrapText="1"/>
    </xf>
    <xf numFmtId="0" fontId="19" fillId="3" borderId="16" xfId="0" applyFont="1" applyFill="1" applyBorder="1" applyAlignment="1">
      <alignment horizontal="center" vertical="center" textRotation="90" wrapText="1"/>
    </xf>
    <xf numFmtId="0" fontId="19" fillId="3" borderId="11" xfId="0" applyFont="1" applyFill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textRotation="90" wrapText="1"/>
    </xf>
    <xf numFmtId="0" fontId="17" fillId="0" borderId="31" xfId="0" applyFont="1" applyBorder="1" applyAlignment="1">
      <alignment horizontal="center" vertical="center" textRotation="90" wrapText="1"/>
    </xf>
    <xf numFmtId="0" fontId="17" fillId="0" borderId="33" xfId="0" applyFont="1" applyBorder="1" applyAlignment="1">
      <alignment horizontal="center" vertical="center" textRotation="90" wrapText="1"/>
    </xf>
    <xf numFmtId="172" fontId="21" fillId="0" borderId="1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15" xfId="0" applyFont="1" applyBorder="1" applyAlignment="1">
      <alignment horizontal="center" vertical="center" textRotation="90" wrapText="1"/>
    </xf>
    <xf numFmtId="0" fontId="19" fillId="0" borderId="9" xfId="0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/>
    </xf>
  </cellXfs>
  <cellStyles count="2">
    <cellStyle name="Акцент6" xfId="1" builtinId="49"/>
    <cellStyle name="Обычный" xfId="0" builtinId="0"/>
  </cellStyles>
  <dxfs count="1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O108"/>
  <sheetViews>
    <sheetView showGridLines="0" tabSelected="1" zoomScale="75" zoomScaleNormal="75" workbookViewId="0">
      <pane xSplit="3" ySplit="21" topLeftCell="D37" activePane="bottomRight" state="frozen"/>
      <selection pane="topRight" activeCell="D1" sqref="D1"/>
      <selection pane="bottomLeft" activeCell="A22" sqref="A22"/>
      <selection pane="bottomRight" sqref="A1:AL1048576"/>
    </sheetView>
  </sheetViews>
  <sheetFormatPr defaultRowHeight="15" outlineLevelRow="1" x14ac:dyDescent="0.25"/>
  <cols>
    <col min="1" max="1" width="3.42578125" customWidth="1"/>
    <col min="2" max="2" width="30.140625" customWidth="1"/>
    <col min="3" max="3" width="5.140625" customWidth="1"/>
    <col min="4" max="34" width="6.140625" customWidth="1"/>
    <col min="35" max="35" width="7.42578125" customWidth="1"/>
    <col min="36" max="38" width="7.5703125" customWidth="1"/>
    <col min="39" max="40" width="13" customWidth="1"/>
    <col min="41" max="41" width="10.42578125" bestFit="1" customWidth="1"/>
  </cols>
  <sheetData>
    <row r="1" spans="1:41" ht="18.75" hidden="1" outlineLevel="1" x14ac:dyDescent="0.3">
      <c r="A1" s="1"/>
      <c r="B1" s="1"/>
      <c r="C1" s="1"/>
      <c r="D1" s="1"/>
      <c r="E1" s="1"/>
      <c r="AM1" s="211" t="s">
        <v>0</v>
      </c>
      <c r="AN1" s="211"/>
    </row>
    <row r="2" spans="1:41" ht="18.75" hidden="1" outlineLevel="1" x14ac:dyDescent="0.3">
      <c r="A2" s="2"/>
      <c r="C2" s="3"/>
      <c r="D2" s="3"/>
      <c r="E2" s="3"/>
      <c r="F2" s="3"/>
      <c r="G2" s="3"/>
      <c r="H2" s="3"/>
      <c r="I2" s="3"/>
      <c r="AM2" s="212">
        <f ca="1">TODAY()</f>
        <v>44139</v>
      </c>
      <c r="AN2" s="212"/>
    </row>
    <row r="3" spans="1:41" ht="18.75" hidden="1" outlineLevel="1" x14ac:dyDescent="0.3">
      <c r="A3" s="4"/>
      <c r="C3" s="1"/>
      <c r="D3" s="1"/>
      <c r="E3" s="1"/>
      <c r="AM3" s="211" t="str">
        <f ca="1">TEXT(AM2,"ДДДД")</f>
        <v>среда</v>
      </c>
      <c r="AN3" s="211"/>
    </row>
    <row r="4" spans="1:41" ht="18.75" hidden="1" outlineLevel="1" x14ac:dyDescent="0.3">
      <c r="A4" s="4"/>
      <c r="C4" s="1"/>
      <c r="D4" s="1"/>
      <c r="E4" s="1"/>
      <c r="AM4" s="211" t="str">
        <f ca="1">WEEKNUM(AM2,2)&amp;"-ая неделя"</f>
        <v>45-ая неделя</v>
      </c>
      <c r="AN4" s="211"/>
    </row>
    <row r="5" spans="1:41" ht="18.75" hidden="1" outlineLevel="1" x14ac:dyDescent="0.3">
      <c r="C5" s="1"/>
      <c r="D5" s="1"/>
      <c r="E5" s="1"/>
    </row>
    <row r="6" spans="1:41" hidden="1" outlineLevel="1" x14ac:dyDescent="0.25"/>
    <row r="7" spans="1:41" hidden="1" outlineLevel="1" x14ac:dyDescent="0.25">
      <c r="AH7" s="5"/>
      <c r="AM7" s="6" t="s">
        <v>1</v>
      </c>
      <c r="AN7" s="6"/>
      <c r="AO7" s="177">
        <f>VLOOKUP(AJ17,'Нормы раб.времени'!A6:H24,3,0)</f>
        <v>30</v>
      </c>
    </row>
    <row r="8" spans="1:41" ht="18.75" hidden="1" outlineLevel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AH8" s="5"/>
      <c r="AM8" s="6" t="s">
        <v>2</v>
      </c>
      <c r="AO8" s="177">
        <f>VLOOKUP(AJ17,'Нормы раб.времени'!A6:H24,2,0)</f>
        <v>9</v>
      </c>
    </row>
    <row r="9" spans="1:41" hidden="1" outlineLevel="1" x14ac:dyDescent="0.25">
      <c r="AM9" s="6" t="s">
        <v>3</v>
      </c>
      <c r="AO9" s="177">
        <f>YEAR(A17)</f>
        <v>2020</v>
      </c>
    </row>
    <row r="10" spans="1:41" ht="15.75" hidden="1" outlineLevel="1" x14ac:dyDescent="0.25">
      <c r="A10" s="8"/>
      <c r="AE10" s="176" t="s">
        <v>4</v>
      </c>
      <c r="AF10" s="176"/>
      <c r="AG10" s="176"/>
      <c r="AH10" s="176"/>
      <c r="AM10" s="6"/>
      <c r="AO10" s="177"/>
    </row>
    <row r="11" spans="1:41" ht="15.75" hidden="1" outlineLevel="1" x14ac:dyDescent="0.25">
      <c r="A11" s="8"/>
      <c r="AE11" s="9" t="s">
        <v>5</v>
      </c>
      <c r="AM11" t="s">
        <v>6</v>
      </c>
      <c r="AO11" s="178">
        <v>4.1666666666666664E-2</v>
      </c>
    </row>
    <row r="12" spans="1:41" ht="15.75" hidden="1" outlineLevel="1" x14ac:dyDescent="0.25">
      <c r="A12" s="8"/>
      <c r="AE12" s="10" t="s">
        <v>7</v>
      </c>
      <c r="AF12" s="10"/>
      <c r="AG12" s="10"/>
      <c r="AH12" s="10"/>
      <c r="AI12" s="10"/>
      <c r="AJ12" s="10"/>
      <c r="AK12" s="11"/>
      <c r="AM12" s="12"/>
      <c r="AO12" s="168" t="s">
        <v>8</v>
      </c>
    </row>
    <row r="13" spans="1:41" ht="15.75" hidden="1" outlineLevel="1" x14ac:dyDescent="0.25">
      <c r="A13" s="13"/>
      <c r="AE13" s="14"/>
      <c r="AF13" s="15"/>
      <c r="AG13" s="16"/>
      <c r="AH13" s="16"/>
      <c r="AI13" s="16"/>
    </row>
    <row r="14" spans="1:41" hidden="1" outlineLevel="1" x14ac:dyDescent="0.25"/>
    <row r="15" spans="1:41" ht="15.75" collapsed="1" x14ac:dyDescent="0.25">
      <c r="A15" s="183"/>
      <c r="B15" s="183"/>
      <c r="C15" s="183"/>
      <c r="D15" s="183"/>
      <c r="E15" s="183"/>
      <c r="F15" s="183"/>
      <c r="G15" s="183"/>
      <c r="H15" s="183"/>
      <c r="I15" s="183"/>
      <c r="J15" s="184"/>
      <c r="K15" s="184"/>
      <c r="L15" s="184"/>
      <c r="M15" s="184"/>
      <c r="N15" s="184"/>
      <c r="O15" s="187" t="s">
        <v>9</v>
      </c>
      <c r="P15" s="185"/>
      <c r="Q15" s="185"/>
      <c r="R15" s="184"/>
      <c r="S15" s="184"/>
      <c r="T15" s="184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</row>
    <row r="16" spans="1:41" x14ac:dyDescent="0.25">
      <c r="A16" s="183"/>
      <c r="B16" s="183"/>
      <c r="C16" s="183"/>
      <c r="D16" s="183"/>
      <c r="E16" s="183"/>
      <c r="F16" s="183"/>
      <c r="G16" s="183"/>
      <c r="H16" s="183"/>
      <c r="I16" s="184"/>
      <c r="J16" s="184"/>
      <c r="K16" s="184"/>
      <c r="L16" s="184"/>
      <c r="M16" s="184"/>
      <c r="N16" s="184"/>
      <c r="O16" s="186" t="s">
        <v>10</v>
      </c>
      <c r="P16" s="184"/>
      <c r="Q16" s="184"/>
      <c r="R16" s="184"/>
      <c r="S16" s="184"/>
      <c r="T16" s="184"/>
      <c r="U16" s="184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</row>
    <row r="17" spans="1:38" x14ac:dyDescent="0.25">
      <c r="A17" s="213">
        <v>44075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4" t="s">
        <v>11</v>
      </c>
      <c r="AK17" s="214"/>
      <c r="AL17" s="214"/>
    </row>
    <row r="18" spans="1:38" ht="15.75" thickBot="1" x14ac:dyDescent="0.3"/>
    <row r="19" spans="1:38" ht="15.75" thickBot="1" x14ac:dyDescent="0.3">
      <c r="A19" s="17" t="s">
        <v>12</v>
      </c>
      <c r="B19" s="18" t="s">
        <v>13</v>
      </c>
      <c r="C19" s="19"/>
      <c r="D19" s="215">
        <f>IF(1&lt;=$AO$7,1,"-")</f>
        <v>1</v>
      </c>
      <c r="E19" s="217">
        <f>IF(2&lt;=$AO$7,2,"-")</f>
        <v>2</v>
      </c>
      <c r="F19" s="207">
        <f>IF(3&lt;=$AO$7,3,"-")</f>
        <v>3</v>
      </c>
      <c r="G19" s="205">
        <f>IF(4&lt;=$AO$7,4,"-")</f>
        <v>4</v>
      </c>
      <c r="H19" s="205">
        <f>IF(5&lt;=$AO$7,5,"-")</f>
        <v>5</v>
      </c>
      <c r="I19" s="205">
        <f>IF(6&lt;=$AO$7,6,"-")</f>
        <v>6</v>
      </c>
      <c r="J19" s="207">
        <f>IF(7&lt;=$AO$7,7,"-")</f>
        <v>7</v>
      </c>
      <c r="K19" s="205">
        <f>IF(8&lt;=$AO$7,8,"-")</f>
        <v>8</v>
      </c>
      <c r="L19" s="205">
        <f>IF(9&lt;=$AO$7,9,"-")</f>
        <v>9</v>
      </c>
      <c r="M19" s="205">
        <f>IF(10&lt;=$AO$7,10,"-")</f>
        <v>10</v>
      </c>
      <c r="N19" s="205">
        <f>IF(11&lt;=$AO$7,11,"-")</f>
        <v>11</v>
      </c>
      <c r="O19" s="205">
        <f>IF(12&lt;=$AO$7,12,"-")</f>
        <v>12</v>
      </c>
      <c r="P19" s="205">
        <f>IF(13&lt;=$AO$7,13,"-")</f>
        <v>13</v>
      </c>
      <c r="Q19" s="205">
        <f>IF(14&lt;=$AO$7,14,"-")</f>
        <v>14</v>
      </c>
      <c r="R19" s="205">
        <f>IF(15&lt;=$AO$7,15,"-")</f>
        <v>15</v>
      </c>
      <c r="S19" s="205">
        <f>IF(16&lt;=$AO$7,16,"-")</f>
        <v>16</v>
      </c>
      <c r="T19" s="205">
        <f>IF(17&lt;=$AO$7,17,"-")</f>
        <v>17</v>
      </c>
      <c r="U19" s="205">
        <f>IF(18&lt;=$AO$7,18,"-")</f>
        <v>18</v>
      </c>
      <c r="V19" s="205">
        <f>IF(19&lt;=$AO$7,19,"-")</f>
        <v>19</v>
      </c>
      <c r="W19" s="205">
        <f>IF(20&lt;=$AO$7,20,"-")</f>
        <v>20</v>
      </c>
      <c r="X19" s="205">
        <f>IF(21&lt;=$AO$7,21,"-")</f>
        <v>21</v>
      </c>
      <c r="Y19" s="207">
        <f>IF(22&lt;=$AO$7,22,"-")</f>
        <v>22</v>
      </c>
      <c r="Z19" s="205">
        <f>IF(23&lt;=$AO$7,23,"-")</f>
        <v>23</v>
      </c>
      <c r="AA19" s="205">
        <f>IF(24&lt;=$AO$7,24,"-")</f>
        <v>24</v>
      </c>
      <c r="AB19" s="207">
        <f>IF(25&lt;=$AO$7,25,"-")</f>
        <v>25</v>
      </c>
      <c r="AC19" s="205">
        <f>IF(26&lt;=$AO$7,26,"-")</f>
        <v>26</v>
      </c>
      <c r="AD19" s="205">
        <f>IF(27&lt;=$AO$7,27,"-")</f>
        <v>27</v>
      </c>
      <c r="AE19" s="207">
        <f>IF(28&lt;=$AO$7,28,"-")</f>
        <v>28</v>
      </c>
      <c r="AF19" s="207">
        <f>IF(29&lt;=$AO$7,29,"-")</f>
        <v>29</v>
      </c>
      <c r="AG19" s="205">
        <f>IF(30&lt;=$AO$7,30,"-")</f>
        <v>30</v>
      </c>
      <c r="AH19" s="209" t="str">
        <f>IF(31&lt;=$AO$7,31,"-")</f>
        <v>-</v>
      </c>
      <c r="AI19" s="197" t="s">
        <v>14</v>
      </c>
      <c r="AJ19" s="198"/>
      <c r="AK19" s="199" t="s">
        <v>15</v>
      </c>
      <c r="AL19" s="200"/>
    </row>
    <row r="20" spans="1:38" ht="29.25" thickBot="1" x14ac:dyDescent="0.3">
      <c r="A20" s="20"/>
      <c r="B20" s="21" t="s">
        <v>16</v>
      </c>
      <c r="C20" s="22" t="s">
        <v>17</v>
      </c>
      <c r="D20" s="216"/>
      <c r="E20" s="218"/>
      <c r="F20" s="208"/>
      <c r="G20" s="206"/>
      <c r="H20" s="206"/>
      <c r="I20" s="206"/>
      <c r="J20" s="20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8"/>
      <c r="Z20" s="206"/>
      <c r="AA20" s="206"/>
      <c r="AB20" s="208"/>
      <c r="AC20" s="206"/>
      <c r="AD20" s="206"/>
      <c r="AE20" s="208"/>
      <c r="AF20" s="208"/>
      <c r="AG20" s="206"/>
      <c r="AH20" s="210"/>
      <c r="AI20" s="23" t="s">
        <v>18</v>
      </c>
      <c r="AJ20" s="24" t="s">
        <v>19</v>
      </c>
      <c r="AK20" s="25" t="s">
        <v>20</v>
      </c>
      <c r="AL20" s="26" t="s">
        <v>19</v>
      </c>
    </row>
    <row r="21" spans="1:38" ht="15.75" thickBot="1" x14ac:dyDescent="0.3">
      <c r="A21" s="27"/>
      <c r="B21" s="28"/>
      <c r="C21" s="29"/>
      <c r="D21" s="30">
        <f t="shared" ref="D21:AH21" si="0">IFERROR($A$17+D19-1,"-")</f>
        <v>44075</v>
      </c>
      <c r="E21" s="30">
        <f t="shared" si="0"/>
        <v>44076</v>
      </c>
      <c r="F21" s="30">
        <f t="shared" si="0"/>
        <v>44077</v>
      </c>
      <c r="G21" s="30">
        <f t="shared" si="0"/>
        <v>44078</v>
      </c>
      <c r="H21" s="30">
        <f t="shared" si="0"/>
        <v>44079</v>
      </c>
      <c r="I21" s="30">
        <f t="shared" si="0"/>
        <v>44080</v>
      </c>
      <c r="J21" s="30">
        <f t="shared" si="0"/>
        <v>44081</v>
      </c>
      <c r="K21" s="30">
        <f t="shared" si="0"/>
        <v>44082</v>
      </c>
      <c r="L21" s="30">
        <f t="shared" si="0"/>
        <v>44083</v>
      </c>
      <c r="M21" s="30">
        <f t="shared" si="0"/>
        <v>44084</v>
      </c>
      <c r="N21" s="30">
        <f t="shared" si="0"/>
        <v>44085</v>
      </c>
      <c r="O21" s="30">
        <f t="shared" si="0"/>
        <v>44086</v>
      </c>
      <c r="P21" s="30">
        <f t="shared" si="0"/>
        <v>44087</v>
      </c>
      <c r="Q21" s="30">
        <f t="shared" si="0"/>
        <v>44088</v>
      </c>
      <c r="R21" s="30">
        <f t="shared" si="0"/>
        <v>44089</v>
      </c>
      <c r="S21" s="30">
        <f t="shared" si="0"/>
        <v>44090</v>
      </c>
      <c r="T21" s="30">
        <f t="shared" si="0"/>
        <v>44091</v>
      </c>
      <c r="U21" s="30">
        <f t="shared" si="0"/>
        <v>44092</v>
      </c>
      <c r="V21" s="30">
        <f t="shared" si="0"/>
        <v>44093</v>
      </c>
      <c r="W21" s="30">
        <f t="shared" si="0"/>
        <v>44094</v>
      </c>
      <c r="X21" s="30">
        <f t="shared" si="0"/>
        <v>44095</v>
      </c>
      <c r="Y21" s="30">
        <f t="shared" si="0"/>
        <v>44096</v>
      </c>
      <c r="Z21" s="30">
        <f t="shared" si="0"/>
        <v>44097</v>
      </c>
      <c r="AA21" s="30">
        <f t="shared" si="0"/>
        <v>44098</v>
      </c>
      <c r="AB21" s="30">
        <f t="shared" si="0"/>
        <v>44099</v>
      </c>
      <c r="AC21" s="30">
        <f t="shared" si="0"/>
        <v>44100</v>
      </c>
      <c r="AD21" s="30">
        <f t="shared" si="0"/>
        <v>44101</v>
      </c>
      <c r="AE21" s="30">
        <f t="shared" si="0"/>
        <v>44102</v>
      </c>
      <c r="AF21" s="30">
        <f t="shared" si="0"/>
        <v>44103</v>
      </c>
      <c r="AG21" s="30">
        <f t="shared" si="0"/>
        <v>44104</v>
      </c>
      <c r="AH21" s="31" t="str">
        <f t="shared" si="0"/>
        <v>-</v>
      </c>
      <c r="AI21" s="23"/>
      <c r="AJ21" s="32"/>
      <c r="AK21" s="33"/>
      <c r="AL21" s="34"/>
    </row>
    <row r="22" spans="1:38" ht="15.75" thickBot="1" x14ac:dyDescent="0.3">
      <c r="A22" s="35">
        <f>IF(B22&lt;&gt;"",1,"")</f>
        <v>1</v>
      </c>
      <c r="B22" s="201" t="s">
        <v>21</v>
      </c>
      <c r="C22" s="36">
        <v>1</v>
      </c>
      <c r="D22" s="37">
        <v>0.33333333333333331</v>
      </c>
      <c r="E22" s="37">
        <v>0.33333333333333331</v>
      </c>
      <c r="F22" s="37">
        <v>0.33333333333333331</v>
      </c>
      <c r="G22" s="37">
        <v>0.33333333333333331</v>
      </c>
      <c r="H22" s="37" t="s">
        <v>8</v>
      </c>
      <c r="I22" s="37" t="s">
        <v>8</v>
      </c>
      <c r="J22" s="37">
        <v>0.33333333333333331</v>
      </c>
      <c r="K22" s="37">
        <v>0.33333333333333331</v>
      </c>
      <c r="L22" s="37">
        <v>0.33333333333333331</v>
      </c>
      <c r="M22" s="37">
        <v>0.33333333333333331</v>
      </c>
      <c r="N22" s="37">
        <v>0.33333333333333331</v>
      </c>
      <c r="O22" s="37" t="s">
        <v>8</v>
      </c>
      <c r="P22" s="37" t="s">
        <v>8</v>
      </c>
      <c r="Q22" s="37">
        <v>0.33333333333333331</v>
      </c>
      <c r="R22" s="37">
        <v>0.33333333333333331</v>
      </c>
      <c r="S22" s="37">
        <v>0.33333333333333331</v>
      </c>
      <c r="T22" s="37">
        <v>0.33333333333333331</v>
      </c>
      <c r="U22" s="37">
        <v>0.33333333333333331</v>
      </c>
      <c r="V22" s="37" t="s">
        <v>8</v>
      </c>
      <c r="W22" s="37" t="s">
        <v>8</v>
      </c>
      <c r="X22" s="37">
        <v>0.33333333333333331</v>
      </c>
      <c r="Y22" s="37">
        <v>0.33333333333333331</v>
      </c>
      <c r="Z22" s="37">
        <v>0.33333333333333331</v>
      </c>
      <c r="AA22" s="37">
        <v>0.33333333333333331</v>
      </c>
      <c r="AB22" s="37">
        <v>0.33333333333333331</v>
      </c>
      <c r="AC22" s="37" t="s">
        <v>8</v>
      </c>
      <c r="AD22" s="37" t="s">
        <v>8</v>
      </c>
      <c r="AE22" s="37">
        <v>0.33333333333333331</v>
      </c>
      <c r="AF22" s="37">
        <v>0.33333333333333331</v>
      </c>
      <c r="AG22" s="37">
        <v>0.33333333333333331</v>
      </c>
      <c r="AH22" s="37"/>
      <c r="AI22" s="38">
        <f>COUNT(D22:AH22)</f>
        <v>22</v>
      </c>
      <c r="AJ22" s="39">
        <f t="array" ref="AJ22">SUM(IFERROR(D23:AH23-D22:AH22-D24:AH24,0))</f>
        <v>7.3333333333333313</v>
      </c>
      <c r="AK22" s="40">
        <f>VLOOKUP($AJ$17,'Нормы раб.времени'!$A$6:$H$24,4,0)</f>
        <v>22</v>
      </c>
      <c r="AL22" s="41">
        <f>VLOOKUP($AJ$17,'Нормы раб.времени'!$A$6:$H$24,6,0)</f>
        <v>176</v>
      </c>
    </row>
    <row r="23" spans="1:38" ht="16.5" thickTop="1" thickBot="1" x14ac:dyDescent="0.3">
      <c r="A23" s="42"/>
      <c r="B23" s="202"/>
      <c r="C23" s="43"/>
      <c r="D23" s="44">
        <v>0.70833333333333337</v>
      </c>
      <c r="E23" s="44">
        <v>0.70833333333333337</v>
      </c>
      <c r="F23" s="44">
        <v>0.70833333333333337</v>
      </c>
      <c r="G23" s="44">
        <v>0.70833333333333337</v>
      </c>
      <c r="H23" s="44" t="s">
        <v>8</v>
      </c>
      <c r="I23" s="44" t="s">
        <v>8</v>
      </c>
      <c r="J23" s="44">
        <v>0.70833333333333337</v>
      </c>
      <c r="K23" s="44">
        <v>0.70833333333333337</v>
      </c>
      <c r="L23" s="44">
        <v>0.70833333333333337</v>
      </c>
      <c r="M23" s="44">
        <v>0.70833333333333337</v>
      </c>
      <c r="N23" s="44">
        <v>0.70833333333333337</v>
      </c>
      <c r="O23" s="44" t="s">
        <v>8</v>
      </c>
      <c r="P23" s="44" t="s">
        <v>8</v>
      </c>
      <c r="Q23" s="44">
        <v>0.70833333333333337</v>
      </c>
      <c r="R23" s="44">
        <v>0.70833333333333337</v>
      </c>
      <c r="S23" s="44">
        <v>0.70833333333333337</v>
      </c>
      <c r="T23" s="44">
        <v>0.70833333333333337</v>
      </c>
      <c r="U23" s="44">
        <v>0.70833333333333337</v>
      </c>
      <c r="V23" s="44" t="s">
        <v>8</v>
      </c>
      <c r="W23" s="44" t="s">
        <v>8</v>
      </c>
      <c r="X23" s="44">
        <v>0.70833333333333337</v>
      </c>
      <c r="Y23" s="44">
        <v>0.70833333333333337</v>
      </c>
      <c r="Z23" s="44">
        <v>0.70833333333333337</v>
      </c>
      <c r="AA23" s="44">
        <v>0.70833333333333337</v>
      </c>
      <c r="AB23" s="44">
        <v>0.70833333333333337</v>
      </c>
      <c r="AC23" s="44" t="s">
        <v>8</v>
      </c>
      <c r="AD23" s="44" t="s">
        <v>8</v>
      </c>
      <c r="AE23" s="44">
        <v>0.70833333333333337</v>
      </c>
      <c r="AF23" s="44">
        <v>0.70833333333333337</v>
      </c>
      <c r="AG23" s="44">
        <v>0.70833333333333337</v>
      </c>
      <c r="AH23" s="44"/>
      <c r="AI23" s="45"/>
      <c r="AJ23" s="46"/>
      <c r="AK23" s="33"/>
      <c r="AL23" s="47"/>
    </row>
    <row r="24" spans="1:38" ht="18" thickTop="1" thickBot="1" x14ac:dyDescent="0.3">
      <c r="A24" s="42"/>
      <c r="B24" s="202"/>
      <c r="C24" s="48" t="s">
        <v>22</v>
      </c>
      <c r="D24" s="49">
        <v>4.1666666666666664E-2</v>
      </c>
      <c r="E24" s="49">
        <v>4.1666666666666664E-2</v>
      </c>
      <c r="F24" s="49">
        <v>4.1666666666666664E-2</v>
      </c>
      <c r="G24" s="49">
        <v>4.1666666666666664E-2</v>
      </c>
      <c r="H24" s="49" t="s">
        <v>8</v>
      </c>
      <c r="I24" s="49" t="s">
        <v>8</v>
      </c>
      <c r="J24" s="49">
        <v>4.1666666666666664E-2</v>
      </c>
      <c r="K24" s="49">
        <v>4.1666666666666664E-2</v>
      </c>
      <c r="L24" s="49">
        <v>4.1666666666666664E-2</v>
      </c>
      <c r="M24" s="49">
        <v>4.1666666666666664E-2</v>
      </c>
      <c r="N24" s="49">
        <v>4.1666666666666664E-2</v>
      </c>
      <c r="O24" s="49" t="s">
        <v>8</v>
      </c>
      <c r="P24" s="49" t="s">
        <v>8</v>
      </c>
      <c r="Q24" s="49">
        <v>4.1666666666666664E-2</v>
      </c>
      <c r="R24" s="49">
        <v>4.1666666666666664E-2</v>
      </c>
      <c r="S24" s="49">
        <v>4.1666666666666664E-2</v>
      </c>
      <c r="T24" s="49">
        <v>4.1666666666666664E-2</v>
      </c>
      <c r="U24" s="49">
        <v>4.1666666666666664E-2</v>
      </c>
      <c r="V24" s="49" t="s">
        <v>8</v>
      </c>
      <c r="W24" s="49" t="s">
        <v>8</v>
      </c>
      <c r="X24" s="49">
        <v>4.1666666666666664E-2</v>
      </c>
      <c r="Y24" s="49">
        <v>4.1666666666666664E-2</v>
      </c>
      <c r="Z24" s="49">
        <v>4.1666666666666664E-2</v>
      </c>
      <c r="AA24" s="49">
        <v>4.1666666666666664E-2</v>
      </c>
      <c r="AB24" s="49">
        <v>4.1666666666666664E-2</v>
      </c>
      <c r="AC24" s="49" t="s">
        <v>8</v>
      </c>
      <c r="AD24" s="49" t="s">
        <v>8</v>
      </c>
      <c r="AE24" s="49">
        <v>4.1666666666666664E-2</v>
      </c>
      <c r="AF24" s="49">
        <v>4.1666666666666664E-2</v>
      </c>
      <c r="AG24" s="49">
        <v>4.1666666666666664E-2</v>
      </c>
      <c r="AH24" s="49"/>
      <c r="AI24" s="45"/>
      <c r="AJ24" s="50"/>
      <c r="AK24" s="33"/>
      <c r="AL24" s="33"/>
    </row>
    <row r="25" spans="1:38" ht="16.5" thickTop="1" thickBot="1" x14ac:dyDescent="0.3">
      <c r="A25" s="42"/>
      <c r="B25" s="203" t="s">
        <v>23</v>
      </c>
      <c r="C25" s="48" t="s">
        <v>24</v>
      </c>
      <c r="D25" s="51">
        <f>IFERROR(D23-D22-D24,0)</f>
        <v>0.33333333333333337</v>
      </c>
      <c r="E25" s="51">
        <f t="shared" ref="E25:AG25" si="1">IFERROR(E23-E22-E24,0)</f>
        <v>0.33333333333333337</v>
      </c>
      <c r="F25" s="51">
        <f t="shared" si="1"/>
        <v>0.33333333333333337</v>
      </c>
      <c r="G25" s="51">
        <f t="shared" si="1"/>
        <v>0.33333333333333337</v>
      </c>
      <c r="H25" s="51">
        <f t="shared" si="1"/>
        <v>0</v>
      </c>
      <c r="I25" s="51">
        <f t="shared" si="1"/>
        <v>0</v>
      </c>
      <c r="J25" s="51">
        <f t="shared" si="1"/>
        <v>0.33333333333333337</v>
      </c>
      <c r="K25" s="51">
        <f t="shared" si="1"/>
        <v>0.33333333333333337</v>
      </c>
      <c r="L25" s="51">
        <f t="shared" si="1"/>
        <v>0.33333333333333337</v>
      </c>
      <c r="M25" s="51">
        <f t="shared" si="1"/>
        <v>0.33333333333333337</v>
      </c>
      <c r="N25" s="51">
        <f t="shared" si="1"/>
        <v>0.33333333333333337</v>
      </c>
      <c r="O25" s="51">
        <f t="shared" si="1"/>
        <v>0</v>
      </c>
      <c r="P25" s="51">
        <f t="shared" si="1"/>
        <v>0</v>
      </c>
      <c r="Q25" s="51">
        <f t="shared" si="1"/>
        <v>0.33333333333333337</v>
      </c>
      <c r="R25" s="51">
        <f t="shared" si="1"/>
        <v>0.33333333333333337</v>
      </c>
      <c r="S25" s="51">
        <f t="shared" si="1"/>
        <v>0.33333333333333337</v>
      </c>
      <c r="T25" s="51">
        <f t="shared" si="1"/>
        <v>0.33333333333333337</v>
      </c>
      <c r="U25" s="51">
        <f t="shared" si="1"/>
        <v>0.33333333333333337</v>
      </c>
      <c r="V25" s="51">
        <f t="shared" si="1"/>
        <v>0</v>
      </c>
      <c r="W25" s="51">
        <f t="shared" si="1"/>
        <v>0</v>
      </c>
      <c r="X25" s="51">
        <f t="shared" si="1"/>
        <v>0.33333333333333337</v>
      </c>
      <c r="Y25" s="51">
        <f t="shared" si="1"/>
        <v>0.33333333333333337</v>
      </c>
      <c r="Z25" s="51">
        <f t="shared" si="1"/>
        <v>0.33333333333333337</v>
      </c>
      <c r="AA25" s="51">
        <f t="shared" si="1"/>
        <v>0.33333333333333337</v>
      </c>
      <c r="AB25" s="51">
        <f t="shared" si="1"/>
        <v>0.33333333333333337</v>
      </c>
      <c r="AC25" s="51">
        <f t="shared" si="1"/>
        <v>0</v>
      </c>
      <c r="AD25" s="51">
        <f t="shared" si="1"/>
        <v>0</v>
      </c>
      <c r="AE25" s="51">
        <f t="shared" si="1"/>
        <v>0.33333333333333337</v>
      </c>
      <c r="AF25" s="51">
        <f t="shared" si="1"/>
        <v>0.33333333333333337</v>
      </c>
      <c r="AG25" s="51">
        <f t="shared" si="1"/>
        <v>0.33333333333333337</v>
      </c>
      <c r="AH25" s="52">
        <f>IFERROR(AH23-AH22-AH24,0)</f>
        <v>0</v>
      </c>
      <c r="AI25" s="45"/>
      <c r="AJ25" s="39">
        <f>SUM(D25:AH25)</f>
        <v>7.3333333333333313</v>
      </c>
      <c r="AK25" s="33"/>
      <c r="AL25" s="33"/>
    </row>
    <row r="26" spans="1:38" ht="18" thickTop="1" thickBot="1" x14ac:dyDescent="0.3">
      <c r="A26" s="42"/>
      <c r="B26" s="203"/>
      <c r="C26" s="48" t="s">
        <v>25</v>
      </c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5"/>
      <c r="AI26" s="45"/>
      <c r="AJ26" s="50"/>
      <c r="AK26" s="33"/>
      <c r="AL26" s="33"/>
    </row>
    <row r="27" spans="1:38" ht="16.5" thickTop="1" thickBot="1" x14ac:dyDescent="0.3">
      <c r="A27" s="56"/>
      <c r="B27" s="204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9"/>
      <c r="AI27" s="60"/>
      <c r="AJ27" s="61"/>
      <c r="AK27" s="46"/>
      <c r="AL27" s="46"/>
    </row>
    <row r="28" spans="1:38" ht="15.75" thickBot="1" x14ac:dyDescent="0.3">
      <c r="A28" s="35">
        <f>IF(B28&lt;&gt;"",2,"")</f>
        <v>2</v>
      </c>
      <c r="B28" s="193" t="s">
        <v>26</v>
      </c>
      <c r="C28" s="36">
        <v>1</v>
      </c>
      <c r="D28" s="37">
        <v>0.33333333333333331</v>
      </c>
      <c r="E28" s="37">
        <v>0.33333333333333331</v>
      </c>
      <c r="F28" s="37">
        <v>0.33333333333333331</v>
      </c>
      <c r="G28" s="37">
        <v>0.33333333333333331</v>
      </c>
      <c r="H28" s="37" t="s">
        <v>8</v>
      </c>
      <c r="I28" s="37" t="s">
        <v>8</v>
      </c>
      <c r="J28" s="37">
        <v>0.33333333333333331</v>
      </c>
      <c r="K28" s="37">
        <v>0.33333333333333331</v>
      </c>
      <c r="L28" s="37">
        <v>0.33333333333333331</v>
      </c>
      <c r="M28" s="37">
        <v>0.33333333333333331</v>
      </c>
      <c r="N28" s="37">
        <v>0.33333333333333331</v>
      </c>
      <c r="O28" s="37" t="s">
        <v>8</v>
      </c>
      <c r="P28" s="37" t="s">
        <v>8</v>
      </c>
      <c r="Q28" s="37">
        <v>0.33333333333333331</v>
      </c>
      <c r="R28" s="37">
        <v>0.33333333333333331</v>
      </c>
      <c r="S28" s="37">
        <v>0.33333333333333331</v>
      </c>
      <c r="T28" s="37">
        <v>0.33333333333333331</v>
      </c>
      <c r="U28" s="37">
        <v>0.33333333333333331</v>
      </c>
      <c r="V28" s="37" t="s">
        <v>8</v>
      </c>
      <c r="W28" s="37" t="s">
        <v>8</v>
      </c>
      <c r="X28" s="37">
        <v>0.33333333333333331</v>
      </c>
      <c r="Y28" s="37">
        <v>0.33333333333333331</v>
      </c>
      <c r="Z28" s="37">
        <v>0.33333333333333331</v>
      </c>
      <c r="AA28" s="37">
        <v>0.33333333333333331</v>
      </c>
      <c r="AB28" s="37">
        <v>0.33333333333333331</v>
      </c>
      <c r="AC28" s="37" t="s">
        <v>8</v>
      </c>
      <c r="AD28" s="37" t="s">
        <v>8</v>
      </c>
      <c r="AE28" s="37">
        <v>0.33333333333333331</v>
      </c>
      <c r="AF28" s="37">
        <v>0.33333333333333331</v>
      </c>
      <c r="AG28" s="37">
        <v>0.33333333333333331</v>
      </c>
      <c r="AH28" s="37"/>
      <c r="AI28" s="38">
        <f>COUNT(D28:AH28)</f>
        <v>22</v>
      </c>
      <c r="AJ28" s="39">
        <f t="array" ref="AJ28">SUM(IFERROR(D29:AH29-D28:AH28-D30:AH30,0))</f>
        <v>7.3333333333333313</v>
      </c>
      <c r="AK28" s="40">
        <f>VLOOKUP($AJ$17,'Нормы раб.времени'!$A$6:$H$24,4,0)</f>
        <v>22</v>
      </c>
      <c r="AL28" s="41">
        <f>VLOOKUP($AJ$17,'Нормы раб.времени'!$A$6:$H$24,6,0)</f>
        <v>176</v>
      </c>
    </row>
    <row r="29" spans="1:38" ht="16.5" thickTop="1" thickBot="1" x14ac:dyDescent="0.3">
      <c r="A29" s="42"/>
      <c r="B29" s="194"/>
      <c r="C29" s="43"/>
      <c r="D29" s="44">
        <v>0.70833333333333337</v>
      </c>
      <c r="E29" s="44">
        <v>0.70833333333333337</v>
      </c>
      <c r="F29" s="44">
        <v>0.70833333333333337</v>
      </c>
      <c r="G29" s="44">
        <v>0.70833333333333337</v>
      </c>
      <c r="H29" s="44" t="s">
        <v>8</v>
      </c>
      <c r="I29" s="44" t="s">
        <v>8</v>
      </c>
      <c r="J29" s="44">
        <v>0.70833333333333337</v>
      </c>
      <c r="K29" s="44">
        <v>0.70833333333333337</v>
      </c>
      <c r="L29" s="44">
        <v>0.70833333333333337</v>
      </c>
      <c r="M29" s="44">
        <v>0.70833333333333337</v>
      </c>
      <c r="N29" s="44">
        <v>0.70833333333333337</v>
      </c>
      <c r="O29" s="44" t="s">
        <v>8</v>
      </c>
      <c r="P29" s="44" t="s">
        <v>8</v>
      </c>
      <c r="Q29" s="44">
        <v>0.70833333333333337</v>
      </c>
      <c r="R29" s="44">
        <v>0.70833333333333337</v>
      </c>
      <c r="S29" s="44">
        <v>0.70833333333333337</v>
      </c>
      <c r="T29" s="44">
        <v>0.70833333333333337</v>
      </c>
      <c r="U29" s="44">
        <v>0.70833333333333337</v>
      </c>
      <c r="V29" s="44" t="s">
        <v>8</v>
      </c>
      <c r="W29" s="44" t="s">
        <v>8</v>
      </c>
      <c r="X29" s="44">
        <v>0.70833333333333337</v>
      </c>
      <c r="Y29" s="44">
        <v>0.70833333333333337</v>
      </c>
      <c r="Z29" s="44">
        <v>0.70833333333333337</v>
      </c>
      <c r="AA29" s="44">
        <v>0.70833333333333337</v>
      </c>
      <c r="AB29" s="44">
        <v>0.70833333333333337</v>
      </c>
      <c r="AC29" s="44" t="s">
        <v>8</v>
      </c>
      <c r="AD29" s="44" t="s">
        <v>8</v>
      </c>
      <c r="AE29" s="44">
        <v>0.70833333333333337</v>
      </c>
      <c r="AF29" s="44">
        <v>0.70833333333333337</v>
      </c>
      <c r="AG29" s="44">
        <v>0.70833333333333337</v>
      </c>
      <c r="AH29" s="44"/>
      <c r="AI29" s="45"/>
      <c r="AJ29" s="46"/>
      <c r="AK29" s="33"/>
      <c r="AL29" s="47"/>
    </row>
    <row r="30" spans="1:38" ht="18" thickTop="1" thickBot="1" x14ac:dyDescent="0.3">
      <c r="A30" s="42"/>
      <c r="B30" s="194"/>
      <c r="C30" s="48" t="s">
        <v>22</v>
      </c>
      <c r="D30" s="49">
        <v>4.1666666666666664E-2</v>
      </c>
      <c r="E30" s="49">
        <v>4.1666666666666664E-2</v>
      </c>
      <c r="F30" s="49">
        <v>4.1666666666666664E-2</v>
      </c>
      <c r="G30" s="49">
        <v>4.1666666666666664E-2</v>
      </c>
      <c r="H30" s="49" t="s">
        <v>8</v>
      </c>
      <c r="I30" s="49" t="s">
        <v>8</v>
      </c>
      <c r="J30" s="49">
        <v>4.1666666666666664E-2</v>
      </c>
      <c r="K30" s="49">
        <v>4.1666666666666664E-2</v>
      </c>
      <c r="L30" s="49">
        <v>4.1666666666666664E-2</v>
      </c>
      <c r="M30" s="49">
        <v>4.1666666666666664E-2</v>
      </c>
      <c r="N30" s="49">
        <v>4.1666666666666664E-2</v>
      </c>
      <c r="O30" s="49" t="s">
        <v>8</v>
      </c>
      <c r="P30" s="49" t="s">
        <v>8</v>
      </c>
      <c r="Q30" s="49">
        <v>4.1666666666666664E-2</v>
      </c>
      <c r="R30" s="49">
        <v>4.1666666666666664E-2</v>
      </c>
      <c r="S30" s="49">
        <v>4.1666666666666664E-2</v>
      </c>
      <c r="T30" s="49">
        <v>4.1666666666666664E-2</v>
      </c>
      <c r="U30" s="49">
        <v>4.1666666666666664E-2</v>
      </c>
      <c r="V30" s="49" t="s">
        <v>8</v>
      </c>
      <c r="W30" s="49" t="s">
        <v>8</v>
      </c>
      <c r="X30" s="49">
        <v>4.1666666666666664E-2</v>
      </c>
      <c r="Y30" s="49">
        <v>4.1666666666666664E-2</v>
      </c>
      <c r="Z30" s="49">
        <v>4.1666666666666664E-2</v>
      </c>
      <c r="AA30" s="49">
        <v>4.1666666666666664E-2</v>
      </c>
      <c r="AB30" s="49">
        <v>4.1666666666666664E-2</v>
      </c>
      <c r="AC30" s="49" t="s">
        <v>8</v>
      </c>
      <c r="AD30" s="49" t="s">
        <v>8</v>
      </c>
      <c r="AE30" s="49">
        <v>4.1666666666666664E-2</v>
      </c>
      <c r="AF30" s="49">
        <v>4.1666666666666664E-2</v>
      </c>
      <c r="AG30" s="49">
        <v>4.1666666666666664E-2</v>
      </c>
      <c r="AH30" s="49"/>
      <c r="AI30" s="45"/>
      <c r="AJ30" s="50"/>
      <c r="AK30" s="33"/>
      <c r="AL30" s="33"/>
    </row>
    <row r="31" spans="1:38" ht="16.5" thickTop="1" thickBot="1" x14ac:dyDescent="0.3">
      <c r="A31" s="42"/>
      <c r="B31" s="195" t="s">
        <v>27</v>
      </c>
      <c r="C31" s="48" t="s">
        <v>24</v>
      </c>
      <c r="D31" s="51">
        <f>IFERROR(D29-D28-D30,0)</f>
        <v>0.33333333333333337</v>
      </c>
      <c r="E31" s="51">
        <f t="shared" ref="E31:AH31" si="2">IFERROR(E29-E28-E30,0)</f>
        <v>0.33333333333333337</v>
      </c>
      <c r="F31" s="51">
        <f t="shared" si="2"/>
        <v>0.33333333333333337</v>
      </c>
      <c r="G31" s="51">
        <f t="shared" si="2"/>
        <v>0.33333333333333337</v>
      </c>
      <c r="H31" s="51">
        <f t="shared" si="2"/>
        <v>0</v>
      </c>
      <c r="I31" s="51">
        <f t="shared" si="2"/>
        <v>0</v>
      </c>
      <c r="J31" s="51">
        <f t="shared" si="2"/>
        <v>0.33333333333333337</v>
      </c>
      <c r="K31" s="51">
        <f t="shared" si="2"/>
        <v>0.33333333333333337</v>
      </c>
      <c r="L31" s="51">
        <f t="shared" si="2"/>
        <v>0.33333333333333337</v>
      </c>
      <c r="M31" s="51">
        <f t="shared" si="2"/>
        <v>0.33333333333333337</v>
      </c>
      <c r="N31" s="51">
        <f t="shared" si="2"/>
        <v>0.33333333333333337</v>
      </c>
      <c r="O31" s="51">
        <f t="shared" si="2"/>
        <v>0</v>
      </c>
      <c r="P31" s="51">
        <f t="shared" si="2"/>
        <v>0</v>
      </c>
      <c r="Q31" s="51">
        <f t="shared" si="2"/>
        <v>0.33333333333333337</v>
      </c>
      <c r="R31" s="51">
        <f t="shared" si="2"/>
        <v>0.33333333333333337</v>
      </c>
      <c r="S31" s="51">
        <f t="shared" si="2"/>
        <v>0.33333333333333337</v>
      </c>
      <c r="T31" s="51">
        <f t="shared" si="2"/>
        <v>0.33333333333333337</v>
      </c>
      <c r="U31" s="51">
        <f t="shared" si="2"/>
        <v>0.33333333333333337</v>
      </c>
      <c r="V31" s="51">
        <f t="shared" si="2"/>
        <v>0</v>
      </c>
      <c r="W31" s="51">
        <f t="shared" si="2"/>
        <v>0</v>
      </c>
      <c r="X31" s="51">
        <f t="shared" si="2"/>
        <v>0.33333333333333337</v>
      </c>
      <c r="Y31" s="51">
        <f t="shared" si="2"/>
        <v>0.33333333333333337</v>
      </c>
      <c r="Z31" s="51">
        <f t="shared" si="2"/>
        <v>0.33333333333333337</v>
      </c>
      <c r="AA31" s="51">
        <f t="shared" si="2"/>
        <v>0.33333333333333337</v>
      </c>
      <c r="AB31" s="51">
        <f t="shared" si="2"/>
        <v>0.33333333333333337</v>
      </c>
      <c r="AC31" s="51">
        <f t="shared" si="2"/>
        <v>0</v>
      </c>
      <c r="AD31" s="51">
        <f t="shared" si="2"/>
        <v>0</v>
      </c>
      <c r="AE31" s="51">
        <f t="shared" si="2"/>
        <v>0.33333333333333337</v>
      </c>
      <c r="AF31" s="51">
        <f t="shared" si="2"/>
        <v>0.33333333333333337</v>
      </c>
      <c r="AG31" s="51">
        <f t="shared" si="2"/>
        <v>0.33333333333333337</v>
      </c>
      <c r="AH31" s="52">
        <f t="shared" si="2"/>
        <v>0</v>
      </c>
      <c r="AI31" s="45"/>
      <c r="AJ31" s="39">
        <f>SUM(D31:AH31)</f>
        <v>7.3333333333333313</v>
      </c>
      <c r="AK31" s="33"/>
      <c r="AL31" s="33"/>
    </row>
    <row r="32" spans="1:38" ht="18" thickTop="1" thickBot="1" x14ac:dyDescent="0.3">
      <c r="A32" s="42"/>
      <c r="B32" s="195"/>
      <c r="C32" s="48" t="s">
        <v>25</v>
      </c>
      <c r="D32" s="53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5"/>
      <c r="AI32" s="45"/>
      <c r="AJ32" s="50"/>
      <c r="AK32" s="33"/>
      <c r="AL32" s="33"/>
    </row>
    <row r="33" spans="1:38" ht="16.5" thickTop="1" thickBot="1" x14ac:dyDescent="0.3">
      <c r="A33" s="56"/>
      <c r="B33" s="196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9"/>
      <c r="AI33" s="60"/>
      <c r="AJ33" s="61"/>
      <c r="AK33" s="46"/>
      <c r="AL33" s="46"/>
    </row>
    <row r="34" spans="1:38" ht="15.75" thickBot="1" x14ac:dyDescent="0.3">
      <c r="A34" s="35">
        <v>3</v>
      </c>
      <c r="B34" s="193" t="s">
        <v>28</v>
      </c>
      <c r="C34" s="36">
        <v>1</v>
      </c>
      <c r="D34" s="37">
        <v>0.33333333333333331</v>
      </c>
      <c r="E34" s="37">
        <v>0.33333333333333331</v>
      </c>
      <c r="F34" s="37">
        <v>0.33333333333333331</v>
      </c>
      <c r="G34" s="37">
        <v>0.33333333333333331</v>
      </c>
      <c r="H34" s="37" t="s">
        <v>8</v>
      </c>
      <c r="I34" s="37" t="s">
        <v>8</v>
      </c>
      <c r="J34" s="37">
        <v>0.33333333333333331</v>
      </c>
      <c r="K34" s="37">
        <v>0.33333333333333331</v>
      </c>
      <c r="L34" s="37">
        <v>0.33333333333333331</v>
      </c>
      <c r="M34" s="37">
        <v>0.33333333333333331</v>
      </c>
      <c r="N34" s="37">
        <v>0.33333333333333331</v>
      </c>
      <c r="O34" s="37" t="s">
        <v>8</v>
      </c>
      <c r="P34" s="37" t="s">
        <v>8</v>
      </c>
      <c r="Q34" s="37">
        <v>0.33333333333333331</v>
      </c>
      <c r="R34" s="37">
        <v>0.33333333333333331</v>
      </c>
      <c r="S34" s="37">
        <v>0.33333333333333331</v>
      </c>
      <c r="T34" s="37">
        <v>0.33333333333333331</v>
      </c>
      <c r="U34" s="37">
        <v>0.33333333333333331</v>
      </c>
      <c r="V34" s="37" t="s">
        <v>8</v>
      </c>
      <c r="W34" s="37" t="s">
        <v>8</v>
      </c>
      <c r="X34" s="37">
        <v>0.33333333333333331</v>
      </c>
      <c r="Y34" s="37">
        <v>0.33333333333333331</v>
      </c>
      <c r="Z34" s="37">
        <v>0.33333333333333331</v>
      </c>
      <c r="AA34" s="37">
        <v>0.33333333333333331</v>
      </c>
      <c r="AB34" s="37">
        <v>0.33333333333333331</v>
      </c>
      <c r="AC34" s="37" t="s">
        <v>8</v>
      </c>
      <c r="AD34" s="37" t="s">
        <v>8</v>
      </c>
      <c r="AE34" s="37">
        <v>0.33333333333333331</v>
      </c>
      <c r="AF34" s="37">
        <v>0.33333333333333331</v>
      </c>
      <c r="AG34" s="37">
        <v>0.33333333333333331</v>
      </c>
      <c r="AH34" s="37"/>
      <c r="AI34" s="38">
        <f>COUNT(D34:AH34)</f>
        <v>22</v>
      </c>
      <c r="AJ34" s="39">
        <f t="array" ref="AJ34">SUM(IFERROR(D35:AH35-D34:AH34-D36:AH36,0))</f>
        <v>7.3333333333333313</v>
      </c>
      <c r="AK34" s="40">
        <f>VLOOKUP($AJ$17,'Нормы раб.времени'!$A$6:$H$24,4,0)</f>
        <v>22</v>
      </c>
      <c r="AL34" s="41">
        <f>VLOOKUP($AJ$17,'Нормы раб.времени'!$A$6:$H$24,6,0)</f>
        <v>176</v>
      </c>
    </row>
    <row r="35" spans="1:38" ht="16.5" thickTop="1" thickBot="1" x14ac:dyDescent="0.3">
      <c r="A35" s="42"/>
      <c r="B35" s="194"/>
      <c r="C35" s="43"/>
      <c r="D35" s="44">
        <v>0.70833333333333337</v>
      </c>
      <c r="E35" s="44">
        <v>0.70833333333333337</v>
      </c>
      <c r="F35" s="44">
        <v>0.70833333333333337</v>
      </c>
      <c r="G35" s="44">
        <v>0.70833333333333337</v>
      </c>
      <c r="H35" s="44" t="s">
        <v>8</v>
      </c>
      <c r="I35" s="44" t="s">
        <v>8</v>
      </c>
      <c r="J35" s="44">
        <v>0.70833333333333337</v>
      </c>
      <c r="K35" s="44">
        <v>0.70833333333333337</v>
      </c>
      <c r="L35" s="44">
        <v>0.70833333333333337</v>
      </c>
      <c r="M35" s="44">
        <v>0.70833333333333337</v>
      </c>
      <c r="N35" s="44">
        <v>0.70833333333333337</v>
      </c>
      <c r="O35" s="44" t="s">
        <v>8</v>
      </c>
      <c r="P35" s="44" t="s">
        <v>8</v>
      </c>
      <c r="Q35" s="44">
        <v>0.70833333333333337</v>
      </c>
      <c r="R35" s="44">
        <v>0.70833333333333337</v>
      </c>
      <c r="S35" s="44">
        <v>0.70833333333333337</v>
      </c>
      <c r="T35" s="44">
        <v>0.70833333333333337</v>
      </c>
      <c r="U35" s="44">
        <v>0.70833333333333337</v>
      </c>
      <c r="V35" s="44" t="s">
        <v>8</v>
      </c>
      <c r="W35" s="44" t="s">
        <v>8</v>
      </c>
      <c r="X35" s="44">
        <v>0.70833333333333337</v>
      </c>
      <c r="Y35" s="44">
        <v>0.70833333333333337</v>
      </c>
      <c r="Z35" s="44">
        <v>0.70833333333333337</v>
      </c>
      <c r="AA35" s="44">
        <v>0.70833333333333337</v>
      </c>
      <c r="AB35" s="44">
        <v>0.70833333333333337</v>
      </c>
      <c r="AC35" s="44" t="s">
        <v>8</v>
      </c>
      <c r="AD35" s="44" t="s">
        <v>8</v>
      </c>
      <c r="AE35" s="44">
        <v>0.70833333333333337</v>
      </c>
      <c r="AF35" s="44">
        <v>0.70833333333333337</v>
      </c>
      <c r="AG35" s="44">
        <v>0.70833333333333337</v>
      </c>
      <c r="AH35" s="44"/>
      <c r="AI35" s="45"/>
      <c r="AJ35" s="46"/>
      <c r="AK35" s="33"/>
      <c r="AL35" s="47"/>
    </row>
    <row r="36" spans="1:38" ht="18" thickTop="1" thickBot="1" x14ac:dyDescent="0.3">
      <c r="A36" s="42"/>
      <c r="B36" s="194"/>
      <c r="C36" s="48" t="s">
        <v>22</v>
      </c>
      <c r="D36" s="49">
        <v>4.1666666666666664E-2</v>
      </c>
      <c r="E36" s="49">
        <v>4.1666666666666664E-2</v>
      </c>
      <c r="F36" s="49">
        <v>4.1666666666666664E-2</v>
      </c>
      <c r="G36" s="49">
        <v>4.1666666666666664E-2</v>
      </c>
      <c r="H36" s="49" t="s">
        <v>8</v>
      </c>
      <c r="I36" s="49" t="s">
        <v>8</v>
      </c>
      <c r="J36" s="49">
        <v>4.1666666666666664E-2</v>
      </c>
      <c r="K36" s="49">
        <v>4.1666666666666664E-2</v>
      </c>
      <c r="L36" s="49">
        <v>4.1666666666666664E-2</v>
      </c>
      <c r="M36" s="49">
        <v>4.1666666666666664E-2</v>
      </c>
      <c r="N36" s="49">
        <v>4.1666666666666664E-2</v>
      </c>
      <c r="O36" s="49" t="s">
        <v>8</v>
      </c>
      <c r="P36" s="49" t="s">
        <v>8</v>
      </c>
      <c r="Q36" s="49">
        <v>4.1666666666666664E-2</v>
      </c>
      <c r="R36" s="49">
        <v>4.1666666666666664E-2</v>
      </c>
      <c r="S36" s="49">
        <v>4.1666666666666664E-2</v>
      </c>
      <c r="T36" s="49">
        <v>4.1666666666666664E-2</v>
      </c>
      <c r="U36" s="49">
        <v>4.1666666666666664E-2</v>
      </c>
      <c r="V36" s="49" t="s">
        <v>8</v>
      </c>
      <c r="W36" s="49" t="s">
        <v>8</v>
      </c>
      <c r="X36" s="49">
        <v>4.1666666666666664E-2</v>
      </c>
      <c r="Y36" s="49">
        <v>4.1666666666666664E-2</v>
      </c>
      <c r="Z36" s="49">
        <v>4.1666666666666664E-2</v>
      </c>
      <c r="AA36" s="49">
        <v>4.1666666666666664E-2</v>
      </c>
      <c r="AB36" s="49">
        <v>4.1666666666666664E-2</v>
      </c>
      <c r="AC36" s="49" t="s">
        <v>8</v>
      </c>
      <c r="AD36" s="49" t="s">
        <v>8</v>
      </c>
      <c r="AE36" s="49">
        <v>4.1666666666666664E-2</v>
      </c>
      <c r="AF36" s="49">
        <v>4.1666666666666664E-2</v>
      </c>
      <c r="AG36" s="49">
        <v>4.1666666666666664E-2</v>
      </c>
      <c r="AH36" s="49"/>
      <c r="AI36" s="45"/>
      <c r="AJ36" s="50"/>
      <c r="AK36" s="33"/>
      <c r="AL36" s="33"/>
    </row>
    <row r="37" spans="1:38" ht="16.5" thickTop="1" thickBot="1" x14ac:dyDescent="0.3">
      <c r="A37" s="42"/>
      <c r="B37" s="195" t="s">
        <v>27</v>
      </c>
      <c r="C37" s="48" t="s">
        <v>24</v>
      </c>
      <c r="D37" s="51">
        <f>IFERROR(D35-D34-D36,0)</f>
        <v>0.33333333333333337</v>
      </c>
      <c r="E37" s="51">
        <f t="shared" ref="E37:AH37" si="3">IFERROR(E35-E34-E36,0)</f>
        <v>0.33333333333333337</v>
      </c>
      <c r="F37" s="51">
        <f t="shared" si="3"/>
        <v>0.33333333333333337</v>
      </c>
      <c r="G37" s="51">
        <f t="shared" si="3"/>
        <v>0.33333333333333337</v>
      </c>
      <c r="H37" s="51">
        <f t="shared" si="3"/>
        <v>0</v>
      </c>
      <c r="I37" s="51">
        <f t="shared" si="3"/>
        <v>0</v>
      </c>
      <c r="J37" s="51">
        <f t="shared" si="3"/>
        <v>0.33333333333333337</v>
      </c>
      <c r="K37" s="51">
        <f t="shared" si="3"/>
        <v>0.33333333333333337</v>
      </c>
      <c r="L37" s="51">
        <f t="shared" si="3"/>
        <v>0.33333333333333337</v>
      </c>
      <c r="M37" s="51">
        <f t="shared" si="3"/>
        <v>0.33333333333333337</v>
      </c>
      <c r="N37" s="51">
        <f t="shared" si="3"/>
        <v>0.33333333333333337</v>
      </c>
      <c r="O37" s="51">
        <f t="shared" si="3"/>
        <v>0</v>
      </c>
      <c r="P37" s="51">
        <f t="shared" si="3"/>
        <v>0</v>
      </c>
      <c r="Q37" s="51">
        <f t="shared" si="3"/>
        <v>0.33333333333333337</v>
      </c>
      <c r="R37" s="51">
        <f t="shared" si="3"/>
        <v>0.33333333333333337</v>
      </c>
      <c r="S37" s="51">
        <f t="shared" si="3"/>
        <v>0.33333333333333337</v>
      </c>
      <c r="T37" s="51">
        <f t="shared" si="3"/>
        <v>0.33333333333333337</v>
      </c>
      <c r="U37" s="51">
        <f t="shared" si="3"/>
        <v>0.33333333333333337</v>
      </c>
      <c r="V37" s="51">
        <f t="shared" si="3"/>
        <v>0</v>
      </c>
      <c r="W37" s="51">
        <f t="shared" si="3"/>
        <v>0</v>
      </c>
      <c r="X37" s="51">
        <f t="shared" si="3"/>
        <v>0.33333333333333337</v>
      </c>
      <c r="Y37" s="51">
        <f t="shared" si="3"/>
        <v>0.33333333333333337</v>
      </c>
      <c r="Z37" s="51">
        <f t="shared" si="3"/>
        <v>0.33333333333333337</v>
      </c>
      <c r="AA37" s="51">
        <f t="shared" si="3"/>
        <v>0.33333333333333337</v>
      </c>
      <c r="AB37" s="51">
        <f t="shared" si="3"/>
        <v>0.33333333333333337</v>
      </c>
      <c r="AC37" s="51">
        <f t="shared" si="3"/>
        <v>0</v>
      </c>
      <c r="AD37" s="51">
        <f t="shared" si="3"/>
        <v>0</v>
      </c>
      <c r="AE37" s="51">
        <f t="shared" si="3"/>
        <v>0.33333333333333337</v>
      </c>
      <c r="AF37" s="51">
        <f t="shared" si="3"/>
        <v>0.33333333333333337</v>
      </c>
      <c r="AG37" s="51">
        <f t="shared" si="3"/>
        <v>0.33333333333333337</v>
      </c>
      <c r="AH37" s="52">
        <f t="shared" si="3"/>
        <v>0</v>
      </c>
      <c r="AI37" s="45"/>
      <c r="AJ37" s="39">
        <f>SUM(D37:AH37)</f>
        <v>7.3333333333333313</v>
      </c>
      <c r="AK37" s="33"/>
      <c r="AL37" s="33"/>
    </row>
    <row r="38" spans="1:38" ht="18" thickTop="1" thickBot="1" x14ac:dyDescent="0.3">
      <c r="A38" s="42"/>
      <c r="B38" s="195"/>
      <c r="C38" s="48" t="s">
        <v>25</v>
      </c>
      <c r="D38" s="53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5"/>
      <c r="AI38" s="45"/>
      <c r="AJ38" s="50"/>
      <c r="AK38" s="33"/>
      <c r="AL38" s="33"/>
    </row>
    <row r="39" spans="1:38" ht="16.5" thickTop="1" thickBot="1" x14ac:dyDescent="0.3">
      <c r="A39" s="56"/>
      <c r="B39" s="196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9"/>
      <c r="AI39" s="60"/>
      <c r="AJ39" s="61"/>
      <c r="AK39" s="46"/>
      <c r="AL39" s="46"/>
    </row>
    <row r="40" spans="1:38" ht="15.75" thickBot="1" x14ac:dyDescent="0.3">
      <c r="A40" s="35">
        <v>4</v>
      </c>
      <c r="B40" s="193" t="s">
        <v>29</v>
      </c>
      <c r="C40" s="36">
        <v>1</v>
      </c>
      <c r="D40" s="37">
        <v>0.33333333333333331</v>
      </c>
      <c r="E40" s="37">
        <v>0.33333333333333331</v>
      </c>
      <c r="F40" s="37">
        <v>0.33333333333333331</v>
      </c>
      <c r="G40" s="37">
        <v>0.33333333333333331</v>
      </c>
      <c r="H40" s="37" t="s">
        <v>8</v>
      </c>
      <c r="I40" s="37">
        <v>0.33333333333333331</v>
      </c>
      <c r="J40" s="37">
        <v>0.33333333333333331</v>
      </c>
      <c r="K40" s="37">
        <v>0.33333333333333331</v>
      </c>
      <c r="L40" s="37">
        <v>0.33333333333333331</v>
      </c>
      <c r="M40" s="37">
        <v>0.33333333333333331</v>
      </c>
      <c r="N40" s="37">
        <v>0.33333333333333331</v>
      </c>
      <c r="O40" s="37" t="s">
        <v>8</v>
      </c>
      <c r="P40" s="37">
        <v>0.33333333333333331</v>
      </c>
      <c r="Q40" s="37">
        <v>0.33333333333333331</v>
      </c>
      <c r="R40" s="37">
        <v>0.33333333333333331</v>
      </c>
      <c r="S40" s="37">
        <v>0.33333333333333331</v>
      </c>
      <c r="T40" s="37">
        <v>0.33333333333333331</v>
      </c>
      <c r="U40" s="37">
        <v>0.33333333333333331</v>
      </c>
      <c r="V40" s="37" t="s">
        <v>8</v>
      </c>
      <c r="W40" s="37">
        <v>0.33333333333333331</v>
      </c>
      <c r="X40" s="37">
        <v>0.33333333333333331</v>
      </c>
      <c r="Y40" s="37">
        <v>0.33333333333333331</v>
      </c>
      <c r="Z40" s="37" t="s">
        <v>8</v>
      </c>
      <c r="AA40" s="37" t="s">
        <v>8</v>
      </c>
      <c r="AB40" s="37">
        <v>0.33333333333333331</v>
      </c>
      <c r="AC40" s="37" t="s">
        <v>8</v>
      </c>
      <c r="AD40" s="37">
        <v>0.33333333333333331</v>
      </c>
      <c r="AE40" s="37">
        <v>0.33333333333333331</v>
      </c>
      <c r="AF40" s="37" t="s">
        <v>8</v>
      </c>
      <c r="AG40" s="37" t="s">
        <v>8</v>
      </c>
      <c r="AH40" s="37"/>
      <c r="AI40" s="38">
        <f>COUNT(D40:AH40)</f>
        <v>22</v>
      </c>
      <c r="AJ40" s="39">
        <f t="array" ref="AJ40">SUM(IFERROR(D41:AH41-D40:AH40-D42:AH42,0))</f>
        <v>7.3333333333333313</v>
      </c>
      <c r="AK40" s="40">
        <f>VLOOKUP($AJ$17,'Нормы раб.времени'!$A$6:$H$24,4,0)</f>
        <v>22</v>
      </c>
      <c r="AL40" s="41">
        <f>VLOOKUP($AJ$17,'Нормы раб.времени'!$A$6:$H$24,6,0)</f>
        <v>176</v>
      </c>
    </row>
    <row r="41" spans="1:38" ht="16.5" thickTop="1" thickBot="1" x14ac:dyDescent="0.3">
      <c r="A41" s="42"/>
      <c r="B41" s="194"/>
      <c r="C41" s="43"/>
      <c r="D41" s="44">
        <v>0.70833333333333337</v>
      </c>
      <c r="E41" s="44">
        <v>0.70833333333333337</v>
      </c>
      <c r="F41" s="44">
        <v>0.70833333333333337</v>
      </c>
      <c r="G41" s="44">
        <v>0.70833333333333337</v>
      </c>
      <c r="H41" s="44" t="s">
        <v>8</v>
      </c>
      <c r="I41" s="44">
        <v>0.70833333333333337</v>
      </c>
      <c r="J41" s="44">
        <v>0.70833333333333337</v>
      </c>
      <c r="K41" s="44">
        <v>0.70833333333333337</v>
      </c>
      <c r="L41" s="44">
        <v>0.70833333333333337</v>
      </c>
      <c r="M41" s="44">
        <v>0.70833333333333337</v>
      </c>
      <c r="N41" s="44">
        <v>0.70833333333333337</v>
      </c>
      <c r="O41" s="44" t="s">
        <v>8</v>
      </c>
      <c r="P41" s="44">
        <v>0.70833333333333337</v>
      </c>
      <c r="Q41" s="44">
        <v>0.70833333333333337</v>
      </c>
      <c r="R41" s="44">
        <v>0.70833333333333337</v>
      </c>
      <c r="S41" s="44">
        <v>0.70833333333333337</v>
      </c>
      <c r="T41" s="44">
        <v>0.70833333333333337</v>
      </c>
      <c r="U41" s="44">
        <v>0.70833333333333337</v>
      </c>
      <c r="V41" s="44" t="s">
        <v>8</v>
      </c>
      <c r="W41" s="44">
        <v>0.70833333333333337</v>
      </c>
      <c r="X41" s="44">
        <v>0.70833333333333337</v>
      </c>
      <c r="Y41" s="44">
        <v>0.70833333333333337</v>
      </c>
      <c r="Z41" s="44" t="s">
        <v>8</v>
      </c>
      <c r="AA41" s="44" t="s">
        <v>8</v>
      </c>
      <c r="AB41" s="44">
        <v>0.70833333333333337</v>
      </c>
      <c r="AC41" s="44" t="s">
        <v>8</v>
      </c>
      <c r="AD41" s="44">
        <v>0.70833333333333337</v>
      </c>
      <c r="AE41" s="44">
        <v>0.70833333333333337</v>
      </c>
      <c r="AF41" s="44" t="s">
        <v>8</v>
      </c>
      <c r="AG41" s="44" t="s">
        <v>8</v>
      </c>
      <c r="AH41" s="44"/>
      <c r="AI41" s="45"/>
      <c r="AJ41" s="46"/>
      <c r="AK41" s="33"/>
      <c r="AL41" s="47"/>
    </row>
    <row r="42" spans="1:38" ht="18" thickTop="1" thickBot="1" x14ac:dyDescent="0.3">
      <c r="A42" s="42"/>
      <c r="B42" s="194"/>
      <c r="C42" s="48" t="s">
        <v>22</v>
      </c>
      <c r="D42" s="49">
        <v>4.1666666666666664E-2</v>
      </c>
      <c r="E42" s="49">
        <v>4.1666666666666664E-2</v>
      </c>
      <c r="F42" s="49">
        <v>4.1666666666666664E-2</v>
      </c>
      <c r="G42" s="49">
        <v>4.1666666666666664E-2</v>
      </c>
      <c r="H42" s="49" t="s">
        <v>8</v>
      </c>
      <c r="I42" s="49">
        <v>4.1666666666666664E-2</v>
      </c>
      <c r="J42" s="49">
        <v>4.1666666666666664E-2</v>
      </c>
      <c r="K42" s="49">
        <v>4.1666666666666664E-2</v>
      </c>
      <c r="L42" s="49">
        <v>4.1666666666666664E-2</v>
      </c>
      <c r="M42" s="49">
        <v>4.1666666666666664E-2</v>
      </c>
      <c r="N42" s="49">
        <v>4.1666666666666664E-2</v>
      </c>
      <c r="O42" s="49" t="s">
        <v>8</v>
      </c>
      <c r="P42" s="49">
        <v>4.1666666666666664E-2</v>
      </c>
      <c r="Q42" s="49">
        <v>4.1666666666666664E-2</v>
      </c>
      <c r="R42" s="49">
        <v>4.1666666666666664E-2</v>
      </c>
      <c r="S42" s="49">
        <v>4.1666666666666664E-2</v>
      </c>
      <c r="T42" s="49">
        <v>4.1666666666666664E-2</v>
      </c>
      <c r="U42" s="49">
        <v>4.1666666666666664E-2</v>
      </c>
      <c r="V42" s="49" t="s">
        <v>8</v>
      </c>
      <c r="W42" s="49">
        <v>4.1666666666666664E-2</v>
      </c>
      <c r="X42" s="49">
        <v>4.1666666666666664E-2</v>
      </c>
      <c r="Y42" s="49">
        <v>4.1666666666666664E-2</v>
      </c>
      <c r="Z42" s="49" t="s">
        <v>8</v>
      </c>
      <c r="AA42" s="49" t="s">
        <v>8</v>
      </c>
      <c r="AB42" s="49">
        <v>4.1666666666666664E-2</v>
      </c>
      <c r="AC42" s="49" t="s">
        <v>8</v>
      </c>
      <c r="AD42" s="49">
        <v>4.1666666666666664E-2</v>
      </c>
      <c r="AE42" s="49">
        <v>4.1666666666666664E-2</v>
      </c>
      <c r="AF42" s="49" t="s">
        <v>8</v>
      </c>
      <c r="AG42" s="49" t="s">
        <v>8</v>
      </c>
      <c r="AH42" s="49"/>
      <c r="AI42" s="45"/>
      <c r="AJ42" s="50"/>
      <c r="AK42" s="33"/>
      <c r="AL42" s="33"/>
    </row>
    <row r="43" spans="1:38" ht="16.5" thickTop="1" thickBot="1" x14ac:dyDescent="0.3">
      <c r="A43" s="42"/>
      <c r="B43" s="195" t="s">
        <v>30</v>
      </c>
      <c r="C43" s="48" t="s">
        <v>24</v>
      </c>
      <c r="D43" s="51">
        <f>IFERROR(D41-D40-D42,0)</f>
        <v>0.33333333333333337</v>
      </c>
      <c r="E43" s="51">
        <f t="shared" ref="E43:AH43" si="4">IFERROR(E41-E40-E42,0)</f>
        <v>0.33333333333333337</v>
      </c>
      <c r="F43" s="51">
        <f t="shared" si="4"/>
        <v>0.33333333333333337</v>
      </c>
      <c r="G43" s="51">
        <f t="shared" si="4"/>
        <v>0.33333333333333337</v>
      </c>
      <c r="H43" s="51">
        <f t="shared" si="4"/>
        <v>0</v>
      </c>
      <c r="I43" s="51">
        <f t="shared" si="4"/>
        <v>0.33333333333333337</v>
      </c>
      <c r="J43" s="51">
        <f t="shared" si="4"/>
        <v>0.33333333333333337</v>
      </c>
      <c r="K43" s="51">
        <f t="shared" si="4"/>
        <v>0.33333333333333337</v>
      </c>
      <c r="L43" s="51">
        <f t="shared" si="4"/>
        <v>0.33333333333333337</v>
      </c>
      <c r="M43" s="51">
        <f t="shared" si="4"/>
        <v>0.33333333333333337</v>
      </c>
      <c r="N43" s="51">
        <f t="shared" si="4"/>
        <v>0.33333333333333337</v>
      </c>
      <c r="O43" s="51">
        <f t="shared" si="4"/>
        <v>0</v>
      </c>
      <c r="P43" s="51">
        <f t="shared" si="4"/>
        <v>0.33333333333333337</v>
      </c>
      <c r="Q43" s="51">
        <f t="shared" si="4"/>
        <v>0.33333333333333337</v>
      </c>
      <c r="R43" s="51">
        <f t="shared" si="4"/>
        <v>0.33333333333333337</v>
      </c>
      <c r="S43" s="51">
        <f t="shared" si="4"/>
        <v>0.33333333333333337</v>
      </c>
      <c r="T43" s="51">
        <f t="shared" si="4"/>
        <v>0.33333333333333337</v>
      </c>
      <c r="U43" s="51">
        <f t="shared" si="4"/>
        <v>0.33333333333333337</v>
      </c>
      <c r="V43" s="51">
        <f t="shared" si="4"/>
        <v>0</v>
      </c>
      <c r="W43" s="51">
        <f t="shared" si="4"/>
        <v>0.33333333333333337</v>
      </c>
      <c r="X43" s="51">
        <f t="shared" si="4"/>
        <v>0.33333333333333337</v>
      </c>
      <c r="Y43" s="51">
        <f t="shared" si="4"/>
        <v>0.33333333333333337</v>
      </c>
      <c r="Z43" s="51">
        <f t="shared" si="4"/>
        <v>0</v>
      </c>
      <c r="AA43" s="51">
        <f t="shared" si="4"/>
        <v>0</v>
      </c>
      <c r="AB43" s="51">
        <f t="shared" si="4"/>
        <v>0.33333333333333337</v>
      </c>
      <c r="AC43" s="51">
        <f t="shared" si="4"/>
        <v>0</v>
      </c>
      <c r="AD43" s="51">
        <f t="shared" si="4"/>
        <v>0.33333333333333337</v>
      </c>
      <c r="AE43" s="51">
        <f t="shared" si="4"/>
        <v>0.33333333333333337</v>
      </c>
      <c r="AF43" s="51">
        <f t="shared" si="4"/>
        <v>0</v>
      </c>
      <c r="AG43" s="51">
        <f t="shared" si="4"/>
        <v>0</v>
      </c>
      <c r="AH43" s="52">
        <f t="shared" si="4"/>
        <v>0</v>
      </c>
      <c r="AI43" s="45"/>
      <c r="AJ43" s="39">
        <f>SUM(D43:AH43)</f>
        <v>7.3333333333333313</v>
      </c>
      <c r="AK43" s="33"/>
      <c r="AL43" s="33"/>
    </row>
    <row r="44" spans="1:38" ht="18" thickTop="1" thickBot="1" x14ac:dyDescent="0.3">
      <c r="A44" s="42"/>
      <c r="B44" s="195"/>
      <c r="C44" s="48" t="s">
        <v>25</v>
      </c>
      <c r="D44" s="53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5"/>
      <c r="AI44" s="45"/>
      <c r="AJ44" s="50"/>
      <c r="AK44" s="33"/>
      <c r="AL44" s="33"/>
    </row>
    <row r="45" spans="1:38" ht="16.5" thickTop="1" thickBot="1" x14ac:dyDescent="0.3">
      <c r="A45" s="56"/>
      <c r="B45" s="196"/>
      <c r="C45" s="5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9"/>
      <c r="AI45" s="60"/>
      <c r="AJ45" s="61"/>
      <c r="AK45" s="46"/>
      <c r="AL45" s="46"/>
    </row>
    <row r="46" spans="1:38" ht="15.75" thickBot="1" x14ac:dyDescent="0.3">
      <c r="A46" s="35">
        <v>5</v>
      </c>
      <c r="B46" s="193" t="s">
        <v>31</v>
      </c>
      <c r="C46" s="36">
        <v>1</v>
      </c>
      <c r="D46" s="37">
        <v>0.33333333333333331</v>
      </c>
      <c r="E46" s="37">
        <v>0.33333333333333331</v>
      </c>
      <c r="F46" s="37">
        <v>0.33333333333333331</v>
      </c>
      <c r="G46" s="37">
        <v>0.33333333333333331</v>
      </c>
      <c r="H46" s="37" t="s">
        <v>8</v>
      </c>
      <c r="I46" s="37" t="s">
        <v>8</v>
      </c>
      <c r="J46" s="37">
        <v>0.33333333333333331</v>
      </c>
      <c r="K46" s="37">
        <v>0.33333333333333331</v>
      </c>
      <c r="L46" s="37">
        <v>0.33333333333333331</v>
      </c>
      <c r="M46" s="37">
        <v>0.33333333333333331</v>
      </c>
      <c r="N46" s="37">
        <v>0.33333333333333331</v>
      </c>
      <c r="O46" s="37" t="s">
        <v>8</v>
      </c>
      <c r="P46" s="37" t="s">
        <v>8</v>
      </c>
      <c r="Q46" s="37">
        <v>0.33333333333333331</v>
      </c>
      <c r="R46" s="37">
        <v>0.33333333333333331</v>
      </c>
      <c r="S46" s="37">
        <v>0.33333333333333331</v>
      </c>
      <c r="T46" s="37">
        <v>0.33333333333333331</v>
      </c>
      <c r="U46" s="37">
        <v>0.33333333333333331</v>
      </c>
      <c r="V46" s="37" t="s">
        <v>8</v>
      </c>
      <c r="W46" s="37" t="s">
        <v>8</v>
      </c>
      <c r="X46" s="37">
        <v>0.33333333333333331</v>
      </c>
      <c r="Y46" s="37">
        <v>0.33333333333333331</v>
      </c>
      <c r="Z46" s="37">
        <v>0.33333333333333331</v>
      </c>
      <c r="AA46" s="37">
        <v>0.33333333333333331</v>
      </c>
      <c r="AB46" s="37">
        <v>0.33333333333333331</v>
      </c>
      <c r="AC46" s="37" t="s">
        <v>8</v>
      </c>
      <c r="AD46" s="37" t="s">
        <v>8</v>
      </c>
      <c r="AE46" s="37">
        <v>0.33333333333333331</v>
      </c>
      <c r="AF46" s="37" t="s">
        <v>8</v>
      </c>
      <c r="AG46" s="37" t="s">
        <v>8</v>
      </c>
      <c r="AH46" s="37"/>
      <c r="AI46" s="38">
        <f>COUNT(D46:AH46)</f>
        <v>20</v>
      </c>
      <c r="AJ46" s="39">
        <f t="array" ref="AJ46">SUM(IFERROR(D47:AH47-D46:AH46-D48:AH48,0))</f>
        <v>6.6666666666666652</v>
      </c>
      <c r="AK46" s="40">
        <f>VLOOKUP($AJ$17,'Нормы раб.времени'!$A$6:$H$24,4,0)</f>
        <v>22</v>
      </c>
      <c r="AL46" s="41">
        <f>VLOOKUP($AJ$17,'Нормы раб.времени'!$A$6:$H$24,6,0)</f>
        <v>176</v>
      </c>
    </row>
    <row r="47" spans="1:38" ht="16.5" thickTop="1" thickBot="1" x14ac:dyDescent="0.3">
      <c r="A47" s="42"/>
      <c r="B47" s="194"/>
      <c r="C47" s="43"/>
      <c r="D47" s="44">
        <v>0.70833333333333337</v>
      </c>
      <c r="E47" s="44">
        <v>0.70833333333333337</v>
      </c>
      <c r="F47" s="44">
        <v>0.70833333333333337</v>
      </c>
      <c r="G47" s="44">
        <v>0.70833333333333337</v>
      </c>
      <c r="H47" s="44" t="s">
        <v>8</v>
      </c>
      <c r="I47" s="44" t="s">
        <v>8</v>
      </c>
      <c r="J47" s="44">
        <v>0.70833333333333337</v>
      </c>
      <c r="K47" s="44">
        <v>0.70833333333333337</v>
      </c>
      <c r="L47" s="44">
        <v>0.70833333333333337</v>
      </c>
      <c r="M47" s="44">
        <v>0.70833333333333337</v>
      </c>
      <c r="N47" s="44">
        <v>0.70833333333333337</v>
      </c>
      <c r="O47" s="44" t="s">
        <v>8</v>
      </c>
      <c r="P47" s="44" t="s">
        <v>8</v>
      </c>
      <c r="Q47" s="44">
        <v>0.70833333333333337</v>
      </c>
      <c r="R47" s="44">
        <v>0.70833333333333337</v>
      </c>
      <c r="S47" s="44">
        <v>0.70833333333333337</v>
      </c>
      <c r="T47" s="44">
        <v>0.70833333333333337</v>
      </c>
      <c r="U47" s="44">
        <v>0.70833333333333337</v>
      </c>
      <c r="V47" s="44" t="s">
        <v>8</v>
      </c>
      <c r="W47" s="44" t="s">
        <v>8</v>
      </c>
      <c r="X47" s="44">
        <v>0.70833333333333337</v>
      </c>
      <c r="Y47" s="44">
        <v>0.70833333333333337</v>
      </c>
      <c r="Z47" s="44">
        <v>0.70833333333333337</v>
      </c>
      <c r="AA47" s="44">
        <v>0.70833333333333337</v>
      </c>
      <c r="AB47" s="44">
        <v>0.70833333333333337</v>
      </c>
      <c r="AC47" s="44" t="s">
        <v>8</v>
      </c>
      <c r="AD47" s="44" t="s">
        <v>8</v>
      </c>
      <c r="AE47" s="44">
        <v>0.70833333333333337</v>
      </c>
      <c r="AF47" s="44" t="s">
        <v>8</v>
      </c>
      <c r="AG47" s="44" t="s">
        <v>8</v>
      </c>
      <c r="AH47" s="44"/>
      <c r="AI47" s="45"/>
      <c r="AJ47" s="46"/>
      <c r="AK47" s="33"/>
      <c r="AL47" s="47"/>
    </row>
    <row r="48" spans="1:38" ht="18" thickTop="1" thickBot="1" x14ac:dyDescent="0.3">
      <c r="A48" s="42"/>
      <c r="B48" s="194"/>
      <c r="C48" s="48" t="s">
        <v>22</v>
      </c>
      <c r="D48" s="49">
        <v>4.1666666666666664E-2</v>
      </c>
      <c r="E48" s="49">
        <v>4.1666666666666664E-2</v>
      </c>
      <c r="F48" s="49">
        <v>4.1666666666666664E-2</v>
      </c>
      <c r="G48" s="49">
        <v>4.1666666666666664E-2</v>
      </c>
      <c r="H48" s="49" t="s">
        <v>8</v>
      </c>
      <c r="I48" s="49" t="s">
        <v>8</v>
      </c>
      <c r="J48" s="49">
        <v>4.1666666666666664E-2</v>
      </c>
      <c r="K48" s="49">
        <v>4.1666666666666664E-2</v>
      </c>
      <c r="L48" s="49">
        <v>4.1666666666666664E-2</v>
      </c>
      <c r="M48" s="49">
        <v>4.1666666666666664E-2</v>
      </c>
      <c r="N48" s="49">
        <v>4.1666666666666664E-2</v>
      </c>
      <c r="O48" s="49" t="s">
        <v>8</v>
      </c>
      <c r="P48" s="49" t="s">
        <v>8</v>
      </c>
      <c r="Q48" s="49">
        <v>4.1666666666666664E-2</v>
      </c>
      <c r="R48" s="49">
        <v>4.1666666666666664E-2</v>
      </c>
      <c r="S48" s="49">
        <v>4.1666666666666664E-2</v>
      </c>
      <c r="T48" s="49">
        <v>4.1666666666666664E-2</v>
      </c>
      <c r="U48" s="49">
        <v>4.1666666666666664E-2</v>
      </c>
      <c r="V48" s="49" t="s">
        <v>8</v>
      </c>
      <c r="W48" s="49" t="s">
        <v>8</v>
      </c>
      <c r="X48" s="49">
        <v>4.1666666666666664E-2</v>
      </c>
      <c r="Y48" s="49">
        <v>4.1666666666666664E-2</v>
      </c>
      <c r="Z48" s="49">
        <v>4.1666666666666664E-2</v>
      </c>
      <c r="AA48" s="49">
        <v>4.1666666666666664E-2</v>
      </c>
      <c r="AB48" s="49">
        <v>4.1666666666666664E-2</v>
      </c>
      <c r="AC48" s="49" t="s">
        <v>8</v>
      </c>
      <c r="AD48" s="49" t="s">
        <v>8</v>
      </c>
      <c r="AE48" s="49">
        <v>4.1666666666666664E-2</v>
      </c>
      <c r="AF48" s="49" t="s">
        <v>8</v>
      </c>
      <c r="AG48" s="49" t="s">
        <v>8</v>
      </c>
      <c r="AH48" s="49"/>
      <c r="AI48" s="45"/>
      <c r="AJ48" s="50"/>
      <c r="AK48" s="33"/>
      <c r="AL48" s="33"/>
    </row>
    <row r="49" spans="1:38" ht="16.5" thickTop="1" thickBot="1" x14ac:dyDescent="0.3">
      <c r="A49" s="42"/>
      <c r="B49" s="195" t="s">
        <v>32</v>
      </c>
      <c r="C49" s="48" t="s">
        <v>24</v>
      </c>
      <c r="D49" s="51">
        <f>IFERROR(D47-D46-D48,0)</f>
        <v>0.33333333333333337</v>
      </c>
      <c r="E49" s="51">
        <f t="shared" ref="E49:AH49" si="5">IFERROR(E47-E46-E48,0)</f>
        <v>0.33333333333333337</v>
      </c>
      <c r="F49" s="51">
        <f t="shared" si="5"/>
        <v>0.33333333333333337</v>
      </c>
      <c r="G49" s="51">
        <f t="shared" si="5"/>
        <v>0.33333333333333337</v>
      </c>
      <c r="H49" s="51">
        <f t="shared" si="5"/>
        <v>0</v>
      </c>
      <c r="I49" s="51">
        <f t="shared" si="5"/>
        <v>0</v>
      </c>
      <c r="J49" s="51">
        <f t="shared" si="5"/>
        <v>0.33333333333333337</v>
      </c>
      <c r="K49" s="51">
        <f t="shared" si="5"/>
        <v>0.33333333333333337</v>
      </c>
      <c r="L49" s="51">
        <f t="shared" si="5"/>
        <v>0.33333333333333337</v>
      </c>
      <c r="M49" s="51">
        <f t="shared" si="5"/>
        <v>0.33333333333333337</v>
      </c>
      <c r="N49" s="51">
        <f t="shared" si="5"/>
        <v>0.33333333333333337</v>
      </c>
      <c r="O49" s="51">
        <f t="shared" si="5"/>
        <v>0</v>
      </c>
      <c r="P49" s="51">
        <f t="shared" si="5"/>
        <v>0</v>
      </c>
      <c r="Q49" s="51">
        <f t="shared" si="5"/>
        <v>0.33333333333333337</v>
      </c>
      <c r="R49" s="51">
        <f t="shared" si="5"/>
        <v>0.33333333333333337</v>
      </c>
      <c r="S49" s="51">
        <f t="shared" si="5"/>
        <v>0.33333333333333337</v>
      </c>
      <c r="T49" s="51">
        <f t="shared" si="5"/>
        <v>0.33333333333333337</v>
      </c>
      <c r="U49" s="51">
        <f t="shared" si="5"/>
        <v>0.33333333333333337</v>
      </c>
      <c r="V49" s="51">
        <f t="shared" si="5"/>
        <v>0</v>
      </c>
      <c r="W49" s="51">
        <f t="shared" si="5"/>
        <v>0</v>
      </c>
      <c r="X49" s="51">
        <f t="shared" si="5"/>
        <v>0.33333333333333337</v>
      </c>
      <c r="Y49" s="51">
        <f t="shared" si="5"/>
        <v>0.33333333333333337</v>
      </c>
      <c r="Z49" s="51">
        <f t="shared" si="5"/>
        <v>0.33333333333333337</v>
      </c>
      <c r="AA49" s="51">
        <f t="shared" si="5"/>
        <v>0.33333333333333337</v>
      </c>
      <c r="AB49" s="51">
        <f t="shared" si="5"/>
        <v>0.33333333333333337</v>
      </c>
      <c r="AC49" s="51">
        <f t="shared" si="5"/>
        <v>0</v>
      </c>
      <c r="AD49" s="51">
        <f t="shared" si="5"/>
        <v>0</v>
      </c>
      <c r="AE49" s="51">
        <f t="shared" si="5"/>
        <v>0.33333333333333337</v>
      </c>
      <c r="AF49" s="51">
        <f t="shared" si="5"/>
        <v>0</v>
      </c>
      <c r="AG49" s="51">
        <f t="shared" si="5"/>
        <v>0</v>
      </c>
      <c r="AH49" s="52">
        <f t="shared" si="5"/>
        <v>0</v>
      </c>
      <c r="AI49" s="45"/>
      <c r="AJ49" s="39">
        <f>SUM(D49:AH49)</f>
        <v>6.6666666666666652</v>
      </c>
      <c r="AK49" s="33"/>
      <c r="AL49" s="33"/>
    </row>
    <row r="50" spans="1:38" ht="18" thickTop="1" thickBot="1" x14ac:dyDescent="0.3">
      <c r="A50" s="42"/>
      <c r="B50" s="195"/>
      <c r="C50" s="48" t="s">
        <v>25</v>
      </c>
      <c r="D50" s="53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5"/>
      <c r="AI50" s="45"/>
      <c r="AJ50" s="50"/>
      <c r="AK50" s="33"/>
      <c r="AL50" s="33"/>
    </row>
    <row r="51" spans="1:38" ht="16.5" thickTop="1" thickBot="1" x14ac:dyDescent="0.3">
      <c r="A51" s="56"/>
      <c r="B51" s="196"/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9"/>
      <c r="AI51" s="60"/>
      <c r="AJ51" s="61"/>
      <c r="AK51" s="46"/>
      <c r="AL51" s="46"/>
    </row>
    <row r="52" spans="1:38" ht="15.75" thickBot="1" x14ac:dyDescent="0.3">
      <c r="A52" s="35">
        <v>6</v>
      </c>
      <c r="B52" s="193"/>
      <c r="C52" s="36">
        <v>1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8">
        <f>COUNT(D52:AH52)</f>
        <v>0</v>
      </c>
      <c r="AJ52" s="39">
        <f t="array" ref="AJ52">SUM(IFERROR(D53:AH53-D52:AH52-D54:AH54,0))</f>
        <v>0</v>
      </c>
      <c r="AK52" s="40">
        <f>VLOOKUP($AJ$17,'Нормы раб.времени'!$A$6:$H$24,4,0)</f>
        <v>22</v>
      </c>
      <c r="AL52" s="41">
        <f>VLOOKUP($AJ$17,'Нормы раб.времени'!$A$6:$H$24,6,0)</f>
        <v>176</v>
      </c>
    </row>
    <row r="53" spans="1:38" ht="16.5" thickTop="1" thickBot="1" x14ac:dyDescent="0.3">
      <c r="A53" s="42"/>
      <c r="B53" s="194"/>
      <c r="C53" s="43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5"/>
      <c r="AJ53" s="46"/>
      <c r="AK53" s="33"/>
      <c r="AL53" s="47"/>
    </row>
    <row r="54" spans="1:38" ht="18" thickTop="1" thickBot="1" x14ac:dyDescent="0.3">
      <c r="A54" s="42"/>
      <c r="B54" s="194"/>
      <c r="C54" s="48" t="s">
        <v>22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62"/>
      <c r="R54" s="49"/>
      <c r="S54" s="49"/>
      <c r="T54" s="49"/>
      <c r="U54" s="49"/>
      <c r="V54" s="49"/>
      <c r="W54" s="49"/>
      <c r="X54" s="62"/>
      <c r="Y54" s="49"/>
      <c r="Z54" s="49"/>
      <c r="AA54" s="49"/>
      <c r="AB54" s="49"/>
      <c r="AC54" s="49"/>
      <c r="AD54" s="49"/>
      <c r="AE54" s="62"/>
      <c r="AF54" s="49"/>
      <c r="AG54" s="49"/>
      <c r="AH54" s="49"/>
      <c r="AI54" s="45"/>
      <c r="AJ54" s="50"/>
      <c r="AK54" s="33"/>
      <c r="AL54" s="33"/>
    </row>
    <row r="55" spans="1:38" ht="16.5" thickTop="1" thickBot="1" x14ac:dyDescent="0.3">
      <c r="A55" s="42"/>
      <c r="B55" s="195"/>
      <c r="C55" s="48" t="s">
        <v>24</v>
      </c>
      <c r="D55" s="51">
        <f>IFERROR(D53-D52-D54,0)</f>
        <v>0</v>
      </c>
      <c r="E55" s="51">
        <f t="shared" ref="E55:AH55" si="6">IFERROR(E53-E52-E54,0)</f>
        <v>0</v>
      </c>
      <c r="F55" s="51">
        <f t="shared" si="6"/>
        <v>0</v>
      </c>
      <c r="G55" s="51">
        <f t="shared" si="6"/>
        <v>0</v>
      </c>
      <c r="H55" s="51">
        <f t="shared" si="6"/>
        <v>0</v>
      </c>
      <c r="I55" s="51">
        <f t="shared" si="6"/>
        <v>0</v>
      </c>
      <c r="J55" s="51">
        <f t="shared" si="6"/>
        <v>0</v>
      </c>
      <c r="K55" s="51">
        <f t="shared" si="6"/>
        <v>0</v>
      </c>
      <c r="L55" s="51">
        <f t="shared" si="6"/>
        <v>0</v>
      </c>
      <c r="M55" s="51">
        <f t="shared" si="6"/>
        <v>0</v>
      </c>
      <c r="N55" s="51">
        <f t="shared" si="6"/>
        <v>0</v>
      </c>
      <c r="O55" s="51">
        <f t="shared" si="6"/>
        <v>0</v>
      </c>
      <c r="P55" s="51">
        <f t="shared" si="6"/>
        <v>0</v>
      </c>
      <c r="Q55" s="51">
        <f t="shared" si="6"/>
        <v>0</v>
      </c>
      <c r="R55" s="51">
        <f t="shared" si="6"/>
        <v>0</v>
      </c>
      <c r="S55" s="51">
        <f t="shared" si="6"/>
        <v>0</v>
      </c>
      <c r="T55" s="51">
        <f t="shared" si="6"/>
        <v>0</v>
      </c>
      <c r="U55" s="51">
        <f t="shared" si="6"/>
        <v>0</v>
      </c>
      <c r="V55" s="51">
        <f t="shared" si="6"/>
        <v>0</v>
      </c>
      <c r="W55" s="51">
        <f t="shared" si="6"/>
        <v>0</v>
      </c>
      <c r="X55" s="51">
        <f t="shared" si="6"/>
        <v>0</v>
      </c>
      <c r="Y55" s="51">
        <f t="shared" si="6"/>
        <v>0</v>
      </c>
      <c r="Z55" s="51">
        <f t="shared" si="6"/>
        <v>0</v>
      </c>
      <c r="AA55" s="51">
        <f t="shared" si="6"/>
        <v>0</v>
      </c>
      <c r="AB55" s="51">
        <f t="shared" si="6"/>
        <v>0</v>
      </c>
      <c r="AC55" s="51">
        <f t="shared" si="6"/>
        <v>0</v>
      </c>
      <c r="AD55" s="51">
        <f t="shared" si="6"/>
        <v>0</v>
      </c>
      <c r="AE55" s="51">
        <f t="shared" si="6"/>
        <v>0</v>
      </c>
      <c r="AF55" s="51">
        <f t="shared" si="6"/>
        <v>0</v>
      </c>
      <c r="AG55" s="51">
        <f t="shared" si="6"/>
        <v>0</v>
      </c>
      <c r="AH55" s="52">
        <f t="shared" si="6"/>
        <v>0</v>
      </c>
      <c r="AI55" s="45"/>
      <c r="AJ55" s="39">
        <f>SUM(D55:AH55)</f>
        <v>0</v>
      </c>
      <c r="AK55" s="33"/>
      <c r="AL55" s="33"/>
    </row>
    <row r="56" spans="1:38" ht="18" thickTop="1" thickBot="1" x14ac:dyDescent="0.3">
      <c r="A56" s="42"/>
      <c r="B56" s="195"/>
      <c r="C56" s="48" t="s">
        <v>25</v>
      </c>
      <c r="D56" s="53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5"/>
      <c r="AI56" s="45"/>
      <c r="AJ56" s="50"/>
      <c r="AK56" s="33"/>
      <c r="AL56" s="33"/>
    </row>
    <row r="57" spans="1:38" ht="16.5" thickTop="1" thickBot="1" x14ac:dyDescent="0.3">
      <c r="A57" s="56"/>
      <c r="B57" s="196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9"/>
      <c r="AI57" s="60"/>
      <c r="AJ57" s="61"/>
      <c r="AK57" s="46"/>
      <c r="AL57" s="46"/>
    </row>
    <row r="58" spans="1:38" ht="15.75" thickBot="1" x14ac:dyDescent="0.3">
      <c r="A58" s="35">
        <v>7</v>
      </c>
      <c r="B58" s="193"/>
      <c r="C58" s="36">
        <v>1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8">
        <f>COUNT(D58:AH58)</f>
        <v>0</v>
      </c>
      <c r="AJ58" s="39">
        <f t="array" ref="AJ58">SUM(IFERROR(D59:AH59-D58:AH58-D60:AH60,0))</f>
        <v>0</v>
      </c>
      <c r="AK58" s="40">
        <f>VLOOKUP($AJ$17,'Нормы раб.времени'!$A$6:$H$24,4,0)</f>
        <v>22</v>
      </c>
      <c r="AL58" s="41">
        <f>VLOOKUP($AJ$17,'Нормы раб.времени'!$A$6:$H$24,6,0)</f>
        <v>176</v>
      </c>
    </row>
    <row r="59" spans="1:38" ht="16.5" thickTop="1" thickBot="1" x14ac:dyDescent="0.3">
      <c r="A59" s="42"/>
      <c r="B59" s="194"/>
      <c r="C59" s="43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5"/>
      <c r="AJ59" s="46"/>
      <c r="AK59" s="33"/>
      <c r="AL59" s="47"/>
    </row>
    <row r="60" spans="1:38" ht="18" thickTop="1" thickBot="1" x14ac:dyDescent="0.3">
      <c r="A60" s="42"/>
      <c r="B60" s="194"/>
      <c r="C60" s="48" t="s">
        <v>22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62"/>
      <c r="R60" s="49"/>
      <c r="S60" s="49"/>
      <c r="T60" s="49"/>
      <c r="U60" s="49"/>
      <c r="V60" s="49"/>
      <c r="W60" s="49"/>
      <c r="X60" s="62"/>
      <c r="Y60" s="49"/>
      <c r="Z60" s="49"/>
      <c r="AA60" s="49"/>
      <c r="AB60" s="49"/>
      <c r="AC60" s="49"/>
      <c r="AD60" s="49"/>
      <c r="AE60" s="62"/>
      <c r="AF60" s="49"/>
      <c r="AG60" s="49"/>
      <c r="AH60" s="49"/>
      <c r="AI60" s="45"/>
      <c r="AJ60" s="50"/>
      <c r="AK60" s="33"/>
      <c r="AL60" s="33"/>
    </row>
    <row r="61" spans="1:38" ht="16.5" thickTop="1" thickBot="1" x14ac:dyDescent="0.3">
      <c r="A61" s="42"/>
      <c r="B61" s="195"/>
      <c r="C61" s="48" t="s">
        <v>24</v>
      </c>
      <c r="D61" s="51">
        <f>IFERROR(D59-D58-D60,0)</f>
        <v>0</v>
      </c>
      <c r="E61" s="51">
        <f t="shared" ref="E61:AH61" si="7">IFERROR(E59-E58-E60,0)</f>
        <v>0</v>
      </c>
      <c r="F61" s="51">
        <f t="shared" si="7"/>
        <v>0</v>
      </c>
      <c r="G61" s="51">
        <f t="shared" si="7"/>
        <v>0</v>
      </c>
      <c r="H61" s="51">
        <f t="shared" si="7"/>
        <v>0</v>
      </c>
      <c r="I61" s="51">
        <f t="shared" si="7"/>
        <v>0</v>
      </c>
      <c r="J61" s="51">
        <f t="shared" si="7"/>
        <v>0</v>
      </c>
      <c r="K61" s="51">
        <f t="shared" si="7"/>
        <v>0</v>
      </c>
      <c r="L61" s="51">
        <f t="shared" si="7"/>
        <v>0</v>
      </c>
      <c r="M61" s="51">
        <f t="shared" si="7"/>
        <v>0</v>
      </c>
      <c r="N61" s="51">
        <f t="shared" si="7"/>
        <v>0</v>
      </c>
      <c r="O61" s="51">
        <f t="shared" si="7"/>
        <v>0</v>
      </c>
      <c r="P61" s="51">
        <f t="shared" si="7"/>
        <v>0</v>
      </c>
      <c r="Q61" s="51">
        <f t="shared" si="7"/>
        <v>0</v>
      </c>
      <c r="R61" s="51">
        <f t="shared" si="7"/>
        <v>0</v>
      </c>
      <c r="S61" s="51">
        <f t="shared" si="7"/>
        <v>0</v>
      </c>
      <c r="T61" s="51">
        <f t="shared" si="7"/>
        <v>0</v>
      </c>
      <c r="U61" s="51">
        <f t="shared" si="7"/>
        <v>0</v>
      </c>
      <c r="V61" s="51">
        <f t="shared" si="7"/>
        <v>0</v>
      </c>
      <c r="W61" s="51">
        <f t="shared" si="7"/>
        <v>0</v>
      </c>
      <c r="X61" s="51">
        <f t="shared" si="7"/>
        <v>0</v>
      </c>
      <c r="Y61" s="51">
        <f t="shared" si="7"/>
        <v>0</v>
      </c>
      <c r="Z61" s="51">
        <f t="shared" si="7"/>
        <v>0</v>
      </c>
      <c r="AA61" s="51">
        <f t="shared" si="7"/>
        <v>0</v>
      </c>
      <c r="AB61" s="51">
        <f t="shared" si="7"/>
        <v>0</v>
      </c>
      <c r="AC61" s="51">
        <f t="shared" si="7"/>
        <v>0</v>
      </c>
      <c r="AD61" s="51">
        <f t="shared" si="7"/>
        <v>0</v>
      </c>
      <c r="AE61" s="51">
        <f t="shared" si="7"/>
        <v>0</v>
      </c>
      <c r="AF61" s="51">
        <f t="shared" si="7"/>
        <v>0</v>
      </c>
      <c r="AG61" s="51">
        <f t="shared" si="7"/>
        <v>0</v>
      </c>
      <c r="AH61" s="52">
        <f t="shared" si="7"/>
        <v>0</v>
      </c>
      <c r="AI61" s="45"/>
      <c r="AJ61" s="39">
        <f>SUM(D61:AH61)</f>
        <v>0</v>
      </c>
      <c r="AK61" s="33"/>
      <c r="AL61" s="33"/>
    </row>
    <row r="62" spans="1:38" ht="18" thickTop="1" thickBot="1" x14ac:dyDescent="0.3">
      <c r="A62" s="42"/>
      <c r="B62" s="195"/>
      <c r="C62" s="48" t="s">
        <v>25</v>
      </c>
      <c r="D62" s="53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5"/>
      <c r="AI62" s="45"/>
      <c r="AJ62" s="50"/>
      <c r="AK62" s="33"/>
      <c r="AL62" s="33"/>
    </row>
    <row r="63" spans="1:38" ht="16.5" thickTop="1" thickBot="1" x14ac:dyDescent="0.3">
      <c r="A63" s="56"/>
      <c r="B63" s="196"/>
      <c r="C63" s="57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9"/>
      <c r="AI63" s="60"/>
      <c r="AJ63" s="61"/>
      <c r="AK63" s="46"/>
      <c r="AL63" s="46"/>
    </row>
    <row r="64" spans="1:38" ht="15.75" thickBot="1" x14ac:dyDescent="0.3">
      <c r="A64" s="35">
        <v>8</v>
      </c>
      <c r="B64" s="193"/>
      <c r="C64" s="36">
        <v>1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8">
        <f>COUNT(D64:AH64)</f>
        <v>0</v>
      </c>
      <c r="AJ64" s="39">
        <f t="array" ref="AJ64">SUM(IFERROR(D65:AH65-D64:AH64-D66:AH66,0))</f>
        <v>0</v>
      </c>
      <c r="AK64" s="40">
        <f>VLOOKUP($AJ$17,'Нормы раб.времени'!$A$6:$H$24,4,0)</f>
        <v>22</v>
      </c>
      <c r="AL64" s="41">
        <f>VLOOKUP($AJ$17,'Нормы раб.времени'!$A$6:$H$24,6,0)</f>
        <v>176</v>
      </c>
    </row>
    <row r="65" spans="1:38" ht="16.5" thickTop="1" thickBot="1" x14ac:dyDescent="0.3">
      <c r="A65" s="42"/>
      <c r="B65" s="194"/>
      <c r="C65" s="43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5"/>
      <c r="AJ65" s="46"/>
      <c r="AK65" s="33"/>
      <c r="AL65" s="47"/>
    </row>
    <row r="66" spans="1:38" ht="18" thickTop="1" thickBot="1" x14ac:dyDescent="0.3">
      <c r="A66" s="42"/>
      <c r="B66" s="194"/>
      <c r="C66" s="48" t="s">
        <v>22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62"/>
      <c r="R66" s="49"/>
      <c r="S66" s="49"/>
      <c r="T66" s="49"/>
      <c r="U66" s="49"/>
      <c r="V66" s="49"/>
      <c r="W66" s="49"/>
      <c r="X66" s="62"/>
      <c r="Y66" s="49"/>
      <c r="Z66" s="49"/>
      <c r="AA66" s="49"/>
      <c r="AB66" s="49"/>
      <c r="AC66" s="49"/>
      <c r="AD66" s="49"/>
      <c r="AE66" s="62"/>
      <c r="AF66" s="49"/>
      <c r="AG66" s="49"/>
      <c r="AH66" s="49"/>
      <c r="AI66" s="45"/>
      <c r="AJ66" s="50"/>
      <c r="AK66" s="33"/>
      <c r="AL66" s="33"/>
    </row>
    <row r="67" spans="1:38" ht="16.5" thickTop="1" thickBot="1" x14ac:dyDescent="0.3">
      <c r="A67" s="42"/>
      <c r="B67" s="195"/>
      <c r="C67" s="48" t="s">
        <v>24</v>
      </c>
      <c r="D67" s="51">
        <f>IFERROR(D65-D64-D66,0)</f>
        <v>0</v>
      </c>
      <c r="E67" s="51">
        <f t="shared" ref="E67:AH67" si="8">IFERROR(E65-E64-E66,0)</f>
        <v>0</v>
      </c>
      <c r="F67" s="51">
        <f t="shared" si="8"/>
        <v>0</v>
      </c>
      <c r="G67" s="51">
        <f t="shared" si="8"/>
        <v>0</v>
      </c>
      <c r="H67" s="51">
        <f t="shared" si="8"/>
        <v>0</v>
      </c>
      <c r="I67" s="51">
        <f t="shared" si="8"/>
        <v>0</v>
      </c>
      <c r="J67" s="51">
        <f t="shared" si="8"/>
        <v>0</v>
      </c>
      <c r="K67" s="51">
        <f t="shared" si="8"/>
        <v>0</v>
      </c>
      <c r="L67" s="51">
        <f t="shared" si="8"/>
        <v>0</v>
      </c>
      <c r="M67" s="51">
        <f t="shared" si="8"/>
        <v>0</v>
      </c>
      <c r="N67" s="51">
        <f t="shared" si="8"/>
        <v>0</v>
      </c>
      <c r="O67" s="51">
        <f t="shared" si="8"/>
        <v>0</v>
      </c>
      <c r="P67" s="51">
        <f t="shared" si="8"/>
        <v>0</v>
      </c>
      <c r="Q67" s="51">
        <f t="shared" si="8"/>
        <v>0</v>
      </c>
      <c r="R67" s="51">
        <f t="shared" si="8"/>
        <v>0</v>
      </c>
      <c r="S67" s="51">
        <f t="shared" si="8"/>
        <v>0</v>
      </c>
      <c r="T67" s="51">
        <f t="shared" si="8"/>
        <v>0</v>
      </c>
      <c r="U67" s="51">
        <f t="shared" si="8"/>
        <v>0</v>
      </c>
      <c r="V67" s="51">
        <f t="shared" si="8"/>
        <v>0</v>
      </c>
      <c r="W67" s="51">
        <f t="shared" si="8"/>
        <v>0</v>
      </c>
      <c r="X67" s="51">
        <f t="shared" si="8"/>
        <v>0</v>
      </c>
      <c r="Y67" s="51">
        <f t="shared" si="8"/>
        <v>0</v>
      </c>
      <c r="Z67" s="51">
        <f t="shared" si="8"/>
        <v>0</v>
      </c>
      <c r="AA67" s="51">
        <f t="shared" si="8"/>
        <v>0</v>
      </c>
      <c r="AB67" s="51">
        <f t="shared" si="8"/>
        <v>0</v>
      </c>
      <c r="AC67" s="51">
        <f t="shared" si="8"/>
        <v>0</v>
      </c>
      <c r="AD67" s="51">
        <f t="shared" si="8"/>
        <v>0</v>
      </c>
      <c r="AE67" s="51">
        <f t="shared" si="8"/>
        <v>0</v>
      </c>
      <c r="AF67" s="51">
        <f t="shared" si="8"/>
        <v>0</v>
      </c>
      <c r="AG67" s="51">
        <f t="shared" si="8"/>
        <v>0</v>
      </c>
      <c r="AH67" s="52">
        <f t="shared" si="8"/>
        <v>0</v>
      </c>
      <c r="AI67" s="45"/>
      <c r="AJ67" s="39">
        <f>SUM(D67:AH67)</f>
        <v>0</v>
      </c>
      <c r="AK67" s="33"/>
      <c r="AL67" s="33"/>
    </row>
    <row r="68" spans="1:38" ht="18" thickTop="1" thickBot="1" x14ac:dyDescent="0.3">
      <c r="A68" s="42"/>
      <c r="B68" s="195"/>
      <c r="C68" s="48" t="s">
        <v>25</v>
      </c>
      <c r="D68" s="53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5"/>
      <c r="AI68" s="45"/>
      <c r="AJ68" s="50"/>
      <c r="AK68" s="33"/>
      <c r="AL68" s="33"/>
    </row>
    <row r="69" spans="1:38" ht="16.5" thickTop="1" thickBot="1" x14ac:dyDescent="0.3">
      <c r="A69" s="56"/>
      <c r="B69" s="196"/>
      <c r="C69" s="57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9"/>
      <c r="AI69" s="60"/>
      <c r="AJ69" s="61"/>
      <c r="AK69" s="46"/>
      <c r="AL69" s="46"/>
    </row>
    <row r="70" spans="1:38" ht="15.75" thickBot="1" x14ac:dyDescent="0.3">
      <c r="A70" s="35">
        <v>9</v>
      </c>
      <c r="B70" s="193"/>
      <c r="C70" s="63">
        <v>1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8">
        <f>COUNT(D70:AH70)</f>
        <v>0</v>
      </c>
      <c r="AJ70" s="39">
        <f t="array" ref="AJ70">SUM(IFERROR(D71:AH71-D70:AH70-D72:AH72,0))</f>
        <v>0</v>
      </c>
      <c r="AK70" s="40">
        <f>VLOOKUP($AJ$17,'Нормы раб.времени'!$A$6:$H$24,4,0)</f>
        <v>22</v>
      </c>
      <c r="AL70" s="41">
        <f>VLOOKUP($AJ$17,'Нормы раб.времени'!$A$6:$H$24,6,0)</f>
        <v>176</v>
      </c>
    </row>
    <row r="71" spans="1:38" ht="16.5" thickTop="1" thickBot="1" x14ac:dyDescent="0.3">
      <c r="A71" s="42"/>
      <c r="B71" s="194"/>
      <c r="C71" s="6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5"/>
      <c r="AJ71" s="46"/>
      <c r="AK71" s="33"/>
      <c r="AL71" s="47"/>
    </row>
    <row r="72" spans="1:38" ht="18" thickTop="1" thickBot="1" x14ac:dyDescent="0.3">
      <c r="A72" s="42"/>
      <c r="B72" s="194"/>
      <c r="C72" s="48" t="s">
        <v>22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62"/>
      <c r="R72" s="49"/>
      <c r="S72" s="49"/>
      <c r="T72" s="49"/>
      <c r="U72" s="49"/>
      <c r="V72" s="49"/>
      <c r="W72" s="49"/>
      <c r="X72" s="62"/>
      <c r="Y72" s="49"/>
      <c r="Z72" s="49"/>
      <c r="AA72" s="49"/>
      <c r="AB72" s="49"/>
      <c r="AC72" s="49"/>
      <c r="AD72" s="49"/>
      <c r="AE72" s="62"/>
      <c r="AF72" s="49"/>
      <c r="AG72" s="49"/>
      <c r="AH72" s="49"/>
      <c r="AI72" s="45"/>
      <c r="AJ72" s="50"/>
      <c r="AK72" s="33"/>
      <c r="AL72" s="33"/>
    </row>
    <row r="73" spans="1:38" ht="16.5" thickTop="1" thickBot="1" x14ac:dyDescent="0.3">
      <c r="A73" s="42"/>
      <c r="B73" s="195"/>
      <c r="C73" s="48" t="s">
        <v>24</v>
      </c>
      <c r="D73" s="51">
        <f>IFERROR(D71-D70-D72,0)</f>
        <v>0</v>
      </c>
      <c r="E73" s="51">
        <f t="shared" ref="E73:AH73" si="9">IFERROR(E71-E70-E72,0)</f>
        <v>0</v>
      </c>
      <c r="F73" s="51">
        <f t="shared" si="9"/>
        <v>0</v>
      </c>
      <c r="G73" s="51">
        <f t="shared" si="9"/>
        <v>0</v>
      </c>
      <c r="H73" s="51">
        <f t="shared" si="9"/>
        <v>0</v>
      </c>
      <c r="I73" s="51">
        <f t="shared" si="9"/>
        <v>0</v>
      </c>
      <c r="J73" s="51">
        <f t="shared" si="9"/>
        <v>0</v>
      </c>
      <c r="K73" s="51">
        <f t="shared" si="9"/>
        <v>0</v>
      </c>
      <c r="L73" s="51">
        <f t="shared" si="9"/>
        <v>0</v>
      </c>
      <c r="M73" s="51">
        <f t="shared" si="9"/>
        <v>0</v>
      </c>
      <c r="N73" s="51">
        <f t="shared" si="9"/>
        <v>0</v>
      </c>
      <c r="O73" s="51">
        <f t="shared" si="9"/>
        <v>0</v>
      </c>
      <c r="P73" s="51">
        <f t="shared" si="9"/>
        <v>0</v>
      </c>
      <c r="Q73" s="51">
        <f t="shared" si="9"/>
        <v>0</v>
      </c>
      <c r="R73" s="51">
        <f t="shared" si="9"/>
        <v>0</v>
      </c>
      <c r="S73" s="51">
        <f t="shared" si="9"/>
        <v>0</v>
      </c>
      <c r="T73" s="51">
        <f t="shared" si="9"/>
        <v>0</v>
      </c>
      <c r="U73" s="51">
        <f t="shared" si="9"/>
        <v>0</v>
      </c>
      <c r="V73" s="51">
        <f t="shared" si="9"/>
        <v>0</v>
      </c>
      <c r="W73" s="51">
        <f t="shared" si="9"/>
        <v>0</v>
      </c>
      <c r="X73" s="51">
        <f t="shared" si="9"/>
        <v>0</v>
      </c>
      <c r="Y73" s="51">
        <f t="shared" si="9"/>
        <v>0</v>
      </c>
      <c r="Z73" s="51">
        <f t="shared" si="9"/>
        <v>0</v>
      </c>
      <c r="AA73" s="51">
        <f t="shared" si="9"/>
        <v>0</v>
      </c>
      <c r="AB73" s="51">
        <f t="shared" si="9"/>
        <v>0</v>
      </c>
      <c r="AC73" s="51">
        <f t="shared" si="9"/>
        <v>0</v>
      </c>
      <c r="AD73" s="51">
        <f t="shared" si="9"/>
        <v>0</v>
      </c>
      <c r="AE73" s="51">
        <f t="shared" si="9"/>
        <v>0</v>
      </c>
      <c r="AF73" s="51">
        <f t="shared" si="9"/>
        <v>0</v>
      </c>
      <c r="AG73" s="51">
        <f t="shared" si="9"/>
        <v>0</v>
      </c>
      <c r="AH73" s="52">
        <f t="shared" si="9"/>
        <v>0</v>
      </c>
      <c r="AI73" s="45"/>
      <c r="AJ73" s="39">
        <f>SUM(D73:AH73)</f>
        <v>0</v>
      </c>
      <c r="AK73" s="33"/>
      <c r="AL73" s="33"/>
    </row>
    <row r="74" spans="1:38" ht="18" thickTop="1" thickBot="1" x14ac:dyDescent="0.3">
      <c r="A74" s="42"/>
      <c r="B74" s="195"/>
      <c r="C74" s="48" t="s">
        <v>25</v>
      </c>
      <c r="D74" s="53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5"/>
      <c r="AI74" s="45"/>
      <c r="AJ74" s="50"/>
      <c r="AK74" s="33"/>
      <c r="AL74" s="33"/>
    </row>
    <row r="75" spans="1:38" ht="16.5" thickTop="1" thickBot="1" x14ac:dyDescent="0.3">
      <c r="A75" s="56"/>
      <c r="B75" s="196"/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9"/>
      <c r="AI75" s="60"/>
      <c r="AJ75" s="61"/>
      <c r="AK75" s="46"/>
      <c r="AL75" s="46"/>
    </row>
    <row r="76" spans="1:38" ht="15.75" thickBot="1" x14ac:dyDescent="0.3">
      <c r="A76" s="35">
        <v>10</v>
      </c>
      <c r="B76" s="193"/>
      <c r="C76" s="63">
        <v>1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8">
        <f>COUNT(D76:AH76)</f>
        <v>0</v>
      </c>
      <c r="AJ76" s="39">
        <f t="array" ref="AJ76">SUM(IFERROR(D77:AH77-D76:AH76-D78:AH78,0))</f>
        <v>0</v>
      </c>
      <c r="AK76" s="40">
        <f>VLOOKUP($AJ$17,'Нормы раб.времени'!$A$6:$H$24,4,0)</f>
        <v>22</v>
      </c>
      <c r="AL76" s="41">
        <f>VLOOKUP($AJ$17,'Нормы раб.времени'!$A$6:$H$24,6,0)</f>
        <v>176</v>
      </c>
    </row>
    <row r="77" spans="1:38" ht="16.5" thickTop="1" thickBot="1" x14ac:dyDescent="0.3">
      <c r="A77" s="42"/>
      <c r="B77" s="194"/>
      <c r="C77" s="6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5"/>
      <c r="AJ77" s="46"/>
      <c r="AK77" s="33"/>
      <c r="AL77" s="47"/>
    </row>
    <row r="78" spans="1:38" ht="18" thickTop="1" thickBot="1" x14ac:dyDescent="0.3">
      <c r="A78" s="42"/>
      <c r="B78" s="194"/>
      <c r="C78" s="48" t="s">
        <v>22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62"/>
      <c r="R78" s="49"/>
      <c r="S78" s="49"/>
      <c r="T78" s="49"/>
      <c r="U78" s="49"/>
      <c r="V78" s="49"/>
      <c r="W78" s="49"/>
      <c r="X78" s="62"/>
      <c r="Y78" s="49"/>
      <c r="Z78" s="49"/>
      <c r="AA78" s="49"/>
      <c r="AB78" s="49"/>
      <c r="AC78" s="49"/>
      <c r="AD78" s="49"/>
      <c r="AE78" s="62"/>
      <c r="AF78" s="49"/>
      <c r="AG78" s="49"/>
      <c r="AH78" s="49"/>
      <c r="AI78" s="45"/>
      <c r="AJ78" s="50"/>
      <c r="AK78" s="33"/>
      <c r="AL78" s="33"/>
    </row>
    <row r="79" spans="1:38" ht="16.5" thickTop="1" thickBot="1" x14ac:dyDescent="0.3">
      <c r="A79" s="42"/>
      <c r="B79" s="195"/>
      <c r="C79" s="48" t="s">
        <v>24</v>
      </c>
      <c r="D79" s="51">
        <f>IFERROR(D77-D76-D78,0)</f>
        <v>0</v>
      </c>
      <c r="E79" s="51">
        <f t="shared" ref="E79:AH79" si="10">IFERROR(E77-E76-E78,0)</f>
        <v>0</v>
      </c>
      <c r="F79" s="51">
        <f t="shared" si="10"/>
        <v>0</v>
      </c>
      <c r="G79" s="51">
        <f t="shared" si="10"/>
        <v>0</v>
      </c>
      <c r="H79" s="51">
        <f t="shared" si="10"/>
        <v>0</v>
      </c>
      <c r="I79" s="51">
        <f t="shared" si="10"/>
        <v>0</v>
      </c>
      <c r="J79" s="51">
        <f t="shared" si="10"/>
        <v>0</v>
      </c>
      <c r="K79" s="51">
        <f t="shared" si="10"/>
        <v>0</v>
      </c>
      <c r="L79" s="51">
        <f t="shared" si="10"/>
        <v>0</v>
      </c>
      <c r="M79" s="51">
        <f t="shared" si="10"/>
        <v>0</v>
      </c>
      <c r="N79" s="51">
        <f t="shared" si="10"/>
        <v>0</v>
      </c>
      <c r="O79" s="51">
        <f t="shared" si="10"/>
        <v>0</v>
      </c>
      <c r="P79" s="51">
        <f t="shared" si="10"/>
        <v>0</v>
      </c>
      <c r="Q79" s="51">
        <f t="shared" si="10"/>
        <v>0</v>
      </c>
      <c r="R79" s="51">
        <f t="shared" si="10"/>
        <v>0</v>
      </c>
      <c r="S79" s="51">
        <f t="shared" si="10"/>
        <v>0</v>
      </c>
      <c r="T79" s="51">
        <f t="shared" si="10"/>
        <v>0</v>
      </c>
      <c r="U79" s="51">
        <f t="shared" si="10"/>
        <v>0</v>
      </c>
      <c r="V79" s="51">
        <f t="shared" si="10"/>
        <v>0</v>
      </c>
      <c r="W79" s="51">
        <f t="shared" si="10"/>
        <v>0</v>
      </c>
      <c r="X79" s="51">
        <f t="shared" si="10"/>
        <v>0</v>
      </c>
      <c r="Y79" s="51">
        <f t="shared" si="10"/>
        <v>0</v>
      </c>
      <c r="Z79" s="51">
        <f t="shared" si="10"/>
        <v>0</v>
      </c>
      <c r="AA79" s="51">
        <f t="shared" si="10"/>
        <v>0</v>
      </c>
      <c r="AB79" s="51">
        <f t="shared" si="10"/>
        <v>0</v>
      </c>
      <c r="AC79" s="51">
        <f t="shared" si="10"/>
        <v>0</v>
      </c>
      <c r="AD79" s="51">
        <f t="shared" si="10"/>
        <v>0</v>
      </c>
      <c r="AE79" s="51">
        <f t="shared" si="10"/>
        <v>0</v>
      </c>
      <c r="AF79" s="51">
        <f t="shared" si="10"/>
        <v>0</v>
      </c>
      <c r="AG79" s="51">
        <f t="shared" si="10"/>
        <v>0</v>
      </c>
      <c r="AH79" s="52">
        <f t="shared" si="10"/>
        <v>0</v>
      </c>
      <c r="AI79" s="45"/>
      <c r="AJ79" s="39">
        <f>SUM(D79:AH79)</f>
        <v>0</v>
      </c>
      <c r="AK79" s="33"/>
      <c r="AL79" s="33"/>
    </row>
    <row r="80" spans="1:38" ht="18" thickTop="1" thickBot="1" x14ac:dyDescent="0.3">
      <c r="A80" s="42"/>
      <c r="B80" s="195"/>
      <c r="C80" s="48" t="s">
        <v>25</v>
      </c>
      <c r="D80" s="53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5"/>
      <c r="AI80" s="45"/>
      <c r="AJ80" s="50"/>
      <c r="AK80" s="33"/>
      <c r="AL80" s="33"/>
    </row>
    <row r="81" spans="1:38" ht="16.5" thickTop="1" thickBot="1" x14ac:dyDescent="0.3">
      <c r="A81" s="56"/>
      <c r="B81" s="196"/>
      <c r="C81" s="57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9"/>
      <c r="AI81" s="60"/>
      <c r="AJ81" s="61"/>
      <c r="AK81" s="46"/>
      <c r="AL81" s="46"/>
    </row>
    <row r="82" spans="1:38" x14ac:dyDescent="0.25">
      <c r="A82" s="65"/>
      <c r="B82" s="66"/>
      <c r="D82" s="67"/>
    </row>
    <row r="83" spans="1:38" ht="15.75" thickBot="1" x14ac:dyDescent="0.3">
      <c r="A83" s="65"/>
      <c r="B83" s="66"/>
      <c r="D83" s="68"/>
    </row>
    <row r="84" spans="1:38" x14ac:dyDescent="0.25">
      <c r="A84" s="65"/>
      <c r="B84" s="69" t="s">
        <v>33</v>
      </c>
    </row>
    <row r="85" spans="1:38" x14ac:dyDescent="0.25">
      <c r="A85" s="65"/>
    </row>
    <row r="87" spans="1:38" x14ac:dyDescent="0.25">
      <c r="A87" s="70">
        <v>1</v>
      </c>
      <c r="B87" s="70" t="s">
        <v>21</v>
      </c>
      <c r="D87" s="71" t="s">
        <v>34</v>
      </c>
    </row>
    <row r="88" spans="1:38" x14ac:dyDescent="0.25">
      <c r="A88" s="70">
        <v>2</v>
      </c>
      <c r="B88" s="70" t="s">
        <v>26</v>
      </c>
      <c r="D88" s="71" t="s">
        <v>34</v>
      </c>
    </row>
    <row r="89" spans="1:38" x14ac:dyDescent="0.25">
      <c r="A89" s="70">
        <v>3</v>
      </c>
      <c r="B89" s="70" t="s">
        <v>28</v>
      </c>
      <c r="D89" s="71" t="s">
        <v>34</v>
      </c>
    </row>
    <row r="90" spans="1:38" x14ac:dyDescent="0.25">
      <c r="A90" s="70">
        <v>4</v>
      </c>
      <c r="B90" s="70" t="s">
        <v>29</v>
      </c>
      <c r="D90" s="71" t="s">
        <v>34</v>
      </c>
    </row>
    <row r="91" spans="1:38" x14ac:dyDescent="0.25">
      <c r="A91" s="70">
        <v>5</v>
      </c>
      <c r="B91" s="70" t="s">
        <v>31</v>
      </c>
      <c r="D91" s="71" t="s">
        <v>34</v>
      </c>
    </row>
    <row r="92" spans="1:38" x14ac:dyDescent="0.25">
      <c r="A92" s="70">
        <v>6</v>
      </c>
      <c r="B92" s="70" t="s">
        <v>35</v>
      </c>
      <c r="D92" s="71" t="s">
        <v>34</v>
      </c>
    </row>
    <row r="93" spans="1:38" x14ac:dyDescent="0.25">
      <c r="A93" s="70">
        <v>7</v>
      </c>
      <c r="B93" s="70" t="s">
        <v>36</v>
      </c>
      <c r="D93" s="71" t="s">
        <v>34</v>
      </c>
    </row>
    <row r="94" spans="1:38" x14ac:dyDescent="0.25">
      <c r="A94" s="70">
        <v>8</v>
      </c>
      <c r="B94" s="70" t="s">
        <v>37</v>
      </c>
      <c r="D94" s="71" t="s">
        <v>34</v>
      </c>
    </row>
    <row r="95" spans="1:38" x14ac:dyDescent="0.25">
      <c r="A95" s="70">
        <v>9</v>
      </c>
      <c r="B95" s="70" t="s">
        <v>38</v>
      </c>
      <c r="D95" s="71" t="s">
        <v>34</v>
      </c>
    </row>
    <row r="96" spans="1:38" x14ac:dyDescent="0.25">
      <c r="A96" s="70">
        <v>10</v>
      </c>
      <c r="B96" s="70" t="s">
        <v>39</v>
      </c>
      <c r="D96" s="71" t="s">
        <v>34</v>
      </c>
    </row>
    <row r="97" spans="1:4" x14ac:dyDescent="0.25">
      <c r="A97" s="70">
        <v>11</v>
      </c>
      <c r="B97" s="70" t="s">
        <v>40</v>
      </c>
      <c r="D97" s="71" t="s">
        <v>34</v>
      </c>
    </row>
    <row r="98" spans="1:4" x14ac:dyDescent="0.25">
      <c r="A98" s="70">
        <v>12</v>
      </c>
      <c r="B98" s="70" t="s">
        <v>41</v>
      </c>
      <c r="D98" s="71" t="s">
        <v>34</v>
      </c>
    </row>
    <row r="99" spans="1:4" x14ac:dyDescent="0.25">
      <c r="A99" s="70">
        <v>13</v>
      </c>
      <c r="B99" s="70" t="s">
        <v>42</v>
      </c>
      <c r="D99" s="71" t="s">
        <v>34</v>
      </c>
    </row>
    <row r="100" spans="1:4" x14ac:dyDescent="0.25">
      <c r="A100" s="70">
        <v>14</v>
      </c>
      <c r="B100" s="70" t="s">
        <v>43</v>
      </c>
      <c r="D100" s="71" t="s">
        <v>34</v>
      </c>
    </row>
    <row r="101" spans="1:4" x14ac:dyDescent="0.25">
      <c r="A101" s="70">
        <v>15</v>
      </c>
      <c r="B101" s="70" t="s">
        <v>44</v>
      </c>
      <c r="D101" s="71" t="s">
        <v>34</v>
      </c>
    </row>
    <row r="102" spans="1:4" x14ac:dyDescent="0.25">
      <c r="A102" s="70">
        <v>16</v>
      </c>
      <c r="B102" s="70" t="s">
        <v>45</v>
      </c>
      <c r="D102" s="71" t="s">
        <v>34</v>
      </c>
    </row>
    <row r="103" spans="1:4" x14ac:dyDescent="0.25">
      <c r="A103" s="70">
        <v>17</v>
      </c>
      <c r="B103" s="70" t="s">
        <v>46</v>
      </c>
      <c r="D103" s="71" t="s">
        <v>34</v>
      </c>
    </row>
    <row r="104" spans="1:4" x14ac:dyDescent="0.25">
      <c r="A104" s="70">
        <v>18</v>
      </c>
      <c r="B104" s="70" t="s">
        <v>47</v>
      </c>
      <c r="D104" s="71" t="s">
        <v>34</v>
      </c>
    </row>
    <row r="105" spans="1:4" x14ac:dyDescent="0.25">
      <c r="A105" s="70">
        <v>19</v>
      </c>
      <c r="B105" s="70" t="s">
        <v>48</v>
      </c>
      <c r="D105" s="71" t="s">
        <v>34</v>
      </c>
    </row>
    <row r="106" spans="1:4" x14ac:dyDescent="0.25">
      <c r="A106" s="70">
        <v>20</v>
      </c>
      <c r="B106" s="70" t="s">
        <v>49</v>
      </c>
      <c r="D106" s="71" t="s">
        <v>34</v>
      </c>
    </row>
    <row r="107" spans="1:4" x14ac:dyDescent="0.25">
      <c r="A107" s="70">
        <v>21</v>
      </c>
      <c r="B107" s="70" t="s">
        <v>50</v>
      </c>
      <c r="D107" s="71" t="s">
        <v>34</v>
      </c>
    </row>
    <row r="108" spans="1:4" x14ac:dyDescent="0.25">
      <c r="A108" s="70">
        <v>22</v>
      </c>
      <c r="B108" s="70" t="s">
        <v>51</v>
      </c>
      <c r="D108" s="71" t="s">
        <v>34</v>
      </c>
    </row>
  </sheetData>
  <mergeCells count="59">
    <mergeCell ref="AM1:AN1"/>
    <mergeCell ref="AM2:AN2"/>
    <mergeCell ref="AM3:AN3"/>
    <mergeCell ref="AM4:AN4"/>
    <mergeCell ref="P19:P20"/>
    <mergeCell ref="A17:AI17"/>
    <mergeCell ref="AJ17:AL17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Z19:Z20"/>
    <mergeCell ref="AA19:AA20"/>
    <mergeCell ref="AB19:AB20"/>
    <mergeCell ref="Q19:Q20"/>
    <mergeCell ref="R19:R20"/>
    <mergeCell ref="S19:S20"/>
    <mergeCell ref="T19:T20"/>
    <mergeCell ref="U19:U20"/>
    <mergeCell ref="V19:V20"/>
    <mergeCell ref="B49:B51"/>
    <mergeCell ref="AI19:AJ19"/>
    <mergeCell ref="AK19:AL19"/>
    <mergeCell ref="B22:B24"/>
    <mergeCell ref="B25:B27"/>
    <mergeCell ref="B28:B30"/>
    <mergeCell ref="B31:B33"/>
    <mergeCell ref="AC19:AC20"/>
    <mergeCell ref="AD19:AD20"/>
    <mergeCell ref="AE19:AE20"/>
    <mergeCell ref="AF19:AF20"/>
    <mergeCell ref="AG19:AG20"/>
    <mergeCell ref="AH19:AH20"/>
    <mergeCell ref="W19:W20"/>
    <mergeCell ref="X19:X20"/>
    <mergeCell ref="Y19:Y20"/>
    <mergeCell ref="B34:B36"/>
    <mergeCell ref="B37:B39"/>
    <mergeCell ref="B40:B42"/>
    <mergeCell ref="B43:B45"/>
    <mergeCell ref="B46:B48"/>
    <mergeCell ref="B67:B69"/>
    <mergeCell ref="B70:B72"/>
    <mergeCell ref="B73:B75"/>
    <mergeCell ref="B76:B78"/>
    <mergeCell ref="B79:B81"/>
    <mergeCell ref="B52:B54"/>
    <mergeCell ref="B55:B57"/>
    <mergeCell ref="B58:B60"/>
    <mergeCell ref="B61:B63"/>
    <mergeCell ref="B64:B66"/>
  </mergeCells>
  <conditionalFormatting sqref="AJ25">
    <cfRule type="expression" dxfId="13" priority="11">
      <formula>TRUNC(AJ22*24)&lt;&gt;AL22</formula>
    </cfRule>
  </conditionalFormatting>
  <conditionalFormatting sqref="AJ31">
    <cfRule type="expression" dxfId="12" priority="9">
      <formula>TRUNC(AJ28*24)&lt;&gt;AL28</formula>
    </cfRule>
  </conditionalFormatting>
  <conditionalFormatting sqref="AJ37">
    <cfRule type="expression" dxfId="11" priority="8">
      <formula>TRUNC(AJ34*24)&lt;&gt;AL34</formula>
    </cfRule>
  </conditionalFormatting>
  <conditionalFormatting sqref="AJ43">
    <cfRule type="expression" dxfId="10" priority="7">
      <formula>TRUNC(AJ40*24)&lt;&gt;AL40</formula>
    </cfRule>
  </conditionalFormatting>
  <conditionalFormatting sqref="AJ49">
    <cfRule type="expression" dxfId="9" priority="6">
      <formula>TRUNC(AJ46*24)&lt;&gt;AL46</formula>
    </cfRule>
  </conditionalFormatting>
  <conditionalFormatting sqref="AJ55">
    <cfRule type="expression" dxfId="8" priority="5">
      <formula>TRUNC(AJ52*24)&lt;&gt;AL52</formula>
    </cfRule>
  </conditionalFormatting>
  <conditionalFormatting sqref="AJ61">
    <cfRule type="expression" dxfId="7" priority="4">
      <formula>TRUNC(AJ58*24)&lt;&gt;AL58</formula>
    </cfRule>
  </conditionalFormatting>
  <conditionalFormatting sqref="AJ67">
    <cfRule type="expression" dxfId="6" priority="3">
      <formula>TRUNC(AJ64*24)&lt;&gt;AL64</formula>
    </cfRule>
  </conditionalFormatting>
  <conditionalFormatting sqref="AJ73">
    <cfRule type="expression" dxfId="5" priority="2">
      <formula>TRUNC(AJ70*24)&lt;&gt;AL70</formula>
    </cfRule>
  </conditionalFormatting>
  <conditionalFormatting sqref="AJ79">
    <cfRule type="expression" dxfId="4" priority="1">
      <formula>TRUNC(AJ76*24)&lt;&gt;AL76</formula>
    </cfRule>
  </conditionalFormatting>
  <conditionalFormatting sqref="D52:AH54 D58:AH60 D64:AH66 D70:AH72 D76:AH78 D22:AH24 D28:AH30 D34:AH36 D40:AH42 D46:AH48">
    <cfRule type="expression" dxfId="3" priority="14">
      <formula>WEEKDAY(DATE($AO$9,$AO$8,D$19),2)&gt;5</formula>
    </cfRule>
  </conditionalFormatting>
  <conditionalFormatting sqref="D19:AH81">
    <cfRule type="expression" dxfId="2" priority="24">
      <formula>WEEKDAY(DATE($AO$9,$AO$8,D$19),2)&gt;5</formula>
    </cfRule>
  </conditionalFormatting>
  <conditionalFormatting sqref="AJ22 AJ28 AJ34 AJ40 AJ46 AJ52 AJ58 AJ64 AJ70 AJ76">
    <cfRule type="cellIs" dxfId="1" priority="25" operator="notEqual">
      <formula>#REF!</formula>
    </cfRule>
  </conditionalFormatting>
  <dataValidations count="1">
    <dataValidation type="list" allowBlank="1" showInputMessage="1" showErrorMessage="1" sqref="D78:AH78 D24:AH24 D42:AH42 D30:AH30 D36:AH36 D48:AH48 D54:AH54 D60:AH60 D66:AH66 D72:AH72" xr:uid="{00000000-0002-0000-0000-000000000000}">
      <formula1>$AO$10:$AO$12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AI52:AJ52 AI58:AJ58 AI64:AJ64 AI70:AJ70 AI76:AJ76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Легенда!$D$2:$D$13</xm:f>
          </x14:formula1>
          <xm:sqref>AJ17:AL17</xm:sqref>
        </x14:dataValidation>
        <x14:dataValidation type="list" allowBlank="1" showInputMessage="1" showErrorMessage="1" xr:uid="{00000000-0002-0000-0000-000002000000}">
          <x14:formula1>
            <xm:f>Легенда!$E$2:$E$90</xm:f>
          </x14:formula1>
          <xm:sqref>D74:AH77 D80:AH81 D22:AH23 D32:AH35 D38:AH41 D26:AH29 D44:AH47 D50:AH53 D56:AH59 D62:AH65 D68:AH71</xm:sqref>
        </x14:dataValidation>
        <x14:dataValidation type="list" allowBlank="1" showInputMessage="1" showErrorMessage="1" xr:uid="{00000000-0002-0000-0000-000003000000}">
          <x14:formula1>
            <xm:f>Легенда!$A$2:$A$25</xm:f>
          </x14:formula1>
          <xm:sqref>B22:B24 B28:B30 B34:B36 B40:B42 B46:B48 B52:B54 B58:B60 B64:B66 B70:B72 B76:B78</xm:sqref>
        </x14:dataValidation>
        <x14:dataValidation type="list" allowBlank="1" showInputMessage="1" showErrorMessage="1" xr:uid="{00000000-0002-0000-0000-000004000000}">
          <x14:formula1>
            <xm:f>Легенда!$B$2:$B$11</xm:f>
          </x14:formula1>
          <xm:sqref>B25:B27 B31:B33 B37:B39 B43:B45 B49:B51 B55:B57 B61:B63 B67:B69 B73:B75 B79:B81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E36"/>
  <sheetViews>
    <sheetView showGridLines="0" zoomScale="70" zoomScaleNormal="70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F33" sqref="F33"/>
    </sheetView>
  </sheetViews>
  <sheetFormatPr defaultRowHeight="15" outlineLevelRow="1" outlineLevelCol="1" x14ac:dyDescent="0.25"/>
  <cols>
    <col min="1" max="1" width="2.7109375" customWidth="1"/>
    <col min="2" max="2" width="8.140625" hidden="1" customWidth="1" outlineLevel="1"/>
    <col min="3" max="3" width="23.85546875" customWidth="1" collapsed="1"/>
    <col min="4" max="4" width="23.85546875" customWidth="1"/>
    <col min="5" max="5" width="3.7109375" customWidth="1"/>
    <col min="6" max="36" width="6.42578125" customWidth="1"/>
    <col min="37" max="37" width="10.28515625" customWidth="1"/>
    <col min="38" max="38" width="15" customWidth="1"/>
    <col min="39" max="39" width="3.7109375" customWidth="1"/>
    <col min="40" max="40" width="4.140625" customWidth="1"/>
    <col min="41" max="46" width="3.7109375" customWidth="1"/>
    <col min="47" max="47" width="4.85546875" customWidth="1"/>
    <col min="48" max="50" width="3.7109375" customWidth="1"/>
    <col min="51" max="51" width="4.42578125" customWidth="1"/>
    <col min="52" max="56" width="3.7109375" customWidth="1"/>
    <col min="57" max="57" width="6" customWidth="1"/>
  </cols>
  <sheetData>
    <row r="1" spans="1:57" hidden="1" outlineLevel="1" x14ac:dyDescent="0.25"/>
    <row r="2" spans="1:57" hidden="1" outlineLevel="1" x14ac:dyDescent="0.25"/>
    <row r="3" spans="1:57" hidden="1" outlineLevel="1" x14ac:dyDescent="0.25"/>
    <row r="4" spans="1:57" hidden="1" outlineLevel="1" x14ac:dyDescent="0.25"/>
    <row r="5" spans="1:57" ht="15" hidden="1" customHeight="1" outlineLevel="1" x14ac:dyDescent="0.25">
      <c r="A5" s="182" t="s">
        <v>52</v>
      </c>
      <c r="B5" s="181"/>
      <c r="C5" s="181"/>
      <c r="D5" s="181"/>
      <c r="E5" s="181"/>
      <c r="F5" s="181"/>
      <c r="G5" s="181"/>
      <c r="H5" s="76"/>
      <c r="I5" s="76"/>
      <c r="J5" s="76"/>
      <c r="K5" s="76"/>
      <c r="L5" s="76"/>
      <c r="M5" s="76"/>
      <c r="N5" s="76"/>
      <c r="O5" s="76"/>
      <c r="P5" s="74"/>
      <c r="Q5" s="74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7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8"/>
      <c r="AY5" s="78"/>
      <c r="AZ5" s="78"/>
      <c r="BA5" s="72"/>
      <c r="BB5" s="72"/>
      <c r="BC5" s="72"/>
      <c r="BD5" s="72"/>
      <c r="BE5" s="72"/>
    </row>
    <row r="6" spans="1:57" ht="18.75" customHeight="1" collapsed="1" x14ac:dyDescent="0.25">
      <c r="A6" s="72"/>
      <c r="B6" s="73"/>
      <c r="C6" s="79"/>
      <c r="D6" s="73"/>
      <c r="E6" s="72"/>
      <c r="F6" s="72"/>
      <c r="G6" s="72"/>
      <c r="H6" s="72"/>
      <c r="I6" s="180"/>
      <c r="J6" s="180"/>
      <c r="K6" s="180"/>
      <c r="L6" s="180"/>
      <c r="M6" s="180"/>
      <c r="N6" s="180"/>
      <c r="O6" s="180"/>
      <c r="P6" s="180"/>
      <c r="Q6" s="188"/>
      <c r="R6" s="188"/>
      <c r="S6" s="188"/>
      <c r="T6" s="188"/>
      <c r="U6" s="188" t="s">
        <v>53</v>
      </c>
      <c r="V6" s="188"/>
      <c r="W6" s="188"/>
      <c r="X6" s="80"/>
      <c r="Y6" s="80"/>
      <c r="Z6" s="80"/>
      <c r="AA6" s="80"/>
      <c r="AB6" s="80"/>
      <c r="AC6" s="80"/>
      <c r="AD6" s="80"/>
      <c r="AE6" s="72"/>
      <c r="AF6" s="72"/>
      <c r="AG6" s="72"/>
      <c r="AH6" s="72"/>
      <c r="AI6" s="72"/>
      <c r="AJ6" s="72"/>
      <c r="AK6" s="72"/>
      <c r="AL6" s="81"/>
      <c r="AM6" s="81"/>
      <c r="AN6" s="81"/>
      <c r="AO6" s="81"/>
      <c r="AP6" s="82" t="s">
        <v>54</v>
      </c>
      <c r="AQ6" s="82"/>
      <c r="AR6" s="83"/>
      <c r="AS6" s="83"/>
      <c r="AT6" s="83"/>
      <c r="AU6" s="82" t="s">
        <v>55</v>
      </c>
      <c r="AV6" s="84"/>
      <c r="AW6" s="85"/>
      <c r="AX6" s="85"/>
      <c r="AY6" s="85"/>
      <c r="AZ6" s="84"/>
      <c r="BA6" s="84"/>
      <c r="BB6" s="86"/>
      <c r="BC6" s="86"/>
      <c r="BD6" s="72"/>
      <c r="BE6" s="72"/>
    </row>
    <row r="7" spans="1:57" ht="15.75" customHeight="1" x14ac:dyDescent="0.25">
      <c r="A7" s="72"/>
      <c r="B7" s="73"/>
      <c r="C7" s="72"/>
      <c r="D7" s="87"/>
      <c r="E7" s="79"/>
      <c r="F7" s="79"/>
      <c r="G7" s="79"/>
      <c r="H7" s="79"/>
      <c r="I7" s="79"/>
      <c r="J7" s="166"/>
      <c r="K7" s="166" t="s">
        <v>56</v>
      </c>
      <c r="L7" s="79"/>
      <c r="M7" s="166"/>
      <c r="N7" s="79"/>
      <c r="O7" s="165"/>
      <c r="P7" s="79"/>
      <c r="Q7" s="79"/>
      <c r="R7" s="271">
        <f>IF(DAY(ГРАФИК!A17)&gt;=28,EDATE(ГРАФИК!A17,1),ГРАФИК!A17)</f>
        <v>44075</v>
      </c>
      <c r="S7" s="271"/>
      <c r="T7" s="271"/>
      <c r="U7" s="271"/>
      <c r="V7" s="271"/>
      <c r="W7" s="79" t="s">
        <v>57</v>
      </c>
      <c r="X7" s="79"/>
      <c r="Y7" s="79"/>
      <c r="Z7" s="79"/>
      <c r="AA7" s="79"/>
      <c r="AB7" s="79"/>
      <c r="AC7" s="79"/>
      <c r="AD7" s="79"/>
      <c r="AE7" s="88"/>
      <c r="AF7" s="88"/>
      <c r="AG7" s="88"/>
      <c r="AH7" s="88"/>
      <c r="AI7" s="88"/>
      <c r="AJ7" s="88"/>
      <c r="AK7" s="88"/>
      <c r="AL7" s="89"/>
      <c r="AM7" s="89"/>
      <c r="AN7" s="89"/>
      <c r="AO7" s="89"/>
      <c r="AP7" s="89"/>
      <c r="AQ7" s="89" t="s">
        <v>58</v>
      </c>
      <c r="AR7" s="89"/>
      <c r="AS7" s="89"/>
      <c r="AT7" s="89"/>
      <c r="AU7" s="90">
        <f>VLOOKUP(AL8,'Нормы раб.времени'!$A$6:$H$24,4,0)</f>
        <v>22</v>
      </c>
      <c r="AV7" s="91"/>
      <c r="AW7" s="91"/>
      <c r="AX7" s="91"/>
      <c r="AY7" s="91"/>
      <c r="AZ7" s="92" t="s">
        <v>59</v>
      </c>
      <c r="BA7" s="91"/>
      <c r="BB7" s="91"/>
      <c r="BC7" s="91"/>
      <c r="BD7" s="91"/>
      <c r="BE7" s="93">
        <f>VLOOKUP(AL8,'Нормы раб.времени'!$A$6:$H$24,6,0)</f>
        <v>176</v>
      </c>
    </row>
    <row r="8" spans="1:57" ht="15.75" thickBot="1" x14ac:dyDescent="0.3">
      <c r="A8" s="72"/>
      <c r="B8" s="73"/>
      <c r="C8" s="72"/>
      <c r="D8" s="73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179" t="s">
        <v>60</v>
      </c>
      <c r="S8" s="179"/>
      <c r="T8" s="179"/>
      <c r="U8" s="179"/>
      <c r="V8" s="179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94" t="s">
        <v>11</v>
      </c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</row>
    <row r="9" spans="1:57" ht="15.75" thickBot="1" x14ac:dyDescent="0.3">
      <c r="A9" s="272" t="s">
        <v>61</v>
      </c>
      <c r="B9" s="256" t="s">
        <v>62</v>
      </c>
      <c r="C9" s="275" t="s">
        <v>13</v>
      </c>
      <c r="D9" s="278" t="s">
        <v>16</v>
      </c>
      <c r="E9" s="256" t="s">
        <v>63</v>
      </c>
      <c r="F9" s="281" t="s">
        <v>64</v>
      </c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95" t="s">
        <v>5</v>
      </c>
      <c r="AL9" s="263" t="s">
        <v>65</v>
      </c>
      <c r="AM9" s="263"/>
      <c r="AN9" s="263"/>
      <c r="AO9" s="263"/>
      <c r="AP9" s="263"/>
      <c r="AQ9" s="263"/>
      <c r="AR9" s="263"/>
      <c r="AS9" s="264"/>
      <c r="AT9" s="237" t="s">
        <v>66</v>
      </c>
      <c r="AU9" s="262" t="s">
        <v>67</v>
      </c>
      <c r="AV9" s="263"/>
      <c r="AW9" s="263"/>
      <c r="AX9" s="263"/>
      <c r="AY9" s="263"/>
      <c r="AZ9" s="263"/>
      <c r="BA9" s="263"/>
      <c r="BB9" s="263"/>
      <c r="BC9" s="263"/>
      <c r="BD9" s="268" t="s">
        <v>68</v>
      </c>
    </row>
    <row r="10" spans="1:57" ht="15.75" thickBot="1" x14ac:dyDescent="0.3">
      <c r="A10" s="273"/>
      <c r="B10" s="257"/>
      <c r="C10" s="276"/>
      <c r="D10" s="279"/>
      <c r="E10" s="257"/>
      <c r="F10" s="253">
        <f>IF(1&lt;=ГРАФИК!$AO$7,1,"-")</f>
        <v>1</v>
      </c>
      <c r="G10" s="253">
        <f>IF(2&lt;=ГРАФИК!$AO$7,2,"-")</f>
        <v>2</v>
      </c>
      <c r="H10" s="265">
        <f>IF(3&lt;=ГРАФИК!$AO$7,3,"-")</f>
        <v>3</v>
      </c>
      <c r="I10" s="265">
        <f>IF(4&lt;=ГРАФИК!$AO$7,4,"-")</f>
        <v>4</v>
      </c>
      <c r="J10" s="265">
        <f>IF(5&lt;=ГРАФИК!$AO$7,5,"-")</f>
        <v>5</v>
      </c>
      <c r="K10" s="265">
        <f>IF(6&lt;=ГРАФИК!$AO$7,6,"-")</f>
        <v>6</v>
      </c>
      <c r="L10" s="265">
        <f>IF(7&lt;=ГРАФИК!$AO$7,7,"-")</f>
        <v>7</v>
      </c>
      <c r="M10" s="265">
        <f>IF(8&lt;=ГРАФИК!$AO$7,8,"-")</f>
        <v>8</v>
      </c>
      <c r="N10" s="265">
        <f>IF(9&lt;=ГРАФИК!$AO$7,9,"-")</f>
        <v>9</v>
      </c>
      <c r="O10" s="265">
        <f>IF(10&lt;=ГРАФИК!$AO$7,10,"-")</f>
        <v>10</v>
      </c>
      <c r="P10" s="265">
        <f>IF(11&lt;=ГРАФИК!$AO$7,11,"-")</f>
        <v>11</v>
      </c>
      <c r="Q10" s="265">
        <f>IF(12&lt;=ГРАФИК!$AO$7,12,"-")</f>
        <v>12</v>
      </c>
      <c r="R10" s="265">
        <f>IF(13&lt;=ГРАФИК!$AO$7,13,"-")</f>
        <v>13</v>
      </c>
      <c r="S10" s="265">
        <f>IF(14&lt;=ГРАФИК!$AO$7,14,"-")</f>
        <v>14</v>
      </c>
      <c r="T10" s="265">
        <f>IF(15&lt;=ГРАФИК!$AO$7,15,"-")</f>
        <v>15</v>
      </c>
      <c r="U10" s="253">
        <f>IF(16&lt;=ГРАФИК!$AO$7,16,"-")</f>
        <v>16</v>
      </c>
      <c r="V10" s="253">
        <f>IF(17&lt;=ГРАФИК!$AO$7,17,"-")</f>
        <v>17</v>
      </c>
      <c r="W10" s="253">
        <f>IF(18&lt;=ГРАФИК!$AO$7,18,"-")</f>
        <v>18</v>
      </c>
      <c r="X10" s="253">
        <f>IF(19&lt;=ГРАФИК!$AO$7,19,"-")</f>
        <v>19</v>
      </c>
      <c r="Y10" s="253">
        <f>IF(20&lt;=ГРАФИК!$AO$7,20,"-")</f>
        <v>20</v>
      </c>
      <c r="Z10" s="253">
        <f>IF(21&lt;=ГРАФИК!$AO$7,21,"-")</f>
        <v>21</v>
      </c>
      <c r="AA10" s="253">
        <f>IF(22&lt;=ГРАФИК!$AO$7,22,"-")</f>
        <v>22</v>
      </c>
      <c r="AB10" s="253">
        <f>IF(23&lt;=ГРАФИК!$AO$7,23,"-")</f>
        <v>23</v>
      </c>
      <c r="AC10" s="253">
        <f>IF(24&lt;=ГРАФИК!$AO$7,24,"-")</f>
        <v>24</v>
      </c>
      <c r="AD10" s="253">
        <f>IF(25&lt;=ГРАФИК!$AO$7,25,"-")</f>
        <v>25</v>
      </c>
      <c r="AE10" s="253">
        <f>IF(26&lt;=ГРАФИК!$AO$7,26,"-")</f>
        <v>26</v>
      </c>
      <c r="AF10" s="253">
        <f>IF(27&lt;=ГРАФИК!$AO$7,27,"-")</f>
        <v>27</v>
      </c>
      <c r="AG10" s="253">
        <f>IF(28&lt;=ГРАФИК!$AO$7,28,"-")</f>
        <v>28</v>
      </c>
      <c r="AH10" s="253">
        <f>IF(29&lt;=ГРАФИК!$AO$7,29,"-")</f>
        <v>29</v>
      </c>
      <c r="AI10" s="253">
        <f>IF(30&lt;=ГРАФИК!$AO$7,30,"-")</f>
        <v>30</v>
      </c>
      <c r="AJ10" s="253" t="str">
        <f>IF(31&lt;=ГРАФИК!$AO$7,31,"-")</f>
        <v>-</v>
      </c>
      <c r="AK10" s="256" t="s">
        <v>69</v>
      </c>
      <c r="AL10" s="259" t="s">
        <v>70</v>
      </c>
      <c r="AM10" s="262" t="s">
        <v>19</v>
      </c>
      <c r="AN10" s="263"/>
      <c r="AO10" s="263"/>
      <c r="AP10" s="263"/>
      <c r="AQ10" s="263"/>
      <c r="AR10" s="263"/>
      <c r="AS10" s="264"/>
      <c r="AT10" s="238"/>
      <c r="AU10" s="237" t="s">
        <v>71</v>
      </c>
      <c r="AV10" s="237" t="s">
        <v>72</v>
      </c>
      <c r="AW10" s="237" t="s">
        <v>73</v>
      </c>
      <c r="AX10" s="237" t="s">
        <v>74</v>
      </c>
      <c r="AY10" s="237" t="s">
        <v>75</v>
      </c>
      <c r="AZ10" s="237" t="s">
        <v>76</v>
      </c>
      <c r="BA10" s="237" t="s">
        <v>77</v>
      </c>
      <c r="BB10" s="237" t="s">
        <v>78</v>
      </c>
      <c r="BC10" s="240" t="s">
        <v>79</v>
      </c>
      <c r="BD10" s="269"/>
    </row>
    <row r="11" spans="1:57" ht="15.75" thickBot="1" x14ac:dyDescent="0.3">
      <c r="A11" s="273"/>
      <c r="B11" s="257"/>
      <c r="C11" s="276"/>
      <c r="D11" s="279"/>
      <c r="E11" s="257"/>
      <c r="F11" s="254"/>
      <c r="G11" s="254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7"/>
      <c r="AL11" s="260"/>
      <c r="AM11" s="243" t="s">
        <v>70</v>
      </c>
      <c r="AN11" s="245" t="s">
        <v>80</v>
      </c>
      <c r="AO11" s="246"/>
      <c r="AP11" s="246"/>
      <c r="AQ11" s="246"/>
      <c r="AR11" s="246"/>
      <c r="AS11" s="247"/>
      <c r="AT11" s="238"/>
      <c r="AU11" s="238"/>
      <c r="AV11" s="238"/>
      <c r="AW11" s="238"/>
      <c r="AX11" s="238"/>
      <c r="AY11" s="238"/>
      <c r="AZ11" s="238"/>
      <c r="BA11" s="238"/>
      <c r="BB11" s="238"/>
      <c r="BC11" s="241"/>
      <c r="BD11" s="269"/>
    </row>
    <row r="12" spans="1:57" ht="82.5" thickBot="1" x14ac:dyDescent="0.3">
      <c r="A12" s="274"/>
      <c r="B12" s="258"/>
      <c r="C12" s="277"/>
      <c r="D12" s="280"/>
      <c r="E12" s="258"/>
      <c r="F12" s="255"/>
      <c r="G12" s="255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8"/>
      <c r="AL12" s="261"/>
      <c r="AM12" s="244"/>
      <c r="AN12" s="96" t="s">
        <v>81</v>
      </c>
      <c r="AO12" s="97" t="s">
        <v>82</v>
      </c>
      <c r="AP12" s="98" t="s">
        <v>83</v>
      </c>
      <c r="AQ12" s="96" t="s">
        <v>84</v>
      </c>
      <c r="AR12" s="99" t="s">
        <v>85</v>
      </c>
      <c r="AS12" s="99" t="s">
        <v>86</v>
      </c>
      <c r="AT12" s="239"/>
      <c r="AU12" s="239"/>
      <c r="AV12" s="239"/>
      <c r="AW12" s="239"/>
      <c r="AX12" s="239"/>
      <c r="AY12" s="239"/>
      <c r="AZ12" s="239"/>
      <c r="BA12" s="239"/>
      <c r="BB12" s="239"/>
      <c r="BC12" s="242"/>
      <c r="BD12" s="270"/>
    </row>
    <row r="13" spans="1:57" ht="15.75" thickBot="1" x14ac:dyDescent="0.3">
      <c r="A13" s="100"/>
      <c r="B13" s="101"/>
      <c r="C13" s="102"/>
      <c r="D13" s="103"/>
      <c r="E13" s="100"/>
      <c r="F13" s="104">
        <f>IFERROR(ГРАФИК!$A$17+F10-1,"-")</f>
        <v>44075</v>
      </c>
      <c r="G13" s="104">
        <f>IFERROR(ГРАФИК!$A$17+G10-1,"-")</f>
        <v>44076</v>
      </c>
      <c r="H13" s="104">
        <f>IFERROR(ГРАФИК!$A$17+H10-1,"-")</f>
        <v>44077</v>
      </c>
      <c r="I13" s="104">
        <f>IFERROR(ГРАФИК!$A$17+I10-1,"-")</f>
        <v>44078</v>
      </c>
      <c r="J13" s="104">
        <f>IFERROR(ГРАФИК!$A$17+J10-1,"-")</f>
        <v>44079</v>
      </c>
      <c r="K13" s="104">
        <f>IFERROR(ГРАФИК!$A$17+K10-1,"-")</f>
        <v>44080</v>
      </c>
      <c r="L13" s="104">
        <f>IFERROR(ГРАФИК!$A$17+L10-1,"-")</f>
        <v>44081</v>
      </c>
      <c r="M13" s="104">
        <f>IFERROR(ГРАФИК!$A$17+M10-1,"-")</f>
        <v>44082</v>
      </c>
      <c r="N13" s="104">
        <f>IFERROR(ГРАФИК!$A$17+N10-1,"-")</f>
        <v>44083</v>
      </c>
      <c r="O13" s="104">
        <f>IFERROR(ГРАФИК!$A$17+O10-1,"-")</f>
        <v>44084</v>
      </c>
      <c r="P13" s="104">
        <f>IFERROR(ГРАФИК!$A$17+P10-1,"-")</f>
        <v>44085</v>
      </c>
      <c r="Q13" s="104">
        <f>IFERROR(ГРАФИК!$A$17+Q10-1,"-")</f>
        <v>44086</v>
      </c>
      <c r="R13" s="104">
        <f>IFERROR(ГРАФИК!$A$17+R10-1,"-")</f>
        <v>44087</v>
      </c>
      <c r="S13" s="104">
        <f>IFERROR(ГРАФИК!$A$17+S10-1,"-")</f>
        <v>44088</v>
      </c>
      <c r="T13" s="104">
        <f>IFERROR(ГРАФИК!$A$17+T10-1,"-")</f>
        <v>44089</v>
      </c>
      <c r="U13" s="104">
        <f>IFERROR(ГРАФИК!$A$17+U10-1,"-")</f>
        <v>44090</v>
      </c>
      <c r="V13" s="104">
        <f>IFERROR(ГРАФИК!$A$17+V10-1,"-")</f>
        <v>44091</v>
      </c>
      <c r="W13" s="104">
        <f>IFERROR(ГРАФИК!$A$17+W10-1,"-")</f>
        <v>44092</v>
      </c>
      <c r="X13" s="104">
        <f>IFERROR(ГРАФИК!$A$17+X10-1,"-")</f>
        <v>44093</v>
      </c>
      <c r="Y13" s="104">
        <f>IFERROR(ГРАФИК!$A$17+Y10-1,"-")</f>
        <v>44094</v>
      </c>
      <c r="Z13" s="104">
        <f>IFERROR(ГРАФИК!$A$17+Z10-1,"-")</f>
        <v>44095</v>
      </c>
      <c r="AA13" s="104">
        <f>IFERROR(ГРАФИК!$A$17+AA10-1,"-")</f>
        <v>44096</v>
      </c>
      <c r="AB13" s="104">
        <f>IFERROR(ГРАФИК!$A$17+AB10-1,"-")</f>
        <v>44097</v>
      </c>
      <c r="AC13" s="104">
        <f>IFERROR(ГРАФИК!$A$17+AC10-1,"-")</f>
        <v>44098</v>
      </c>
      <c r="AD13" s="104">
        <f>IFERROR(ГРАФИК!$A$17+AD10-1,"-")</f>
        <v>44099</v>
      </c>
      <c r="AE13" s="104">
        <f>IFERROR(ГРАФИК!$A$17+AE10-1,"-")</f>
        <v>44100</v>
      </c>
      <c r="AF13" s="104">
        <f>IFERROR(ГРАФИК!$A$17+AF10-1,"-")</f>
        <v>44101</v>
      </c>
      <c r="AG13" s="104">
        <f>IFERROR(ГРАФИК!$A$17+AG10-1,"-")</f>
        <v>44102</v>
      </c>
      <c r="AH13" s="104">
        <f>IFERROR(ГРАФИК!$A$17+AH10-1,"-")</f>
        <v>44103</v>
      </c>
      <c r="AI13" s="104">
        <f>IFERROR(ГРАФИК!$A$17+AI10-1,"-")</f>
        <v>44104</v>
      </c>
      <c r="AJ13" s="104" t="str">
        <f>IFERROR(ГРАФИК!$A$17+AJ10-1,"-")</f>
        <v>-</v>
      </c>
      <c r="AK13" s="105"/>
      <c r="AL13" s="106"/>
      <c r="AM13" s="107"/>
      <c r="AN13" s="108"/>
      <c r="AO13" s="108"/>
      <c r="AP13" s="109"/>
      <c r="AQ13" s="108"/>
      <c r="AR13" s="108"/>
      <c r="AS13" s="110"/>
      <c r="AT13" s="106"/>
      <c r="AU13" s="107"/>
      <c r="AV13" s="108"/>
      <c r="AW13" s="108"/>
      <c r="AX13" s="108"/>
      <c r="AY13" s="108"/>
      <c r="AZ13" s="108"/>
      <c r="BA13" s="108"/>
      <c r="BB13" s="108"/>
      <c r="BC13" s="108"/>
      <c r="BD13" s="111"/>
    </row>
    <row r="14" spans="1:57" ht="15.75" thickBot="1" x14ac:dyDescent="0.3">
      <c r="A14" s="112">
        <v>1</v>
      </c>
      <c r="B14" s="113">
        <v>2</v>
      </c>
      <c r="C14" s="113">
        <v>3</v>
      </c>
      <c r="D14" s="114">
        <v>4</v>
      </c>
      <c r="E14" s="113">
        <v>5</v>
      </c>
      <c r="F14" s="248" t="s">
        <v>87</v>
      </c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50"/>
      <c r="AK14" s="113">
        <v>7</v>
      </c>
      <c r="AL14" s="112"/>
      <c r="AM14" s="115">
        <v>9</v>
      </c>
      <c r="AN14" s="116"/>
      <c r="AO14" s="116"/>
      <c r="AP14" s="117"/>
      <c r="AQ14" s="116"/>
      <c r="AR14" s="116"/>
      <c r="AS14" s="118"/>
      <c r="AT14" s="251">
        <v>10</v>
      </c>
      <c r="AU14" s="252"/>
      <c r="AV14" s="252"/>
      <c r="AW14" s="252"/>
      <c r="AX14" s="252"/>
      <c r="AY14" s="252"/>
      <c r="AZ14" s="252"/>
      <c r="BA14" s="252"/>
      <c r="BB14" s="252"/>
      <c r="BC14" s="252"/>
      <c r="BD14" s="119" t="s">
        <v>88</v>
      </c>
    </row>
    <row r="15" spans="1:57" x14ac:dyDescent="0.25">
      <c r="A15" s="219">
        <v>1</v>
      </c>
      <c r="B15" s="120"/>
      <c r="C15" s="221" t="str">
        <f>LEFT(ГРАФИК!B22,100)</f>
        <v>Алексашин А.Н.</v>
      </c>
      <c r="D15" s="223" t="str">
        <f>LEFT(ГРАФИК!B25,100)</f>
        <v>Слесарь-ремонтник</v>
      </c>
      <c r="E15" s="225"/>
      <c r="F15" s="121">
        <f>INDEX(ГРАФИК!$D$25:$AH$81,1,MATCH(F$10,ГРАФИК!$D$19:$AH$19,0))</f>
        <v>0.33333333333333337</v>
      </c>
      <c r="G15" s="121">
        <f>INDEX(ГРАФИК!$D$25:$AH$81,1,MATCH(G$10,ГРАФИК!$D$19:$AH$19,0))</f>
        <v>0.33333333333333337</v>
      </c>
      <c r="H15" s="121">
        <f>INDEX(ГРАФИК!$D$25:$AH$81,1,MATCH(H$10,ГРАФИК!$D$19:$AH$19,0))</f>
        <v>0.33333333333333337</v>
      </c>
      <c r="I15" s="121">
        <f>INDEX(ГРАФИК!$D$25:$AH$81,1,MATCH(I$10,ГРАФИК!$D$19:$AH$19,0))</f>
        <v>0.33333333333333337</v>
      </c>
      <c r="J15" s="121">
        <f>INDEX(ГРАФИК!$D$25:$AH$81,1,MATCH(J$10,ГРАФИК!$D$19:$AH$19,0))</f>
        <v>0</v>
      </c>
      <c r="K15" s="121">
        <f>INDEX(ГРАФИК!$D$25:$AH$81,1,MATCH(K$10,ГРАФИК!$D$19:$AH$19,0))</f>
        <v>0</v>
      </c>
      <c r="L15" s="121">
        <f>INDEX(ГРАФИК!$D$25:$AH$81,1,MATCH(L$10,ГРАФИК!$D$19:$AH$19,0))</f>
        <v>0.33333333333333337</v>
      </c>
      <c r="M15" s="121">
        <f>INDEX(ГРАФИК!$D$25:$AH$81,1,MATCH(M$10,ГРАФИК!$D$19:$AH$19,0))</f>
        <v>0.33333333333333337</v>
      </c>
      <c r="N15" s="121">
        <f>INDEX(ГРАФИК!$D$25:$AH$81,1,MATCH(N$10,ГРАФИК!$D$19:$AH$19,0))</f>
        <v>0.33333333333333337</v>
      </c>
      <c r="O15" s="121">
        <f>INDEX(ГРАФИК!$D$25:$AH$81,1,MATCH(O$10,ГРАФИК!$D$19:$AH$19,0))</f>
        <v>0.33333333333333337</v>
      </c>
      <c r="P15" s="121">
        <f>INDEX(ГРАФИК!$D$25:$AH$81,1,MATCH(P$10,ГРАФИК!$D$19:$AH$19,0))</f>
        <v>0.33333333333333337</v>
      </c>
      <c r="Q15" s="121">
        <f>INDEX(ГРАФИК!$D$25:$AH$81,1,MATCH(Q$10,ГРАФИК!$D$19:$AH$19,0))</f>
        <v>0</v>
      </c>
      <c r="R15" s="121">
        <f>INDEX(ГРАФИК!$D$25:$AH$81,1,MATCH(R$10,ГРАФИК!$D$19:$AH$19,0))</f>
        <v>0</v>
      </c>
      <c r="S15" s="121">
        <f>INDEX(ГРАФИК!$D$25:$AH$81,1,MATCH(S$10,ГРАФИК!$D$19:$AH$19,0))</f>
        <v>0.33333333333333337</v>
      </c>
      <c r="T15" s="121">
        <f>INDEX(ГРАФИК!$D$25:$AH$81,1,MATCH(T$10,ГРАФИК!$D$19:$AH$19,0))</f>
        <v>0.33333333333333337</v>
      </c>
      <c r="U15" s="121">
        <f>INDEX(ГРАФИК!$D$25:$AH$81,1,MATCH(U$10,ГРАФИК!$D$19:$AH$19,0))</f>
        <v>0.33333333333333337</v>
      </c>
      <c r="V15" s="121">
        <f>INDEX(ГРАФИК!$D$25:$AH$81,1,MATCH(V$10,ГРАФИК!$D$19:$AH$19,0))</f>
        <v>0.33333333333333337</v>
      </c>
      <c r="W15" s="121">
        <f>INDEX(ГРАФИК!$D$25:$AH$81,1,MATCH(W$10,ГРАФИК!$D$19:$AH$19,0))</f>
        <v>0.33333333333333337</v>
      </c>
      <c r="X15" s="121">
        <f>INDEX(ГРАФИК!$D$25:$AH$81,1,MATCH(X$10,ГРАФИК!$D$19:$AH$19,0))</f>
        <v>0</v>
      </c>
      <c r="Y15" s="121">
        <f>INDEX(ГРАФИК!$D$25:$AH$81,1,MATCH(Y$10,ГРАФИК!$D$19:$AH$19,0))</f>
        <v>0</v>
      </c>
      <c r="Z15" s="121">
        <f>INDEX(ГРАФИК!$D$25:$AH$81,1,MATCH(Z$10,ГРАФИК!$D$19:$AH$19,0))</f>
        <v>0.33333333333333337</v>
      </c>
      <c r="AA15" s="121">
        <f>INDEX(ГРАФИК!$D$25:$AH$81,1,MATCH(AA$10,ГРАФИК!$D$19:$AH$19,0))</f>
        <v>0.33333333333333337</v>
      </c>
      <c r="AB15" s="121">
        <f>INDEX(ГРАФИК!$D$25:$AH$81,1,MATCH(AB$10,ГРАФИК!$D$19:$AH$19,0))</f>
        <v>0.33333333333333337</v>
      </c>
      <c r="AC15" s="121">
        <f>INDEX(ГРАФИК!$D$25:$AH$81,1,MATCH(AC$10,ГРАФИК!$D$19:$AH$19,0))</f>
        <v>0.33333333333333337</v>
      </c>
      <c r="AD15" s="121">
        <f>INDEX(ГРАФИК!$D$25:$AH$81,1,MATCH(AD$10,ГРАФИК!$D$19:$AH$19,0))</f>
        <v>0.33333333333333337</v>
      </c>
      <c r="AE15" s="121">
        <f>INDEX(ГРАФИК!$D$25:$AH$81,1,MATCH(AE$10,ГРАФИК!$D$19:$AH$19,0))</f>
        <v>0</v>
      </c>
      <c r="AF15" s="121">
        <f>INDEX(ГРАФИК!$D$25:$AH$81,1,MATCH(AF$10,ГРАФИК!$D$19:$AH$19,0))</f>
        <v>0</v>
      </c>
      <c r="AG15" s="121">
        <f>INDEX(ГРАФИК!$D$25:$AH$81,1,MATCH(AG$10,ГРАФИК!$D$19:$AH$19,0))</f>
        <v>0.33333333333333337</v>
      </c>
      <c r="AH15" s="121">
        <f>INDEX(ГРАФИК!$D$25:$AH$81,1,MATCH(AH$10,ГРАФИК!$D$19:$AH$19,0))</f>
        <v>0.33333333333333337</v>
      </c>
      <c r="AI15" s="121">
        <f>INDEX(ГРАФИК!$D$25:$AH$81,1,MATCH(AI$10,ГРАФИК!$D$19:$AH$19,0))</f>
        <v>0.33333333333333337</v>
      </c>
      <c r="AJ15" s="121">
        <f>INDEX(ГРАФИК!$D$25:$AH$81,1,MATCH(AJ$10,ГРАФИК!$D$19:$AH$19,0))</f>
        <v>0</v>
      </c>
      <c r="AK15" s="227">
        <f>COUNTIF($F15:$AJ15,"&gt;0")</f>
        <v>22</v>
      </c>
      <c r="AL15" s="229">
        <f>SUM($F$15:$AJ$15)</f>
        <v>7.3333333333333313</v>
      </c>
      <c r="AM15" s="233"/>
      <c r="AN15" s="122"/>
      <c r="AO15" s="123"/>
      <c r="AP15" s="124"/>
      <c r="AQ15" s="125"/>
      <c r="AR15" s="123"/>
      <c r="AS15" s="123"/>
      <c r="AT15" s="122"/>
      <c r="AU15" s="122">
        <f>COUNTIF($F16:$AJ16,"=От")</f>
        <v>0</v>
      </c>
      <c r="AV15" s="123"/>
      <c r="AW15" s="123"/>
      <c r="AX15" s="123"/>
      <c r="AY15" s="123"/>
      <c r="AZ15" s="123"/>
      <c r="BA15" s="123"/>
      <c r="BB15" s="123"/>
      <c r="BC15" s="123"/>
      <c r="BD15" s="122">
        <f>COUNTIF(F16:AJ16,"В")</f>
        <v>9</v>
      </c>
    </row>
    <row r="16" spans="1:57" ht="15.75" thickBot="1" x14ac:dyDescent="0.3">
      <c r="A16" s="220"/>
      <c r="B16" s="126"/>
      <c r="C16" s="222"/>
      <c r="D16" s="224"/>
      <c r="E16" s="226"/>
      <c r="F16" s="127" t="str">
        <f>IF(ГРАФИК!D22="ОТ","ОТ",IF(F15=0,"В","Я"))</f>
        <v>Я</v>
      </c>
      <c r="G16" s="127" t="str">
        <f>IF(ГРАФИК!E22="ОТ","ОТ",IF(G15=0,"В","Я"))</f>
        <v>Я</v>
      </c>
      <c r="H16" s="127" t="str">
        <f>IF(ГРАФИК!F22="ОТ","ОТ",IF(H15=0,"В","Я"))</f>
        <v>Я</v>
      </c>
      <c r="I16" s="127" t="str">
        <f>IF(ГРАФИК!G22="ОТ","ОТ",IF(I15=0,"В","Я"))</f>
        <v>Я</v>
      </c>
      <c r="J16" s="127" t="str">
        <f>IF(ГРАФИК!H22="ОТ","ОТ",IF(J15=0,"В","Я"))</f>
        <v>В</v>
      </c>
      <c r="K16" s="127" t="str">
        <f>IF(ГРАФИК!I22="ОТ","ОТ",IF(K15=0,"В","Я"))</f>
        <v>В</v>
      </c>
      <c r="L16" s="127" t="str">
        <f>IF(ГРАФИК!J22="ОТ","ОТ",IF(L15=0,"В","Я"))</f>
        <v>Я</v>
      </c>
      <c r="M16" s="127" t="str">
        <f>IF(ГРАФИК!K22="ОТ","ОТ",IF(M15=0,"В","Я"))</f>
        <v>Я</v>
      </c>
      <c r="N16" s="127" t="str">
        <f>IF(ГРАФИК!L22="ОТ","ОТ",IF(N15=0,"В","Я"))</f>
        <v>Я</v>
      </c>
      <c r="O16" s="127" t="str">
        <f>IF(ГРАФИК!M22="ОТ","ОТ",IF(O15=0,"В","Я"))</f>
        <v>Я</v>
      </c>
      <c r="P16" s="127" t="str">
        <f>IF(ГРАФИК!N22="ОТ","ОТ",IF(P15=0,"В","Я"))</f>
        <v>Я</v>
      </c>
      <c r="Q16" s="127" t="str">
        <f>IF(ГРАФИК!O22="ОТ","ОТ",IF(Q15=0,"В","Я"))</f>
        <v>В</v>
      </c>
      <c r="R16" s="127" t="str">
        <f>IF(ГРАФИК!P22="ОТ","ОТ",IF(R15=0,"В","Я"))</f>
        <v>В</v>
      </c>
      <c r="S16" s="127" t="str">
        <f>IF(ГРАФИК!Q22="ОТ","ОТ",IF(S15=0,"В","Я"))</f>
        <v>Я</v>
      </c>
      <c r="T16" s="127" t="str">
        <f>IF(ГРАФИК!R22="ОТ","ОТ",IF(T15=0,"В","Я"))</f>
        <v>Я</v>
      </c>
      <c r="U16" s="127" t="str">
        <f>IF(ГРАФИК!S22="ОТ","ОТ",IF(U15=0,"В","Я"))</f>
        <v>Я</v>
      </c>
      <c r="V16" s="127" t="str">
        <f>IF(ГРАФИК!T22="ОТ","ОТ",IF(V15=0,"В","Я"))</f>
        <v>Я</v>
      </c>
      <c r="W16" s="127" t="str">
        <f>IF(ГРАФИК!U22="ОТ","ОТ",IF(W15=0,"В","Я"))</f>
        <v>Я</v>
      </c>
      <c r="X16" s="127" t="str">
        <f>IF(ГРАФИК!V22="ОТ","ОТ",IF(X15=0,"В","Я"))</f>
        <v>В</v>
      </c>
      <c r="Y16" s="127" t="str">
        <f>IF(ГРАФИК!W22="ОТ","ОТ",IF(Y15=0,"В","Я"))</f>
        <v>В</v>
      </c>
      <c r="Z16" s="127" t="str">
        <f>IF(ГРАФИК!X22="ОТ","ОТ",IF(Z15=0,"В","Я"))</f>
        <v>Я</v>
      </c>
      <c r="AA16" s="127" t="str">
        <f>IF(ГРАФИК!Y22="ОТ","ОТ",IF(AA15=0,"В","Я"))</f>
        <v>Я</v>
      </c>
      <c r="AB16" s="127" t="str">
        <f>IF(ГРАФИК!Z22="ОТ","ОТ",IF(AB15=0,"В","Я"))</f>
        <v>Я</v>
      </c>
      <c r="AC16" s="127" t="str">
        <f>IF(ГРАФИК!AA22="ОТ","ОТ",IF(AC15=0,"В","Я"))</f>
        <v>Я</v>
      </c>
      <c r="AD16" s="127" t="str">
        <f>IF(ГРАФИК!AB22="ОТ","ОТ",IF(AD15=0,"В","Я"))</f>
        <v>Я</v>
      </c>
      <c r="AE16" s="127" t="str">
        <f>IF(ГРАФИК!AC22="ОТ","ОТ",IF(AE15=0,"В","Я"))</f>
        <v>В</v>
      </c>
      <c r="AF16" s="127" t="str">
        <f>IF(ГРАФИК!AD22="ОТ","ОТ",IF(AF15=0,"В","Я"))</f>
        <v>В</v>
      </c>
      <c r="AG16" s="127" t="str">
        <f>IF(ГРАФИК!AE22="ОТ","ОТ",IF(AG15=0,"В","Я"))</f>
        <v>Я</v>
      </c>
      <c r="AH16" s="127" t="str">
        <f>IF(ГРАФИК!AF22="ОТ","ОТ",IF(AH15=0,"В","Я"))</f>
        <v>Я</v>
      </c>
      <c r="AI16" s="127" t="str">
        <f>IF(ГРАФИК!AG22="ОТ","ОТ",IF(AI15=0,"В","Я"))</f>
        <v>Я</v>
      </c>
      <c r="AJ16" s="127" t="str">
        <f>IF(ГРАФИК!AH22="ОТ","ОТ",IF(AJ15=0,"В","Я"))</f>
        <v>В</v>
      </c>
      <c r="AK16" s="228"/>
      <c r="AL16" s="230"/>
      <c r="AM16" s="234"/>
      <c r="AN16" s="128"/>
      <c r="AO16" s="129"/>
      <c r="AP16" s="130"/>
      <c r="AQ16" s="131"/>
      <c r="AR16" s="129"/>
      <c r="AS16" s="129"/>
      <c r="AT16" s="128"/>
      <c r="AU16" s="128"/>
      <c r="AV16" s="129"/>
      <c r="AW16" s="129"/>
      <c r="AX16" s="129"/>
      <c r="AY16" s="129"/>
      <c r="AZ16" s="129"/>
      <c r="BA16" s="129"/>
      <c r="BB16" s="129"/>
      <c r="BC16" s="129"/>
      <c r="BD16" s="128"/>
    </row>
    <row r="17" spans="1:56" x14ac:dyDescent="0.25">
      <c r="A17" s="219">
        <v>2</v>
      </c>
      <c r="B17" s="132"/>
      <c r="C17" s="221" t="str">
        <f>LEFT(ГРАФИК!B28,100)</f>
        <v>Алексеева Р.И.</v>
      </c>
      <c r="D17" s="223" t="str">
        <f>LEFT(ГРАФИК!B31,100)</f>
        <v>Электрик</v>
      </c>
      <c r="E17" s="225"/>
      <c r="F17" s="121">
        <f>INDEX(ГРАФИК!$D$31:$AH$81,1,MATCH(F$10,ГРАФИК!$D$19:$AH$19,0))</f>
        <v>0.33333333333333337</v>
      </c>
      <c r="G17" s="121">
        <f>INDEX(ГРАФИК!$D$31:$AH$81,1,MATCH(G$10,ГРАФИК!$D$19:$AH$19,0))</f>
        <v>0.33333333333333337</v>
      </c>
      <c r="H17" s="121">
        <f>INDEX(ГРАФИК!$D$31:$AH$81,1,MATCH(H$10,ГРАФИК!$D$19:$AH$19,0))</f>
        <v>0.33333333333333337</v>
      </c>
      <c r="I17" s="121">
        <f>INDEX(ГРАФИК!$D$31:$AH$81,1,MATCH(I$10,ГРАФИК!$D$19:$AH$19,0))</f>
        <v>0.33333333333333337</v>
      </c>
      <c r="J17" s="121">
        <f>INDEX(ГРАФИК!$D$31:$AH$81,1,MATCH(J$10,ГРАФИК!$D$19:$AH$19,0))</f>
        <v>0</v>
      </c>
      <c r="K17" s="121">
        <f>INDEX(ГРАФИК!$D$31:$AH$81,1,MATCH(K$10,ГРАФИК!$D$19:$AH$19,0))</f>
        <v>0</v>
      </c>
      <c r="L17" s="121">
        <f>INDEX(ГРАФИК!$D$31:$AH$81,1,MATCH(L$10,ГРАФИК!$D$19:$AH$19,0))</f>
        <v>0.33333333333333337</v>
      </c>
      <c r="M17" s="121">
        <f>INDEX(ГРАФИК!$D$31:$AH$81,1,MATCH(M$10,ГРАФИК!$D$19:$AH$19,0))</f>
        <v>0.33333333333333337</v>
      </c>
      <c r="N17" s="121">
        <f>INDEX(ГРАФИК!$D$31:$AH$81,1,MATCH(N$10,ГРАФИК!$D$19:$AH$19,0))</f>
        <v>0.33333333333333337</v>
      </c>
      <c r="O17" s="121">
        <f>INDEX(ГРАФИК!$D$31:$AH$81,1,MATCH(O$10,ГРАФИК!$D$19:$AH$19,0))</f>
        <v>0.33333333333333337</v>
      </c>
      <c r="P17" s="121">
        <f>INDEX(ГРАФИК!$D$31:$AH$81,1,MATCH(P$10,ГРАФИК!$D$19:$AH$19,0))</f>
        <v>0.33333333333333337</v>
      </c>
      <c r="Q17" s="121">
        <f>INDEX(ГРАФИК!$D$31:$AH$81,1,MATCH(Q$10,ГРАФИК!$D$19:$AH$19,0))</f>
        <v>0</v>
      </c>
      <c r="R17" s="121">
        <f>INDEX(ГРАФИК!$D$31:$AH$81,1,MATCH(R$10,ГРАФИК!$D$19:$AH$19,0))</f>
        <v>0</v>
      </c>
      <c r="S17" s="121">
        <f>INDEX(ГРАФИК!$D$31:$AH$81,1,MATCH(S$10,ГРАФИК!$D$19:$AH$19,0))</f>
        <v>0.33333333333333337</v>
      </c>
      <c r="T17" s="121">
        <f>INDEX(ГРАФИК!$D$31:$AH$81,1,MATCH(T$10,ГРАФИК!$D$19:$AH$19,0))</f>
        <v>0.33333333333333337</v>
      </c>
      <c r="U17" s="121">
        <f>INDEX(ГРАФИК!$D$31:$AH$81,1,MATCH(U$10,ГРАФИК!$D$19:$AH$19,0))</f>
        <v>0.33333333333333337</v>
      </c>
      <c r="V17" s="121">
        <f>INDEX(ГРАФИК!$D$31:$AH$81,1,MATCH(V$10,ГРАФИК!$D$19:$AH$19,0))</f>
        <v>0.33333333333333337</v>
      </c>
      <c r="W17" s="121">
        <f>INDEX(ГРАФИК!$D$31:$AH$81,1,MATCH(W$10,ГРАФИК!$D$19:$AH$19,0))</f>
        <v>0.33333333333333337</v>
      </c>
      <c r="X17" s="121">
        <f>INDEX(ГРАФИК!$D$31:$AH$81,1,MATCH(X$10,ГРАФИК!$D$19:$AH$19,0))</f>
        <v>0</v>
      </c>
      <c r="Y17" s="121">
        <f>INDEX(ГРАФИК!$D$31:$AH$81,1,MATCH(Y$10,ГРАФИК!$D$19:$AH$19,0))</f>
        <v>0</v>
      </c>
      <c r="Z17" s="121">
        <f>INDEX(ГРАФИК!$D$31:$AH$81,1,MATCH(Z$10,ГРАФИК!$D$19:$AH$19,0))</f>
        <v>0.33333333333333337</v>
      </c>
      <c r="AA17" s="121">
        <f>INDEX(ГРАФИК!$D$31:$AH$81,1,MATCH(AA$10,ГРАФИК!$D$19:$AH$19,0))</f>
        <v>0.33333333333333337</v>
      </c>
      <c r="AB17" s="121">
        <f>INDEX(ГРАФИК!$D$31:$AH$81,1,MATCH(AB$10,ГРАФИК!$D$19:$AH$19,0))</f>
        <v>0.33333333333333337</v>
      </c>
      <c r="AC17" s="121">
        <f>INDEX(ГРАФИК!$D$31:$AH$81,1,MATCH(AC$10,ГРАФИК!$D$19:$AH$19,0))</f>
        <v>0.33333333333333337</v>
      </c>
      <c r="AD17" s="121">
        <f>INDEX(ГРАФИК!$D$31:$AH$81,1,MATCH(AD$10,ГРАФИК!$D$19:$AH$19,0))</f>
        <v>0.33333333333333337</v>
      </c>
      <c r="AE17" s="121">
        <f>INDEX(ГРАФИК!$D$31:$AH$81,1,MATCH(AE$10,ГРАФИК!$D$19:$AH$19,0))</f>
        <v>0</v>
      </c>
      <c r="AF17" s="121">
        <f>INDEX(ГРАФИК!$D$31:$AH$81,1,MATCH(AF$10,ГРАФИК!$D$19:$AH$19,0))</f>
        <v>0</v>
      </c>
      <c r="AG17" s="121">
        <f>INDEX(ГРАФИК!$D$31:$AH$81,1,MATCH(AG$10,ГРАФИК!$D$19:$AH$19,0))</f>
        <v>0.33333333333333337</v>
      </c>
      <c r="AH17" s="121">
        <f>INDEX(ГРАФИК!$D$31:$AH$81,1,MATCH(AH$10,ГРАФИК!$D$19:$AH$19,0))</f>
        <v>0.33333333333333337</v>
      </c>
      <c r="AI17" s="121">
        <f>INDEX(ГРАФИК!$D$31:$AH$81,1,MATCH(AI$10,ГРАФИК!$D$19:$AH$19,0))</f>
        <v>0.33333333333333337</v>
      </c>
      <c r="AJ17" s="121">
        <f>INDEX(ГРАФИК!$D$31:$AH$81,1,MATCH(AJ$10,ГРАФИК!$D$19:$AH$19,0))</f>
        <v>0</v>
      </c>
      <c r="AK17" s="227">
        <f>COUNTIF($F17:$AJ17,"&gt;0")</f>
        <v>22</v>
      </c>
      <c r="AL17" s="235">
        <f>SUM($F$17:$AJ$17)</f>
        <v>7.3333333333333313</v>
      </c>
      <c r="AM17" s="133"/>
      <c r="AN17" s="125"/>
      <c r="AO17" s="123"/>
      <c r="AP17" s="124"/>
      <c r="AQ17" s="125"/>
      <c r="AR17" s="122"/>
      <c r="AS17" s="125"/>
      <c r="AT17" s="122"/>
      <c r="AU17" s="122">
        <f>COUNTIF($F18:$AJ18,"=От")</f>
        <v>0</v>
      </c>
      <c r="AV17" s="122"/>
      <c r="AW17" s="125"/>
      <c r="AX17" s="122"/>
      <c r="AY17" s="125"/>
      <c r="AZ17" s="122"/>
      <c r="BA17" s="125"/>
      <c r="BB17" s="122"/>
      <c r="BC17" s="125"/>
      <c r="BD17" s="122">
        <f>COUNTIF(F18:AJ18,"В")</f>
        <v>9</v>
      </c>
    </row>
    <row r="18" spans="1:56" ht="15.75" thickBot="1" x14ac:dyDescent="0.3">
      <c r="A18" s="220"/>
      <c r="B18" s="126"/>
      <c r="C18" s="222"/>
      <c r="D18" s="224"/>
      <c r="E18" s="226"/>
      <c r="F18" s="127" t="str">
        <f>IF(ГРАФИК!D28="ОТ","ОТ",IF(F17=0,"В","Я"))</f>
        <v>Я</v>
      </c>
      <c r="G18" s="127" t="str">
        <f>IF(ГРАФИК!E28="ОТ","ОТ",IF(G17=0,"В","Я"))</f>
        <v>Я</v>
      </c>
      <c r="H18" s="127" t="str">
        <f>IF(ГРАФИК!F28="ОТ","ОТ",IF(H17=0,"В","Я"))</f>
        <v>Я</v>
      </c>
      <c r="I18" s="127" t="str">
        <f>IF(ГРАФИК!G28="ОТ","ОТ",IF(I17=0,"В","Я"))</f>
        <v>Я</v>
      </c>
      <c r="J18" s="127" t="str">
        <f>IF(ГРАФИК!H28="ОТ","ОТ",IF(J17=0,"В","Я"))</f>
        <v>В</v>
      </c>
      <c r="K18" s="127" t="str">
        <f>IF(ГРАФИК!I28="ОТ","ОТ",IF(K17=0,"В","Я"))</f>
        <v>В</v>
      </c>
      <c r="L18" s="127" t="str">
        <f>IF(ГРАФИК!J28="ОТ","ОТ",IF(L17=0,"В","Я"))</f>
        <v>Я</v>
      </c>
      <c r="M18" s="127" t="str">
        <f>IF(ГРАФИК!K28="ОТ","ОТ",IF(M17=0,"В","Я"))</f>
        <v>Я</v>
      </c>
      <c r="N18" s="127" t="str">
        <f>IF(ГРАФИК!L28="ОТ","ОТ",IF(N17=0,"В","Я"))</f>
        <v>Я</v>
      </c>
      <c r="O18" s="127" t="str">
        <f>IF(ГРАФИК!M28="ОТ","ОТ",IF(O17=0,"В","Я"))</f>
        <v>Я</v>
      </c>
      <c r="P18" s="127" t="str">
        <f>IF(ГРАФИК!N28="ОТ","ОТ",IF(P17=0,"В","Я"))</f>
        <v>Я</v>
      </c>
      <c r="Q18" s="127" t="str">
        <f>IF(ГРАФИК!O28="ОТ","ОТ",IF(Q17=0,"В","Я"))</f>
        <v>В</v>
      </c>
      <c r="R18" s="127" t="str">
        <f>IF(ГРАФИК!P28="ОТ","ОТ",IF(R17=0,"В","Я"))</f>
        <v>В</v>
      </c>
      <c r="S18" s="127" t="str">
        <f>IF(ГРАФИК!Q28="ОТ","ОТ",IF(S17=0,"В","Я"))</f>
        <v>Я</v>
      </c>
      <c r="T18" s="127" t="str">
        <f>IF(ГРАФИК!R28="ОТ","ОТ",IF(T17=0,"В","Я"))</f>
        <v>Я</v>
      </c>
      <c r="U18" s="127" t="str">
        <f>IF(ГРАФИК!S28="ОТ","ОТ",IF(U17=0,"В","Я"))</f>
        <v>Я</v>
      </c>
      <c r="V18" s="127" t="str">
        <f>IF(ГРАФИК!T28="ОТ","ОТ",IF(V17=0,"В","Я"))</f>
        <v>Я</v>
      </c>
      <c r="W18" s="127" t="str">
        <f>IF(ГРАФИК!U28="ОТ","ОТ",IF(W17=0,"В","Я"))</f>
        <v>Я</v>
      </c>
      <c r="X18" s="127" t="str">
        <f>IF(ГРАФИК!V28="ОТ","ОТ",IF(X17=0,"В","Я"))</f>
        <v>В</v>
      </c>
      <c r="Y18" s="127" t="str">
        <f>IF(ГРАФИК!W28="ОТ","ОТ",IF(Y17=0,"В","Я"))</f>
        <v>В</v>
      </c>
      <c r="Z18" s="127" t="str">
        <f>IF(ГРАФИК!X28="ОТ","ОТ",IF(Z17=0,"В","Я"))</f>
        <v>Я</v>
      </c>
      <c r="AA18" s="127" t="str">
        <f>IF(ГРАФИК!Y28="ОТ","ОТ",IF(AA17=0,"В","Я"))</f>
        <v>Я</v>
      </c>
      <c r="AB18" s="127" t="str">
        <f>IF(ГРАФИК!Z28="ОТ","ОТ",IF(AB17=0,"В","Я"))</f>
        <v>Я</v>
      </c>
      <c r="AC18" s="127" t="str">
        <f>IF(ГРАФИК!AA28="ОТ","ОТ",IF(AC17=0,"В","Я"))</f>
        <v>Я</v>
      </c>
      <c r="AD18" s="127" t="str">
        <f>IF(ГРАФИК!AB28="ОТ","ОТ",IF(AD17=0,"В","Я"))</f>
        <v>Я</v>
      </c>
      <c r="AE18" s="127" t="str">
        <f>IF(ГРАФИК!AC28="ОТ","ОТ",IF(AE17=0,"В","Я"))</f>
        <v>В</v>
      </c>
      <c r="AF18" s="127" t="str">
        <f>IF(ГРАФИК!AD28="ОТ","ОТ",IF(AF17=0,"В","Я"))</f>
        <v>В</v>
      </c>
      <c r="AG18" s="127" t="str">
        <f>IF(ГРАФИК!AE28="ОТ","ОТ",IF(AG17=0,"В","Я"))</f>
        <v>Я</v>
      </c>
      <c r="AH18" s="127" t="str">
        <f>IF(ГРАФИК!AF28="ОТ","ОТ",IF(AH17=0,"В","Я"))</f>
        <v>Я</v>
      </c>
      <c r="AI18" s="127" t="str">
        <f>IF(ГРАФИК!AG28="ОТ","ОТ",IF(AI17=0,"В","Я"))</f>
        <v>Я</v>
      </c>
      <c r="AJ18" s="127" t="str">
        <f>IF(ГРАФИК!AH28="ОТ","ОТ",IF(AJ17=0,"В","Я"))</f>
        <v>В</v>
      </c>
      <c r="AK18" s="228"/>
      <c r="AL18" s="236"/>
      <c r="AM18" s="134"/>
      <c r="AN18" s="131"/>
      <c r="AO18" s="129"/>
      <c r="AP18" s="130"/>
      <c r="AQ18" s="131"/>
      <c r="AR18" s="128"/>
      <c r="AS18" s="131"/>
      <c r="AT18" s="135"/>
      <c r="AU18" s="128"/>
      <c r="AV18" s="128"/>
      <c r="AW18" s="131"/>
      <c r="AX18" s="128"/>
      <c r="AY18" s="131"/>
      <c r="AZ18" s="128"/>
      <c r="BA18" s="131"/>
      <c r="BB18" s="128"/>
      <c r="BC18" s="131"/>
      <c r="BD18" s="128"/>
    </row>
    <row r="19" spans="1:56" x14ac:dyDescent="0.25">
      <c r="A19" s="219">
        <v>3</v>
      </c>
      <c r="B19" s="120"/>
      <c r="C19" s="221" t="str">
        <f>LEFT(ГРАФИК!B34,100)</f>
        <v>Белова А.Н.</v>
      </c>
      <c r="D19" s="223" t="str">
        <f>LEFT(ГРАФИК!B37,100)</f>
        <v>Электрик</v>
      </c>
      <c r="E19" s="225"/>
      <c r="F19" s="121">
        <f>INDEX(ГРАФИК!$D$37:$GY$81,1,MATCH(F$10,ГРАФИК!$D$19:$AH$19,0))</f>
        <v>0.33333333333333337</v>
      </c>
      <c r="G19" s="121">
        <f>INDEX(ГРАФИК!$D$37:$GY$81,1,MATCH(G$10,ГРАФИК!$D$19:$AH$19,0))</f>
        <v>0.33333333333333337</v>
      </c>
      <c r="H19" s="121">
        <f>INDEX(ГРАФИК!$D$37:$GY$81,1,MATCH(H$10,ГРАФИК!$D$19:$AH$19,0))</f>
        <v>0.33333333333333337</v>
      </c>
      <c r="I19" s="121">
        <f>INDEX(ГРАФИК!$D$37:$GY$81,1,MATCH(I$10,ГРАФИК!$D$19:$AH$19,0))</f>
        <v>0.33333333333333337</v>
      </c>
      <c r="J19" s="121">
        <f>INDEX(ГРАФИК!$D$37:$GY$81,1,MATCH(J$10,ГРАФИК!$D$19:$AH$19,0))</f>
        <v>0</v>
      </c>
      <c r="K19" s="121">
        <f>INDEX(ГРАФИК!$D$37:$GY$81,1,MATCH(K$10,ГРАФИК!$D$19:$AH$19,0))</f>
        <v>0</v>
      </c>
      <c r="L19" s="121">
        <f>INDEX(ГРАФИК!$D$37:$GY$81,1,MATCH(L$10,ГРАФИК!$D$19:$AH$19,0))</f>
        <v>0.33333333333333337</v>
      </c>
      <c r="M19" s="121">
        <f>INDEX(ГРАФИК!$D$37:$GY$81,1,MATCH(M$10,ГРАФИК!$D$19:$AH$19,0))</f>
        <v>0.33333333333333337</v>
      </c>
      <c r="N19" s="121">
        <f>INDEX(ГРАФИК!$D$37:$GY$81,1,MATCH(N$10,ГРАФИК!$D$19:$AH$19,0))</f>
        <v>0.33333333333333337</v>
      </c>
      <c r="O19" s="121">
        <f>INDEX(ГРАФИК!$D$37:$GY$81,1,MATCH(O$10,ГРАФИК!$D$19:$AH$19,0))</f>
        <v>0.33333333333333337</v>
      </c>
      <c r="P19" s="121">
        <f>INDEX(ГРАФИК!$D$37:$GY$81,1,MATCH(P$10,ГРАФИК!$D$19:$AH$19,0))</f>
        <v>0.33333333333333337</v>
      </c>
      <c r="Q19" s="121">
        <f>INDEX(ГРАФИК!$D$37:$GY$81,1,MATCH(Q$10,ГРАФИК!$D$19:$AH$19,0))</f>
        <v>0</v>
      </c>
      <c r="R19" s="121">
        <f>INDEX(ГРАФИК!$D$37:$GY$81,1,MATCH(R$10,ГРАФИК!$D$19:$AH$19,0))</f>
        <v>0</v>
      </c>
      <c r="S19" s="121">
        <f>INDEX(ГРАФИК!$D$37:$GY$81,1,MATCH(S$10,ГРАФИК!$D$19:$AH$19,0))</f>
        <v>0.33333333333333337</v>
      </c>
      <c r="T19" s="121">
        <f>INDEX(ГРАФИК!$D$37:$GY$81,1,MATCH(T$10,ГРАФИК!$D$19:$AH$19,0))</f>
        <v>0.33333333333333337</v>
      </c>
      <c r="U19" s="121">
        <f>INDEX(ГРАФИК!$D$37:$GY$81,1,MATCH(U$10,ГРАФИК!$D$19:$AH$19,0))</f>
        <v>0.33333333333333337</v>
      </c>
      <c r="V19" s="121">
        <f>INDEX(ГРАФИК!$D$37:$GY$81,1,MATCH(V$10,ГРАФИК!$D$19:$AH$19,0))</f>
        <v>0.33333333333333337</v>
      </c>
      <c r="W19" s="121">
        <f>INDEX(ГРАФИК!$D$37:$GY$81,1,MATCH(W$10,ГРАФИК!$D$19:$AH$19,0))</f>
        <v>0.33333333333333337</v>
      </c>
      <c r="X19" s="121">
        <f>INDEX(ГРАФИК!$D$37:$GY$81,1,MATCH(X$10,ГРАФИК!$D$19:$AH$19,0))</f>
        <v>0</v>
      </c>
      <c r="Y19" s="121">
        <f>INDEX(ГРАФИК!$D$37:$GY$81,1,MATCH(Y$10,ГРАФИК!$D$19:$AH$19,0))</f>
        <v>0</v>
      </c>
      <c r="Z19" s="121">
        <f>INDEX(ГРАФИК!$D$37:$GY$81,1,MATCH(Z$10,ГРАФИК!$D$19:$AH$19,0))</f>
        <v>0.33333333333333337</v>
      </c>
      <c r="AA19" s="121">
        <f>INDEX(ГРАФИК!$D$37:$GY$81,1,MATCH(AA$10,ГРАФИК!$D$19:$AH$19,0))</f>
        <v>0.33333333333333337</v>
      </c>
      <c r="AB19" s="121">
        <f>INDEX(ГРАФИК!$D$37:$GY$81,1,MATCH(AB$10,ГРАФИК!$D$19:$AH$19,0))</f>
        <v>0.33333333333333337</v>
      </c>
      <c r="AC19" s="121">
        <f>INDEX(ГРАФИК!$D$37:$GY$81,1,MATCH(AC$10,ГРАФИК!$D$19:$AH$19,0))</f>
        <v>0.33333333333333337</v>
      </c>
      <c r="AD19" s="121">
        <f>INDEX(ГРАФИК!$D$37:$GY$81,1,MATCH(AD$10,ГРАФИК!$D$19:$AH$19,0))</f>
        <v>0.33333333333333337</v>
      </c>
      <c r="AE19" s="121">
        <f>INDEX(ГРАФИК!$D$37:$GY$81,1,MATCH(AE$10,ГРАФИК!$D$19:$AH$19,0))</f>
        <v>0</v>
      </c>
      <c r="AF19" s="121">
        <f>INDEX(ГРАФИК!$D$37:$GY$81,1,MATCH(AF$10,ГРАФИК!$D$19:$AH$19,0))</f>
        <v>0</v>
      </c>
      <c r="AG19" s="121">
        <f>INDEX(ГРАФИК!$D$37:$GY$81,1,MATCH(AG$10,ГРАФИК!$D$19:$AH$19,0))</f>
        <v>0.33333333333333337</v>
      </c>
      <c r="AH19" s="121">
        <f>INDEX(ГРАФИК!$D$37:$GY$81,1,MATCH(AH$10,ГРАФИК!$D$19:$AH$19,0))</f>
        <v>0.33333333333333337</v>
      </c>
      <c r="AI19" s="121">
        <f>INDEX(ГРАФИК!$D$37:$GY$81,1,MATCH(AI$10,ГРАФИК!$D$19:$AH$19,0))</f>
        <v>0.33333333333333337</v>
      </c>
      <c r="AJ19" s="121">
        <f>INDEX(ГРАФИК!$D$37:$GY$81,1,MATCH(AJ$10,ГРАФИК!$D$19:$AH$19,0))</f>
        <v>0</v>
      </c>
      <c r="AK19" s="227">
        <f>COUNTIF($F19:$AJ19,"&gt;0")</f>
        <v>22</v>
      </c>
      <c r="AL19" s="229">
        <f>SUM($F$19:$AJ$19)</f>
        <v>7.3333333333333313</v>
      </c>
      <c r="AM19" s="136"/>
      <c r="AN19" s="137"/>
      <c r="AO19" s="138"/>
      <c r="AP19" s="139"/>
      <c r="AQ19" s="140"/>
      <c r="AR19" s="138"/>
      <c r="AS19" s="138"/>
      <c r="AT19" s="137"/>
      <c r="AU19" s="122">
        <f>COUNTIF($F20:$AJ20,"=От")</f>
        <v>0</v>
      </c>
      <c r="AV19" s="138"/>
      <c r="AW19" s="138"/>
      <c r="AX19" s="138"/>
      <c r="AY19" s="138"/>
      <c r="AZ19" s="138"/>
      <c r="BA19" s="138"/>
      <c r="BB19" s="138"/>
      <c r="BC19" s="138"/>
      <c r="BD19" s="137">
        <f>COUNTIF(F20:AJ20,"В")</f>
        <v>9</v>
      </c>
    </row>
    <row r="20" spans="1:56" ht="15.75" thickBot="1" x14ac:dyDescent="0.3">
      <c r="A20" s="220"/>
      <c r="B20" s="126"/>
      <c r="C20" s="222"/>
      <c r="D20" s="224"/>
      <c r="E20" s="226"/>
      <c r="F20" s="127" t="str">
        <f>IF(ГРАФИК!D34="ОТ","ОТ",IF(F19=0,"В","Я"))</f>
        <v>Я</v>
      </c>
      <c r="G20" s="127" t="str">
        <f>IF(ГРАФИК!E34="ОТ","ОТ",IF(G19=0,"В","Я"))</f>
        <v>Я</v>
      </c>
      <c r="H20" s="127" t="str">
        <f>IF(ГРАФИК!F34="ОТ","ОТ",IF(H19=0,"В","Я"))</f>
        <v>Я</v>
      </c>
      <c r="I20" s="127" t="str">
        <f>IF(ГРАФИК!G34="ОТ","ОТ",IF(I19=0,"В","Я"))</f>
        <v>Я</v>
      </c>
      <c r="J20" s="127" t="str">
        <f>IF(ГРАФИК!H34="ОТ","ОТ",IF(J19=0,"В","Я"))</f>
        <v>В</v>
      </c>
      <c r="K20" s="127" t="str">
        <f>IF(ГРАФИК!I34="ОТ","ОТ",IF(K19=0,"В","Я"))</f>
        <v>В</v>
      </c>
      <c r="L20" s="127" t="str">
        <f>IF(ГРАФИК!J34="ОТ","ОТ",IF(L19=0,"В","Я"))</f>
        <v>Я</v>
      </c>
      <c r="M20" s="127" t="str">
        <f>IF(ГРАФИК!K34="ОТ","ОТ",IF(M19=0,"В","Я"))</f>
        <v>Я</v>
      </c>
      <c r="N20" s="127" t="str">
        <f>IF(ГРАФИК!L34="ОТ","ОТ",IF(N19=0,"В","Я"))</f>
        <v>Я</v>
      </c>
      <c r="O20" s="127" t="str">
        <f>IF(ГРАФИК!M34="ОТ","ОТ",IF(O19=0,"В","Я"))</f>
        <v>Я</v>
      </c>
      <c r="P20" s="127" t="str">
        <f>IF(ГРАФИК!N34="ОТ","ОТ",IF(P19=0,"В","Я"))</f>
        <v>Я</v>
      </c>
      <c r="Q20" s="127" t="str">
        <f>IF(ГРАФИК!O34="ОТ","ОТ",IF(Q19=0,"В","Я"))</f>
        <v>В</v>
      </c>
      <c r="R20" s="127" t="str">
        <f>IF(ГРАФИК!P34="ОТ","ОТ",IF(R19=0,"В","Я"))</f>
        <v>В</v>
      </c>
      <c r="S20" s="127" t="str">
        <f>IF(ГРАФИК!Q34="ОТ","ОТ",IF(S19=0,"В","Я"))</f>
        <v>Я</v>
      </c>
      <c r="T20" s="127" t="str">
        <f>IF(ГРАФИК!R34="ОТ","ОТ",IF(T19=0,"В","Я"))</f>
        <v>Я</v>
      </c>
      <c r="U20" s="127" t="str">
        <f>IF(ГРАФИК!T34="ОТ","ОТ",IF(U19=0,"В","Я"))</f>
        <v>Я</v>
      </c>
      <c r="V20" s="127" t="str">
        <f>IF(ГРАФИК!U34="ОТ","ОТ",IF(V19=0,"В","Я"))</f>
        <v>Я</v>
      </c>
      <c r="W20" s="127" t="str">
        <f>IF(ГРАФИК!V34="ОТ","ОТ",IF(W19=0,"В","Я"))</f>
        <v>Я</v>
      </c>
      <c r="X20" s="127" t="str">
        <f>IF(ГРАФИК!W34="ОТ","ОТ",IF(X19=0,"В","Я"))</f>
        <v>В</v>
      </c>
      <c r="Y20" s="127" t="str">
        <f>IF(ГРАФИК!X34="ОТ","ОТ",IF(Y19=0,"В","Я"))</f>
        <v>В</v>
      </c>
      <c r="Z20" s="127" t="str">
        <f>IF(ГРАФИК!Y34="ОТ","ОТ",IF(Z19=0,"В","Я"))</f>
        <v>Я</v>
      </c>
      <c r="AA20" s="127" t="str">
        <f>IF(ГРАФИК!Z34="ОТ","ОТ",IF(AA19=0,"В","Я"))</f>
        <v>Я</v>
      </c>
      <c r="AB20" s="127" t="str">
        <f>IF(ГРАФИК!AA34="ОТ","ОТ",IF(AB19=0,"В","Я"))</f>
        <v>Я</v>
      </c>
      <c r="AC20" s="127" t="str">
        <f>IF(ГРАФИК!AB34="ОТ","ОТ",IF(AC19=0,"В","Я"))</f>
        <v>Я</v>
      </c>
      <c r="AD20" s="127" t="str">
        <f>IF(ГРАФИК!AC34="ОТ","ОТ",IF(AD19=0,"В","Я"))</f>
        <v>Я</v>
      </c>
      <c r="AE20" s="127" t="str">
        <f>IF(ГРАФИК!AD34="ОТ","ОТ",IF(AE19=0,"В","Я"))</f>
        <v>В</v>
      </c>
      <c r="AF20" s="127" t="str">
        <f>IF(ГРАФИК!AE34="ОТ","ОТ",IF(AF19=0,"В","Я"))</f>
        <v>В</v>
      </c>
      <c r="AG20" s="127" t="str">
        <f>IF(ГРАФИК!AF34="ОТ","ОТ",IF(AG19=0,"В","Я"))</f>
        <v>Я</v>
      </c>
      <c r="AH20" s="127" t="str">
        <f>IF(ГРАФИК!AG34="ОТ","ОТ",IF(AH19=0,"В","Я"))</f>
        <v>Я</v>
      </c>
      <c r="AI20" s="127" t="str">
        <f>IF(ГРАФИК!AH34="ОТ","ОТ",IF(AI19=0,"В","Я"))</f>
        <v>Я</v>
      </c>
      <c r="AJ20" s="127" t="str">
        <f>IF(ГРАФИК!AI34="ОТ","ОТ",IF(AJ19=0,"В","Я"))</f>
        <v>В</v>
      </c>
      <c r="AK20" s="228"/>
      <c r="AL20" s="230"/>
      <c r="AM20" s="141"/>
      <c r="AN20" s="128"/>
      <c r="AO20" s="129"/>
      <c r="AP20" s="130"/>
      <c r="AQ20" s="131"/>
      <c r="AR20" s="129"/>
      <c r="AS20" s="129"/>
      <c r="AT20" s="128"/>
      <c r="AU20" s="128"/>
      <c r="AV20" s="129"/>
      <c r="AW20" s="129"/>
      <c r="AX20" s="129"/>
      <c r="AY20" s="129"/>
      <c r="AZ20" s="129"/>
      <c r="BA20" s="129"/>
      <c r="BB20" s="129"/>
      <c r="BC20" s="129"/>
      <c r="BD20" s="128"/>
    </row>
    <row r="21" spans="1:56" x14ac:dyDescent="0.25">
      <c r="A21" s="219">
        <v>4</v>
      </c>
      <c r="B21" s="120"/>
      <c r="C21" s="221" t="str">
        <f>LEFT(ГРАФИК!B40,100)</f>
        <v>Береговой Г.П.</v>
      </c>
      <c r="D21" s="223" t="str">
        <f>LEFT(ГРАФИК!B43,100)</f>
        <v>Сторож</v>
      </c>
      <c r="E21" s="225"/>
      <c r="F21" s="121">
        <f>INDEX(ГРАФИК!$D$43:$GY$81,1,MATCH(F$10,ГРАФИК!$D$19:$AH$19,0))</f>
        <v>0.33333333333333337</v>
      </c>
      <c r="G21" s="121">
        <f>INDEX(ГРАФИК!$D$43:$GY$81,1,MATCH(G$10,ГРАФИК!$D$19:$AH$19,0))</f>
        <v>0.33333333333333337</v>
      </c>
      <c r="H21" s="121">
        <f>INDEX(ГРАФИК!$D$43:$GY$81,1,MATCH(H$10,ГРАФИК!$D$19:$AH$19,0))</f>
        <v>0.33333333333333337</v>
      </c>
      <c r="I21" s="121">
        <f>INDEX(ГРАФИК!$D$43:$GY$81,1,MATCH(I$10,ГРАФИК!$D$19:$AH$19,0))</f>
        <v>0.33333333333333337</v>
      </c>
      <c r="J21" s="121">
        <f>INDEX(ГРАФИК!$D$43:$GY$81,1,MATCH(J$10,ГРАФИК!$D$19:$AH$19,0))</f>
        <v>0</v>
      </c>
      <c r="K21" s="121">
        <f>INDEX(ГРАФИК!$D$43:$GY$81,1,MATCH(K$10,ГРАФИК!$D$19:$AH$19,0))</f>
        <v>0.33333333333333337</v>
      </c>
      <c r="L21" s="121">
        <f>INDEX(ГРАФИК!$D$43:$GY$81,1,MATCH(L$10,ГРАФИК!$D$19:$AH$19,0))</f>
        <v>0.33333333333333337</v>
      </c>
      <c r="M21" s="121">
        <f>INDEX(ГРАФИК!$D$43:$GY$81,1,MATCH(M$10,ГРАФИК!$D$19:$AH$19,0))</f>
        <v>0.33333333333333337</v>
      </c>
      <c r="N21" s="121">
        <f>INDEX(ГРАФИК!$D$43:$GY$81,1,MATCH(N$10,ГРАФИК!$D$19:$AH$19,0))</f>
        <v>0.33333333333333337</v>
      </c>
      <c r="O21" s="121">
        <f>INDEX(ГРАФИК!$D$43:$GY$81,1,MATCH(O$10,ГРАФИК!$D$19:$AH$19,0))</f>
        <v>0.33333333333333337</v>
      </c>
      <c r="P21" s="121">
        <f>INDEX(ГРАФИК!$D$43:$GY$81,1,MATCH(P$10,ГРАФИК!$D$19:$AH$19,0))</f>
        <v>0.33333333333333337</v>
      </c>
      <c r="Q21" s="121">
        <f>INDEX(ГРАФИК!$D$43:$GY$81,1,MATCH(Q$10,ГРАФИК!$D$19:$AH$19,0))</f>
        <v>0</v>
      </c>
      <c r="R21" s="121">
        <f>INDEX(ГРАФИК!$D$43:$GY$81,1,MATCH(R$10,ГРАФИК!$D$19:$AH$19,0))</f>
        <v>0.33333333333333337</v>
      </c>
      <c r="S21" s="121">
        <f>INDEX(ГРАФИК!$D$43:$GY$81,1,MATCH(S$10,ГРАФИК!$D$19:$AH$19,0))</f>
        <v>0.33333333333333337</v>
      </c>
      <c r="T21" s="121">
        <f>INDEX(ГРАФИК!$D$43:$GY$81,1,MATCH(T$10,ГРАФИК!$D$19:$AH$19,0))</f>
        <v>0.33333333333333337</v>
      </c>
      <c r="U21" s="121">
        <f>INDEX(ГРАФИК!$D$43:$GY$81,1,MATCH(U$10,ГРАФИК!$D$19:$AH$19,0))</f>
        <v>0.33333333333333337</v>
      </c>
      <c r="V21" s="121">
        <f>INDEX(ГРАФИК!$D$43:$GY$81,1,MATCH(V$10,ГРАФИК!$D$19:$AH$19,0))</f>
        <v>0.33333333333333337</v>
      </c>
      <c r="W21" s="121">
        <f>INDEX(ГРАФИК!$D$43:$GY$81,1,MATCH(W$10,ГРАФИК!$D$19:$AH$19,0))</f>
        <v>0.33333333333333337</v>
      </c>
      <c r="X21" s="121">
        <f>INDEX(ГРАФИК!$D$43:$GY$81,1,MATCH(X$10,ГРАФИК!$D$19:$AH$19,0))</f>
        <v>0</v>
      </c>
      <c r="Y21" s="121">
        <f>INDEX(ГРАФИК!$D$43:$GY$81,1,MATCH(Y$10,ГРАФИК!$D$19:$AH$19,0))</f>
        <v>0.33333333333333337</v>
      </c>
      <c r="Z21" s="121">
        <f>INDEX(ГРАФИК!$D$43:$GY$81,1,MATCH(Z$10,ГРАФИК!$D$19:$AH$19,0))</f>
        <v>0.33333333333333337</v>
      </c>
      <c r="AA21" s="121">
        <f>INDEX(ГРАФИК!$D$43:$GY$81,1,MATCH(AA$10,ГРАФИК!$D$19:$AH$19,0))</f>
        <v>0.33333333333333337</v>
      </c>
      <c r="AB21" s="121">
        <f>INDEX(ГРАФИК!$D$43:$GY$81,1,MATCH(AB$10,ГРАФИК!$D$19:$AH$19,0))</f>
        <v>0</v>
      </c>
      <c r="AC21" s="121">
        <f>INDEX(ГРАФИК!$D$43:$GY$81,1,MATCH(AC$10,ГРАФИК!$D$19:$AH$19,0))</f>
        <v>0</v>
      </c>
      <c r="AD21" s="121">
        <f>INDEX(ГРАФИК!$D$43:$GY$81,1,MATCH(AD$10,ГРАФИК!$D$19:$AH$19,0))</f>
        <v>0.33333333333333337</v>
      </c>
      <c r="AE21" s="121">
        <f>INDEX(ГРАФИК!$D$43:$GY$81,1,MATCH(AE$10,ГРАФИК!$D$19:$AH$19,0))</f>
        <v>0</v>
      </c>
      <c r="AF21" s="121">
        <f>INDEX(ГРАФИК!$D$43:$GY$81,1,MATCH(AF$10,ГРАФИК!$D$19:$AH$19,0))</f>
        <v>0.33333333333333337</v>
      </c>
      <c r="AG21" s="121">
        <f>INDEX(ГРАФИК!$D$43:$GY$81,1,MATCH(AG$10,ГРАФИК!$D$19:$AH$19,0))</f>
        <v>0.33333333333333337</v>
      </c>
      <c r="AH21" s="121">
        <f>INDEX(ГРАФИК!$D$43:$GY$81,1,MATCH(AH$10,ГРАФИК!$D$19:$AH$19,0))</f>
        <v>0</v>
      </c>
      <c r="AI21" s="121">
        <f>INDEX(ГРАФИК!$D$43:$GY$81,1,MATCH(AI$10,ГРАФИК!$D$19:$AH$19,0))</f>
        <v>0</v>
      </c>
      <c r="AJ21" s="121">
        <f>INDEX(ГРАФИК!$D$43:$GY$81,1,MATCH(AJ$10,ГРАФИК!$D$19:$AH$19,0))</f>
        <v>0</v>
      </c>
      <c r="AK21" s="227">
        <f>COUNTIF($F21:$AJ21,"&gt;0")</f>
        <v>22</v>
      </c>
      <c r="AL21" s="229">
        <f>SUM($F$21:$AJ$21)</f>
        <v>7.3333333333333313</v>
      </c>
      <c r="AM21" s="136"/>
      <c r="AN21" s="137"/>
      <c r="AO21" s="138"/>
      <c r="AP21" s="139"/>
      <c r="AQ21" s="140"/>
      <c r="AR21" s="138"/>
      <c r="AS21" s="138"/>
      <c r="AT21" s="137"/>
      <c r="AU21" s="122">
        <f>COUNTIF($F22:$AJ22,"=От")</f>
        <v>0</v>
      </c>
      <c r="AV21" s="138"/>
      <c r="AW21" s="138"/>
      <c r="AX21" s="138"/>
      <c r="AY21" s="138"/>
      <c r="AZ21" s="138"/>
      <c r="BA21" s="138"/>
      <c r="BB21" s="138"/>
      <c r="BC21" s="138"/>
      <c r="BD21" s="137">
        <f>COUNTIF(F22:AJ22,"В")</f>
        <v>9</v>
      </c>
    </row>
    <row r="22" spans="1:56" ht="15.75" thickBot="1" x14ac:dyDescent="0.3">
      <c r="A22" s="220"/>
      <c r="B22" s="126"/>
      <c r="C22" s="222"/>
      <c r="D22" s="224"/>
      <c r="E22" s="226"/>
      <c r="F22" s="127" t="str">
        <f>IF(ГРАФИК!D40="ОТ","ОТ",IF(F21=0,"В","Я"))</f>
        <v>Я</v>
      </c>
      <c r="G22" s="127" t="str">
        <f>IF(ГРАФИК!E40="ОТ","ОТ",IF(G21=0,"В","Я"))</f>
        <v>Я</v>
      </c>
      <c r="H22" s="127" t="str">
        <f>IF(ГРАФИК!F40="ОТ","ОТ",IF(H21=0,"В","Я"))</f>
        <v>Я</v>
      </c>
      <c r="I22" s="127" t="str">
        <f>IF(ГРАФИК!G40="ОТ","ОТ",IF(I21=0,"В","Я"))</f>
        <v>Я</v>
      </c>
      <c r="J22" s="127" t="str">
        <f>IF(ГРАФИК!H40="ОТ","ОТ",IF(J21=0,"В","Я"))</f>
        <v>В</v>
      </c>
      <c r="K22" s="127" t="str">
        <f>IF(ГРАФИК!I40="ОТ","ОТ",IF(K21=0,"В","Я"))</f>
        <v>Я</v>
      </c>
      <c r="L22" s="127" t="str">
        <f>IF(ГРАФИК!J40="ОТ","ОТ",IF(L21=0,"В","Я"))</f>
        <v>Я</v>
      </c>
      <c r="M22" s="127" t="str">
        <f>IF(ГРАФИК!K40="ОТ","ОТ",IF(M21=0,"В","Я"))</f>
        <v>Я</v>
      </c>
      <c r="N22" s="127" t="str">
        <f>IF(ГРАФИК!L40="ОТ","ОТ",IF(N21=0,"В","Я"))</f>
        <v>Я</v>
      </c>
      <c r="O22" s="127" t="str">
        <f>IF(ГРАФИК!M40="ОТ","ОТ",IF(O21=0,"В","Я"))</f>
        <v>Я</v>
      </c>
      <c r="P22" s="127" t="str">
        <f>IF(ГРАФИК!N40="ОТ","ОТ",IF(P21=0,"В","Я"))</f>
        <v>Я</v>
      </c>
      <c r="Q22" s="127" t="str">
        <f>IF(ГРАФИК!O40="ОТ","ОТ",IF(Q21=0,"В","Я"))</f>
        <v>В</v>
      </c>
      <c r="R22" s="127" t="str">
        <f>IF(ГРАФИК!P40="ОТ","ОТ",IF(R21=0,"В","Я"))</f>
        <v>Я</v>
      </c>
      <c r="S22" s="127" t="str">
        <f>IF(ГРАФИК!Q40="ОТ","ОТ",IF(S21=0,"В","Я"))</f>
        <v>Я</v>
      </c>
      <c r="T22" s="127" t="str">
        <f>IF(ГРАФИК!R40="ОТ","ОТ",IF(T21=0,"В","Я"))</f>
        <v>Я</v>
      </c>
      <c r="U22" s="127" t="str">
        <f>IF(ГРАФИК!T40="ОТ","ОТ",IF(U21=0,"В","Я"))</f>
        <v>Я</v>
      </c>
      <c r="V22" s="127" t="str">
        <f>IF(ГРАФИК!U40="ОТ","ОТ",IF(V21=0,"В","Я"))</f>
        <v>Я</v>
      </c>
      <c r="W22" s="127" t="str">
        <f>IF(ГРАФИК!V40="ОТ","ОТ",IF(W21=0,"В","Я"))</f>
        <v>Я</v>
      </c>
      <c r="X22" s="127" t="str">
        <f>IF(ГРАФИК!W40="ОТ","ОТ",IF(X21=0,"В","Я"))</f>
        <v>В</v>
      </c>
      <c r="Y22" s="127" t="str">
        <f>IF(ГРАФИК!X40="ОТ","ОТ",IF(Y21=0,"В","Я"))</f>
        <v>Я</v>
      </c>
      <c r="Z22" s="127" t="str">
        <f>IF(ГРАФИК!Y40="ОТ","ОТ",IF(Z21=0,"В","Я"))</f>
        <v>Я</v>
      </c>
      <c r="AA22" s="127" t="str">
        <f>IF(ГРАФИК!Z40="ОТ","ОТ",IF(AA21=0,"В","Я"))</f>
        <v>Я</v>
      </c>
      <c r="AB22" s="127" t="str">
        <f>IF(ГРАФИК!AA40="ОТ","ОТ",IF(AB21=0,"В","Я"))</f>
        <v>В</v>
      </c>
      <c r="AC22" s="127" t="str">
        <f>IF(ГРАФИК!AB40="ОТ","ОТ",IF(AC21=0,"В","Я"))</f>
        <v>В</v>
      </c>
      <c r="AD22" s="127" t="str">
        <f>IF(ГРАФИК!AC40="ОТ","ОТ",IF(AD21=0,"В","Я"))</f>
        <v>Я</v>
      </c>
      <c r="AE22" s="127" t="str">
        <f>IF(ГРАФИК!AD40="ОТ","ОТ",IF(AE21=0,"В","Я"))</f>
        <v>В</v>
      </c>
      <c r="AF22" s="127" t="str">
        <f>IF(ГРАФИК!AE40="ОТ","ОТ",IF(AF21=0,"В","Я"))</f>
        <v>Я</v>
      </c>
      <c r="AG22" s="127" t="str">
        <f>IF(ГРАФИК!AF40="ОТ","ОТ",IF(AG21=0,"В","Я"))</f>
        <v>Я</v>
      </c>
      <c r="AH22" s="127" t="str">
        <f>IF(ГРАФИК!AG40="ОТ","ОТ",IF(AH21=0,"В","Я"))</f>
        <v>В</v>
      </c>
      <c r="AI22" s="127" t="str">
        <f>IF(ГРАФИК!AH40="ОТ","ОТ",IF(AI21=0,"В","Я"))</f>
        <v>В</v>
      </c>
      <c r="AJ22" s="127" t="str">
        <f>IF(ГРАФИК!AI40="ОТ","ОТ",IF(AJ21=0,"В","Я"))</f>
        <v>В</v>
      </c>
      <c r="AK22" s="228"/>
      <c r="AL22" s="230"/>
      <c r="AM22" s="141"/>
      <c r="AN22" s="128"/>
      <c r="AO22" s="129"/>
      <c r="AP22" s="130"/>
      <c r="AQ22" s="131"/>
      <c r="AR22" s="129"/>
      <c r="AS22" s="129"/>
      <c r="AT22" s="128"/>
      <c r="AU22" s="128"/>
      <c r="AV22" s="129"/>
      <c r="AW22" s="129"/>
      <c r="AX22" s="129"/>
      <c r="AY22" s="129"/>
      <c r="AZ22" s="129"/>
      <c r="BA22" s="129"/>
      <c r="BB22" s="129"/>
      <c r="BC22" s="129"/>
      <c r="BD22" s="128"/>
    </row>
    <row r="23" spans="1:56" x14ac:dyDescent="0.25">
      <c r="A23" s="219">
        <v>5</v>
      </c>
      <c r="B23" s="120"/>
      <c r="C23" s="221" t="str">
        <f>LEFT(ГРАФИК!B46,100)</f>
        <v>Бронников М.Ю.</v>
      </c>
      <c r="D23" s="223" t="str">
        <f>LEFT(ГРАФИК!B49,100)</f>
        <v>Кассир Билетный</v>
      </c>
      <c r="E23" s="225"/>
      <c r="F23" s="121">
        <f>INDEX(ГРАФИК!$D$49:$GY$81,1,MATCH(F$10,ГРАФИК!$D$19:$AH$19,0))</f>
        <v>0.33333333333333337</v>
      </c>
      <c r="G23" s="121">
        <f>INDEX(ГРАФИК!$D$49:$GY$81,1,MATCH(G$10,ГРАФИК!$D$19:$AH$19,0))</f>
        <v>0.33333333333333337</v>
      </c>
      <c r="H23" s="121">
        <f>INDEX(ГРАФИК!$D$49:$GY$81,1,MATCH(H$10,ГРАФИК!$D$19:$AH$19,0))</f>
        <v>0.33333333333333337</v>
      </c>
      <c r="I23" s="121">
        <f>INDEX(ГРАФИК!$D$49:$GY$81,1,MATCH(I$10,ГРАФИК!$D$19:$AH$19,0))</f>
        <v>0.33333333333333337</v>
      </c>
      <c r="J23" s="121">
        <f>INDEX(ГРАФИК!$D$49:$GY$81,1,MATCH(J$10,ГРАФИК!$D$19:$AH$19,0))</f>
        <v>0</v>
      </c>
      <c r="K23" s="121">
        <f>INDEX(ГРАФИК!$D$49:$GY$81,1,MATCH(K$10,ГРАФИК!$D$19:$AH$19,0))</f>
        <v>0</v>
      </c>
      <c r="L23" s="121">
        <f>INDEX(ГРАФИК!$D$49:$GY$81,1,MATCH(L$10,ГРАФИК!$D$19:$AH$19,0))</f>
        <v>0.33333333333333337</v>
      </c>
      <c r="M23" s="121">
        <f>INDEX(ГРАФИК!$D$49:$GY$81,1,MATCH(M$10,ГРАФИК!$D$19:$AH$19,0))</f>
        <v>0.33333333333333337</v>
      </c>
      <c r="N23" s="121">
        <f>INDEX(ГРАФИК!$D$49:$GY$81,1,MATCH(N$10,ГРАФИК!$D$19:$AH$19,0))</f>
        <v>0.33333333333333337</v>
      </c>
      <c r="O23" s="121">
        <f>INDEX(ГРАФИК!$D$49:$GY$81,1,MATCH(O$10,ГРАФИК!$D$19:$AH$19,0))</f>
        <v>0.33333333333333337</v>
      </c>
      <c r="P23" s="121">
        <f>INDEX(ГРАФИК!$D$49:$GY$81,1,MATCH(P$10,ГРАФИК!$D$19:$AH$19,0))</f>
        <v>0.33333333333333337</v>
      </c>
      <c r="Q23" s="121">
        <f>INDEX(ГРАФИК!$D$49:$GY$81,1,MATCH(Q$10,ГРАФИК!$D$19:$AH$19,0))</f>
        <v>0</v>
      </c>
      <c r="R23" s="121">
        <f>INDEX(ГРАФИК!$D$49:$GY$81,1,MATCH(R$10,ГРАФИК!$D$19:$AH$19,0))</f>
        <v>0</v>
      </c>
      <c r="S23" s="121">
        <f>INDEX(ГРАФИК!$D$49:$GY$81,1,MATCH(S$10,ГРАФИК!$D$19:$AH$19,0))</f>
        <v>0.33333333333333337</v>
      </c>
      <c r="T23" s="121">
        <f>INDEX(ГРАФИК!$D$49:$GY$81,1,MATCH(T$10,ГРАФИК!$D$19:$AH$19,0))</f>
        <v>0.33333333333333337</v>
      </c>
      <c r="U23" s="121">
        <f>INDEX(ГРАФИК!$D$49:$GY$81,1,MATCH(U$10,ГРАФИК!$D$19:$AH$19,0))</f>
        <v>0.33333333333333337</v>
      </c>
      <c r="V23" s="121">
        <f>INDEX(ГРАФИК!$D$49:$GY$81,1,MATCH(V$10,ГРАФИК!$D$19:$AH$19,0))</f>
        <v>0.33333333333333337</v>
      </c>
      <c r="W23" s="121">
        <f>INDEX(ГРАФИК!$D$49:$GY$81,1,MATCH(W$10,ГРАФИК!$D$19:$AH$19,0))</f>
        <v>0.33333333333333337</v>
      </c>
      <c r="X23" s="121">
        <f>INDEX(ГРАФИК!$D$49:$GY$81,1,MATCH(X$10,ГРАФИК!$D$19:$AH$19,0))</f>
        <v>0</v>
      </c>
      <c r="Y23" s="121">
        <f>INDEX(ГРАФИК!$D$49:$GY$81,1,MATCH(Y$10,ГРАФИК!$D$19:$AH$19,0))</f>
        <v>0</v>
      </c>
      <c r="Z23" s="121">
        <f>INDEX(ГРАФИК!$D$49:$GY$81,1,MATCH(Z$10,ГРАФИК!$D$19:$AH$19,0))</f>
        <v>0.33333333333333337</v>
      </c>
      <c r="AA23" s="121">
        <f>INDEX(ГРАФИК!$D$49:$GY$81,1,MATCH(AA$10,ГРАФИК!$D$19:$AH$19,0))</f>
        <v>0.33333333333333337</v>
      </c>
      <c r="AB23" s="121">
        <f>INDEX(ГРАФИК!$D$49:$GY$81,1,MATCH(AB$10,ГРАФИК!$D$19:$AH$19,0))</f>
        <v>0.33333333333333337</v>
      </c>
      <c r="AC23" s="121">
        <f>INDEX(ГРАФИК!$D$49:$GY$81,1,MATCH(AC$10,ГРАФИК!$D$19:$AH$19,0))</f>
        <v>0.33333333333333337</v>
      </c>
      <c r="AD23" s="121">
        <f>INDEX(ГРАФИК!$D$49:$GY$81,1,MATCH(AD$10,ГРАФИК!$D$19:$AH$19,0))</f>
        <v>0.33333333333333337</v>
      </c>
      <c r="AE23" s="121">
        <f>INDEX(ГРАФИК!$D$49:$GY$81,1,MATCH(AE$10,ГРАФИК!$D$19:$AH$19,0))</f>
        <v>0</v>
      </c>
      <c r="AF23" s="121">
        <f>INDEX(ГРАФИК!$D$49:$GY$81,1,MATCH(AF$10,ГРАФИК!$D$19:$AH$19,0))</f>
        <v>0</v>
      </c>
      <c r="AG23" s="121">
        <f>INDEX(ГРАФИК!$D$49:$GY$81,1,MATCH(AG$10,ГРАФИК!$D$19:$AH$19,0))</f>
        <v>0.33333333333333337</v>
      </c>
      <c r="AH23" s="121">
        <f>INDEX(ГРАФИК!$D$49:$GY$81,1,MATCH(AH$10,ГРАФИК!$D$19:$AH$19,0))</f>
        <v>0</v>
      </c>
      <c r="AI23" s="121">
        <f>INDEX(ГРАФИК!$D$49:$GY$81,1,MATCH(AI$10,ГРАФИК!$D$19:$AH$19,0))</f>
        <v>0</v>
      </c>
      <c r="AJ23" s="121">
        <f>INDEX(ГРАФИК!$D$49:$GY$81,1,MATCH(AJ$10,ГРАФИК!$D$19:$AH$19,0))</f>
        <v>0</v>
      </c>
      <c r="AK23" s="227">
        <f>COUNTIF($F23:$AJ23,"&gt;0")</f>
        <v>20</v>
      </c>
      <c r="AL23" s="229">
        <f>SUM($F$23:$AJ$23)</f>
        <v>6.6666666666666652</v>
      </c>
      <c r="AM23" s="136"/>
      <c r="AN23" s="137"/>
      <c r="AO23" s="138"/>
      <c r="AP23" s="139"/>
      <c r="AQ23" s="140"/>
      <c r="AR23" s="138"/>
      <c r="AS23" s="138"/>
      <c r="AT23" s="137"/>
      <c r="AU23" s="122">
        <f>COUNTIF($F24:$AJ24,"=От")</f>
        <v>0</v>
      </c>
      <c r="AV23" s="138"/>
      <c r="AW23" s="138"/>
      <c r="AX23" s="138"/>
      <c r="AY23" s="138"/>
      <c r="AZ23" s="138"/>
      <c r="BA23" s="138"/>
      <c r="BB23" s="138"/>
      <c r="BC23" s="138"/>
      <c r="BD23" s="137">
        <f>COUNTIF(F24:AJ24,"В")</f>
        <v>11</v>
      </c>
    </row>
    <row r="24" spans="1:56" ht="15.75" thickBot="1" x14ac:dyDescent="0.3">
      <c r="A24" s="220"/>
      <c r="B24" s="126"/>
      <c r="C24" s="222"/>
      <c r="D24" s="224"/>
      <c r="E24" s="226"/>
      <c r="F24" s="127" t="str">
        <f>IF(ГРАФИК!D46="ОТ","ОТ",IF(F23=0,"В","Я"))</f>
        <v>Я</v>
      </c>
      <c r="G24" s="127" t="str">
        <f>IF(ГРАФИК!E46="ОТ","ОТ",IF(G23=0,"В","Я"))</f>
        <v>Я</v>
      </c>
      <c r="H24" s="127" t="str">
        <f>IF(ГРАФИК!F46="ОТ","ОТ",IF(H23=0,"В","Я"))</f>
        <v>Я</v>
      </c>
      <c r="I24" s="127" t="str">
        <f>IF(ГРАФИК!G46="ОТ","ОТ",IF(I23=0,"В","Я"))</f>
        <v>Я</v>
      </c>
      <c r="J24" s="127" t="str">
        <f>IF(ГРАФИК!H46="ОТ","ОТ",IF(J23=0,"В","Я"))</f>
        <v>В</v>
      </c>
      <c r="K24" s="127" t="str">
        <f>IF(ГРАФИК!I46="ОТ","ОТ",IF(K23=0,"В","Я"))</f>
        <v>В</v>
      </c>
      <c r="L24" s="127" t="str">
        <f>IF(ГРАФИК!J46="ОТ","ОТ",IF(L23=0,"В","Я"))</f>
        <v>Я</v>
      </c>
      <c r="M24" s="127" t="str">
        <f>IF(ГРАФИК!K46="ОТ","ОТ",IF(M23=0,"В","Я"))</f>
        <v>Я</v>
      </c>
      <c r="N24" s="127" t="str">
        <f>IF(ГРАФИК!L46="ОТ","ОТ",IF(N23=0,"В","Я"))</f>
        <v>Я</v>
      </c>
      <c r="O24" s="127" t="str">
        <f>IF(ГРАФИК!M46="ОТ","ОТ",IF(O23=0,"В","Я"))</f>
        <v>Я</v>
      </c>
      <c r="P24" s="127" t="str">
        <f>IF(ГРАФИК!N46="ОТ","ОТ",IF(P23=0,"В","Я"))</f>
        <v>Я</v>
      </c>
      <c r="Q24" s="127" t="str">
        <f>IF(ГРАФИК!O46="ОТ","ОТ",IF(Q23=0,"В","Я"))</f>
        <v>В</v>
      </c>
      <c r="R24" s="127" t="str">
        <f>IF(ГРАФИК!P46="ОТ","ОТ",IF(R23=0,"В","Я"))</f>
        <v>В</v>
      </c>
      <c r="S24" s="127" t="str">
        <f>IF(ГРАФИК!Q46="ОТ","ОТ",IF(S23=0,"В","Я"))</f>
        <v>Я</v>
      </c>
      <c r="T24" s="127" t="str">
        <f>IF(ГРАФИК!R46="ОТ","ОТ",IF(T23=0,"В","Я"))</f>
        <v>Я</v>
      </c>
      <c r="U24" s="127" t="str">
        <f>IF(ГРАФИК!T46="ОТ","ОТ",IF(U23=0,"В","Я"))</f>
        <v>Я</v>
      </c>
      <c r="V24" s="127" t="str">
        <f>IF(ГРАФИК!U46="ОТ","ОТ",IF(V23=0,"В","Я"))</f>
        <v>Я</v>
      </c>
      <c r="W24" s="127" t="str">
        <f>IF(ГРАФИК!V46="ОТ","ОТ",IF(W23=0,"В","Я"))</f>
        <v>Я</v>
      </c>
      <c r="X24" s="127" t="str">
        <f>IF(ГРАФИК!W46="ОТ","ОТ",IF(X23=0,"В","Я"))</f>
        <v>В</v>
      </c>
      <c r="Y24" s="127" t="str">
        <f>IF(ГРАФИК!X46="ОТ","ОТ",IF(Y23=0,"В","Я"))</f>
        <v>В</v>
      </c>
      <c r="Z24" s="127" t="str">
        <f>IF(ГРАФИК!Y46="ОТ","ОТ",IF(Z23=0,"В","Я"))</f>
        <v>Я</v>
      </c>
      <c r="AA24" s="127" t="str">
        <f>IF(ГРАФИК!Z46="ОТ","ОТ",IF(AA23=0,"В","Я"))</f>
        <v>Я</v>
      </c>
      <c r="AB24" s="127" t="str">
        <f>IF(ГРАФИК!AA46="ОТ","ОТ",IF(AB23=0,"В","Я"))</f>
        <v>Я</v>
      </c>
      <c r="AC24" s="127" t="str">
        <f>IF(ГРАФИК!AB46="ОТ","ОТ",IF(AC23=0,"В","Я"))</f>
        <v>Я</v>
      </c>
      <c r="AD24" s="127" t="str">
        <f>IF(ГРАФИК!AC46="ОТ","ОТ",IF(AD23=0,"В","Я"))</f>
        <v>Я</v>
      </c>
      <c r="AE24" s="127" t="str">
        <f>IF(ГРАФИК!AD46="ОТ","ОТ",IF(AE23=0,"В","Я"))</f>
        <v>В</v>
      </c>
      <c r="AF24" s="127" t="str">
        <f>IF(ГРАФИК!AE46="ОТ","ОТ",IF(AF23=0,"В","Я"))</f>
        <v>В</v>
      </c>
      <c r="AG24" s="127" t="str">
        <f>IF(ГРАФИК!AF46="ОТ","ОТ",IF(AG23=0,"В","Я"))</f>
        <v>Я</v>
      </c>
      <c r="AH24" s="127" t="str">
        <f>IF(ГРАФИК!AG46="ОТ","ОТ",IF(AH23=0,"В","Я"))</f>
        <v>В</v>
      </c>
      <c r="AI24" s="127" t="str">
        <f>IF(ГРАФИК!AH46="ОТ","ОТ",IF(AI23=0,"В","Я"))</f>
        <v>В</v>
      </c>
      <c r="AJ24" s="127" t="str">
        <f>IF(ГРАФИК!AI46="ОТ","ОТ",IF(AJ23=0,"В","Я"))</f>
        <v>В</v>
      </c>
      <c r="AK24" s="228"/>
      <c r="AL24" s="230"/>
      <c r="AM24" s="141"/>
      <c r="AN24" s="128"/>
      <c r="AO24" s="129"/>
      <c r="AP24" s="130"/>
      <c r="AQ24" s="131"/>
      <c r="AR24" s="129"/>
      <c r="AS24" s="129"/>
      <c r="AT24" s="128"/>
      <c r="AU24" s="128"/>
      <c r="AV24" s="129"/>
      <c r="AW24" s="129"/>
      <c r="AX24" s="129"/>
      <c r="AY24" s="129"/>
      <c r="AZ24" s="129"/>
      <c r="BA24" s="129"/>
      <c r="BB24" s="129"/>
      <c r="BC24" s="129"/>
      <c r="BD24" s="128"/>
    </row>
    <row r="25" spans="1:56" x14ac:dyDescent="0.25">
      <c r="A25" s="219">
        <v>6</v>
      </c>
      <c r="B25" s="132"/>
      <c r="C25" s="221" t="str">
        <f>LEFT(ГРАФИК!B52,100)</f>
        <v/>
      </c>
      <c r="D25" s="223" t="str">
        <f>LEFT(ГРАФИК!B55,100)</f>
        <v/>
      </c>
      <c r="E25" s="225"/>
      <c r="F25" s="121">
        <f>INDEX(ГРАФИК!$D$55:$GY$81,1,MATCH(F$10,ГРАФИК!$D$19:$AH$19,0))</f>
        <v>0</v>
      </c>
      <c r="G25" s="121">
        <f>INDEX(ГРАФИК!$D$55:$GY$81,1,MATCH(G$10,ГРАФИК!$D$19:$AH$19,0))</f>
        <v>0</v>
      </c>
      <c r="H25" s="121">
        <f>INDEX(ГРАФИК!$D$55:$GY$81,1,MATCH(H$10,ГРАФИК!$D$19:$AH$19,0))</f>
        <v>0</v>
      </c>
      <c r="I25" s="121">
        <f>INDEX(ГРАФИК!$D$55:$GY$81,1,MATCH(I$10,ГРАФИК!$D$19:$AH$19,0))</f>
        <v>0</v>
      </c>
      <c r="J25" s="121">
        <f>INDEX(ГРАФИК!$D$55:$GY$81,1,MATCH(J$10,ГРАФИК!$D$19:$AH$19,0))</f>
        <v>0</v>
      </c>
      <c r="K25" s="121">
        <f>INDEX(ГРАФИК!$D$55:$GY$81,1,MATCH(K$10,ГРАФИК!$D$19:$AH$19,0))</f>
        <v>0</v>
      </c>
      <c r="L25" s="121">
        <f>INDEX(ГРАФИК!$D$55:$GY$81,1,MATCH(L$10,ГРАФИК!$D$19:$AH$19,0))</f>
        <v>0</v>
      </c>
      <c r="M25" s="121">
        <f>INDEX(ГРАФИК!$D$55:$GY$81,1,MATCH(M$10,ГРАФИК!$D$19:$AH$19,0))</f>
        <v>0</v>
      </c>
      <c r="N25" s="121">
        <f>INDEX(ГРАФИК!$D$55:$GY$81,1,MATCH(N$10,ГРАФИК!$D$19:$AH$19,0))</f>
        <v>0</v>
      </c>
      <c r="O25" s="121">
        <f>INDEX(ГРАФИК!$D$55:$GY$81,1,MATCH(O$10,ГРАФИК!$D$19:$AH$19,0))</f>
        <v>0</v>
      </c>
      <c r="P25" s="121">
        <f>INDEX(ГРАФИК!$D$55:$GY$81,1,MATCH(P$10,ГРАФИК!$D$19:$AH$19,0))</f>
        <v>0</v>
      </c>
      <c r="Q25" s="121">
        <f>INDEX(ГРАФИК!$D$55:$GY$81,1,MATCH(Q$10,ГРАФИК!$D$19:$AH$19,0))</f>
        <v>0</v>
      </c>
      <c r="R25" s="121">
        <f>INDEX(ГРАФИК!$D$55:$GY$81,1,MATCH(R$10,ГРАФИК!$D$19:$AH$19,0))</f>
        <v>0</v>
      </c>
      <c r="S25" s="121">
        <f>INDEX(ГРАФИК!$D$55:$GY$81,1,MATCH(S$10,ГРАФИК!$D$19:$AH$19,0))</f>
        <v>0</v>
      </c>
      <c r="T25" s="121">
        <f>INDEX(ГРАФИК!$D$55:$GY$81,1,MATCH(T$10,ГРАФИК!$D$19:$AH$19,0))</f>
        <v>0</v>
      </c>
      <c r="U25" s="121">
        <f>INDEX(ГРАФИК!$D$55:$GY$81,1,MATCH(U$10,ГРАФИК!$D$19:$AH$19,0))</f>
        <v>0</v>
      </c>
      <c r="V25" s="121">
        <f>INDEX(ГРАФИК!$D$55:$GY$81,1,MATCH(V$10,ГРАФИК!$D$19:$AH$19,0))</f>
        <v>0</v>
      </c>
      <c r="W25" s="121">
        <f>INDEX(ГРАФИК!$D$55:$GY$81,1,MATCH(W$10,ГРАФИК!$D$19:$AH$19,0))</f>
        <v>0</v>
      </c>
      <c r="X25" s="121">
        <f>INDEX(ГРАФИК!$D$55:$GY$81,1,MATCH(X$10,ГРАФИК!$D$19:$AH$19,0))</f>
        <v>0</v>
      </c>
      <c r="Y25" s="121">
        <f>INDEX(ГРАФИК!$D$55:$GY$81,1,MATCH(Y$10,ГРАФИК!$D$19:$AH$19,0))</f>
        <v>0</v>
      </c>
      <c r="Z25" s="121">
        <f>INDEX(ГРАФИК!$D$55:$GY$81,1,MATCH(Z$10,ГРАФИК!$D$19:$AH$19,0))</f>
        <v>0</v>
      </c>
      <c r="AA25" s="121">
        <f>INDEX(ГРАФИК!$D$55:$GY$81,1,MATCH(AA$10,ГРАФИК!$D$19:$AH$19,0))</f>
        <v>0</v>
      </c>
      <c r="AB25" s="121">
        <f>INDEX(ГРАФИК!$D$55:$GY$81,1,MATCH(AB$10,ГРАФИК!$D$19:$AH$19,0))</f>
        <v>0</v>
      </c>
      <c r="AC25" s="121">
        <f>INDEX(ГРАФИК!$D$55:$GY$81,1,MATCH(AC$10,ГРАФИК!$D$19:$AH$19,0))</f>
        <v>0</v>
      </c>
      <c r="AD25" s="121">
        <f>INDEX(ГРАФИК!$D$55:$GY$81,1,MATCH(AD$10,ГРАФИК!$D$19:$AH$19,0))</f>
        <v>0</v>
      </c>
      <c r="AE25" s="121">
        <f>INDEX(ГРАФИК!$D$55:$GY$81,1,MATCH(AE$10,ГРАФИК!$D$19:$AH$19,0))</f>
        <v>0</v>
      </c>
      <c r="AF25" s="121">
        <f>INDEX(ГРАФИК!$D$55:$GY$81,1,MATCH(AF$10,ГРАФИК!$D$19:$AH$19,0))</f>
        <v>0</v>
      </c>
      <c r="AG25" s="121">
        <f>INDEX(ГРАФИК!$D$55:$GY$81,1,MATCH(AG$10,ГРАФИК!$D$19:$AH$19,0))</f>
        <v>0</v>
      </c>
      <c r="AH25" s="121">
        <f>INDEX(ГРАФИК!$D$55:$GY$81,1,MATCH(AH$10,ГРАФИК!$D$19:$AH$19,0))</f>
        <v>0</v>
      </c>
      <c r="AI25" s="121">
        <f>INDEX(ГРАФИК!$D$55:$GY$81,1,MATCH(AI$10,ГРАФИК!$D$19:$AH$19,0))</f>
        <v>0</v>
      </c>
      <c r="AJ25" s="121">
        <f>INDEX(ГРАФИК!$D$55:$GY$81,1,MATCH(AJ$10,ГРАФИК!$D$19:$AH$19,0))</f>
        <v>0</v>
      </c>
      <c r="AK25" s="227">
        <f>COUNTIF($F25:$AJ25,"&gt;0")</f>
        <v>0</v>
      </c>
      <c r="AL25" s="232">
        <f>SUM($F$25:$AJ$25)</f>
        <v>0</v>
      </c>
      <c r="AM25" s="136"/>
      <c r="AN25" s="137"/>
      <c r="AO25" s="138"/>
      <c r="AP25" s="139"/>
      <c r="AQ25" s="140"/>
      <c r="AR25" s="138"/>
      <c r="AS25" s="138"/>
      <c r="AT25" s="137"/>
      <c r="AU25" s="122">
        <f>COUNTIF($F26:$AJ26,"=От")</f>
        <v>0</v>
      </c>
      <c r="AV25" s="138"/>
      <c r="AW25" s="138"/>
      <c r="AX25" s="138"/>
      <c r="AY25" s="138"/>
      <c r="AZ25" s="138"/>
      <c r="BA25" s="138"/>
      <c r="BB25" s="138"/>
      <c r="BC25" s="138"/>
      <c r="BD25" s="137">
        <f>COUNTIF(F26:AJ26,"В")</f>
        <v>31</v>
      </c>
    </row>
    <row r="26" spans="1:56" ht="15.75" thickBot="1" x14ac:dyDescent="0.3">
      <c r="A26" s="220"/>
      <c r="B26" s="132"/>
      <c r="C26" s="222"/>
      <c r="D26" s="224"/>
      <c r="E26" s="226"/>
      <c r="F26" s="127" t="str">
        <f>IF(ГРАФИК!D52="ОТ","ОТ",IF(F25=0,"В","Я"))</f>
        <v>В</v>
      </c>
      <c r="G26" s="127" t="str">
        <f>IF(ГРАФИК!E52="ОТ","ОТ",IF(G25=0,"В","Я"))</f>
        <v>В</v>
      </c>
      <c r="H26" s="127" t="str">
        <f>IF(ГРАФИК!F52="ОТ","ОТ",IF(H25=0,"В","Я"))</f>
        <v>В</v>
      </c>
      <c r="I26" s="127" t="str">
        <f>IF(ГРАФИК!G52="ОТ","ОТ",IF(I25=0,"В","Я"))</f>
        <v>В</v>
      </c>
      <c r="J26" s="127" t="str">
        <f>IF(ГРАФИК!H52="ОТ","ОТ",IF(J25=0,"В","Я"))</f>
        <v>В</v>
      </c>
      <c r="K26" s="127" t="str">
        <f>IF(ГРАФИК!I52="ОТ","ОТ",IF(K25=0,"В","Я"))</f>
        <v>В</v>
      </c>
      <c r="L26" s="127" t="str">
        <f>IF(ГРАФИК!J52="ОТ","ОТ",IF(L25=0,"В","Я"))</f>
        <v>В</v>
      </c>
      <c r="M26" s="127" t="str">
        <f>IF(ГРАФИК!K52="ОТ","ОТ",IF(M25=0,"В","Я"))</f>
        <v>В</v>
      </c>
      <c r="N26" s="127" t="str">
        <f>IF(ГРАФИК!L52="ОТ","ОТ",IF(N25=0,"В","Я"))</f>
        <v>В</v>
      </c>
      <c r="O26" s="127" t="str">
        <f>IF(ГРАФИК!M52="ОТ","ОТ",IF(O25=0,"В","Я"))</f>
        <v>В</v>
      </c>
      <c r="P26" s="127" t="str">
        <f>IF(ГРАФИК!N52="ОТ","ОТ",IF(P25=0,"В","Я"))</f>
        <v>В</v>
      </c>
      <c r="Q26" s="127" t="str">
        <f>IF(ГРАФИК!O52="ОТ","ОТ",IF(Q25=0,"В","Я"))</f>
        <v>В</v>
      </c>
      <c r="R26" s="127" t="str">
        <f>IF(ГРАФИК!P52="ОТ","ОТ",IF(R25=0,"В","Я"))</f>
        <v>В</v>
      </c>
      <c r="S26" s="127" t="str">
        <f>IF(ГРАФИК!Q52="ОТ","ОТ",IF(S25=0,"В","Я"))</f>
        <v>В</v>
      </c>
      <c r="T26" s="127" t="str">
        <f>IF(ГРАФИК!R52="ОТ","ОТ",IF(T25=0,"В","Я"))</f>
        <v>В</v>
      </c>
      <c r="U26" s="127" t="str">
        <f>IF(ГРАФИК!T52="ОТ","ОТ",IF(U25=0,"В","Я"))</f>
        <v>В</v>
      </c>
      <c r="V26" s="127" t="str">
        <f>IF(ГРАФИК!U52="ОТ","ОТ",IF(V25=0,"В","Я"))</f>
        <v>В</v>
      </c>
      <c r="W26" s="127" t="str">
        <f>IF(ГРАФИК!V52="ОТ","ОТ",IF(W25=0,"В","Я"))</f>
        <v>В</v>
      </c>
      <c r="X26" s="127" t="str">
        <f>IF(ГРАФИК!W52="ОТ","ОТ",IF(X25=0,"В","Я"))</f>
        <v>В</v>
      </c>
      <c r="Y26" s="127" t="str">
        <f>IF(ГРАФИК!X52="ОТ","ОТ",IF(Y25=0,"В","Я"))</f>
        <v>В</v>
      </c>
      <c r="Z26" s="127" t="str">
        <f>IF(ГРАФИК!Y52="ОТ","ОТ",IF(Z25=0,"В","Я"))</f>
        <v>В</v>
      </c>
      <c r="AA26" s="127" t="str">
        <f>IF(ГРАФИК!Z52="ОТ","ОТ",IF(AA25=0,"В","Я"))</f>
        <v>В</v>
      </c>
      <c r="AB26" s="127" t="str">
        <f>IF(ГРАФИК!AA52="ОТ","ОТ",IF(AB25=0,"В","Я"))</f>
        <v>В</v>
      </c>
      <c r="AC26" s="127" t="str">
        <f>IF(ГРАФИК!AB52="ОТ","ОТ",IF(AC25=0,"В","Я"))</f>
        <v>В</v>
      </c>
      <c r="AD26" s="127" t="str">
        <f>IF(ГРАФИК!AC52="ОТ","ОТ",IF(AD25=0,"В","Я"))</f>
        <v>В</v>
      </c>
      <c r="AE26" s="127" t="str">
        <f>IF(ГРАФИК!AD52="ОТ","ОТ",IF(AE25=0,"В","Я"))</f>
        <v>В</v>
      </c>
      <c r="AF26" s="127" t="str">
        <f>IF(ГРАФИК!AE52="ОТ","ОТ",IF(AF25=0,"В","Я"))</f>
        <v>В</v>
      </c>
      <c r="AG26" s="127" t="str">
        <f>IF(ГРАФИК!AF52="ОТ","ОТ",IF(AG25=0,"В","Я"))</f>
        <v>В</v>
      </c>
      <c r="AH26" s="127" t="str">
        <f>IF(ГРАФИК!AG52="ОТ","ОТ",IF(AH25=0,"В","Я"))</f>
        <v>В</v>
      </c>
      <c r="AI26" s="127" t="str">
        <f>IF(ГРАФИК!AH52="ОТ","ОТ",IF(AI25=0,"В","Я"))</f>
        <v>В</v>
      </c>
      <c r="AJ26" s="127" t="str">
        <f>IF(ГРАФИК!AI52="ОТ","ОТ",IF(AJ25=0,"В","Я"))</f>
        <v>В</v>
      </c>
      <c r="AK26" s="228"/>
      <c r="AL26" s="230"/>
      <c r="AM26" s="141"/>
      <c r="AN26" s="128"/>
      <c r="AO26" s="129"/>
      <c r="AP26" s="130"/>
      <c r="AQ26" s="131"/>
      <c r="AR26" s="129"/>
      <c r="AS26" s="129"/>
      <c r="AT26" s="128"/>
      <c r="AU26" s="128"/>
      <c r="AV26" s="129"/>
      <c r="AW26" s="129"/>
      <c r="AX26" s="129"/>
      <c r="AY26" s="129"/>
      <c r="AZ26" s="129"/>
      <c r="BA26" s="129"/>
      <c r="BB26" s="129"/>
      <c r="BC26" s="129"/>
      <c r="BD26" s="128"/>
    </row>
    <row r="27" spans="1:56" x14ac:dyDescent="0.25">
      <c r="A27" s="219">
        <v>7</v>
      </c>
      <c r="B27" s="120"/>
      <c r="C27" s="221" t="str">
        <f>LEFT(ГРАФИК!B58,100)</f>
        <v/>
      </c>
      <c r="D27" s="223" t="str">
        <f>LEFT(ГРАФИК!B61,100)</f>
        <v/>
      </c>
      <c r="E27" s="225"/>
      <c r="F27" s="121">
        <f>INDEX(ГРАФИК!$D$61:$GY$81,1,MATCH(F$10,ГРАФИК!$D$19:$AH$19,0))</f>
        <v>0</v>
      </c>
      <c r="G27" s="121">
        <f>INDEX(ГРАФИК!$D$61:$GY$81,1,MATCH(G$10,ГРАФИК!$D$19:$AH$19,0))</f>
        <v>0</v>
      </c>
      <c r="H27" s="121">
        <f>INDEX(ГРАФИК!$D$61:$GY$81,1,MATCH(H$10,ГРАФИК!$D$19:$AH$19,0))</f>
        <v>0</v>
      </c>
      <c r="I27" s="121">
        <f>INDEX(ГРАФИК!$D$61:$GY$81,1,MATCH(I$10,ГРАФИК!$D$19:$AH$19,0))</f>
        <v>0</v>
      </c>
      <c r="J27" s="121">
        <f>INDEX(ГРАФИК!$D$61:$GY$81,1,MATCH(J$10,ГРАФИК!$D$19:$AH$19,0))</f>
        <v>0</v>
      </c>
      <c r="K27" s="121">
        <f>INDEX(ГРАФИК!$D$61:$GY$81,1,MATCH(K$10,ГРАФИК!$D$19:$AH$19,0))</f>
        <v>0</v>
      </c>
      <c r="L27" s="121">
        <f>INDEX(ГРАФИК!$D$61:$GY$81,1,MATCH(L$10,ГРАФИК!$D$19:$AH$19,0))</f>
        <v>0</v>
      </c>
      <c r="M27" s="121">
        <f>INDEX(ГРАФИК!$D$61:$GY$81,1,MATCH(M$10,ГРАФИК!$D$19:$AH$19,0))</f>
        <v>0</v>
      </c>
      <c r="N27" s="121">
        <f>INDEX(ГРАФИК!$D$61:$GY$81,1,MATCH(N$10,ГРАФИК!$D$19:$AH$19,0))</f>
        <v>0</v>
      </c>
      <c r="O27" s="121">
        <f>INDEX(ГРАФИК!$D$61:$GY$81,1,MATCH(O$10,ГРАФИК!$D$19:$AH$19,0))</f>
        <v>0</v>
      </c>
      <c r="P27" s="121">
        <f>INDEX(ГРАФИК!$D$61:$GY$81,1,MATCH(P$10,ГРАФИК!$D$19:$AH$19,0))</f>
        <v>0</v>
      </c>
      <c r="Q27" s="121">
        <f>INDEX(ГРАФИК!$D$61:$GY$81,1,MATCH(Q$10,ГРАФИК!$D$19:$AH$19,0))</f>
        <v>0</v>
      </c>
      <c r="R27" s="121">
        <f>INDEX(ГРАФИК!$D$61:$GY$81,1,MATCH(R$10,ГРАФИК!$D$19:$AH$19,0))</f>
        <v>0</v>
      </c>
      <c r="S27" s="121">
        <f>INDEX(ГРАФИК!$D$61:$GY$81,1,MATCH(S$10,ГРАФИК!$D$19:$AH$19,0))</f>
        <v>0</v>
      </c>
      <c r="T27" s="121">
        <f>INDEX(ГРАФИК!$D$61:$GY$81,1,MATCH(T$10,ГРАФИК!$D$19:$AH$19,0))</f>
        <v>0</v>
      </c>
      <c r="U27" s="121">
        <f>INDEX(ГРАФИК!$D$61:$GY$81,1,MATCH(U$10,ГРАФИК!$D$19:$AH$19,0))</f>
        <v>0</v>
      </c>
      <c r="V27" s="121">
        <f>INDEX(ГРАФИК!$D$61:$GY$81,1,MATCH(V$10,ГРАФИК!$D$19:$AH$19,0))</f>
        <v>0</v>
      </c>
      <c r="W27" s="121">
        <f>INDEX(ГРАФИК!$D$61:$GY$81,1,MATCH(W$10,ГРАФИК!$D$19:$AH$19,0))</f>
        <v>0</v>
      </c>
      <c r="X27" s="121">
        <f>INDEX(ГРАФИК!$D$61:$GY$81,1,MATCH(X$10,ГРАФИК!$D$19:$AH$19,0))</f>
        <v>0</v>
      </c>
      <c r="Y27" s="121">
        <f>INDEX(ГРАФИК!$D$61:$GY$81,1,MATCH(Y$10,ГРАФИК!$D$19:$AH$19,0))</f>
        <v>0</v>
      </c>
      <c r="Z27" s="121">
        <f>INDEX(ГРАФИК!$D$61:$GY$81,1,MATCH(Z$10,ГРАФИК!$D$19:$AH$19,0))</f>
        <v>0</v>
      </c>
      <c r="AA27" s="121">
        <f>INDEX(ГРАФИК!$D$61:$GY$81,1,MATCH(AA$10,ГРАФИК!$D$19:$AH$19,0))</f>
        <v>0</v>
      </c>
      <c r="AB27" s="121">
        <f>INDEX(ГРАФИК!$D$61:$GY$81,1,MATCH(AB$10,ГРАФИК!$D$19:$AH$19,0))</f>
        <v>0</v>
      </c>
      <c r="AC27" s="121">
        <f>INDEX(ГРАФИК!$D$61:$GY$81,1,MATCH(AC$10,ГРАФИК!$D$19:$AH$19,0))</f>
        <v>0</v>
      </c>
      <c r="AD27" s="121">
        <f>INDEX(ГРАФИК!$D$61:$GY$81,1,MATCH(AD$10,ГРАФИК!$D$19:$AH$19,0))</f>
        <v>0</v>
      </c>
      <c r="AE27" s="121">
        <f>INDEX(ГРАФИК!$D$61:$GY$81,1,MATCH(AE$10,ГРАФИК!$D$19:$AH$19,0))</f>
        <v>0</v>
      </c>
      <c r="AF27" s="121">
        <f>INDEX(ГРАФИК!$D$61:$GY$81,1,MATCH(AF$10,ГРАФИК!$D$19:$AH$19,0))</f>
        <v>0</v>
      </c>
      <c r="AG27" s="121">
        <f>INDEX(ГРАФИК!$D$61:$GY$81,1,MATCH(AG$10,ГРАФИК!$D$19:$AH$19,0))</f>
        <v>0</v>
      </c>
      <c r="AH27" s="121">
        <f>INDEX(ГРАФИК!$D$61:$GY$81,1,MATCH(AH$10,ГРАФИК!$D$19:$AH$19,0))</f>
        <v>0</v>
      </c>
      <c r="AI27" s="121">
        <f>INDEX(ГРАФИК!$D$61:$GY$81,1,MATCH(AI$10,ГРАФИК!$D$19:$AH$19,0))</f>
        <v>0</v>
      </c>
      <c r="AJ27" s="121">
        <f>INDEX(ГРАФИК!$D$61:$GY$81,1,MATCH(AJ$10,ГРАФИК!$D$19:$AH$19,0))</f>
        <v>0</v>
      </c>
      <c r="AK27" s="231">
        <f>COUNTIF($F27:$AJ27,"&gt;0")</f>
        <v>0</v>
      </c>
      <c r="AL27" s="232">
        <f>SUM($F$27:$AJ$27)</f>
        <v>0</v>
      </c>
      <c r="AM27" s="136"/>
      <c r="AN27" s="137"/>
      <c r="AO27" s="138"/>
      <c r="AP27" s="139"/>
      <c r="AQ27" s="140"/>
      <c r="AR27" s="138"/>
      <c r="AS27" s="138"/>
      <c r="AT27" s="137"/>
      <c r="AU27" s="122">
        <f>COUNTIF($F28:$AJ28,"=От")</f>
        <v>0</v>
      </c>
      <c r="AV27" s="138"/>
      <c r="AW27" s="138"/>
      <c r="AX27" s="138"/>
      <c r="AY27" s="138"/>
      <c r="AZ27" s="138"/>
      <c r="BA27" s="138"/>
      <c r="BB27" s="138"/>
      <c r="BC27" s="138"/>
      <c r="BD27" s="137">
        <f>COUNTIF(F28:AJ28,"В")</f>
        <v>31</v>
      </c>
    </row>
    <row r="28" spans="1:56" ht="15.75" thickBot="1" x14ac:dyDescent="0.3">
      <c r="A28" s="220"/>
      <c r="B28" s="126"/>
      <c r="C28" s="222"/>
      <c r="D28" s="224"/>
      <c r="E28" s="226"/>
      <c r="F28" s="127" t="str">
        <f>IF(ГРАФИК!D58="ОТ","ОТ",IF(F27=0,"В","Я"))</f>
        <v>В</v>
      </c>
      <c r="G28" s="127" t="str">
        <f>IF(ГРАФИК!E58="ОТ","ОТ",IF(G27=0,"В","Я"))</f>
        <v>В</v>
      </c>
      <c r="H28" s="127" t="str">
        <f>IF(ГРАФИК!F58="ОТ","ОТ",IF(H27=0,"В","Я"))</f>
        <v>В</v>
      </c>
      <c r="I28" s="127" t="str">
        <f>IF(ГРАФИК!G58="ОТ","ОТ",IF(I27=0,"В","Я"))</f>
        <v>В</v>
      </c>
      <c r="J28" s="127" t="str">
        <f>IF(ГРАФИК!H58="ОТ","ОТ",IF(J27=0,"В","Я"))</f>
        <v>В</v>
      </c>
      <c r="K28" s="127" t="str">
        <f>IF(ГРАФИК!I58="ОТ","ОТ",IF(K27=0,"В","Я"))</f>
        <v>В</v>
      </c>
      <c r="L28" s="127" t="str">
        <f>IF(ГРАФИК!J58="ОТ","ОТ",IF(L27=0,"В","Я"))</f>
        <v>В</v>
      </c>
      <c r="M28" s="127" t="str">
        <f>IF(ГРАФИК!K58="ОТ","ОТ",IF(M27=0,"В","Я"))</f>
        <v>В</v>
      </c>
      <c r="N28" s="127" t="str">
        <f>IF(ГРАФИК!L58="ОТ","ОТ",IF(N27=0,"В","Я"))</f>
        <v>В</v>
      </c>
      <c r="O28" s="127" t="str">
        <f>IF(ГРАФИК!M58="ОТ","ОТ",IF(O27=0,"В","Я"))</f>
        <v>В</v>
      </c>
      <c r="P28" s="127" t="str">
        <f>IF(ГРАФИК!N58="ОТ","ОТ",IF(P27=0,"В","Я"))</f>
        <v>В</v>
      </c>
      <c r="Q28" s="127" t="str">
        <f>IF(ГРАФИК!O58="ОТ","ОТ",IF(Q27=0,"В","Я"))</f>
        <v>В</v>
      </c>
      <c r="R28" s="127" t="str">
        <f>IF(ГРАФИК!P58="ОТ","ОТ",IF(R27=0,"В","Я"))</f>
        <v>В</v>
      </c>
      <c r="S28" s="127" t="str">
        <f>IF(ГРАФИК!Q58="ОТ","ОТ",IF(S27=0,"В","Я"))</f>
        <v>В</v>
      </c>
      <c r="T28" s="127" t="str">
        <f>IF(ГРАФИК!R58="ОТ","ОТ",IF(T27=0,"В","Я"))</f>
        <v>В</v>
      </c>
      <c r="U28" s="127" t="str">
        <f>IF(ГРАФИК!T58="ОТ","ОТ",IF(U27=0,"В","Я"))</f>
        <v>В</v>
      </c>
      <c r="V28" s="127" t="str">
        <f>IF(ГРАФИК!U58="ОТ","ОТ",IF(V27=0,"В","Я"))</f>
        <v>В</v>
      </c>
      <c r="W28" s="127" t="str">
        <f>IF(ГРАФИК!V58="ОТ","ОТ",IF(W27=0,"В","Я"))</f>
        <v>В</v>
      </c>
      <c r="X28" s="127" t="str">
        <f>IF(ГРАФИК!W58="ОТ","ОТ",IF(X27=0,"В","Я"))</f>
        <v>В</v>
      </c>
      <c r="Y28" s="127" t="str">
        <f>IF(ГРАФИК!X58="ОТ","ОТ",IF(Y27=0,"В","Я"))</f>
        <v>В</v>
      </c>
      <c r="Z28" s="127" t="str">
        <f>IF(ГРАФИК!Y58="ОТ","ОТ",IF(Z27=0,"В","Я"))</f>
        <v>В</v>
      </c>
      <c r="AA28" s="127" t="str">
        <f>IF(ГРАФИК!Z58="ОТ","ОТ",IF(AA27=0,"В","Я"))</f>
        <v>В</v>
      </c>
      <c r="AB28" s="127" t="str">
        <f>IF(ГРАФИК!AA58="ОТ","ОТ",IF(AB27=0,"В","Я"))</f>
        <v>В</v>
      </c>
      <c r="AC28" s="127" t="str">
        <f>IF(ГРАФИК!AB58="ОТ","ОТ",IF(AC27=0,"В","Я"))</f>
        <v>В</v>
      </c>
      <c r="AD28" s="127" t="str">
        <f>IF(ГРАФИК!AC58="ОТ","ОТ",IF(AD27=0,"В","Я"))</f>
        <v>В</v>
      </c>
      <c r="AE28" s="127" t="str">
        <f>IF(ГРАФИК!AD58="ОТ","ОТ",IF(AE27=0,"В","Я"))</f>
        <v>В</v>
      </c>
      <c r="AF28" s="127" t="str">
        <f>IF(ГРАФИК!AE58="ОТ","ОТ",IF(AF27=0,"В","Я"))</f>
        <v>В</v>
      </c>
      <c r="AG28" s="127" t="str">
        <f>IF(ГРАФИК!AF58="ОТ","ОТ",IF(AG27=0,"В","Я"))</f>
        <v>В</v>
      </c>
      <c r="AH28" s="127" t="str">
        <f>IF(ГРАФИК!AG58="ОТ","ОТ",IF(AH27=0,"В","Я"))</f>
        <v>В</v>
      </c>
      <c r="AI28" s="127" t="str">
        <f>IF(ГРАФИК!AH58="ОТ","ОТ",IF(AI27=0,"В","Я"))</f>
        <v>В</v>
      </c>
      <c r="AJ28" s="127" t="str">
        <f>IF(ГРАФИК!AI58="ОТ","ОТ",IF(AJ27=0,"В","Я"))</f>
        <v>В</v>
      </c>
      <c r="AK28" s="231"/>
      <c r="AL28" s="230"/>
      <c r="AM28" s="141"/>
      <c r="AN28" s="128"/>
      <c r="AO28" s="129"/>
      <c r="AP28" s="130"/>
      <c r="AQ28" s="131"/>
      <c r="AR28" s="129"/>
      <c r="AS28" s="129"/>
      <c r="AT28" s="128"/>
      <c r="AU28" s="128"/>
      <c r="AV28" s="129"/>
      <c r="AW28" s="129"/>
      <c r="AX28" s="129"/>
      <c r="AY28" s="129"/>
      <c r="AZ28" s="129"/>
      <c r="BA28" s="129"/>
      <c r="BB28" s="129"/>
      <c r="BC28" s="129"/>
      <c r="BD28" s="128"/>
    </row>
    <row r="29" spans="1:56" x14ac:dyDescent="0.25">
      <c r="A29" s="219">
        <v>8</v>
      </c>
      <c r="B29" s="120"/>
      <c r="C29" s="221" t="str">
        <f>LEFT(ГРАФИК!B64,100)</f>
        <v/>
      </c>
      <c r="D29" s="223" t="str">
        <f>LEFT(ГРАФИК!B67,100)</f>
        <v/>
      </c>
      <c r="E29" s="225"/>
      <c r="F29" s="121">
        <f>INDEX(ГРАФИК!$D$67:$GY$81,1,MATCH(F$10,ГРАФИК!$D$19:$AH$19,0))</f>
        <v>0</v>
      </c>
      <c r="G29" s="121">
        <f>INDEX(ГРАФИК!$D$67:$GY$81,1,MATCH(G$10,ГРАФИК!$D$19:$AH$19,0))</f>
        <v>0</v>
      </c>
      <c r="H29" s="121">
        <f>INDEX(ГРАФИК!$D$67:$GY$81,1,MATCH(H$10,ГРАФИК!$D$19:$AH$19,0))</f>
        <v>0</v>
      </c>
      <c r="I29" s="121">
        <f>INDEX(ГРАФИК!$D$67:$GY$81,1,MATCH(I$10,ГРАФИК!$D$19:$AH$19,0))</f>
        <v>0</v>
      </c>
      <c r="J29" s="121">
        <f>INDEX(ГРАФИК!$D$67:$GY$81,1,MATCH(J$10,ГРАФИК!$D$19:$AH$19,0))</f>
        <v>0</v>
      </c>
      <c r="K29" s="121">
        <f>INDEX(ГРАФИК!$D$67:$GY$81,1,MATCH(K$10,ГРАФИК!$D$19:$AH$19,0))</f>
        <v>0</v>
      </c>
      <c r="L29" s="121">
        <f>INDEX(ГРАФИК!$D$67:$GY$81,1,MATCH(L$10,ГРАФИК!$D$19:$AH$19,0))</f>
        <v>0</v>
      </c>
      <c r="M29" s="121">
        <f>INDEX(ГРАФИК!$D$67:$GY$81,1,MATCH(M$10,ГРАФИК!$D$19:$AH$19,0))</f>
        <v>0</v>
      </c>
      <c r="N29" s="121">
        <f>INDEX(ГРАФИК!$D$67:$GY$81,1,MATCH(N$10,ГРАФИК!$D$19:$AH$19,0))</f>
        <v>0</v>
      </c>
      <c r="O29" s="121">
        <f>INDEX(ГРАФИК!$D$67:$GY$81,1,MATCH(O$10,ГРАФИК!$D$19:$AH$19,0))</f>
        <v>0</v>
      </c>
      <c r="P29" s="121">
        <f>INDEX(ГРАФИК!$D$67:$GY$81,1,MATCH(P$10,ГРАФИК!$D$19:$AH$19,0))</f>
        <v>0</v>
      </c>
      <c r="Q29" s="121">
        <f>INDEX(ГРАФИК!$D$67:$GY$81,1,MATCH(Q$10,ГРАФИК!$D$19:$AH$19,0))</f>
        <v>0</v>
      </c>
      <c r="R29" s="121">
        <f>INDEX(ГРАФИК!$D$67:$GY$81,1,MATCH(R$10,ГРАФИК!$D$19:$AH$19,0))</f>
        <v>0</v>
      </c>
      <c r="S29" s="121">
        <f>INDEX(ГРАФИК!$D$67:$GY$81,1,MATCH(S$10,ГРАФИК!$D$19:$AH$19,0))</f>
        <v>0</v>
      </c>
      <c r="T29" s="121">
        <f>INDEX(ГРАФИК!$D$67:$GY$81,1,MATCH(T$10,ГРАФИК!$D$19:$AH$19,0))</f>
        <v>0</v>
      </c>
      <c r="U29" s="121">
        <f>INDEX(ГРАФИК!$D$67:$GY$81,1,MATCH(U$10,ГРАФИК!$D$19:$AH$19,0))</f>
        <v>0</v>
      </c>
      <c r="V29" s="121">
        <f>INDEX(ГРАФИК!$D$67:$GY$81,1,MATCH(V$10,ГРАФИК!$D$19:$AH$19,0))</f>
        <v>0</v>
      </c>
      <c r="W29" s="121">
        <f>INDEX(ГРАФИК!$D$67:$GY$81,1,MATCH(W$10,ГРАФИК!$D$19:$AH$19,0))</f>
        <v>0</v>
      </c>
      <c r="X29" s="121">
        <f>INDEX(ГРАФИК!$D$67:$GY$81,1,MATCH(X$10,ГРАФИК!$D$19:$AH$19,0))</f>
        <v>0</v>
      </c>
      <c r="Y29" s="121">
        <f>INDEX(ГРАФИК!$D$67:$GY$81,1,MATCH(Y$10,ГРАФИК!$D$19:$AH$19,0))</f>
        <v>0</v>
      </c>
      <c r="Z29" s="121">
        <f>INDEX(ГРАФИК!$D$67:$GY$81,1,MATCH(Z$10,ГРАФИК!$D$19:$AH$19,0))</f>
        <v>0</v>
      </c>
      <c r="AA29" s="121">
        <f>INDEX(ГРАФИК!$D$67:$GY$81,1,MATCH(AA$10,ГРАФИК!$D$19:$AH$19,0))</f>
        <v>0</v>
      </c>
      <c r="AB29" s="121">
        <f>INDEX(ГРАФИК!$D$67:$GY$81,1,MATCH(AB$10,ГРАФИК!$D$19:$AH$19,0))</f>
        <v>0</v>
      </c>
      <c r="AC29" s="121">
        <f>INDEX(ГРАФИК!$D$67:$GY$81,1,MATCH(AC$10,ГРАФИК!$D$19:$AH$19,0))</f>
        <v>0</v>
      </c>
      <c r="AD29" s="121">
        <f>INDEX(ГРАФИК!$D$67:$GY$81,1,MATCH(AD$10,ГРАФИК!$D$19:$AH$19,0))</f>
        <v>0</v>
      </c>
      <c r="AE29" s="121">
        <f>INDEX(ГРАФИК!$D$67:$GY$81,1,MATCH(AE$10,ГРАФИК!$D$19:$AH$19,0))</f>
        <v>0</v>
      </c>
      <c r="AF29" s="121">
        <f>INDEX(ГРАФИК!$D$67:$GY$81,1,MATCH(AF$10,ГРАФИК!$D$19:$AH$19,0))</f>
        <v>0</v>
      </c>
      <c r="AG29" s="121">
        <f>INDEX(ГРАФИК!$D$67:$GY$81,1,MATCH(AG$10,ГРАФИК!$D$19:$AH$19,0))</f>
        <v>0</v>
      </c>
      <c r="AH29" s="121">
        <f>INDEX(ГРАФИК!$D$67:$GY$81,1,MATCH(AH$10,ГРАФИК!$D$19:$AH$19,0))</f>
        <v>0</v>
      </c>
      <c r="AI29" s="121">
        <f>INDEX(ГРАФИК!$D$67:$GY$81,1,MATCH(AI$10,ГРАФИК!$D$19:$AH$19,0))</f>
        <v>0</v>
      </c>
      <c r="AJ29" s="121">
        <f>INDEX(ГРАФИК!$D$67:$GY$81,1,MATCH(AJ$10,ГРАФИК!$D$19:$AH$19,0))</f>
        <v>0</v>
      </c>
      <c r="AK29" s="227">
        <f>COUNTIF($F29:$AJ29,"&gt;0")</f>
        <v>0</v>
      </c>
      <c r="AL29" s="229">
        <f>SUM($F$29:$AJ$29)</f>
        <v>0</v>
      </c>
      <c r="AM29" s="136"/>
      <c r="AN29" s="137"/>
      <c r="AO29" s="138"/>
      <c r="AP29" s="139"/>
      <c r="AQ29" s="140"/>
      <c r="AR29" s="138"/>
      <c r="AS29" s="138"/>
      <c r="AT29" s="137"/>
      <c r="AU29" s="122">
        <f>COUNTIF($F30:$AJ30,"=От")</f>
        <v>0</v>
      </c>
      <c r="AV29" s="138"/>
      <c r="AW29" s="138"/>
      <c r="AX29" s="138"/>
      <c r="AY29" s="138"/>
      <c r="AZ29" s="138"/>
      <c r="BA29" s="138"/>
      <c r="BB29" s="138"/>
      <c r="BC29" s="138"/>
      <c r="BD29" s="137">
        <f>COUNTIF(F30:AJ30,"В")</f>
        <v>31</v>
      </c>
    </row>
    <row r="30" spans="1:56" ht="15.75" thickBot="1" x14ac:dyDescent="0.3">
      <c r="A30" s="220"/>
      <c r="B30" s="126"/>
      <c r="C30" s="222"/>
      <c r="D30" s="224"/>
      <c r="E30" s="226"/>
      <c r="F30" s="127" t="str">
        <f>IF(ГРАФИК!D64="ОТ","ОТ",IF(F29=0,"В","Я"))</f>
        <v>В</v>
      </c>
      <c r="G30" s="127" t="str">
        <f>IF(ГРАФИК!E64="ОТ","ОТ",IF(G29=0,"В","Я"))</f>
        <v>В</v>
      </c>
      <c r="H30" s="127" t="str">
        <f>IF(ГРАФИК!F64="ОТ","ОТ",IF(H29=0,"В","Я"))</f>
        <v>В</v>
      </c>
      <c r="I30" s="127" t="str">
        <f>IF(ГРАФИК!G64="ОТ","ОТ",IF(I29=0,"В","Я"))</f>
        <v>В</v>
      </c>
      <c r="J30" s="127" t="str">
        <f>IF(ГРАФИК!H64="ОТ","ОТ",IF(J29=0,"В","Я"))</f>
        <v>В</v>
      </c>
      <c r="K30" s="127" t="str">
        <f>IF(ГРАФИК!I64="ОТ","ОТ",IF(K29=0,"В","Я"))</f>
        <v>В</v>
      </c>
      <c r="L30" s="127" t="str">
        <f>IF(ГРАФИК!J64="ОТ","ОТ",IF(L29=0,"В","Я"))</f>
        <v>В</v>
      </c>
      <c r="M30" s="127" t="str">
        <f>IF(ГРАФИК!K64="ОТ","ОТ",IF(M29=0,"В","Я"))</f>
        <v>В</v>
      </c>
      <c r="N30" s="127" t="str">
        <f>IF(ГРАФИК!L64="ОТ","ОТ",IF(N29=0,"В","Я"))</f>
        <v>В</v>
      </c>
      <c r="O30" s="127" t="str">
        <f>IF(ГРАФИК!M64="ОТ","ОТ",IF(O29=0,"В","Я"))</f>
        <v>В</v>
      </c>
      <c r="P30" s="127" t="str">
        <f>IF(ГРАФИК!N64="ОТ","ОТ",IF(P29=0,"В","Я"))</f>
        <v>В</v>
      </c>
      <c r="Q30" s="127" t="str">
        <f>IF(ГРАФИК!O64="ОТ","ОТ",IF(Q29=0,"В","Я"))</f>
        <v>В</v>
      </c>
      <c r="R30" s="127" t="str">
        <f>IF(ГРАФИК!P64="ОТ","ОТ",IF(R29=0,"В","Я"))</f>
        <v>В</v>
      </c>
      <c r="S30" s="127" t="str">
        <f>IF(ГРАФИК!Q64="ОТ","ОТ",IF(S29=0,"В","Я"))</f>
        <v>В</v>
      </c>
      <c r="T30" s="127" t="str">
        <f>IF(ГРАФИК!R64="ОТ","ОТ",IF(T29=0,"В","Я"))</f>
        <v>В</v>
      </c>
      <c r="U30" s="127" t="str">
        <f>IF(ГРАФИК!T64="ОТ","ОТ",IF(U29=0,"В","Я"))</f>
        <v>В</v>
      </c>
      <c r="V30" s="127" t="str">
        <f>IF(ГРАФИК!U64="ОТ","ОТ",IF(V29=0,"В","Я"))</f>
        <v>В</v>
      </c>
      <c r="W30" s="127" t="str">
        <f>IF(ГРАФИК!V64="ОТ","ОТ",IF(W29=0,"В","Я"))</f>
        <v>В</v>
      </c>
      <c r="X30" s="127" t="str">
        <f>IF(ГРАФИК!W64="ОТ","ОТ",IF(X29=0,"В","Я"))</f>
        <v>В</v>
      </c>
      <c r="Y30" s="127" t="str">
        <f>IF(ГРАФИК!X64="ОТ","ОТ",IF(Y29=0,"В","Я"))</f>
        <v>В</v>
      </c>
      <c r="Z30" s="127" t="str">
        <f>IF(ГРАФИК!Y64="ОТ","ОТ",IF(Z29=0,"В","Я"))</f>
        <v>В</v>
      </c>
      <c r="AA30" s="127" t="str">
        <f>IF(ГРАФИК!Z64="ОТ","ОТ",IF(AA29=0,"В","Я"))</f>
        <v>В</v>
      </c>
      <c r="AB30" s="127" t="str">
        <f>IF(ГРАФИК!AA64="ОТ","ОТ",IF(AB29=0,"В","Я"))</f>
        <v>В</v>
      </c>
      <c r="AC30" s="127" t="str">
        <f>IF(ГРАФИК!AB64="ОТ","ОТ",IF(AC29=0,"В","Я"))</f>
        <v>В</v>
      </c>
      <c r="AD30" s="127" t="str">
        <f>IF(ГРАФИК!AC64="ОТ","ОТ",IF(AD29=0,"В","Я"))</f>
        <v>В</v>
      </c>
      <c r="AE30" s="127" t="str">
        <f>IF(ГРАФИК!AD64="ОТ","ОТ",IF(AE29=0,"В","Я"))</f>
        <v>В</v>
      </c>
      <c r="AF30" s="127" t="str">
        <f>IF(ГРАФИК!AE64="ОТ","ОТ",IF(AF29=0,"В","Я"))</f>
        <v>В</v>
      </c>
      <c r="AG30" s="127" t="str">
        <f>IF(ГРАФИК!AF64="ОТ","ОТ",IF(AG29=0,"В","Я"))</f>
        <v>В</v>
      </c>
      <c r="AH30" s="127" t="str">
        <f>IF(ГРАФИК!AG64="ОТ","ОТ",IF(AH29=0,"В","Я"))</f>
        <v>В</v>
      </c>
      <c r="AI30" s="127" t="str">
        <f>IF(ГРАФИК!AH64="ОТ","ОТ",IF(AI29=0,"В","Я"))</f>
        <v>В</v>
      </c>
      <c r="AJ30" s="127" t="str">
        <f>IF(ГРАФИК!AI64="ОТ","ОТ",IF(AJ29=0,"В","Я"))</f>
        <v>В</v>
      </c>
      <c r="AK30" s="228"/>
      <c r="AL30" s="230"/>
      <c r="AM30" s="141"/>
      <c r="AN30" s="128"/>
      <c r="AO30" s="129"/>
      <c r="AP30" s="130"/>
      <c r="AQ30" s="131"/>
      <c r="AR30" s="129"/>
      <c r="AS30" s="129"/>
      <c r="AT30" s="128"/>
      <c r="AU30" s="128"/>
      <c r="AV30" s="129"/>
      <c r="AW30" s="129"/>
      <c r="AX30" s="129"/>
      <c r="AY30" s="129"/>
      <c r="AZ30" s="129"/>
      <c r="BA30" s="129"/>
      <c r="BB30" s="129"/>
      <c r="BC30" s="129"/>
      <c r="BD30" s="128"/>
    </row>
    <row r="31" spans="1:56" x14ac:dyDescent="0.25">
      <c r="A31" s="219">
        <v>9</v>
      </c>
      <c r="B31" s="120"/>
      <c r="C31" s="221" t="str">
        <f>LEFT(ГРАФИК!B70,100)</f>
        <v/>
      </c>
      <c r="D31" s="223" t="str">
        <f>LEFT(ГРАФИК!B73,100)</f>
        <v/>
      </c>
      <c r="E31" s="225"/>
      <c r="F31" s="121">
        <f>INDEX(ГРАФИК!$D$73:$GY$81,1,MATCH(F$10,ГРАФИК!$D$19:$AH$19,0))</f>
        <v>0</v>
      </c>
      <c r="G31" s="121">
        <f>INDEX(ГРАФИК!$D$73:$GY$81,1,MATCH(G$10,ГРАФИК!$D$19:$AH$19,0))</f>
        <v>0</v>
      </c>
      <c r="H31" s="121">
        <f>INDEX(ГРАФИК!$D$73:$GY$81,1,MATCH(H$10,ГРАФИК!$D$19:$AH$19,0))</f>
        <v>0</v>
      </c>
      <c r="I31" s="121">
        <f>INDEX(ГРАФИК!$D$73:$GY$81,1,MATCH(I$10,ГРАФИК!$D$19:$AH$19,0))</f>
        <v>0</v>
      </c>
      <c r="J31" s="121">
        <f>INDEX(ГРАФИК!$D$73:$GY$81,1,MATCH(J$10,ГРАФИК!$D$19:$AH$19,0))</f>
        <v>0</v>
      </c>
      <c r="K31" s="121">
        <f>INDEX(ГРАФИК!$D$73:$GY$81,1,MATCH(K$10,ГРАФИК!$D$19:$AH$19,0))</f>
        <v>0</v>
      </c>
      <c r="L31" s="121">
        <f>INDEX(ГРАФИК!$D$73:$GY$81,1,MATCH(L$10,ГРАФИК!$D$19:$AH$19,0))</f>
        <v>0</v>
      </c>
      <c r="M31" s="121">
        <f>INDEX(ГРАФИК!$D$73:$GY$81,1,MATCH(M$10,ГРАФИК!$D$19:$AH$19,0))</f>
        <v>0</v>
      </c>
      <c r="N31" s="121">
        <f>INDEX(ГРАФИК!$D$73:$GY$81,1,MATCH(N$10,ГРАФИК!$D$19:$AH$19,0))</f>
        <v>0</v>
      </c>
      <c r="O31" s="121">
        <f>INDEX(ГРАФИК!$D$73:$GY$81,1,MATCH(O$10,ГРАФИК!$D$19:$AH$19,0))</f>
        <v>0</v>
      </c>
      <c r="P31" s="121">
        <f>INDEX(ГРАФИК!$D$73:$GY$81,1,MATCH(P$10,ГРАФИК!$D$19:$AH$19,0))</f>
        <v>0</v>
      </c>
      <c r="Q31" s="121">
        <f>INDEX(ГРАФИК!$D$73:$GY$81,1,MATCH(Q$10,ГРАФИК!$D$19:$AH$19,0))</f>
        <v>0</v>
      </c>
      <c r="R31" s="121">
        <f>INDEX(ГРАФИК!$D$73:$GY$81,1,MATCH(R$10,ГРАФИК!$D$19:$AH$19,0))</f>
        <v>0</v>
      </c>
      <c r="S31" s="121">
        <f>INDEX(ГРАФИК!$D$73:$GY$81,1,MATCH(S$10,ГРАФИК!$D$19:$AH$19,0))</f>
        <v>0</v>
      </c>
      <c r="T31" s="121">
        <f>INDEX(ГРАФИК!$D$73:$GY$81,1,MATCH(T$10,ГРАФИК!$D$19:$AH$19,0))</f>
        <v>0</v>
      </c>
      <c r="U31" s="121">
        <f>INDEX(ГРАФИК!$D$73:$GY$81,1,MATCH(U$10,ГРАФИК!$D$19:$AH$19,0))</f>
        <v>0</v>
      </c>
      <c r="V31" s="121">
        <f>INDEX(ГРАФИК!$D$73:$GY$81,1,MATCH(V$10,ГРАФИК!$D$19:$AH$19,0))</f>
        <v>0</v>
      </c>
      <c r="W31" s="121">
        <f>INDEX(ГРАФИК!$D$73:$GY$81,1,MATCH(W$10,ГРАФИК!$D$19:$AH$19,0))</f>
        <v>0</v>
      </c>
      <c r="X31" s="121">
        <f>INDEX(ГРАФИК!$D$73:$GY$81,1,MATCH(X$10,ГРАФИК!$D$19:$AH$19,0))</f>
        <v>0</v>
      </c>
      <c r="Y31" s="121">
        <f>INDEX(ГРАФИК!$D$73:$GY$81,1,MATCH(Y$10,ГРАФИК!$D$19:$AH$19,0))</f>
        <v>0</v>
      </c>
      <c r="Z31" s="121">
        <f>INDEX(ГРАФИК!$D$73:$GY$81,1,MATCH(Z$10,ГРАФИК!$D$19:$AH$19,0))</f>
        <v>0</v>
      </c>
      <c r="AA31" s="121">
        <f>INDEX(ГРАФИК!$D$73:$GY$81,1,MATCH(AA$10,ГРАФИК!$D$19:$AH$19,0))</f>
        <v>0</v>
      </c>
      <c r="AB31" s="121">
        <f>INDEX(ГРАФИК!$D$73:$GY$81,1,MATCH(AB$10,ГРАФИК!$D$19:$AH$19,0))</f>
        <v>0</v>
      </c>
      <c r="AC31" s="121">
        <f>INDEX(ГРАФИК!$D$73:$GY$81,1,MATCH(AC$10,ГРАФИК!$D$19:$AH$19,0))</f>
        <v>0</v>
      </c>
      <c r="AD31" s="121">
        <f>INDEX(ГРАФИК!$D$73:$GY$81,1,MATCH(AD$10,ГРАФИК!$D$19:$AH$19,0))</f>
        <v>0</v>
      </c>
      <c r="AE31" s="121">
        <f>INDEX(ГРАФИК!$D$73:$GY$81,1,MATCH(AE$10,ГРАФИК!$D$19:$AH$19,0))</f>
        <v>0</v>
      </c>
      <c r="AF31" s="121">
        <f>INDEX(ГРАФИК!$D$73:$GY$81,1,MATCH(AF$10,ГРАФИК!$D$19:$AH$19,0))</f>
        <v>0</v>
      </c>
      <c r="AG31" s="121">
        <f>INDEX(ГРАФИК!$D$73:$GY$81,1,MATCH(AG$10,ГРАФИК!$D$19:$AH$19,0))</f>
        <v>0</v>
      </c>
      <c r="AH31" s="121">
        <f>INDEX(ГРАФИК!$D$73:$GY$81,1,MATCH(AH$10,ГРАФИК!$D$19:$AH$19,0))</f>
        <v>0</v>
      </c>
      <c r="AI31" s="121">
        <f>INDEX(ГРАФИК!$D$73:$GY$81,1,MATCH(AI$10,ГРАФИК!$D$19:$AH$19,0))</f>
        <v>0</v>
      </c>
      <c r="AJ31" s="121">
        <f>INDEX(ГРАФИК!$D$73:$GY$81,1,MATCH(AJ$10,ГРАФИК!$D$19:$AH$19,0))</f>
        <v>0</v>
      </c>
      <c r="AK31" s="227">
        <f>COUNTIF($F31:$AJ31,"&gt;0")</f>
        <v>0</v>
      </c>
      <c r="AL31" s="229">
        <f>SUM($F$31:$AJ$31)</f>
        <v>0</v>
      </c>
      <c r="AM31" s="136"/>
      <c r="AN31" s="137"/>
      <c r="AO31" s="138"/>
      <c r="AP31" s="139"/>
      <c r="AQ31" s="140"/>
      <c r="AR31" s="138"/>
      <c r="AS31" s="138"/>
      <c r="AT31" s="137"/>
      <c r="AU31" s="122">
        <f>COUNTIF($F32:$AJ32,"=От")</f>
        <v>0</v>
      </c>
      <c r="AV31" s="138"/>
      <c r="AW31" s="138"/>
      <c r="AX31" s="138"/>
      <c r="AY31" s="138"/>
      <c r="AZ31" s="138"/>
      <c r="BA31" s="138"/>
      <c r="BB31" s="138"/>
      <c r="BC31" s="138"/>
      <c r="BD31" s="137">
        <f>COUNTIF(F32:AJ32,"В")</f>
        <v>31</v>
      </c>
    </row>
    <row r="32" spans="1:56" ht="15.75" thickBot="1" x14ac:dyDescent="0.3">
      <c r="A32" s="220"/>
      <c r="B32" s="126"/>
      <c r="C32" s="222"/>
      <c r="D32" s="224"/>
      <c r="E32" s="226"/>
      <c r="F32" s="127" t="str">
        <f>IF(ГРАФИК!D70="ОТ","ОТ",IF(F31=0,"В","Я"))</f>
        <v>В</v>
      </c>
      <c r="G32" s="127" t="str">
        <f>IF(ГРАФИК!E70="ОТ","ОТ",IF(G31=0,"В","Я"))</f>
        <v>В</v>
      </c>
      <c r="H32" s="127" t="str">
        <f>IF(ГРАФИК!F70="ОТ","ОТ",IF(H31=0,"В","Я"))</f>
        <v>В</v>
      </c>
      <c r="I32" s="127" t="str">
        <f>IF(ГРАФИК!G70="ОТ","ОТ",IF(I31=0,"В","Я"))</f>
        <v>В</v>
      </c>
      <c r="J32" s="127" t="str">
        <f>IF(ГРАФИК!H70="ОТ","ОТ",IF(J31=0,"В","Я"))</f>
        <v>В</v>
      </c>
      <c r="K32" s="127" t="str">
        <f>IF(ГРАФИК!I70="ОТ","ОТ",IF(K31=0,"В","Я"))</f>
        <v>В</v>
      </c>
      <c r="L32" s="127" t="str">
        <f>IF(ГРАФИК!J70="ОТ","ОТ",IF(L31=0,"В","Я"))</f>
        <v>В</v>
      </c>
      <c r="M32" s="127" t="str">
        <f>IF(ГРАФИК!K70="ОТ","ОТ",IF(M31=0,"В","Я"))</f>
        <v>В</v>
      </c>
      <c r="N32" s="127" t="str">
        <f>IF(ГРАФИК!L70="ОТ","ОТ",IF(N31=0,"В","Я"))</f>
        <v>В</v>
      </c>
      <c r="O32" s="127" t="str">
        <f>IF(ГРАФИК!M70="ОТ","ОТ",IF(O31=0,"В","Я"))</f>
        <v>В</v>
      </c>
      <c r="P32" s="127" t="str">
        <f>IF(ГРАФИК!N70="ОТ","ОТ",IF(P31=0,"В","Я"))</f>
        <v>В</v>
      </c>
      <c r="Q32" s="127" t="str">
        <f>IF(ГРАФИК!O70="ОТ","ОТ",IF(Q31=0,"В","Я"))</f>
        <v>В</v>
      </c>
      <c r="R32" s="127" t="str">
        <f>IF(ГРАФИК!P70="ОТ","ОТ",IF(R31=0,"В","Я"))</f>
        <v>В</v>
      </c>
      <c r="S32" s="127" t="str">
        <f>IF(ГРАФИК!Q70="ОТ","ОТ",IF(S31=0,"В","Я"))</f>
        <v>В</v>
      </c>
      <c r="T32" s="127" t="str">
        <f>IF(ГРАФИК!R70="ОТ","ОТ",IF(T31=0,"В","Я"))</f>
        <v>В</v>
      </c>
      <c r="U32" s="127" t="str">
        <f>IF(ГРАФИК!T70="ОТ","ОТ",IF(U31=0,"В","Я"))</f>
        <v>В</v>
      </c>
      <c r="V32" s="127" t="str">
        <f>IF(ГРАФИК!U70="ОТ","ОТ",IF(V31=0,"В","Я"))</f>
        <v>В</v>
      </c>
      <c r="W32" s="127" t="str">
        <f>IF(ГРАФИК!V70="ОТ","ОТ",IF(W31=0,"В","Я"))</f>
        <v>В</v>
      </c>
      <c r="X32" s="127" t="str">
        <f>IF(ГРАФИК!W70="ОТ","ОТ",IF(X31=0,"В","Я"))</f>
        <v>В</v>
      </c>
      <c r="Y32" s="127" t="str">
        <f>IF(ГРАФИК!X70="ОТ","ОТ",IF(Y31=0,"В","Я"))</f>
        <v>В</v>
      </c>
      <c r="Z32" s="127" t="str">
        <f>IF(ГРАФИК!Y70="ОТ","ОТ",IF(Z31=0,"В","Я"))</f>
        <v>В</v>
      </c>
      <c r="AA32" s="127" t="str">
        <f>IF(ГРАФИК!Z70="ОТ","ОТ",IF(AA31=0,"В","Я"))</f>
        <v>В</v>
      </c>
      <c r="AB32" s="127" t="str">
        <f>IF(ГРАФИК!AA70="ОТ","ОТ",IF(AB31=0,"В","Я"))</f>
        <v>В</v>
      </c>
      <c r="AC32" s="127" t="str">
        <f>IF(ГРАФИК!AB70="ОТ","ОТ",IF(AC31=0,"В","Я"))</f>
        <v>В</v>
      </c>
      <c r="AD32" s="127" t="str">
        <f>IF(ГРАФИК!AC70="ОТ","ОТ",IF(AD31=0,"В","Я"))</f>
        <v>В</v>
      </c>
      <c r="AE32" s="127" t="str">
        <f>IF(ГРАФИК!AD70="ОТ","ОТ",IF(AE31=0,"В","Я"))</f>
        <v>В</v>
      </c>
      <c r="AF32" s="127" t="str">
        <f>IF(ГРАФИК!AE70="ОТ","ОТ",IF(AF31=0,"В","Я"))</f>
        <v>В</v>
      </c>
      <c r="AG32" s="127" t="str">
        <f>IF(ГРАФИК!AF70="ОТ","ОТ",IF(AG31=0,"В","Я"))</f>
        <v>В</v>
      </c>
      <c r="AH32" s="127" t="str">
        <f>IF(ГРАФИК!AG70="ОТ","ОТ",IF(AH31=0,"В","Я"))</f>
        <v>В</v>
      </c>
      <c r="AI32" s="127" t="str">
        <f>IF(ГРАФИК!AH70="ОТ","ОТ",IF(AI31=0,"В","Я"))</f>
        <v>В</v>
      </c>
      <c r="AJ32" s="127" t="str">
        <f>IF(ГРАФИК!AI70="ОТ","ОТ",IF(AJ31=0,"В","Я"))</f>
        <v>В</v>
      </c>
      <c r="AK32" s="228"/>
      <c r="AL32" s="230"/>
      <c r="AM32" s="141"/>
      <c r="AN32" s="128"/>
      <c r="AO32" s="129"/>
      <c r="AP32" s="130"/>
      <c r="AQ32" s="131"/>
      <c r="AR32" s="129"/>
      <c r="AS32" s="129"/>
      <c r="AT32" s="128"/>
      <c r="AU32" s="128"/>
      <c r="AV32" s="129"/>
      <c r="AW32" s="129"/>
      <c r="AX32" s="129"/>
      <c r="AY32" s="129"/>
      <c r="AZ32" s="129"/>
      <c r="BA32" s="129"/>
      <c r="BB32" s="129"/>
      <c r="BC32" s="129"/>
      <c r="BD32" s="128"/>
    </row>
    <row r="33" spans="1:56" x14ac:dyDescent="0.25">
      <c r="A33" s="219">
        <v>10</v>
      </c>
      <c r="B33" s="120"/>
      <c r="C33" s="221" t="str">
        <f>LEFT(ГРАФИК!B76,100)</f>
        <v/>
      </c>
      <c r="D33" s="223" t="str">
        <f>LEFT(ГРАФИК!B79,100)</f>
        <v/>
      </c>
      <c r="E33" s="225"/>
      <c r="F33" s="121">
        <f>INDEX(ГРАФИК!$D$79:$GY$81,1,MATCH(F$10,ГРАФИК!$D$19:$AH$19,0))</f>
        <v>0</v>
      </c>
      <c r="G33" s="121">
        <f>INDEX(ГРАФИК!$D$79:$GY$81,1,MATCH(G$10,ГРАФИК!$D$19:$AH$19,0))</f>
        <v>0</v>
      </c>
      <c r="H33" s="121">
        <f>INDEX(ГРАФИК!$D$79:$GY$81,1,MATCH(H$10,ГРАФИК!$D$19:$AH$19,0))</f>
        <v>0</v>
      </c>
      <c r="I33" s="121">
        <f>INDEX(ГРАФИК!$D$79:$GY$81,1,MATCH(I$10,ГРАФИК!$D$19:$AH$19,0))</f>
        <v>0</v>
      </c>
      <c r="J33" s="121">
        <f>INDEX(ГРАФИК!$D$79:$GY$81,1,MATCH(J$10,ГРАФИК!$D$19:$AH$19,0))</f>
        <v>0</v>
      </c>
      <c r="K33" s="121">
        <f>INDEX(ГРАФИК!$D$79:$GY$81,1,MATCH(K$10,ГРАФИК!$D$19:$AH$19,0))</f>
        <v>0</v>
      </c>
      <c r="L33" s="121">
        <f>INDEX(ГРАФИК!$D$79:$GY$81,1,MATCH(L$10,ГРАФИК!$D$19:$AH$19,0))</f>
        <v>0</v>
      </c>
      <c r="M33" s="121">
        <f>INDEX(ГРАФИК!$D$79:$GY$81,1,MATCH(M$10,ГРАФИК!$D$19:$AH$19,0))</f>
        <v>0</v>
      </c>
      <c r="N33" s="121">
        <f>INDEX(ГРАФИК!$D$79:$GY$81,1,MATCH(N$10,ГРАФИК!$D$19:$AH$19,0))</f>
        <v>0</v>
      </c>
      <c r="O33" s="121">
        <f>INDEX(ГРАФИК!$D$79:$GY$81,1,MATCH(O$10,ГРАФИК!$D$19:$AH$19,0))</f>
        <v>0</v>
      </c>
      <c r="P33" s="121">
        <f>INDEX(ГРАФИК!$D$79:$GY$81,1,MATCH(P$10,ГРАФИК!$D$19:$AH$19,0))</f>
        <v>0</v>
      </c>
      <c r="Q33" s="121">
        <f>INDEX(ГРАФИК!$D$79:$GY$81,1,MATCH(Q$10,ГРАФИК!$D$19:$AH$19,0))</f>
        <v>0</v>
      </c>
      <c r="R33" s="121">
        <f>INDEX(ГРАФИК!$D$79:$GY$81,1,MATCH(R$10,ГРАФИК!$D$19:$AH$19,0))</f>
        <v>0</v>
      </c>
      <c r="S33" s="121">
        <f>INDEX(ГРАФИК!$D$79:$GY$81,1,MATCH(S$10,ГРАФИК!$D$19:$AH$19,0))</f>
        <v>0</v>
      </c>
      <c r="T33" s="121">
        <f>INDEX(ГРАФИК!$D$79:$GY$81,1,MATCH(T$10,ГРАФИК!$D$19:$AH$19,0))</f>
        <v>0</v>
      </c>
      <c r="U33" s="121">
        <f>INDEX(ГРАФИК!$D$79:$GY$81,1,MATCH(U$10,ГРАФИК!$D$19:$AH$19,0))</f>
        <v>0</v>
      </c>
      <c r="V33" s="121">
        <f>INDEX(ГРАФИК!$D$79:$GY$81,1,MATCH(V$10,ГРАФИК!$D$19:$AH$19,0))</f>
        <v>0</v>
      </c>
      <c r="W33" s="121">
        <f>INDEX(ГРАФИК!$D$79:$GY$81,1,MATCH(W$10,ГРАФИК!$D$19:$AH$19,0))</f>
        <v>0</v>
      </c>
      <c r="X33" s="121">
        <f>INDEX(ГРАФИК!$D$79:$GY$81,1,MATCH(X$10,ГРАФИК!$D$19:$AH$19,0))</f>
        <v>0</v>
      </c>
      <c r="Y33" s="121">
        <f>INDEX(ГРАФИК!$D$79:$GY$81,1,MATCH(Y$10,ГРАФИК!$D$19:$AH$19,0))</f>
        <v>0</v>
      </c>
      <c r="Z33" s="121">
        <f>INDEX(ГРАФИК!$D$79:$GY$81,1,MATCH(Z$10,ГРАФИК!$D$19:$AH$19,0))</f>
        <v>0</v>
      </c>
      <c r="AA33" s="121">
        <f>INDEX(ГРАФИК!$D$79:$GY$81,1,MATCH(AA$10,ГРАФИК!$D$19:$AH$19,0))</f>
        <v>0</v>
      </c>
      <c r="AB33" s="121">
        <f>INDEX(ГРАФИК!$D$79:$GY$81,1,MATCH(AB$10,ГРАФИК!$D$19:$AH$19,0))</f>
        <v>0</v>
      </c>
      <c r="AC33" s="121">
        <f>INDEX(ГРАФИК!$D$79:$GY$81,1,MATCH(AC$10,ГРАФИК!$D$19:$AH$19,0))</f>
        <v>0</v>
      </c>
      <c r="AD33" s="121">
        <f>INDEX(ГРАФИК!$D$79:$GY$81,1,MATCH(AD$10,ГРАФИК!$D$19:$AH$19,0))</f>
        <v>0</v>
      </c>
      <c r="AE33" s="121">
        <f>INDEX(ГРАФИК!$D$79:$GY$81,1,MATCH(AE$10,ГРАФИК!$D$19:$AH$19,0))</f>
        <v>0</v>
      </c>
      <c r="AF33" s="121">
        <f>INDEX(ГРАФИК!$D$79:$GY$81,1,MATCH(AF$10,ГРАФИК!$D$19:$AH$19,0))</f>
        <v>0</v>
      </c>
      <c r="AG33" s="121">
        <f>INDEX(ГРАФИК!$D$79:$GY$81,1,MATCH(AG$10,ГРАФИК!$D$19:$AH$19,0))</f>
        <v>0</v>
      </c>
      <c r="AH33" s="121">
        <f>INDEX(ГРАФИК!$D$79:$GY$81,1,MATCH(AH$10,ГРАФИК!$D$19:$AH$19,0))</f>
        <v>0</v>
      </c>
      <c r="AI33" s="121">
        <f>INDEX(ГРАФИК!$D$79:$GY$81,1,MATCH(AI$10,ГРАФИК!$D$19:$AH$19,0))</f>
        <v>0</v>
      </c>
      <c r="AJ33" s="121">
        <f>INDEX(ГРАФИК!$D$79:$GY$81,1,MATCH(AJ$10,ГРАФИК!$D$19:$AH$19,0))</f>
        <v>0</v>
      </c>
      <c r="AK33" s="227">
        <f t="shared" ref="AK33" si="0">COUNTIF($F33:$AJ33,"&gt;0")</f>
        <v>0</v>
      </c>
      <c r="AL33" s="229">
        <f>SUM($F$33:$AJ$33)</f>
        <v>0</v>
      </c>
      <c r="AM33" s="174"/>
      <c r="AN33" s="175"/>
      <c r="AO33" s="123"/>
      <c r="AP33" s="124"/>
      <c r="AQ33" s="125"/>
      <c r="AR33" s="123"/>
      <c r="AS33" s="123"/>
      <c r="AT33" s="122"/>
      <c r="AU33" s="122">
        <f>COUNTIF($F34:$AJ34,"=От")</f>
        <v>0</v>
      </c>
      <c r="AV33" s="123"/>
      <c r="AW33" s="123"/>
      <c r="AX33" s="123"/>
      <c r="AY33" s="123"/>
      <c r="AZ33" s="123"/>
      <c r="BA33" s="123"/>
      <c r="BB33" s="123"/>
      <c r="BC33" s="123"/>
      <c r="BD33" s="122">
        <f>COUNTIF(F34:AJ34,"В")</f>
        <v>31</v>
      </c>
    </row>
    <row r="34" spans="1:56" ht="15.75" thickBot="1" x14ac:dyDescent="0.3">
      <c r="A34" s="220"/>
      <c r="B34" s="126"/>
      <c r="C34" s="222"/>
      <c r="D34" s="224"/>
      <c r="E34" s="226"/>
      <c r="F34" s="127" t="str">
        <f>IF(ГРАФИК!D76="ОТ","ОТ",IF(F33=0,"В","Я"))</f>
        <v>В</v>
      </c>
      <c r="G34" s="127" t="str">
        <f>IF(ГРАФИК!E76="ОТ","ОТ",IF(G33=0,"В","Я"))</f>
        <v>В</v>
      </c>
      <c r="H34" s="127" t="str">
        <f>IF(ГРАФИК!F76="ОТ","ОТ",IF(H33=0,"В","Я"))</f>
        <v>В</v>
      </c>
      <c r="I34" s="127" t="str">
        <f>IF(ГРАФИК!G76="ОТ","ОТ",IF(I33=0,"В","Я"))</f>
        <v>В</v>
      </c>
      <c r="J34" s="127" t="str">
        <f>IF(ГРАФИК!H76="ОТ","ОТ",IF(J33=0,"В","Я"))</f>
        <v>В</v>
      </c>
      <c r="K34" s="127" t="str">
        <f>IF(ГРАФИК!I76="ОТ","ОТ",IF(K33=0,"В","Я"))</f>
        <v>В</v>
      </c>
      <c r="L34" s="127" t="str">
        <f>IF(ГРАФИК!J76="ОТ","ОТ",IF(L33=0,"В","Я"))</f>
        <v>В</v>
      </c>
      <c r="M34" s="127" t="str">
        <f>IF(ГРАФИК!K76="ОТ","ОТ",IF(M33=0,"В","Я"))</f>
        <v>В</v>
      </c>
      <c r="N34" s="127" t="str">
        <f>IF(ГРАФИК!L76="ОТ","ОТ",IF(N33=0,"В","Я"))</f>
        <v>В</v>
      </c>
      <c r="O34" s="127" t="str">
        <f>IF(ГРАФИК!M76="ОТ","ОТ",IF(O33=0,"В","Я"))</f>
        <v>В</v>
      </c>
      <c r="P34" s="127" t="str">
        <f>IF(ГРАФИК!N76="ОТ","ОТ",IF(P33=0,"В","Я"))</f>
        <v>В</v>
      </c>
      <c r="Q34" s="127" t="str">
        <f>IF(ГРАФИК!O76="ОТ","ОТ",IF(Q33=0,"В","Я"))</f>
        <v>В</v>
      </c>
      <c r="R34" s="127" t="str">
        <f>IF(ГРАФИК!P76="ОТ","ОТ",IF(R33=0,"В","Я"))</f>
        <v>В</v>
      </c>
      <c r="S34" s="127" t="str">
        <f>IF(ГРАФИК!Q76="ОТ","ОТ",IF(S33=0,"В","Я"))</f>
        <v>В</v>
      </c>
      <c r="T34" s="127" t="str">
        <f>IF(ГРАФИК!R76="ОТ","ОТ",IF(T33=0,"В","Я"))</f>
        <v>В</v>
      </c>
      <c r="U34" s="127" t="str">
        <f>IF(ГРАФИК!T76="ОТ","ОТ",IF(U33=0,"В","Я"))</f>
        <v>В</v>
      </c>
      <c r="V34" s="127" t="str">
        <f>IF(ГРАФИК!U76="ОТ","ОТ",IF(V33=0,"В","Я"))</f>
        <v>В</v>
      </c>
      <c r="W34" s="127" t="str">
        <f>IF(ГРАФИК!V76="ОТ","ОТ",IF(W33=0,"В","Я"))</f>
        <v>В</v>
      </c>
      <c r="X34" s="127" t="str">
        <f>IF(ГРАФИК!W76="ОТ","ОТ",IF(X33=0,"В","Я"))</f>
        <v>В</v>
      </c>
      <c r="Y34" s="127" t="str">
        <f>IF(ГРАФИК!X76="ОТ","ОТ",IF(Y33=0,"В","Я"))</f>
        <v>В</v>
      </c>
      <c r="Z34" s="127" t="str">
        <f>IF(ГРАФИК!Y76="ОТ","ОТ",IF(Z33=0,"В","Я"))</f>
        <v>В</v>
      </c>
      <c r="AA34" s="127" t="str">
        <f>IF(ГРАФИК!Z76="ОТ","ОТ",IF(AA33=0,"В","Я"))</f>
        <v>В</v>
      </c>
      <c r="AB34" s="127" t="str">
        <f>IF(ГРАФИК!AA76="ОТ","ОТ",IF(AB33=0,"В","Я"))</f>
        <v>В</v>
      </c>
      <c r="AC34" s="127" t="str">
        <f>IF(ГРАФИК!AB76="ОТ","ОТ",IF(AC33=0,"В","Я"))</f>
        <v>В</v>
      </c>
      <c r="AD34" s="127" t="str">
        <f>IF(ГРАФИК!AC76="ОТ","ОТ",IF(AD33=0,"В","Я"))</f>
        <v>В</v>
      </c>
      <c r="AE34" s="127" t="str">
        <f>IF(ГРАФИК!AD76="ОТ","ОТ",IF(AE33=0,"В","Я"))</f>
        <v>В</v>
      </c>
      <c r="AF34" s="127" t="str">
        <f>IF(ГРАФИК!AE76="ОТ","ОТ",IF(AF33=0,"В","Я"))</f>
        <v>В</v>
      </c>
      <c r="AG34" s="127" t="str">
        <f>IF(ГРАФИК!AF76="ОТ","ОТ",IF(AG33=0,"В","Я"))</f>
        <v>В</v>
      </c>
      <c r="AH34" s="127" t="str">
        <f>IF(ГРАФИК!AG76="ОТ","ОТ",IF(AH33=0,"В","Я"))</f>
        <v>В</v>
      </c>
      <c r="AI34" s="127" t="str">
        <f>IF(ГРАФИК!AH76="ОТ","ОТ",IF(AI33=0,"В","Я"))</f>
        <v>В</v>
      </c>
      <c r="AJ34" s="127" t="str">
        <f>IF(ГРАФИК!AI76="ОТ","ОТ",IF(AJ33=0,"В","Я"))</f>
        <v>В</v>
      </c>
      <c r="AK34" s="228"/>
      <c r="AL34" s="230"/>
      <c r="AM34" s="141"/>
      <c r="AN34" s="128"/>
      <c r="AO34" s="129"/>
      <c r="AP34" s="130"/>
      <c r="AQ34" s="131"/>
      <c r="AR34" s="129"/>
      <c r="AS34" s="129"/>
      <c r="AT34" s="128"/>
      <c r="AU34" s="128"/>
      <c r="AV34" s="129"/>
      <c r="AW34" s="129"/>
      <c r="AX34" s="129"/>
      <c r="AY34" s="129"/>
      <c r="AZ34" s="129"/>
      <c r="BA34" s="129"/>
      <c r="BB34" s="129"/>
      <c r="BC34" s="129"/>
      <c r="BD34" s="128"/>
    </row>
    <row r="35" spans="1:56" ht="15.75" thickBot="1" x14ac:dyDescent="0.3">
      <c r="F35" s="142">
        <f>COUNTIF(F$15:F$32,"Я")+COUNTIF(F$33:F$34,"Я")</f>
        <v>5</v>
      </c>
      <c r="G35" s="142">
        <f t="shared" ref="G35:AJ35" si="1">COUNTIF(G$15:G$32,"Я")+COUNTIF(G$33:G$34,"Я")</f>
        <v>5</v>
      </c>
      <c r="H35" s="142">
        <f t="shared" si="1"/>
        <v>5</v>
      </c>
      <c r="I35" s="142">
        <f t="shared" si="1"/>
        <v>5</v>
      </c>
      <c r="J35" s="142">
        <f t="shared" si="1"/>
        <v>0</v>
      </c>
      <c r="K35" s="142">
        <f t="shared" si="1"/>
        <v>1</v>
      </c>
      <c r="L35" s="142">
        <f t="shared" si="1"/>
        <v>5</v>
      </c>
      <c r="M35" s="142">
        <f t="shared" si="1"/>
        <v>5</v>
      </c>
      <c r="N35" s="142">
        <f t="shared" si="1"/>
        <v>5</v>
      </c>
      <c r="O35" s="142">
        <f t="shared" si="1"/>
        <v>5</v>
      </c>
      <c r="P35" s="142">
        <f t="shared" si="1"/>
        <v>5</v>
      </c>
      <c r="Q35" s="142">
        <f t="shared" si="1"/>
        <v>0</v>
      </c>
      <c r="R35" s="142">
        <f t="shared" si="1"/>
        <v>1</v>
      </c>
      <c r="S35" s="142">
        <f t="shared" si="1"/>
        <v>5</v>
      </c>
      <c r="T35" s="142">
        <f t="shared" si="1"/>
        <v>5</v>
      </c>
      <c r="U35" s="142">
        <f t="shared" si="1"/>
        <v>5</v>
      </c>
      <c r="V35" s="142">
        <f t="shared" si="1"/>
        <v>5</v>
      </c>
      <c r="W35" s="142">
        <f t="shared" si="1"/>
        <v>5</v>
      </c>
      <c r="X35" s="142">
        <f t="shared" si="1"/>
        <v>0</v>
      </c>
      <c r="Y35" s="142">
        <f t="shared" si="1"/>
        <v>1</v>
      </c>
      <c r="Z35" s="142">
        <f t="shared" si="1"/>
        <v>5</v>
      </c>
      <c r="AA35" s="142">
        <f t="shared" si="1"/>
        <v>5</v>
      </c>
      <c r="AB35" s="142">
        <f t="shared" si="1"/>
        <v>4</v>
      </c>
      <c r="AC35" s="142">
        <f t="shared" si="1"/>
        <v>4</v>
      </c>
      <c r="AD35" s="142">
        <f t="shared" si="1"/>
        <v>5</v>
      </c>
      <c r="AE35" s="142">
        <f t="shared" si="1"/>
        <v>0</v>
      </c>
      <c r="AF35" s="142">
        <f t="shared" si="1"/>
        <v>1</v>
      </c>
      <c r="AG35" s="142">
        <f t="shared" si="1"/>
        <v>5</v>
      </c>
      <c r="AH35" s="142">
        <f t="shared" si="1"/>
        <v>3</v>
      </c>
      <c r="AI35" s="142">
        <f t="shared" si="1"/>
        <v>3</v>
      </c>
      <c r="AJ35" s="142">
        <f t="shared" si="1"/>
        <v>0</v>
      </c>
      <c r="AK35" s="143">
        <f>SUM(F35:AJ35)</f>
        <v>108</v>
      </c>
    </row>
    <row r="36" spans="1:56" ht="15.75" thickBot="1" x14ac:dyDescent="0.3">
      <c r="F36" s="144">
        <f>SUM(F15,F17,F19,F21,F23,F25,F27,F29,F33)</f>
        <v>1.666666666666667</v>
      </c>
      <c r="G36" s="144">
        <f t="shared" ref="G36:AJ36" si="2">SUM(G15,G17,G19,G21,G23,G25,G27,G29,G33)</f>
        <v>1.666666666666667</v>
      </c>
      <c r="H36" s="144">
        <f t="shared" si="2"/>
        <v>1.666666666666667</v>
      </c>
      <c r="I36" s="144">
        <f t="shared" si="2"/>
        <v>1.666666666666667</v>
      </c>
      <c r="J36" s="144">
        <f t="shared" si="2"/>
        <v>0</v>
      </c>
      <c r="K36" s="144">
        <f t="shared" si="2"/>
        <v>0.33333333333333337</v>
      </c>
      <c r="L36" s="144">
        <f t="shared" si="2"/>
        <v>1.666666666666667</v>
      </c>
      <c r="M36" s="144">
        <f t="shared" si="2"/>
        <v>1.666666666666667</v>
      </c>
      <c r="N36" s="144">
        <f t="shared" si="2"/>
        <v>1.666666666666667</v>
      </c>
      <c r="O36" s="144">
        <f t="shared" si="2"/>
        <v>1.666666666666667</v>
      </c>
      <c r="P36" s="144">
        <f t="shared" si="2"/>
        <v>1.666666666666667</v>
      </c>
      <c r="Q36" s="144">
        <f t="shared" si="2"/>
        <v>0</v>
      </c>
      <c r="R36" s="144">
        <f t="shared" si="2"/>
        <v>0.33333333333333337</v>
      </c>
      <c r="S36" s="144">
        <f t="shared" si="2"/>
        <v>1.666666666666667</v>
      </c>
      <c r="T36" s="144">
        <f t="shared" si="2"/>
        <v>1.666666666666667</v>
      </c>
      <c r="U36" s="144">
        <f t="shared" si="2"/>
        <v>1.666666666666667</v>
      </c>
      <c r="V36" s="144">
        <f t="shared" si="2"/>
        <v>1.666666666666667</v>
      </c>
      <c r="W36" s="144">
        <f t="shared" si="2"/>
        <v>1.666666666666667</v>
      </c>
      <c r="X36" s="144">
        <f t="shared" si="2"/>
        <v>0</v>
      </c>
      <c r="Y36" s="144">
        <f t="shared" si="2"/>
        <v>0.33333333333333337</v>
      </c>
      <c r="Z36" s="144">
        <f t="shared" si="2"/>
        <v>1.666666666666667</v>
      </c>
      <c r="AA36" s="144">
        <f t="shared" si="2"/>
        <v>1.666666666666667</v>
      </c>
      <c r="AB36" s="144">
        <f t="shared" si="2"/>
        <v>1.3333333333333335</v>
      </c>
      <c r="AC36" s="144">
        <f t="shared" si="2"/>
        <v>1.3333333333333335</v>
      </c>
      <c r="AD36" s="144">
        <f t="shared" si="2"/>
        <v>1.666666666666667</v>
      </c>
      <c r="AE36" s="144">
        <f t="shared" si="2"/>
        <v>0</v>
      </c>
      <c r="AF36" s="144">
        <f t="shared" si="2"/>
        <v>0.33333333333333337</v>
      </c>
      <c r="AG36" s="144">
        <f t="shared" si="2"/>
        <v>1.666666666666667</v>
      </c>
      <c r="AH36" s="144">
        <f t="shared" si="2"/>
        <v>1</v>
      </c>
      <c r="AI36" s="144">
        <f t="shared" si="2"/>
        <v>1</v>
      </c>
      <c r="AJ36" s="144">
        <f t="shared" si="2"/>
        <v>0</v>
      </c>
      <c r="AK36" s="145">
        <f>SUM(F36:AJ36)</f>
        <v>36.000000000000007</v>
      </c>
    </row>
  </sheetData>
  <mergeCells count="119">
    <mergeCell ref="AU9:BC9"/>
    <mergeCell ref="BD9:BD12"/>
    <mergeCell ref="F10:F12"/>
    <mergeCell ref="G10:G12"/>
    <mergeCell ref="H10:H12"/>
    <mergeCell ref="I10:I12"/>
    <mergeCell ref="J10:J12"/>
    <mergeCell ref="R7:V7"/>
    <mergeCell ref="A9:A12"/>
    <mergeCell ref="B9:B12"/>
    <mergeCell ref="C9:C12"/>
    <mergeCell ref="D9:D12"/>
    <mergeCell ref="E9:E12"/>
    <mergeCell ref="K10:K12"/>
    <mergeCell ref="L10:L12"/>
    <mergeCell ref="M10:M12"/>
    <mergeCell ref="N10:N12"/>
    <mergeCell ref="O10:O12"/>
    <mergeCell ref="P10:P12"/>
    <mergeCell ref="F9:AJ9"/>
    <mergeCell ref="AL9:AS9"/>
    <mergeCell ref="AT9:AT12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U10:U12"/>
    <mergeCell ref="V10:V12"/>
    <mergeCell ref="BB10:BB12"/>
    <mergeCell ref="BC10:BC12"/>
    <mergeCell ref="AM11:AM12"/>
    <mergeCell ref="AN11:AS11"/>
    <mergeCell ref="F14:AJ14"/>
    <mergeCell ref="AT14:BC14"/>
    <mergeCell ref="AV10:AV12"/>
    <mergeCell ref="AW10:AW12"/>
    <mergeCell ref="AX10:AX12"/>
    <mergeCell ref="AY10:AY12"/>
    <mergeCell ref="AZ10:AZ12"/>
    <mergeCell ref="BA10:BA12"/>
    <mergeCell ref="AI10:AI12"/>
    <mergeCell ref="AJ10:AJ12"/>
    <mergeCell ref="AK10:AK12"/>
    <mergeCell ref="AL10:AL12"/>
    <mergeCell ref="AM10:AS10"/>
    <mergeCell ref="AU10:AU12"/>
    <mergeCell ref="AC10:AC12"/>
    <mergeCell ref="AD10:AD12"/>
    <mergeCell ref="AE10:AE12"/>
    <mergeCell ref="AF10:AF12"/>
    <mergeCell ref="AG10:AG12"/>
    <mergeCell ref="AH10:AH12"/>
    <mergeCell ref="AM15:AM16"/>
    <mergeCell ref="A17:A18"/>
    <mergeCell ref="C17:C18"/>
    <mergeCell ref="D17:D18"/>
    <mergeCell ref="E17:E18"/>
    <mergeCell ref="AK17:AK18"/>
    <mergeCell ref="AL17:AL18"/>
    <mergeCell ref="A15:A16"/>
    <mergeCell ref="C15:C16"/>
    <mergeCell ref="D15:D16"/>
    <mergeCell ref="E15:E16"/>
    <mergeCell ref="AK15:AK16"/>
    <mergeCell ref="AL15:AL16"/>
    <mergeCell ref="A21:A22"/>
    <mergeCell ref="C21:C22"/>
    <mergeCell ref="D21:D22"/>
    <mergeCell ref="E21:E22"/>
    <mergeCell ref="AK21:AK22"/>
    <mergeCell ref="AL21:AL22"/>
    <mergeCell ref="A19:A20"/>
    <mergeCell ref="C19:C20"/>
    <mergeCell ref="D19:D20"/>
    <mergeCell ref="E19:E20"/>
    <mergeCell ref="AK19:AK20"/>
    <mergeCell ref="AL19:AL20"/>
    <mergeCell ref="A25:A26"/>
    <mergeCell ref="C25:C26"/>
    <mergeCell ref="D25:D26"/>
    <mergeCell ref="E25:E26"/>
    <mergeCell ref="AK25:AK26"/>
    <mergeCell ref="AL25:AL26"/>
    <mergeCell ref="A23:A24"/>
    <mergeCell ref="C23:C24"/>
    <mergeCell ref="D23:D24"/>
    <mergeCell ref="E23:E24"/>
    <mergeCell ref="AK23:AK24"/>
    <mergeCell ref="AL23:AL24"/>
    <mergeCell ref="A29:A30"/>
    <mergeCell ref="C29:C30"/>
    <mergeCell ref="D29:D30"/>
    <mergeCell ref="E29:E30"/>
    <mergeCell ref="AK29:AK30"/>
    <mergeCell ref="AL29:AL30"/>
    <mergeCell ref="A27:A28"/>
    <mergeCell ref="C27:C28"/>
    <mergeCell ref="D27:D28"/>
    <mergeCell ref="E27:E28"/>
    <mergeCell ref="AK27:AK28"/>
    <mergeCell ref="AL27:AL28"/>
    <mergeCell ref="A33:A34"/>
    <mergeCell ref="C33:C34"/>
    <mergeCell ref="D33:D34"/>
    <mergeCell ref="E33:E34"/>
    <mergeCell ref="AK33:AK34"/>
    <mergeCell ref="AL33:AL34"/>
    <mergeCell ref="A31:A32"/>
    <mergeCell ref="C31:C32"/>
    <mergeCell ref="D31:D32"/>
    <mergeCell ref="E31:E32"/>
    <mergeCell ref="AK31:AK32"/>
    <mergeCell ref="AL31:AL32"/>
  </mergeCells>
  <conditionalFormatting sqref="F10:AJ13 F15:AJ36">
    <cfRule type="expression" dxfId="0" priority="1">
      <formula>WEEKDAY($R$7-DAY($R$7)+F$10,2)&gt;5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Легенда!$D$2:$D$13</xm:f>
          </x14:formula1>
          <xm:sqref>AL8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E54"/>
  <sheetViews>
    <sheetView showGridLines="0" workbookViewId="0">
      <pane ySplit="1" topLeftCell="A2" activePane="bottomLeft" state="frozen"/>
      <selection pane="bottomLeft" activeCell="B7" sqref="B7"/>
    </sheetView>
  </sheetViews>
  <sheetFormatPr defaultRowHeight="15" x14ac:dyDescent="0.25"/>
  <cols>
    <col min="1" max="1" width="25.42578125" customWidth="1"/>
    <col min="2" max="2" width="32.5703125" customWidth="1"/>
    <col min="3" max="3" width="11.7109375" customWidth="1"/>
    <col min="4" max="4" width="11.85546875" customWidth="1"/>
    <col min="5" max="5" width="11.28515625" customWidth="1"/>
  </cols>
  <sheetData>
    <row r="1" spans="1:5" x14ac:dyDescent="0.25">
      <c r="A1" s="167" t="s">
        <v>13</v>
      </c>
      <c r="B1" s="167" t="s">
        <v>16</v>
      </c>
      <c r="C1" s="167" t="s">
        <v>89</v>
      </c>
      <c r="D1" s="167" t="s">
        <v>90</v>
      </c>
      <c r="E1" s="167" t="s">
        <v>91</v>
      </c>
    </row>
    <row r="2" spans="1:5" x14ac:dyDescent="0.25">
      <c r="A2" s="191" t="s">
        <v>21</v>
      </c>
      <c r="B2" s="191" t="s">
        <v>92</v>
      </c>
      <c r="C2" s="191" t="s">
        <v>93</v>
      </c>
      <c r="D2" s="191" t="s">
        <v>94</v>
      </c>
      <c r="E2" s="192">
        <v>0</v>
      </c>
    </row>
    <row r="3" spans="1:5" x14ac:dyDescent="0.25">
      <c r="A3" s="191" t="s">
        <v>26</v>
      </c>
      <c r="B3" s="191" t="s">
        <v>23</v>
      </c>
      <c r="C3" s="191" t="s">
        <v>95</v>
      </c>
      <c r="D3" s="191" t="s">
        <v>96</v>
      </c>
      <c r="E3" s="192">
        <v>2.0833333333333332E-2</v>
      </c>
    </row>
    <row r="4" spans="1:5" x14ac:dyDescent="0.25">
      <c r="A4" s="191" t="s">
        <v>28</v>
      </c>
      <c r="B4" s="191" t="s">
        <v>27</v>
      </c>
      <c r="C4" s="191"/>
      <c r="D4" s="191" t="s">
        <v>97</v>
      </c>
      <c r="E4" s="192">
        <v>4.1666666666666664E-2</v>
      </c>
    </row>
    <row r="5" spans="1:5" x14ac:dyDescent="0.25">
      <c r="A5" s="191" t="s">
        <v>29</v>
      </c>
      <c r="B5" s="191" t="s">
        <v>32</v>
      </c>
      <c r="C5" s="191"/>
      <c r="D5" s="191" t="s">
        <v>98</v>
      </c>
      <c r="E5" s="192">
        <v>6.25E-2</v>
      </c>
    </row>
    <row r="6" spans="1:5" x14ac:dyDescent="0.25">
      <c r="A6" s="191" t="s">
        <v>31</v>
      </c>
      <c r="B6" s="191" t="s">
        <v>99</v>
      </c>
      <c r="C6" s="191"/>
      <c r="D6" s="191" t="s">
        <v>100</v>
      </c>
      <c r="E6" s="192">
        <v>8.3333333333333301E-2</v>
      </c>
    </row>
    <row r="7" spans="1:5" x14ac:dyDescent="0.25">
      <c r="A7" s="191" t="s">
        <v>35</v>
      </c>
      <c r="B7" s="191" t="s">
        <v>101</v>
      </c>
      <c r="C7" s="191"/>
      <c r="D7" s="191" t="s">
        <v>102</v>
      </c>
      <c r="E7" s="192">
        <v>0.10416666666666667</v>
      </c>
    </row>
    <row r="8" spans="1:5" x14ac:dyDescent="0.25">
      <c r="A8" s="191" t="s">
        <v>36</v>
      </c>
      <c r="B8" s="191" t="s">
        <v>103</v>
      </c>
      <c r="C8" s="191"/>
      <c r="D8" s="191" t="s">
        <v>104</v>
      </c>
      <c r="E8" s="192">
        <v>0.125</v>
      </c>
    </row>
    <row r="9" spans="1:5" x14ac:dyDescent="0.25">
      <c r="A9" s="191" t="s">
        <v>37</v>
      </c>
      <c r="B9" s="191" t="s">
        <v>30</v>
      </c>
      <c r="C9" s="191"/>
      <c r="D9" s="191" t="s">
        <v>105</v>
      </c>
      <c r="E9" s="192">
        <v>0.14583333333333334</v>
      </c>
    </row>
    <row r="10" spans="1:5" x14ac:dyDescent="0.25">
      <c r="A10" s="191" t="s">
        <v>38</v>
      </c>
      <c r="B10" s="191"/>
      <c r="C10" s="191"/>
      <c r="D10" s="191" t="s">
        <v>11</v>
      </c>
      <c r="E10" s="192">
        <v>0.16666666666666666</v>
      </c>
    </row>
    <row r="11" spans="1:5" x14ac:dyDescent="0.25">
      <c r="A11" s="191" t="s">
        <v>39</v>
      </c>
      <c r="B11" s="191"/>
      <c r="C11" s="191"/>
      <c r="D11" s="191" t="s">
        <v>106</v>
      </c>
      <c r="E11" s="192">
        <v>0.1875</v>
      </c>
    </row>
    <row r="12" spans="1:5" x14ac:dyDescent="0.25">
      <c r="A12" s="191" t="s">
        <v>40</v>
      </c>
      <c r="B12" s="191"/>
      <c r="C12" s="191"/>
      <c r="D12" s="191" t="s">
        <v>107</v>
      </c>
      <c r="E12" s="192">
        <v>0.20833333333333334</v>
      </c>
    </row>
    <row r="13" spans="1:5" x14ac:dyDescent="0.25">
      <c r="A13" s="191" t="s">
        <v>41</v>
      </c>
      <c r="B13" s="191"/>
      <c r="C13" s="191"/>
      <c r="D13" s="191" t="s">
        <v>108</v>
      </c>
      <c r="E13" s="192">
        <v>0.22916666666666666</v>
      </c>
    </row>
    <row r="14" spans="1:5" x14ac:dyDescent="0.25">
      <c r="A14" s="191" t="s">
        <v>42</v>
      </c>
      <c r="B14" s="191"/>
      <c r="C14" s="191"/>
      <c r="D14" s="191"/>
      <c r="E14" s="192">
        <v>0.25</v>
      </c>
    </row>
    <row r="15" spans="1:5" x14ac:dyDescent="0.25">
      <c r="A15" s="191" t="s">
        <v>43</v>
      </c>
      <c r="B15" s="191"/>
      <c r="C15" s="191"/>
      <c r="D15" s="191"/>
      <c r="E15" s="192">
        <v>0.27083333333333331</v>
      </c>
    </row>
    <row r="16" spans="1:5" x14ac:dyDescent="0.25">
      <c r="A16" s="191" t="s">
        <v>44</v>
      </c>
      <c r="B16" s="191"/>
      <c r="C16" s="191"/>
      <c r="D16" s="191"/>
      <c r="E16" s="192">
        <v>0.29166666666666669</v>
      </c>
    </row>
    <row r="17" spans="1:5" x14ac:dyDescent="0.25">
      <c r="A17" s="191" t="s">
        <v>45</v>
      </c>
      <c r="B17" s="191"/>
      <c r="C17" s="191"/>
      <c r="D17" s="191"/>
      <c r="E17" s="192">
        <v>0.3125</v>
      </c>
    </row>
    <row r="18" spans="1:5" x14ac:dyDescent="0.25">
      <c r="A18" s="191" t="s">
        <v>46</v>
      </c>
      <c r="B18" s="191"/>
      <c r="C18" s="191"/>
      <c r="D18" s="191"/>
      <c r="E18" s="192">
        <v>0.33333333333333331</v>
      </c>
    </row>
    <row r="19" spans="1:5" x14ac:dyDescent="0.25">
      <c r="A19" s="191" t="s">
        <v>47</v>
      </c>
      <c r="B19" s="191"/>
      <c r="C19" s="191"/>
      <c r="D19" s="191"/>
      <c r="E19" s="192">
        <v>0.35416666666666669</v>
      </c>
    </row>
    <row r="20" spans="1:5" x14ac:dyDescent="0.25">
      <c r="A20" s="191" t="s">
        <v>48</v>
      </c>
      <c r="B20" s="191"/>
      <c r="C20" s="191"/>
      <c r="D20" s="191"/>
      <c r="E20" s="192">
        <v>0.375</v>
      </c>
    </row>
    <row r="21" spans="1:5" x14ac:dyDescent="0.25">
      <c r="A21" s="191" t="s">
        <v>49</v>
      </c>
      <c r="B21" s="191"/>
      <c r="C21" s="191"/>
      <c r="D21" s="191"/>
      <c r="E21" s="192">
        <v>0.39583333333333331</v>
      </c>
    </row>
    <row r="22" spans="1:5" x14ac:dyDescent="0.25">
      <c r="A22" s="191" t="s">
        <v>50</v>
      </c>
      <c r="B22" s="191"/>
      <c r="C22" s="191"/>
      <c r="D22" s="191"/>
      <c r="E22" s="192">
        <v>0.41666666666666669</v>
      </c>
    </row>
    <row r="23" spans="1:5" x14ac:dyDescent="0.25">
      <c r="A23" s="191" t="s">
        <v>51</v>
      </c>
      <c r="B23" s="191"/>
      <c r="C23" s="191"/>
      <c r="D23" s="191"/>
      <c r="E23" s="192">
        <v>0.4375</v>
      </c>
    </row>
    <row r="24" spans="1:5" x14ac:dyDescent="0.25">
      <c r="A24" s="191"/>
      <c r="B24" s="191"/>
      <c r="C24" s="191"/>
      <c r="D24" s="191"/>
      <c r="E24" s="192">
        <v>0.45833333333333331</v>
      </c>
    </row>
    <row r="25" spans="1:5" x14ac:dyDescent="0.25">
      <c r="A25" s="191"/>
      <c r="B25" s="191"/>
      <c r="C25" s="191"/>
      <c r="D25" s="191"/>
      <c r="E25" s="192">
        <v>0.47916666666666669</v>
      </c>
    </row>
    <row r="26" spans="1:5" x14ac:dyDescent="0.25">
      <c r="A26" s="191"/>
      <c r="B26" s="191"/>
      <c r="C26" s="191"/>
      <c r="D26" s="191"/>
      <c r="E26" s="192">
        <v>0.5</v>
      </c>
    </row>
    <row r="27" spans="1:5" x14ac:dyDescent="0.25">
      <c r="A27" s="191"/>
      <c r="B27" s="191"/>
      <c r="C27" s="191"/>
      <c r="D27" s="191"/>
      <c r="E27" s="192">
        <v>0.52083333333333337</v>
      </c>
    </row>
    <row r="28" spans="1:5" x14ac:dyDescent="0.25">
      <c r="A28" s="191"/>
      <c r="B28" s="191"/>
      <c r="C28" s="191"/>
      <c r="D28" s="191"/>
      <c r="E28" s="192">
        <v>0.54166666666666663</v>
      </c>
    </row>
    <row r="29" spans="1:5" x14ac:dyDescent="0.25">
      <c r="A29" s="191"/>
      <c r="B29" s="191"/>
      <c r="C29" s="191"/>
      <c r="D29" s="191"/>
      <c r="E29" s="192">
        <v>0.5625</v>
      </c>
    </row>
    <row r="30" spans="1:5" x14ac:dyDescent="0.25">
      <c r="A30" s="191"/>
      <c r="B30" s="191"/>
      <c r="C30" s="191"/>
      <c r="D30" s="191"/>
      <c r="E30" s="192">
        <v>0.58333333333333337</v>
      </c>
    </row>
    <row r="31" spans="1:5" x14ac:dyDescent="0.25">
      <c r="A31" s="191"/>
      <c r="B31" s="191"/>
      <c r="C31" s="191"/>
      <c r="D31" s="191"/>
      <c r="E31" s="192">
        <v>0.60416666666666663</v>
      </c>
    </row>
    <row r="32" spans="1:5" x14ac:dyDescent="0.25">
      <c r="A32" s="191"/>
      <c r="B32" s="191"/>
      <c r="C32" s="191"/>
      <c r="D32" s="191"/>
      <c r="E32" s="192">
        <v>0.625</v>
      </c>
    </row>
    <row r="33" spans="1:5" x14ac:dyDescent="0.25">
      <c r="A33" s="191"/>
      <c r="B33" s="191"/>
      <c r="C33" s="191"/>
      <c r="D33" s="191"/>
      <c r="E33" s="192">
        <v>0.64583333333333337</v>
      </c>
    </row>
    <row r="34" spans="1:5" x14ac:dyDescent="0.25">
      <c r="A34" s="191"/>
      <c r="B34" s="191"/>
      <c r="C34" s="191"/>
      <c r="D34" s="191"/>
      <c r="E34" s="192">
        <v>0.66666666666666663</v>
      </c>
    </row>
    <row r="35" spans="1:5" x14ac:dyDescent="0.25">
      <c r="A35" s="191"/>
      <c r="B35" s="191"/>
      <c r="C35" s="191"/>
      <c r="D35" s="191"/>
      <c r="E35" s="192">
        <v>0.6875</v>
      </c>
    </row>
    <row r="36" spans="1:5" x14ac:dyDescent="0.25">
      <c r="A36" s="191"/>
      <c r="B36" s="191"/>
      <c r="C36" s="191"/>
      <c r="D36" s="191"/>
      <c r="E36" s="192">
        <v>0.70833333333333337</v>
      </c>
    </row>
    <row r="37" spans="1:5" x14ac:dyDescent="0.25">
      <c r="A37" s="191"/>
      <c r="B37" s="191"/>
      <c r="C37" s="191"/>
      <c r="D37" s="191"/>
      <c r="E37" s="192">
        <v>0.72916666666666663</v>
      </c>
    </row>
    <row r="38" spans="1:5" x14ac:dyDescent="0.25">
      <c r="A38" s="191"/>
      <c r="B38" s="191"/>
      <c r="C38" s="191"/>
      <c r="D38" s="191"/>
      <c r="E38" s="192">
        <v>0.75</v>
      </c>
    </row>
    <row r="39" spans="1:5" x14ac:dyDescent="0.25">
      <c r="A39" s="191"/>
      <c r="B39" s="191"/>
      <c r="C39" s="191"/>
      <c r="D39" s="191"/>
      <c r="E39" s="192">
        <v>0.77083333333333337</v>
      </c>
    </row>
    <row r="40" spans="1:5" x14ac:dyDescent="0.25">
      <c r="A40" s="191"/>
      <c r="B40" s="191"/>
      <c r="C40" s="191"/>
      <c r="D40" s="191"/>
      <c r="E40" s="192">
        <v>0.79166666666666663</v>
      </c>
    </row>
    <row r="41" spans="1:5" x14ac:dyDescent="0.25">
      <c r="A41" s="191"/>
      <c r="B41" s="191"/>
      <c r="C41" s="191"/>
      <c r="D41" s="191"/>
      <c r="E41" s="192">
        <v>0.8125</v>
      </c>
    </row>
    <row r="42" spans="1:5" x14ac:dyDescent="0.25">
      <c r="A42" s="191"/>
      <c r="B42" s="191"/>
      <c r="C42" s="191"/>
      <c r="D42" s="191"/>
      <c r="E42" s="192">
        <v>0.83333333333333337</v>
      </c>
    </row>
    <row r="43" spans="1:5" x14ac:dyDescent="0.25">
      <c r="A43" s="191"/>
      <c r="B43" s="191"/>
      <c r="C43" s="191"/>
      <c r="D43" s="191"/>
      <c r="E43" s="192">
        <v>0.85416666666666663</v>
      </c>
    </row>
    <row r="44" spans="1:5" x14ac:dyDescent="0.25">
      <c r="A44" s="191"/>
      <c r="B44" s="191"/>
      <c r="C44" s="191"/>
      <c r="D44" s="191"/>
      <c r="E44" s="192">
        <v>0.875</v>
      </c>
    </row>
    <row r="45" spans="1:5" x14ac:dyDescent="0.25">
      <c r="A45" s="191"/>
      <c r="B45" s="191"/>
      <c r="C45" s="191"/>
      <c r="D45" s="191"/>
      <c r="E45" s="192">
        <v>0.89583333333333337</v>
      </c>
    </row>
    <row r="46" spans="1:5" x14ac:dyDescent="0.25">
      <c r="A46" s="191"/>
      <c r="B46" s="191"/>
      <c r="C46" s="191"/>
      <c r="D46" s="191"/>
      <c r="E46" s="192">
        <v>0.91666666666666663</v>
      </c>
    </row>
    <row r="47" spans="1:5" x14ac:dyDescent="0.25">
      <c r="A47" s="191"/>
      <c r="B47" s="191"/>
      <c r="C47" s="191"/>
      <c r="D47" s="191"/>
      <c r="E47" s="192">
        <v>0.97916666666666663</v>
      </c>
    </row>
    <row r="48" spans="1:5" x14ac:dyDescent="0.25">
      <c r="A48" s="191"/>
      <c r="B48" s="191"/>
      <c r="C48" s="191"/>
      <c r="D48" s="191"/>
      <c r="E48" s="192" t="s">
        <v>8</v>
      </c>
    </row>
    <row r="49" spans="1:5" x14ac:dyDescent="0.25">
      <c r="A49" s="191"/>
      <c r="B49" s="191"/>
      <c r="C49" s="191"/>
      <c r="D49" s="191"/>
      <c r="E49" s="192" t="s">
        <v>109</v>
      </c>
    </row>
    <row r="50" spans="1:5" x14ac:dyDescent="0.25">
      <c r="A50" s="191"/>
      <c r="B50" s="191"/>
      <c r="C50" s="191"/>
      <c r="D50" s="191"/>
      <c r="E50" s="192" t="s">
        <v>110</v>
      </c>
    </row>
    <row r="51" spans="1:5" x14ac:dyDescent="0.25">
      <c r="A51" s="191"/>
      <c r="B51" s="191"/>
      <c r="C51" s="191"/>
      <c r="D51" s="191"/>
      <c r="E51" s="192" t="s">
        <v>111</v>
      </c>
    </row>
    <row r="52" spans="1:5" x14ac:dyDescent="0.25">
      <c r="A52" s="191"/>
      <c r="B52" s="191"/>
      <c r="C52" s="191"/>
      <c r="D52" s="191"/>
      <c r="E52" s="192" t="s">
        <v>112</v>
      </c>
    </row>
    <row r="53" spans="1:5" x14ac:dyDescent="0.25">
      <c r="A53" s="191"/>
      <c r="B53" s="191"/>
      <c r="C53" s="191"/>
      <c r="D53" s="191"/>
      <c r="E53" s="192" t="s">
        <v>113</v>
      </c>
    </row>
    <row r="54" spans="1:5" x14ac:dyDescent="0.25">
      <c r="A54" s="191"/>
      <c r="B54" s="191"/>
      <c r="C54" s="191"/>
      <c r="D54" s="191"/>
      <c r="E54" s="192" t="s">
        <v>114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I35"/>
  <sheetViews>
    <sheetView showGridLines="0" workbookViewId="0">
      <selection activeCell="M10" sqref="M10"/>
    </sheetView>
  </sheetViews>
  <sheetFormatPr defaultRowHeight="15" x14ac:dyDescent="0.25"/>
  <cols>
    <col min="1" max="1" width="14.5703125" customWidth="1"/>
    <col min="2" max="2" width="4.42578125" customWidth="1"/>
    <col min="3" max="8" width="13.7109375" customWidth="1"/>
  </cols>
  <sheetData>
    <row r="1" spans="1:9" ht="26.25" x14ac:dyDescent="0.25">
      <c r="A1" s="146" t="s">
        <v>115</v>
      </c>
      <c r="B1" s="146"/>
      <c r="C1" s="147"/>
      <c r="D1" s="147"/>
      <c r="E1" s="147"/>
      <c r="F1" s="147"/>
      <c r="G1" s="147"/>
      <c r="H1" s="147"/>
      <c r="I1" s="148"/>
    </row>
    <row r="2" spans="1:9" x14ac:dyDescent="0.25">
      <c r="A2" s="149"/>
      <c r="B2" s="149"/>
      <c r="C2" s="149"/>
      <c r="D2" s="149"/>
      <c r="E2" s="149"/>
      <c r="F2" s="149"/>
      <c r="G2" s="149"/>
      <c r="H2" s="149"/>
      <c r="I2" s="148"/>
    </row>
    <row r="3" spans="1:9" x14ac:dyDescent="0.25">
      <c r="A3" s="150"/>
      <c r="B3" s="150"/>
      <c r="C3" s="149"/>
      <c r="D3" s="150"/>
      <c r="E3" s="150"/>
      <c r="F3" s="149"/>
      <c r="G3" s="150"/>
      <c r="H3" s="150"/>
      <c r="I3" s="148"/>
    </row>
    <row r="4" spans="1:9" x14ac:dyDescent="0.25">
      <c r="A4" s="150"/>
      <c r="B4" s="150"/>
      <c r="C4" s="282" t="s">
        <v>116</v>
      </c>
      <c r="D4" s="282"/>
      <c r="E4" s="282"/>
      <c r="F4" s="282" t="s">
        <v>117</v>
      </c>
      <c r="G4" s="282"/>
      <c r="H4" s="282"/>
      <c r="I4" s="148"/>
    </row>
    <row r="5" spans="1:9" ht="28.5" x14ac:dyDescent="0.25">
      <c r="A5" s="150"/>
      <c r="B5" s="150"/>
      <c r="C5" s="151" t="s">
        <v>118</v>
      </c>
      <c r="D5" s="151" t="s">
        <v>119</v>
      </c>
      <c r="E5" s="151" t="s">
        <v>120</v>
      </c>
      <c r="F5" s="151" t="s">
        <v>121</v>
      </c>
      <c r="G5" s="151" t="s">
        <v>122</v>
      </c>
      <c r="H5" s="151" t="s">
        <v>123</v>
      </c>
      <c r="I5" s="148"/>
    </row>
    <row r="6" spans="1:9" x14ac:dyDescent="0.25">
      <c r="A6" s="152" t="s">
        <v>94</v>
      </c>
      <c r="B6" s="152">
        <v>1</v>
      </c>
      <c r="C6" s="153">
        <v>31</v>
      </c>
      <c r="D6" s="153">
        <v>17</v>
      </c>
      <c r="E6" s="153">
        <v>14</v>
      </c>
      <c r="F6" s="153">
        <v>136</v>
      </c>
      <c r="G6" s="153">
        <v>122.4</v>
      </c>
      <c r="H6" s="153">
        <v>81.599999999999994</v>
      </c>
      <c r="I6" s="148"/>
    </row>
    <row r="7" spans="1:9" x14ac:dyDescent="0.25">
      <c r="A7" s="152" t="s">
        <v>96</v>
      </c>
      <c r="B7" s="152">
        <v>2</v>
      </c>
      <c r="C7" s="153">
        <v>29</v>
      </c>
      <c r="D7" s="153">
        <v>19</v>
      </c>
      <c r="E7" s="153">
        <v>10</v>
      </c>
      <c r="F7" s="153">
        <v>152</v>
      </c>
      <c r="G7" s="153">
        <v>136.80000000000001</v>
      </c>
      <c r="H7" s="153">
        <v>91.2</v>
      </c>
      <c r="I7" s="148"/>
    </row>
    <row r="8" spans="1:9" x14ac:dyDescent="0.25">
      <c r="A8" s="152" t="s">
        <v>97</v>
      </c>
      <c r="B8" s="152">
        <v>3</v>
      </c>
      <c r="C8" s="153">
        <v>31</v>
      </c>
      <c r="D8" s="153">
        <v>21</v>
      </c>
      <c r="E8" s="153">
        <v>10</v>
      </c>
      <c r="F8" s="153">
        <v>168</v>
      </c>
      <c r="G8" s="153">
        <v>151.19999999999999</v>
      </c>
      <c r="H8" s="153">
        <v>100.8</v>
      </c>
      <c r="I8" s="148"/>
    </row>
    <row r="9" spans="1:9" x14ac:dyDescent="0.25">
      <c r="A9" s="154" t="s">
        <v>124</v>
      </c>
      <c r="B9" s="154"/>
      <c r="C9" s="155">
        <f t="shared" ref="C9:H9" si="0">SUM(C6:C8)</f>
        <v>91</v>
      </c>
      <c r="D9" s="155">
        <f t="shared" si="0"/>
        <v>57</v>
      </c>
      <c r="E9" s="155">
        <f t="shared" si="0"/>
        <v>34</v>
      </c>
      <c r="F9" s="155">
        <f t="shared" si="0"/>
        <v>456</v>
      </c>
      <c r="G9" s="155">
        <f t="shared" si="0"/>
        <v>410.40000000000003</v>
      </c>
      <c r="H9" s="155">
        <f t="shared" si="0"/>
        <v>273.60000000000002</v>
      </c>
      <c r="I9" s="148"/>
    </row>
    <row r="10" spans="1:9" x14ac:dyDescent="0.25">
      <c r="A10" s="152" t="s">
        <v>98</v>
      </c>
      <c r="B10" s="152">
        <v>4</v>
      </c>
      <c r="C10" s="153">
        <v>30</v>
      </c>
      <c r="D10" s="153">
        <v>22</v>
      </c>
      <c r="E10" s="153">
        <v>8</v>
      </c>
      <c r="F10" s="153">
        <v>175</v>
      </c>
      <c r="G10" s="153">
        <v>157.4</v>
      </c>
      <c r="H10" s="153">
        <v>104.6</v>
      </c>
      <c r="I10" s="148"/>
    </row>
    <row r="11" spans="1:9" x14ac:dyDescent="0.25">
      <c r="A11" s="152" t="s">
        <v>100</v>
      </c>
      <c r="B11" s="152">
        <v>5</v>
      </c>
      <c r="C11" s="153">
        <v>31</v>
      </c>
      <c r="D11" s="153">
        <v>17</v>
      </c>
      <c r="E11" s="153">
        <v>14</v>
      </c>
      <c r="F11" s="153">
        <v>135</v>
      </c>
      <c r="G11" s="153">
        <v>121.4</v>
      </c>
      <c r="H11" s="153">
        <v>80.599999999999994</v>
      </c>
      <c r="I11" s="148"/>
    </row>
    <row r="12" spans="1:9" x14ac:dyDescent="0.25">
      <c r="A12" s="152" t="s">
        <v>102</v>
      </c>
      <c r="B12" s="152">
        <v>6</v>
      </c>
      <c r="C12" s="153">
        <v>30</v>
      </c>
      <c r="D12" s="153">
        <v>21</v>
      </c>
      <c r="E12" s="153">
        <v>9</v>
      </c>
      <c r="F12" s="153">
        <v>167</v>
      </c>
      <c r="G12" s="153">
        <v>150.19999999999999</v>
      </c>
      <c r="H12" s="153">
        <v>99.8</v>
      </c>
      <c r="I12" s="148"/>
    </row>
    <row r="13" spans="1:9" x14ac:dyDescent="0.25">
      <c r="A13" s="154" t="s">
        <v>125</v>
      </c>
      <c r="B13" s="154"/>
      <c r="C13" s="155">
        <f t="shared" ref="C13:H13" si="1">SUM(C10:C12)</f>
        <v>91</v>
      </c>
      <c r="D13" s="155">
        <f t="shared" si="1"/>
        <v>60</v>
      </c>
      <c r="E13" s="155">
        <f t="shared" si="1"/>
        <v>31</v>
      </c>
      <c r="F13" s="155">
        <f t="shared" si="1"/>
        <v>477</v>
      </c>
      <c r="G13" s="155">
        <f t="shared" si="1"/>
        <v>429</v>
      </c>
      <c r="H13" s="155">
        <f t="shared" si="1"/>
        <v>285</v>
      </c>
      <c r="I13" s="148"/>
    </row>
    <row r="14" spans="1:9" ht="16.5" x14ac:dyDescent="0.25">
      <c r="A14" s="156" t="s">
        <v>126</v>
      </c>
      <c r="B14" s="156"/>
      <c r="C14" s="157">
        <f t="shared" ref="C14:H14" si="2">C9+C13</f>
        <v>182</v>
      </c>
      <c r="D14" s="157">
        <f t="shared" si="2"/>
        <v>117</v>
      </c>
      <c r="E14" s="157">
        <f t="shared" si="2"/>
        <v>65</v>
      </c>
      <c r="F14" s="157">
        <f t="shared" si="2"/>
        <v>933</v>
      </c>
      <c r="G14" s="157">
        <f t="shared" si="2"/>
        <v>839.40000000000009</v>
      </c>
      <c r="H14" s="157">
        <f t="shared" si="2"/>
        <v>558.6</v>
      </c>
      <c r="I14" s="148"/>
    </row>
    <row r="15" spans="1:9" x14ac:dyDescent="0.25">
      <c r="A15" s="152" t="s">
        <v>104</v>
      </c>
      <c r="B15" s="152">
        <v>7</v>
      </c>
      <c r="C15" s="153">
        <v>31</v>
      </c>
      <c r="D15" s="153">
        <v>23</v>
      </c>
      <c r="E15" s="153">
        <v>8</v>
      </c>
      <c r="F15" s="153">
        <v>184</v>
      </c>
      <c r="G15" s="153">
        <v>165.6</v>
      </c>
      <c r="H15" s="153">
        <v>110.4</v>
      </c>
      <c r="I15" s="148"/>
    </row>
    <row r="16" spans="1:9" x14ac:dyDescent="0.25">
      <c r="A16" s="152" t="s">
        <v>105</v>
      </c>
      <c r="B16" s="152">
        <v>8</v>
      </c>
      <c r="C16" s="153">
        <v>31</v>
      </c>
      <c r="D16" s="153">
        <v>21</v>
      </c>
      <c r="E16" s="153">
        <v>10</v>
      </c>
      <c r="F16" s="153">
        <v>168</v>
      </c>
      <c r="G16" s="153">
        <v>151.19999999999999</v>
      </c>
      <c r="H16" s="153">
        <v>100.8</v>
      </c>
      <c r="I16" s="148"/>
    </row>
    <row r="17" spans="1:9" x14ac:dyDescent="0.25">
      <c r="A17" s="152" t="s">
        <v>11</v>
      </c>
      <c r="B17" s="152">
        <v>9</v>
      </c>
      <c r="C17" s="153">
        <v>30</v>
      </c>
      <c r="D17" s="153">
        <v>22</v>
      </c>
      <c r="E17" s="153">
        <v>8</v>
      </c>
      <c r="F17" s="153">
        <v>176</v>
      </c>
      <c r="G17" s="153">
        <v>158.4</v>
      </c>
      <c r="H17" s="153">
        <v>105.6</v>
      </c>
      <c r="I17" s="148"/>
    </row>
    <row r="18" spans="1:9" x14ac:dyDescent="0.25">
      <c r="A18" s="154" t="s">
        <v>127</v>
      </c>
      <c r="B18" s="154"/>
      <c r="C18" s="155">
        <f t="shared" ref="C18:H18" si="3">SUM(C15:C17)</f>
        <v>92</v>
      </c>
      <c r="D18" s="155">
        <f t="shared" si="3"/>
        <v>66</v>
      </c>
      <c r="E18" s="155">
        <f t="shared" si="3"/>
        <v>26</v>
      </c>
      <c r="F18" s="155">
        <f t="shared" si="3"/>
        <v>528</v>
      </c>
      <c r="G18" s="155">
        <f t="shared" si="3"/>
        <v>475.19999999999993</v>
      </c>
      <c r="H18" s="155">
        <f t="shared" si="3"/>
        <v>316.79999999999995</v>
      </c>
      <c r="I18" s="148"/>
    </row>
    <row r="19" spans="1:9" x14ac:dyDescent="0.25">
      <c r="A19" s="152" t="s">
        <v>106</v>
      </c>
      <c r="B19" s="152">
        <v>10</v>
      </c>
      <c r="C19" s="153">
        <v>31</v>
      </c>
      <c r="D19" s="153">
        <v>22</v>
      </c>
      <c r="E19" s="153">
        <v>9</v>
      </c>
      <c r="F19" s="153">
        <v>176</v>
      </c>
      <c r="G19" s="153">
        <v>158.4</v>
      </c>
      <c r="H19" s="153">
        <v>105.6</v>
      </c>
      <c r="I19" s="148"/>
    </row>
    <row r="20" spans="1:9" x14ac:dyDescent="0.25">
      <c r="A20" s="152" t="s">
        <v>107</v>
      </c>
      <c r="B20" s="152">
        <v>11</v>
      </c>
      <c r="C20" s="153">
        <v>30</v>
      </c>
      <c r="D20" s="153">
        <v>20</v>
      </c>
      <c r="E20" s="153">
        <v>10</v>
      </c>
      <c r="F20" s="153">
        <v>159</v>
      </c>
      <c r="G20" s="153">
        <v>143</v>
      </c>
      <c r="H20" s="153">
        <v>95</v>
      </c>
      <c r="I20" s="148"/>
    </row>
    <row r="21" spans="1:9" x14ac:dyDescent="0.25">
      <c r="A21" s="152" t="s">
        <v>108</v>
      </c>
      <c r="B21" s="152">
        <v>12</v>
      </c>
      <c r="C21" s="153">
        <v>31</v>
      </c>
      <c r="D21" s="153">
        <v>23</v>
      </c>
      <c r="E21" s="153">
        <v>8</v>
      </c>
      <c r="F21" s="153">
        <v>183</v>
      </c>
      <c r="G21" s="153">
        <v>164.6</v>
      </c>
      <c r="H21" s="153">
        <v>109.4</v>
      </c>
      <c r="I21" s="148"/>
    </row>
    <row r="22" spans="1:9" x14ac:dyDescent="0.25">
      <c r="A22" s="154" t="s">
        <v>128</v>
      </c>
      <c r="B22" s="154"/>
      <c r="C22" s="155">
        <f t="shared" ref="C22:H22" si="4">SUM(C19:C21)</f>
        <v>92</v>
      </c>
      <c r="D22" s="155">
        <f t="shared" si="4"/>
        <v>65</v>
      </c>
      <c r="E22" s="155">
        <f t="shared" si="4"/>
        <v>27</v>
      </c>
      <c r="F22" s="155">
        <f t="shared" si="4"/>
        <v>518</v>
      </c>
      <c r="G22" s="155">
        <f t="shared" si="4"/>
        <v>466</v>
      </c>
      <c r="H22" s="155">
        <f t="shared" si="4"/>
        <v>310</v>
      </c>
      <c r="I22" s="148"/>
    </row>
    <row r="23" spans="1:9" ht="16.5" x14ac:dyDescent="0.25">
      <c r="A23" s="158" t="s">
        <v>129</v>
      </c>
      <c r="B23" s="158"/>
      <c r="C23" s="159">
        <f t="shared" ref="C23:H23" si="5">C18+C22</f>
        <v>184</v>
      </c>
      <c r="D23" s="159">
        <f t="shared" si="5"/>
        <v>131</v>
      </c>
      <c r="E23" s="159">
        <f t="shared" si="5"/>
        <v>53</v>
      </c>
      <c r="F23" s="159">
        <f t="shared" si="5"/>
        <v>1046</v>
      </c>
      <c r="G23" s="159">
        <f t="shared" si="5"/>
        <v>941.19999999999993</v>
      </c>
      <c r="H23" s="159">
        <f t="shared" si="5"/>
        <v>626.79999999999995</v>
      </c>
      <c r="I23" s="148"/>
    </row>
    <row r="24" spans="1:9" ht="16.5" x14ac:dyDescent="0.25">
      <c r="A24" s="160" t="s">
        <v>130</v>
      </c>
      <c r="B24" s="160"/>
      <c r="C24" s="161">
        <f t="shared" ref="C24:H24" si="6">C14+C23</f>
        <v>366</v>
      </c>
      <c r="D24" s="161">
        <f t="shared" si="6"/>
        <v>248</v>
      </c>
      <c r="E24" s="161">
        <f t="shared" si="6"/>
        <v>118</v>
      </c>
      <c r="F24" s="161">
        <f t="shared" si="6"/>
        <v>1979</v>
      </c>
      <c r="G24" s="161">
        <f t="shared" si="6"/>
        <v>1780.6</v>
      </c>
      <c r="H24" s="161">
        <f t="shared" si="6"/>
        <v>1185.4000000000001</v>
      </c>
      <c r="I24" s="148"/>
    </row>
    <row r="25" spans="1:9" x14ac:dyDescent="0.25">
      <c r="A25" s="148"/>
      <c r="B25" s="148"/>
      <c r="C25" s="148"/>
      <c r="D25" s="148"/>
      <c r="E25" s="148"/>
      <c r="F25" s="148"/>
      <c r="G25" s="148"/>
      <c r="H25" s="148"/>
      <c r="I25" s="148"/>
    </row>
    <row r="26" spans="1:9" x14ac:dyDescent="0.25">
      <c r="A26" s="148"/>
      <c r="B26" s="148"/>
      <c r="C26" s="148"/>
      <c r="D26" s="148"/>
      <c r="E26" s="148"/>
      <c r="F26" s="148"/>
      <c r="G26" s="148"/>
      <c r="H26" s="148"/>
      <c r="I26" s="148"/>
    </row>
    <row r="27" spans="1:9" x14ac:dyDescent="0.25">
      <c r="A27" s="148"/>
      <c r="B27" s="148"/>
      <c r="C27" s="148"/>
      <c r="D27" s="148"/>
      <c r="E27" s="148"/>
      <c r="F27" s="148"/>
      <c r="G27" s="148"/>
      <c r="H27" s="148"/>
      <c r="I27" s="148"/>
    </row>
    <row r="28" spans="1:9" ht="26.25" x14ac:dyDescent="0.25">
      <c r="A28" s="146" t="s">
        <v>131</v>
      </c>
      <c r="B28" s="146"/>
      <c r="C28" s="148"/>
      <c r="D28" s="148"/>
      <c r="E28" s="148"/>
      <c r="F28" s="148"/>
      <c r="G28" s="148"/>
      <c r="H28" s="148"/>
      <c r="I28" s="148"/>
    </row>
    <row r="29" spans="1:9" x14ac:dyDescent="0.25">
      <c r="A29" s="162" t="s">
        <v>132</v>
      </c>
      <c r="B29" s="163"/>
      <c r="C29" s="148"/>
      <c r="D29" s="162" t="s">
        <v>133</v>
      </c>
      <c r="E29" s="148"/>
      <c r="F29" s="148"/>
      <c r="G29" s="148"/>
      <c r="H29" s="148"/>
      <c r="I29" s="148"/>
    </row>
    <row r="30" spans="1:9" x14ac:dyDescent="0.25">
      <c r="A30" s="164">
        <v>43834</v>
      </c>
      <c r="B30" s="164"/>
      <c r="C30" s="148"/>
      <c r="D30" s="164">
        <v>43955</v>
      </c>
      <c r="E30" s="148"/>
      <c r="F30" s="148"/>
      <c r="G30" s="148"/>
      <c r="H30" s="148"/>
      <c r="I30" s="148"/>
    </row>
    <row r="31" spans="1:9" x14ac:dyDescent="0.25">
      <c r="A31" s="164">
        <v>43835</v>
      </c>
      <c r="B31" s="164"/>
      <c r="C31" s="148"/>
      <c r="D31" s="164">
        <v>43956</v>
      </c>
      <c r="E31" s="148"/>
      <c r="F31" s="148"/>
      <c r="G31" s="148"/>
      <c r="H31" s="148"/>
      <c r="I31" s="148"/>
    </row>
    <row r="32" spans="1:9" x14ac:dyDescent="0.25">
      <c r="A32" s="164"/>
      <c r="B32" s="164"/>
      <c r="C32" s="148"/>
      <c r="D32" s="164"/>
      <c r="E32" s="148"/>
      <c r="F32" s="148"/>
      <c r="G32" s="148"/>
      <c r="H32" s="148"/>
      <c r="I32" s="148"/>
    </row>
    <row r="33" spans="1:9" x14ac:dyDescent="0.25">
      <c r="A33" s="164"/>
      <c r="B33" s="164"/>
      <c r="C33" s="148"/>
      <c r="D33" s="164"/>
      <c r="E33" s="148"/>
      <c r="F33" s="148"/>
      <c r="G33" s="148"/>
      <c r="H33" s="148"/>
      <c r="I33" s="148"/>
    </row>
    <row r="34" spans="1:9" x14ac:dyDescent="0.25">
      <c r="A34" s="164"/>
      <c r="B34" s="164"/>
      <c r="C34" s="148"/>
      <c r="D34" s="164"/>
      <c r="E34" s="148"/>
      <c r="F34" s="148"/>
      <c r="G34" s="148"/>
      <c r="H34" s="148"/>
      <c r="I34" s="148"/>
    </row>
    <row r="35" spans="1:9" x14ac:dyDescent="0.25">
      <c r="A35" s="164"/>
      <c r="B35" s="164"/>
      <c r="C35" s="148"/>
      <c r="D35" s="164"/>
      <c r="E35" s="148"/>
      <c r="F35" s="148"/>
      <c r="G35" s="148"/>
      <c r="H35" s="148"/>
      <c r="I35" s="148"/>
    </row>
  </sheetData>
  <mergeCells count="2">
    <mergeCell ref="C4:E4"/>
    <mergeCell ref="F4:H4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I45"/>
  <sheetViews>
    <sheetView showGridLines="0" workbookViewId="0">
      <pane ySplit="1" topLeftCell="A2" activePane="bottomLeft" state="frozen"/>
      <selection pane="bottomLeft" activeCell="B39" sqref="B39"/>
    </sheetView>
  </sheetViews>
  <sheetFormatPr defaultRowHeight="15" x14ac:dyDescent="0.25"/>
  <cols>
    <col min="1" max="1" width="1.140625" style="148" customWidth="1"/>
    <col min="2" max="2" width="95.42578125" customWidth="1"/>
    <col min="3" max="4" width="9.5703125" style="168" customWidth="1"/>
    <col min="5" max="5" width="1.140625" customWidth="1"/>
    <col min="6" max="6" width="85.28515625" customWidth="1"/>
    <col min="7" max="8" width="9.5703125" style="168" customWidth="1"/>
    <col min="9" max="9" width="1.140625" customWidth="1"/>
  </cols>
  <sheetData>
    <row r="1" spans="1:9" ht="45" x14ac:dyDescent="0.25">
      <c r="A1" s="189"/>
      <c r="B1" s="169" t="s">
        <v>134</v>
      </c>
      <c r="C1" s="170" t="s">
        <v>225</v>
      </c>
      <c r="D1" s="169" t="s">
        <v>135</v>
      </c>
      <c r="E1" s="169"/>
      <c r="F1" s="169" t="s">
        <v>134</v>
      </c>
      <c r="G1" s="170" t="s">
        <v>225</v>
      </c>
      <c r="H1" s="169" t="s">
        <v>135</v>
      </c>
      <c r="I1" s="190"/>
    </row>
    <row r="2" spans="1:9" ht="30" x14ac:dyDescent="0.25">
      <c r="B2" s="171" t="s">
        <v>139</v>
      </c>
      <c r="C2" s="172" t="s">
        <v>136</v>
      </c>
      <c r="D2" s="172" t="s">
        <v>137</v>
      </c>
      <c r="E2" s="171"/>
      <c r="F2" s="173" t="s">
        <v>226</v>
      </c>
      <c r="G2" s="172" t="s">
        <v>109</v>
      </c>
      <c r="H2" s="172" t="s">
        <v>138</v>
      </c>
    </row>
    <row r="3" spans="1:9" ht="7.5" customHeight="1" x14ac:dyDescent="0.25">
      <c r="B3" s="171"/>
      <c r="C3" s="172"/>
      <c r="D3" s="172"/>
      <c r="E3" s="171"/>
      <c r="F3" s="171"/>
      <c r="G3" s="172"/>
      <c r="H3" s="172"/>
    </row>
    <row r="4" spans="1:9" ht="30" x14ac:dyDescent="0.25">
      <c r="B4" s="171" t="s">
        <v>142</v>
      </c>
      <c r="C4" s="172" t="s">
        <v>140</v>
      </c>
      <c r="D4" s="172" t="s">
        <v>141</v>
      </c>
      <c r="E4" s="171"/>
      <c r="F4" s="173" t="s">
        <v>227</v>
      </c>
      <c r="G4" s="172" t="s">
        <v>143</v>
      </c>
      <c r="H4" s="172" t="s">
        <v>144</v>
      </c>
    </row>
    <row r="5" spans="1:9" ht="7.5" customHeight="1" x14ac:dyDescent="0.25">
      <c r="B5" s="171"/>
      <c r="C5" s="172"/>
      <c r="D5" s="172"/>
      <c r="E5" s="171"/>
      <c r="F5" s="171"/>
      <c r="G5" s="172"/>
      <c r="H5" s="172"/>
    </row>
    <row r="6" spans="1:9" ht="30" x14ac:dyDescent="0.25">
      <c r="B6" s="171" t="s">
        <v>147</v>
      </c>
      <c r="C6" s="172" t="s">
        <v>145</v>
      </c>
      <c r="D6" s="172" t="s">
        <v>146</v>
      </c>
      <c r="E6" s="171"/>
      <c r="F6" s="173" t="s">
        <v>228</v>
      </c>
      <c r="G6" s="172" t="s">
        <v>150</v>
      </c>
      <c r="H6" s="172" t="s">
        <v>151</v>
      </c>
    </row>
    <row r="7" spans="1:9" ht="7.5" customHeight="1" x14ac:dyDescent="0.25">
      <c r="B7" s="171"/>
      <c r="C7" s="172"/>
      <c r="D7" s="172"/>
      <c r="E7" s="171"/>
      <c r="F7" s="171"/>
      <c r="G7" s="172"/>
      <c r="H7" s="172"/>
    </row>
    <row r="8" spans="1:9" ht="45" x14ac:dyDescent="0.25">
      <c r="B8" s="171" t="s">
        <v>152</v>
      </c>
      <c r="C8" s="172" t="s">
        <v>148</v>
      </c>
      <c r="D8" s="172" t="s">
        <v>149</v>
      </c>
      <c r="E8" s="171"/>
      <c r="F8" s="173" t="s">
        <v>229</v>
      </c>
      <c r="G8" s="172" t="s">
        <v>156</v>
      </c>
      <c r="H8" s="172" t="s">
        <v>157</v>
      </c>
    </row>
    <row r="9" spans="1:9" ht="7.5" customHeight="1" x14ac:dyDescent="0.25">
      <c r="B9" s="171"/>
      <c r="C9" s="172"/>
      <c r="D9" s="172"/>
      <c r="E9" s="171"/>
      <c r="F9" s="171"/>
      <c r="G9" s="172"/>
      <c r="H9" s="172"/>
    </row>
    <row r="10" spans="1:9" ht="30" x14ac:dyDescent="0.25">
      <c r="B10" s="171" t="s">
        <v>155</v>
      </c>
      <c r="C10" s="172" t="s">
        <v>153</v>
      </c>
      <c r="D10" s="172" t="s">
        <v>154</v>
      </c>
      <c r="E10" s="171"/>
      <c r="F10" s="173" t="s">
        <v>230</v>
      </c>
      <c r="G10" s="172" t="s">
        <v>162</v>
      </c>
      <c r="H10" s="172" t="s">
        <v>163</v>
      </c>
    </row>
    <row r="11" spans="1:9" ht="7.5" customHeight="1" x14ac:dyDescent="0.25">
      <c r="B11" s="171"/>
      <c r="C11" s="172"/>
      <c r="D11" s="172"/>
      <c r="E11" s="171"/>
      <c r="F11" s="171"/>
      <c r="G11" s="172"/>
      <c r="H11" s="172"/>
    </row>
    <row r="12" spans="1:9" ht="30" x14ac:dyDescent="0.25">
      <c r="B12" s="171" t="s">
        <v>159</v>
      </c>
      <c r="C12" s="172" t="s">
        <v>110</v>
      </c>
      <c r="D12" s="172" t="s">
        <v>158</v>
      </c>
      <c r="E12" s="171"/>
      <c r="F12" s="173" t="s">
        <v>231</v>
      </c>
      <c r="G12" s="172" t="s">
        <v>168</v>
      </c>
      <c r="H12" s="172" t="s">
        <v>169</v>
      </c>
    </row>
    <row r="13" spans="1:9" ht="7.5" customHeight="1" x14ac:dyDescent="0.25">
      <c r="B13" s="171"/>
      <c r="C13" s="172"/>
      <c r="D13" s="172"/>
      <c r="E13" s="171"/>
      <c r="F13" s="171"/>
      <c r="G13" s="172"/>
      <c r="H13" s="172"/>
    </row>
    <row r="14" spans="1:9" ht="30" x14ac:dyDescent="0.25">
      <c r="B14" s="171" t="s">
        <v>164</v>
      </c>
      <c r="C14" s="172" t="s">
        <v>160</v>
      </c>
      <c r="D14" s="172" t="s">
        <v>161</v>
      </c>
      <c r="E14" s="171"/>
      <c r="F14" s="173" t="s">
        <v>232</v>
      </c>
      <c r="G14" s="172" t="s">
        <v>174</v>
      </c>
      <c r="H14" s="172" t="s">
        <v>175</v>
      </c>
    </row>
    <row r="15" spans="1:9" ht="7.5" customHeight="1" x14ac:dyDescent="0.25">
      <c r="B15" s="171"/>
      <c r="C15" s="172"/>
      <c r="D15" s="172"/>
      <c r="E15" s="171"/>
      <c r="F15" s="171"/>
      <c r="G15" s="172"/>
      <c r="H15" s="172"/>
    </row>
    <row r="16" spans="1:9" x14ac:dyDescent="0.25">
      <c r="B16" s="171" t="s">
        <v>167</v>
      </c>
      <c r="C16" s="172" t="s">
        <v>165</v>
      </c>
      <c r="D16" s="172" t="s">
        <v>166</v>
      </c>
      <c r="E16" s="171"/>
      <c r="F16" s="171" t="s">
        <v>179</v>
      </c>
      <c r="G16" s="172" t="s">
        <v>8</v>
      </c>
      <c r="H16" s="172" t="s">
        <v>178</v>
      </c>
    </row>
    <row r="17" spans="2:8" ht="7.5" customHeight="1" x14ac:dyDescent="0.25">
      <c r="B17" s="171"/>
      <c r="C17" s="172"/>
      <c r="D17" s="172"/>
      <c r="E17" s="171"/>
      <c r="F17" s="171"/>
      <c r="G17" s="172"/>
      <c r="H17" s="172"/>
    </row>
    <row r="18" spans="2:8" x14ac:dyDescent="0.25">
      <c r="B18" s="171" t="s">
        <v>171</v>
      </c>
      <c r="C18" s="172" t="s">
        <v>113</v>
      </c>
      <c r="D18" s="172" t="s">
        <v>170</v>
      </c>
      <c r="E18" s="171"/>
      <c r="F18" s="171" t="s">
        <v>182</v>
      </c>
      <c r="G18" s="172" t="s">
        <v>183</v>
      </c>
      <c r="H18" s="172" t="s">
        <v>184</v>
      </c>
    </row>
    <row r="19" spans="2:8" ht="7.5" customHeight="1" x14ac:dyDescent="0.25">
      <c r="B19" s="171"/>
      <c r="C19" s="172"/>
      <c r="D19" s="172"/>
      <c r="E19" s="171"/>
      <c r="F19" s="171"/>
      <c r="G19" s="172"/>
      <c r="H19" s="172"/>
    </row>
    <row r="20" spans="2:8" x14ac:dyDescent="0.25">
      <c r="B20" s="171" t="s">
        <v>176</v>
      </c>
      <c r="C20" s="172" t="s">
        <v>172</v>
      </c>
      <c r="D20" s="172" t="s">
        <v>173</v>
      </c>
      <c r="E20" s="171"/>
      <c r="F20" s="171" t="s">
        <v>185</v>
      </c>
      <c r="G20" s="172" t="s">
        <v>186</v>
      </c>
      <c r="H20" s="172" t="s">
        <v>187</v>
      </c>
    </row>
    <row r="21" spans="2:8" ht="7.5" customHeight="1" x14ac:dyDescent="0.25">
      <c r="B21" s="171"/>
      <c r="C21" s="172"/>
      <c r="D21" s="172"/>
      <c r="E21" s="171"/>
      <c r="F21" s="171"/>
      <c r="G21" s="172"/>
      <c r="H21" s="172"/>
    </row>
    <row r="22" spans="2:8" ht="30" x14ac:dyDescent="0.25">
      <c r="B22" s="173" t="s">
        <v>236</v>
      </c>
      <c r="C22" s="172" t="s">
        <v>177</v>
      </c>
      <c r="D22" s="172" t="s">
        <v>88</v>
      </c>
      <c r="E22" s="171"/>
      <c r="F22" s="171" t="s">
        <v>192</v>
      </c>
      <c r="G22" s="172" t="s">
        <v>188</v>
      </c>
      <c r="H22" s="172" t="s">
        <v>189</v>
      </c>
    </row>
    <row r="23" spans="2:8" ht="7.5" customHeight="1" x14ac:dyDescent="0.25">
      <c r="B23" s="171"/>
      <c r="C23" s="172"/>
      <c r="D23" s="172"/>
      <c r="E23" s="171"/>
      <c r="F23" s="171"/>
      <c r="G23" s="172"/>
      <c r="H23" s="172"/>
    </row>
    <row r="24" spans="2:8" ht="30" x14ac:dyDescent="0.25">
      <c r="B24" s="173" t="s">
        <v>237</v>
      </c>
      <c r="C24" s="172" t="s">
        <v>180</v>
      </c>
      <c r="D24" s="172" t="s">
        <v>181</v>
      </c>
      <c r="E24" s="171"/>
      <c r="F24" s="171" t="s">
        <v>197</v>
      </c>
      <c r="G24" s="172" t="s">
        <v>194</v>
      </c>
      <c r="H24" s="172" t="s">
        <v>195</v>
      </c>
    </row>
    <row r="25" spans="2:8" ht="7.5" customHeight="1" x14ac:dyDescent="0.25">
      <c r="B25" s="171"/>
      <c r="C25" s="172"/>
      <c r="D25" s="172"/>
      <c r="E25" s="171"/>
      <c r="F25" s="171"/>
      <c r="G25" s="172"/>
      <c r="H25" s="172"/>
    </row>
    <row r="26" spans="2:8" x14ac:dyDescent="0.25">
      <c r="B26" s="171" t="s">
        <v>193</v>
      </c>
      <c r="C26" s="172" t="s">
        <v>190</v>
      </c>
      <c r="D26" s="172" t="s">
        <v>191</v>
      </c>
      <c r="E26" s="171"/>
      <c r="F26" s="171" t="s">
        <v>199</v>
      </c>
      <c r="G26" s="172" t="s">
        <v>200</v>
      </c>
      <c r="H26" s="172" t="s">
        <v>201</v>
      </c>
    </row>
    <row r="27" spans="2:8" ht="7.5" customHeight="1" x14ac:dyDescent="0.25">
      <c r="B27" s="171"/>
      <c r="C27" s="172"/>
      <c r="D27" s="172"/>
      <c r="E27" s="171"/>
      <c r="F27" s="171"/>
      <c r="G27" s="172"/>
      <c r="H27" s="172"/>
    </row>
    <row r="28" spans="2:8" x14ac:dyDescent="0.25">
      <c r="B28" s="171" t="s">
        <v>198</v>
      </c>
      <c r="C28" s="172" t="s">
        <v>114</v>
      </c>
      <c r="D28" s="172" t="s">
        <v>196</v>
      </c>
      <c r="E28" s="171"/>
      <c r="F28" s="171" t="s">
        <v>207</v>
      </c>
      <c r="G28" s="172" t="s">
        <v>204</v>
      </c>
      <c r="H28" s="172" t="s">
        <v>205</v>
      </c>
    </row>
    <row r="29" spans="2:8" ht="7.5" customHeight="1" x14ac:dyDescent="0.25">
      <c r="B29" s="171"/>
      <c r="C29" s="172"/>
      <c r="D29" s="172"/>
      <c r="E29" s="171"/>
      <c r="F29" s="171"/>
      <c r="G29" s="172"/>
      <c r="H29" s="172"/>
    </row>
    <row r="30" spans="2:8" x14ac:dyDescent="0.25">
      <c r="B30" s="171" t="s">
        <v>206</v>
      </c>
      <c r="C30" s="172" t="s">
        <v>202</v>
      </c>
      <c r="D30" s="172" t="s">
        <v>203</v>
      </c>
      <c r="E30" s="171"/>
      <c r="F30" s="171" t="s">
        <v>210</v>
      </c>
      <c r="G30" s="172" t="s">
        <v>211</v>
      </c>
      <c r="H30" s="172" t="s">
        <v>212</v>
      </c>
    </row>
    <row r="31" spans="2:8" ht="7.5" customHeight="1" x14ac:dyDescent="0.25">
      <c r="B31" s="171"/>
      <c r="C31" s="172"/>
      <c r="D31" s="172"/>
      <c r="E31" s="171"/>
      <c r="F31" s="171"/>
      <c r="G31" s="172"/>
      <c r="H31" s="172"/>
    </row>
    <row r="32" spans="2:8" ht="30" x14ac:dyDescent="0.25">
      <c r="B32" s="173" t="s">
        <v>238</v>
      </c>
      <c r="C32" s="172" t="s">
        <v>208</v>
      </c>
      <c r="D32" s="172" t="s">
        <v>209</v>
      </c>
      <c r="E32" s="171"/>
      <c r="F32" s="173" t="s">
        <v>233</v>
      </c>
      <c r="G32" s="172" t="s">
        <v>213</v>
      </c>
      <c r="H32" s="172" t="s">
        <v>214</v>
      </c>
    </row>
    <row r="33" spans="2:8" ht="7.5" customHeight="1" x14ac:dyDescent="0.25">
      <c r="B33" s="171"/>
      <c r="C33" s="172"/>
      <c r="D33" s="172"/>
      <c r="E33" s="171"/>
      <c r="F33" s="171"/>
      <c r="G33" s="172"/>
      <c r="H33" s="172"/>
    </row>
    <row r="34" spans="2:8" ht="30" x14ac:dyDescent="0.25">
      <c r="B34" s="173" t="s">
        <v>235</v>
      </c>
      <c r="C34" s="172" t="s">
        <v>215</v>
      </c>
      <c r="D34" s="172" t="s">
        <v>216</v>
      </c>
      <c r="E34" s="171"/>
      <c r="F34" s="173" t="s">
        <v>234</v>
      </c>
      <c r="G34" s="172" t="s">
        <v>217</v>
      </c>
      <c r="H34" s="172" t="s">
        <v>218</v>
      </c>
    </row>
    <row r="35" spans="2:8" ht="7.5" customHeight="1" x14ac:dyDescent="0.25">
      <c r="B35" s="171"/>
      <c r="C35" s="172"/>
      <c r="D35" s="172"/>
      <c r="E35" s="171"/>
      <c r="F35" s="171"/>
      <c r="G35" s="172"/>
      <c r="H35" s="172"/>
    </row>
    <row r="36" spans="2:8" x14ac:dyDescent="0.25">
      <c r="B36" s="171" t="s">
        <v>221</v>
      </c>
      <c r="C36" s="172" t="s">
        <v>219</v>
      </c>
      <c r="D36" s="172" t="s">
        <v>220</v>
      </c>
      <c r="E36" s="171"/>
      <c r="F36" s="171" t="s">
        <v>222</v>
      </c>
      <c r="G36" s="172" t="s">
        <v>223</v>
      </c>
      <c r="H36" s="172" t="s">
        <v>224</v>
      </c>
    </row>
    <row r="37" spans="2:8" x14ac:dyDescent="0.25">
      <c r="B37" s="148"/>
      <c r="E37" s="148"/>
    </row>
    <row r="38" spans="2:8" x14ac:dyDescent="0.25">
      <c r="B38" s="148"/>
      <c r="E38" s="148"/>
    </row>
    <row r="39" spans="2:8" x14ac:dyDescent="0.25">
      <c r="B39" s="148"/>
      <c r="E39" s="148"/>
    </row>
    <row r="40" spans="2:8" x14ac:dyDescent="0.25">
      <c r="B40" s="148"/>
      <c r="E40" s="148"/>
    </row>
    <row r="41" spans="2:8" x14ac:dyDescent="0.25">
      <c r="B41" s="148"/>
      <c r="E41" s="148"/>
    </row>
    <row r="42" spans="2:8" x14ac:dyDescent="0.25">
      <c r="B42" s="148"/>
      <c r="E42" s="148"/>
    </row>
    <row r="43" spans="2:8" x14ac:dyDescent="0.25">
      <c r="E43" s="148"/>
    </row>
    <row r="44" spans="2:8" x14ac:dyDescent="0.25">
      <c r="E44" s="148"/>
    </row>
    <row r="45" spans="2:8" x14ac:dyDescent="0.25">
      <c r="E45" s="148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ГРАФИК</vt:lpstr>
      <vt:lpstr>ТАБЕЛЬ</vt:lpstr>
      <vt:lpstr>Легенда</vt:lpstr>
      <vt:lpstr>Нормы раб.времени</vt:lpstr>
      <vt:lpstr>Коды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2020-08-02T08:44:08Z</dcterms:created>
  <dcterms:modified xsi:type="dcterms:W3CDTF">2020-11-04T19:29:39Z</dcterms:modified>
</cp:coreProperties>
</file>