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webextensions/webextension1.xml" ContentType="application/vnd.ms-office.webextension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2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15F31F89-3132-4CCC-BC16-E5D80760F5E8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Сделки с ЦБ" sheetId="2" r:id="rId1"/>
    <sheet name="Списки" sheetId="3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1" i="2" l="1"/>
  <c r="P12" i="2"/>
  <c r="P13" i="2"/>
  <c r="P14" i="2"/>
  <c r="P15" i="2"/>
  <c r="P16" i="2"/>
  <c r="P17" i="2"/>
  <c r="C13" i="2" l="1"/>
  <c r="C15" i="2"/>
  <c r="C16" i="2"/>
  <c r="C17" i="2"/>
  <c r="H11" i="2"/>
  <c r="I11" i="2"/>
  <c r="I12" i="2"/>
  <c r="I13" i="2"/>
  <c r="I14" i="2"/>
  <c r="I15" i="2"/>
  <c r="I16" i="2"/>
  <c r="I17" i="2"/>
  <c r="H12" i="2"/>
  <c r="H13" i="2"/>
  <c r="H14" i="2"/>
  <c r="H15" i="2"/>
  <c r="H16" i="2"/>
  <c r="H17" i="2"/>
  <c r="A17" i="2" l="1"/>
  <c r="D17" i="2"/>
  <c r="AB17" i="2" s="1"/>
  <c r="E17" i="2"/>
  <c r="F17" i="2"/>
  <c r="G17" i="2"/>
  <c r="J17" i="2"/>
  <c r="L17" i="2"/>
  <c r="M17" i="2"/>
  <c r="N17" i="2"/>
  <c r="O17" i="2"/>
  <c r="R17" i="2"/>
  <c r="S17" i="2"/>
  <c r="T17" i="2"/>
  <c r="U17" i="2"/>
  <c r="V17" i="2"/>
  <c r="W17" i="2"/>
  <c r="X17" i="2"/>
  <c r="Y17" i="2"/>
  <c r="Z17" i="2"/>
  <c r="AA17" i="2"/>
  <c r="AC17" i="2"/>
  <c r="K17" i="2" l="1"/>
  <c r="Q17" i="2"/>
  <c r="AE17" i="2"/>
  <c r="AD17" i="2"/>
  <c r="A16" i="2"/>
  <c r="D16" i="2"/>
  <c r="AB16" i="2" s="1"/>
  <c r="E16" i="2"/>
  <c r="F16" i="2"/>
  <c r="G16" i="2"/>
  <c r="J16" i="2"/>
  <c r="L16" i="2"/>
  <c r="M16" i="2"/>
  <c r="N16" i="2"/>
  <c r="O16" i="2"/>
  <c r="R16" i="2"/>
  <c r="S16" i="2"/>
  <c r="T16" i="2"/>
  <c r="U16" i="2"/>
  <c r="V16" i="2"/>
  <c r="W16" i="2"/>
  <c r="X16" i="2"/>
  <c r="Y16" i="2"/>
  <c r="Z16" i="2"/>
  <c r="AA16" i="2"/>
  <c r="AC16" i="2"/>
  <c r="A15" i="2"/>
  <c r="D15" i="2"/>
  <c r="AB15" i="2" s="1"/>
  <c r="E15" i="2"/>
  <c r="F15" i="2"/>
  <c r="G15" i="2"/>
  <c r="J15" i="2"/>
  <c r="AE15" i="2" s="1"/>
  <c r="L15" i="2"/>
  <c r="M15" i="2"/>
  <c r="N15" i="2"/>
  <c r="O15" i="2"/>
  <c r="R15" i="2"/>
  <c r="S15" i="2"/>
  <c r="T15" i="2"/>
  <c r="U15" i="2"/>
  <c r="V15" i="2"/>
  <c r="W15" i="2"/>
  <c r="X15" i="2"/>
  <c r="Y15" i="2"/>
  <c r="Z15" i="2"/>
  <c r="AA15" i="2"/>
  <c r="AC15" i="2"/>
  <c r="A14" i="2"/>
  <c r="D14" i="2"/>
  <c r="AB14" i="2" s="1"/>
  <c r="E14" i="2"/>
  <c r="F14" i="2"/>
  <c r="G14" i="2"/>
  <c r="J14" i="2"/>
  <c r="AD14" i="2" s="1"/>
  <c r="L14" i="2"/>
  <c r="M14" i="2"/>
  <c r="N14" i="2"/>
  <c r="O14" i="2"/>
  <c r="R14" i="2"/>
  <c r="S14" i="2"/>
  <c r="T14" i="2"/>
  <c r="U14" i="2"/>
  <c r="V14" i="2"/>
  <c r="W14" i="2"/>
  <c r="X14" i="2"/>
  <c r="Y14" i="2"/>
  <c r="Z14" i="2"/>
  <c r="AA14" i="2"/>
  <c r="AC14" i="2"/>
  <c r="AA11" i="2"/>
  <c r="K12" i="2"/>
  <c r="AA12" i="2"/>
  <c r="AA13" i="2"/>
  <c r="G11" i="2"/>
  <c r="A13" i="2"/>
  <c r="D13" i="2"/>
  <c r="AB13" i="2" s="1"/>
  <c r="E13" i="2"/>
  <c r="F13" i="2"/>
  <c r="G13" i="2"/>
  <c r="N13" i="2" s="1"/>
  <c r="J13" i="2"/>
  <c r="L13" i="2"/>
  <c r="U13" i="2"/>
  <c r="W13" i="2" s="1"/>
  <c r="V13" i="2"/>
  <c r="U12" i="2"/>
  <c r="X12" i="2" s="1"/>
  <c r="A11" i="2"/>
  <c r="A12" i="2"/>
  <c r="X13" i="2" l="1"/>
  <c r="AC13" i="2"/>
  <c r="S13" i="2"/>
  <c r="M13" i="2"/>
  <c r="Q13" i="2"/>
  <c r="K16" i="2"/>
  <c r="AE16" i="2"/>
  <c r="AD15" i="2"/>
  <c r="AD16" i="2"/>
  <c r="Q16" i="2"/>
  <c r="Q15" i="2"/>
  <c r="K15" i="2"/>
  <c r="Q14" i="2"/>
  <c r="AE14" i="2"/>
  <c r="K14" i="2"/>
  <c r="W12" i="2"/>
  <c r="K13" i="2"/>
  <c r="AE13" i="2"/>
  <c r="AD13" i="2"/>
  <c r="V12" i="2"/>
  <c r="AB12" i="2"/>
  <c r="M12" i="2"/>
  <c r="AC11" i="2"/>
  <c r="N11" i="2"/>
  <c r="R13" i="2" l="1"/>
  <c r="O13" i="2"/>
  <c r="Z13" i="2"/>
  <c r="T13" i="2"/>
  <c r="Y13" i="2"/>
  <c r="O12" i="2"/>
  <c r="AC12" i="2"/>
  <c r="AE12" i="2"/>
  <c r="G12" i="2"/>
  <c r="R12" i="2"/>
  <c r="AD12" i="2"/>
  <c r="A10" i="3"/>
  <c r="A9" i="3"/>
  <c r="A8" i="3"/>
  <c r="A6" i="3"/>
  <c r="A4" i="3"/>
  <c r="A3" i="3"/>
  <c r="A2" i="3"/>
  <c r="N12" i="2" l="1"/>
  <c r="Y12" i="2"/>
  <c r="Z12" i="2"/>
  <c r="Q12" i="2"/>
  <c r="W18" i="2"/>
  <c r="K11" i="2"/>
  <c r="AD11" i="2"/>
  <c r="AE11" i="2"/>
  <c r="AB11" i="2"/>
  <c r="S12" i="2" l="1"/>
  <c r="T12" i="2" s="1"/>
  <c r="M11" i="2"/>
  <c r="X18" i="2"/>
  <c r="Z11" i="2" l="1"/>
  <c r="Y11" i="2"/>
  <c r="O11" i="2"/>
  <c r="R11" i="2"/>
  <c r="Q11" i="2" s="1"/>
  <c r="S11" i="2" l="1"/>
  <c r="S18" i="2" l="1"/>
  <c r="T11" i="2"/>
  <c r="T18" i="2" l="1"/>
</calcChain>
</file>

<file path=xl/sharedStrings.xml><?xml version="1.0" encoding="utf-8"?>
<sst xmlns="http://schemas.openxmlformats.org/spreadsheetml/2006/main" count="56" uniqueCount="50">
  <si>
    <t>Дата</t>
  </si>
  <si>
    <t>н/п</t>
  </si>
  <si>
    <t>-</t>
  </si>
  <si>
    <t>Покупка</t>
  </si>
  <si>
    <t>Продажа</t>
  </si>
  <si>
    <t>Эмитент</t>
  </si>
  <si>
    <t>Мес. покупки</t>
  </si>
  <si>
    <t>Год покупки</t>
  </si>
  <si>
    <t>Мес. продажи</t>
  </si>
  <si>
    <t>Год продажи</t>
  </si>
  <si>
    <t>Формулы для расчета</t>
  </si>
  <si>
    <t>Цена акции (+)</t>
  </si>
  <si>
    <t>Цена акции (-)</t>
  </si>
  <si>
    <t>Количество (-)</t>
  </si>
  <si>
    <t>Количество (+)</t>
  </si>
  <si>
    <t>Комиссия (+)</t>
  </si>
  <si>
    <t>Сумма (+)</t>
  </si>
  <si>
    <t>Дата (-)</t>
  </si>
  <si>
    <t>Дата (+)</t>
  </si>
  <si>
    <t>Комиссия (-)</t>
  </si>
  <si>
    <t>Сумма (-)</t>
  </si>
  <si>
    <t>БС</t>
  </si>
  <si>
    <t>И</t>
  </si>
  <si>
    <t>Н</t>
  </si>
  <si>
    <t>Налог 13%</t>
  </si>
  <si>
    <t>.</t>
  </si>
  <si>
    <t>Дивиденды</t>
  </si>
  <si>
    <t>в руб.</t>
  </si>
  <si>
    <t>в %.</t>
  </si>
  <si>
    <t>в %</t>
  </si>
  <si>
    <t>Прибыль/убыток, руб.</t>
  </si>
  <si>
    <t>Выплата на 1 акцию</t>
  </si>
  <si>
    <t>Дата выплаты</t>
  </si>
  <si>
    <t>Дни (+)</t>
  </si>
  <si>
    <t>Стоп-лосс</t>
  </si>
  <si>
    <t>Тейк-профит</t>
  </si>
  <si>
    <t>Фин. результат</t>
  </si>
  <si>
    <t>Позиция</t>
  </si>
  <si>
    <t>Short</t>
  </si>
  <si>
    <t>Long</t>
  </si>
  <si>
    <t>Название</t>
  </si>
  <si>
    <t>% (по Jt)</t>
  </si>
  <si>
    <t>Jt, 10%</t>
  </si>
  <si>
    <t>Оплата  Jt</t>
  </si>
  <si>
    <t>Jt</t>
  </si>
  <si>
    <t>Если позиция Long - 1. цена акции (+) ниже цены акции (-) то считаем 13%, 2. цена акции (+) выше цены акции (-), то "-".</t>
  </si>
  <si>
    <t>Если позиция Short - 1. цена акции (+) ниже цены акции (-), то "-". 2. цена акции (+) выше цены акции (-), то считаем 13%.</t>
  </si>
  <si>
    <t>ЕСЛИ(И([@Позиция]="Long";[@[Цена акции (+)]]&lt;[@[Цена акции (-)]]);([@[Сумма (-)]]-[@[Сумма (+)]])*13%;"-")</t>
  </si>
  <si>
    <t>ЕСЛИ(И([@Позиция]="Short";[@[Цена акции (+)]]&gt;[@[Цена акции (-)]]);([@[Сумма (+)]]-[@[Сумма (-)]])*13%;"-")</t>
  </si>
  <si>
    <t>Объединить две формулы в одну для того, чтобы в столбце P считалась сумма налога только по положительным сделкам в зависимости от названия позиции. Обе формулы, отмеченные зеленым, работают по отдельности. Но я не понимаю как их объединить. Хелп!))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</si>
</sst>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\ &quot;₽&quot;"/>
  </numFmts>
  <fonts count="7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  <charset val="204"/>
    </font>
    <font>
      <sz val="8"/>
      <name val="Calibri"/>
      <family val="2"/>
      <scheme val="minor"/>
    </font>
    <font>
      <i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rgb="FF00B050"/>
      <name val="Times New Roman"/>
      <family val="1"/>
      <charset val="204"/>
    </font>
    <font>
      <sz val="1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indexed="64"/>
      </left>
      <right style="thin">
        <color auto="1"/>
      </right>
      <top/>
      <bottom style="thin">
        <color auto="1"/>
      </bottom>
      <diagonal/>
    </border>
    <border>
      <left style="double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indexed="64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/>
      <top/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 tint="0.39997558519241921"/>
      </left>
      <right/>
      <top/>
      <bottom/>
      <diagonal/>
    </border>
    <border>
      <left/>
      <right/>
      <top/>
      <bottom style="thin">
        <color theme="9" tint="0.39997558519241921"/>
      </bottom>
      <diagonal/>
    </border>
    <border>
      <left/>
      <right style="thin">
        <color theme="9" tint="0.39997558519241921"/>
      </right>
      <top/>
      <bottom/>
      <diagonal/>
    </border>
    <border>
      <left/>
      <right style="thin">
        <color theme="9" tint="0.39997558519241921"/>
      </right>
      <top/>
      <bottom style="thin">
        <color theme="9" tint="0.39997558519241921"/>
      </bottom>
      <diagonal/>
    </border>
    <border>
      <left/>
      <right/>
      <top style="thin">
        <color theme="9" tint="0.39997558519241921"/>
      </top>
      <bottom/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/>
      <right style="thin">
        <color theme="9" tint="0.39997558519241921"/>
      </right>
      <top style="thin">
        <color theme="9" tint="0.39997558519241921"/>
      </top>
      <bottom/>
      <diagonal/>
    </border>
    <border>
      <left style="double">
        <color indexed="64"/>
      </left>
      <right style="double">
        <color theme="2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theme="2"/>
      </left>
      <right/>
      <top/>
      <bottom style="double">
        <color auto="1"/>
      </bottom>
      <diagonal/>
    </border>
    <border>
      <left style="double">
        <color theme="2"/>
      </left>
      <right style="double">
        <color theme="2"/>
      </right>
      <top/>
      <bottom style="double">
        <color auto="1"/>
      </bottom>
      <diagonal/>
    </border>
    <border>
      <left style="double">
        <color theme="2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theme="2"/>
      </left>
      <right/>
      <top/>
      <bottom style="thin">
        <color auto="1"/>
      </bottom>
      <diagonal/>
    </border>
    <border>
      <left style="double">
        <color theme="2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10" fontId="1" fillId="2" borderId="0" xfId="0" applyNumberFormat="1" applyFont="1" applyFill="1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 wrapText="1"/>
    </xf>
    <xf numFmtId="10" fontId="1" fillId="2" borderId="19" xfId="0" applyNumberFormat="1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164" fontId="1" fillId="2" borderId="20" xfId="0" applyNumberFormat="1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0" fontId="1" fillId="0" borderId="0" xfId="0" applyNumberFormat="1" applyFont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4" borderId="0" xfId="0" applyFont="1" applyFill="1" applyAlignment="1">
      <alignment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164" fontId="1" fillId="0" borderId="32" xfId="0" applyNumberFormat="1" applyFont="1" applyBorder="1" applyAlignment="1">
      <alignment horizontal="center" vertical="center" wrapText="1"/>
    </xf>
    <xf numFmtId="10" fontId="1" fillId="0" borderId="32" xfId="0" applyNumberFormat="1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 wrapText="1"/>
    </xf>
    <xf numFmtId="14" fontId="1" fillId="0" borderId="18" xfId="0" applyNumberFormat="1" applyFont="1" applyFill="1" applyBorder="1" applyAlignment="1">
      <alignment horizontal="center" vertical="center" wrapText="1"/>
    </xf>
    <xf numFmtId="1" fontId="1" fillId="0" borderId="18" xfId="0" applyNumberFormat="1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164" fontId="1" fillId="0" borderId="14" xfId="0" applyNumberFormat="1" applyFont="1" applyFill="1" applyBorder="1" applyAlignment="1">
      <alignment horizontal="center" vertical="center" wrapText="1"/>
    </xf>
    <xf numFmtId="2" fontId="1" fillId="0" borderId="18" xfId="0" applyNumberFormat="1" applyFont="1" applyFill="1" applyBorder="1" applyAlignment="1">
      <alignment horizontal="center" vertical="center" wrapText="1"/>
    </xf>
    <xf numFmtId="2" fontId="1" fillId="0" borderId="4" xfId="0" applyNumberFormat="1" applyFont="1" applyFill="1" applyBorder="1" applyAlignment="1">
      <alignment horizontal="center" vertical="center" wrapText="1"/>
    </xf>
    <xf numFmtId="2" fontId="1" fillId="0" borderId="14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0" fontId="1" fillId="0" borderId="14" xfId="0" applyNumberFormat="1" applyFont="1" applyFill="1" applyBorder="1" applyAlignment="1">
      <alignment horizontal="center" vertical="center" wrapText="1"/>
    </xf>
    <xf numFmtId="10" fontId="1" fillId="0" borderId="18" xfId="0" applyNumberFormat="1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14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vertical="center" wrapText="1"/>
    </xf>
    <xf numFmtId="0" fontId="1" fillId="0" borderId="14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164" fontId="1" fillId="0" borderId="16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6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0" fontId="1" fillId="0" borderId="16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1" fillId="0" borderId="16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8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164" fontId="1" fillId="0" borderId="36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164" fontId="1" fillId="0" borderId="39" xfId="0" applyNumberFormat="1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4" fontId="1" fillId="4" borderId="0" xfId="0" applyNumberFormat="1" applyFont="1" applyFill="1" applyAlignment="1">
      <alignment horizontal="center" vertical="center" wrapText="1"/>
    </xf>
    <xf numFmtId="164" fontId="1" fillId="4" borderId="0" xfId="0" applyNumberFormat="1" applyFont="1" applyFill="1" applyAlignment="1">
      <alignment horizontal="center" vertical="center" wrapText="1"/>
    </xf>
    <xf numFmtId="164" fontId="1" fillId="2" borderId="24" xfId="0" applyNumberFormat="1" applyFont="1" applyFill="1" applyBorder="1" applyAlignment="1">
      <alignment horizontal="center" vertical="center" wrapText="1"/>
    </xf>
    <xf numFmtId="164" fontId="1" fillId="2" borderId="23" xfId="0" applyNumberFormat="1" applyFont="1" applyFill="1" applyBorder="1" applyAlignment="1">
      <alignment horizontal="center" vertical="center" wrapText="1"/>
    </xf>
    <xf numFmtId="164" fontId="1" fillId="2" borderId="19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14" fontId="1" fillId="3" borderId="23" xfId="0" applyNumberFormat="1" applyFont="1" applyFill="1" applyBorder="1" applyAlignment="1">
      <alignment horizontal="center" vertical="center" wrapText="1"/>
    </xf>
    <xf numFmtId="14" fontId="1" fillId="3" borderId="25" xfId="0" applyNumberFormat="1" applyFont="1" applyFill="1" applyBorder="1" applyAlignment="1">
      <alignment horizontal="center" vertical="center" wrapText="1"/>
    </xf>
    <xf numFmtId="14" fontId="1" fillId="3" borderId="0" xfId="0" applyNumberFormat="1" applyFont="1" applyFill="1" applyBorder="1" applyAlignment="1">
      <alignment horizontal="center" vertical="center" wrapText="1"/>
    </xf>
    <xf numFmtId="14" fontId="1" fillId="3" borderId="21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20" xfId="0" applyFont="1" applyFill="1" applyBorder="1" applyAlignment="1">
      <alignment horizontal="right"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8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 outline="0">
        <left style="double">
          <color theme="2"/>
        </left>
        <right style="double">
          <color auto="1"/>
        </right>
        <top/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 outline="0">
        <left style="double">
          <color theme="2"/>
        </left>
        <right/>
        <top/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 outline="0">
        <left style="double">
          <color theme="2"/>
        </left>
        <right/>
        <top/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 outline="0">
        <left style="double">
          <color theme="2"/>
        </left>
        <right/>
        <top/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/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 outline="0">
        <left style="double">
          <color theme="2"/>
        </left>
        <right/>
        <top/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 outline="0">
        <left style="double">
          <color theme="2"/>
        </left>
        <right/>
        <top/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imes New Roman"/>
        <family val="1"/>
        <charset val="204"/>
        <scheme val="none"/>
      </font>
      <numFmt numFmtId="14" formatCode="0.00%"/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imes New Roman"/>
        <family val="1"/>
        <charset val="204"/>
        <scheme val="none"/>
      </font>
      <numFmt numFmtId="164" formatCode="#,##0.00\ &quot;₽&quot;"/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imes New Roman"/>
        <family val="1"/>
        <charset val="204"/>
        <scheme val="none"/>
      </font>
      <numFmt numFmtId="164" formatCode="#,##0.00\ &quot;₽&quot;"/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imes New Roman"/>
        <family val="1"/>
        <charset val="204"/>
        <scheme val="none"/>
      </font>
      <numFmt numFmtId="14" formatCode="0.00%"/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imes New Roman"/>
        <family val="1"/>
        <charset val="204"/>
        <scheme val="none"/>
      </font>
      <numFmt numFmtId="14" formatCode="0.00%"/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imes New Roman"/>
        <family val="1"/>
        <charset val="204"/>
        <scheme val="none"/>
      </font>
      <numFmt numFmtId="164" formatCode="#,##0.00\ &quot;₽&quot;"/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/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 outline="0">
        <left style="double">
          <color theme="2"/>
        </left>
        <right/>
        <top/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 outline="0">
        <left style="double">
          <color theme="2"/>
        </left>
        <right style="thin">
          <color auto="1"/>
        </right>
        <top/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 outline="0">
        <left style="double">
          <color theme="2"/>
        </left>
        <right/>
        <top/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 outline="0">
        <left style="double">
          <color theme="2"/>
        </left>
        <right/>
        <top/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 outline="0">
        <left style="double">
          <color theme="2"/>
        </left>
        <right/>
        <top/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 outline="0">
        <left style="double">
          <color theme="2"/>
        </left>
        <right style="double">
          <color theme="2"/>
        </right>
        <top/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 outline="0">
        <left style="double">
          <color theme="2"/>
        </left>
        <right style="double">
          <color theme="2"/>
        </right>
        <top/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 outline="0">
        <left style="double">
          <color theme="2"/>
        </left>
        <right/>
        <top/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 outline="0">
        <left style="double">
          <color theme="2"/>
        </left>
        <right/>
        <top/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 outline="0">
        <left style="double">
          <color theme="2"/>
        </left>
        <right/>
        <top/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 outline="0">
        <left style="double">
          <color theme="2"/>
        </left>
        <right/>
        <top/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 outline="0">
        <left style="double">
          <color theme="2"/>
        </left>
        <right/>
        <top/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 outline="0">
        <left style="double">
          <color theme="2"/>
        </left>
        <right/>
        <top/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 outline="0">
        <left style="double">
          <color indexed="64"/>
        </left>
        <right style="double">
          <color theme="2"/>
        </right>
        <top/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imes New Roman"/>
        <family val="1"/>
        <charset val="204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double">
          <color auto="1"/>
        </right>
        <top style="thin">
          <color auto="1"/>
        </top>
        <bottom style="thin">
          <color auto="1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3"/>
        <color theme="1"/>
        <name val="Times New Roman"/>
        <family val="1"/>
        <charset val="204"/>
        <scheme val="none"/>
      </font>
      <numFmt numFmtId="19" formatCode="dd/mm/yyyy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3"/>
        <color theme="1"/>
        <name val="Times New Roman"/>
        <family val="1"/>
        <charset val="204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3"/>
        <color theme="1"/>
        <name val="Times New Roman"/>
        <family val="1"/>
        <charset val="204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imes New Roman"/>
        <family val="1"/>
        <charset val="204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double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imes New Roman"/>
        <family val="1"/>
        <charset val="204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imes New Roman"/>
        <family val="1"/>
        <charset val="204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imes New Roman"/>
        <family val="1"/>
        <charset val="204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3"/>
        <color theme="1"/>
        <name val="Times New Roman"/>
        <family val="1"/>
        <charset val="204"/>
        <scheme val="none"/>
      </font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thin">
          <color auto="1"/>
        </left>
        <right style="double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3"/>
        <color theme="1"/>
        <name val="Times New Roman"/>
        <family val="1"/>
        <charset val="204"/>
        <scheme val="none"/>
      </font>
      <numFmt numFmtId="164" formatCode="#,##0.00\ &quot;₽&quot;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imes New Roman"/>
        <family val="1"/>
        <charset val="204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imes New Roman"/>
        <family val="1"/>
        <charset val="204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double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imes New Roman"/>
        <family val="1"/>
        <charset val="204"/>
        <scheme val="none"/>
      </font>
      <numFmt numFmtId="164" formatCode="#,##0.00\ &quot;₽&quot;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imes New Roman"/>
        <family val="1"/>
        <charset val="204"/>
        <scheme val="none"/>
      </font>
      <numFmt numFmtId="164" formatCode="#,##0.00\ &quot;₽&quot;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imes New Roman"/>
        <family val="1"/>
        <charset val="204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imes New Roman"/>
        <family val="1"/>
        <charset val="204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double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imes New Roman"/>
        <family val="1"/>
        <charset val="204"/>
        <scheme val="none"/>
      </font>
      <numFmt numFmtId="164" formatCode="#,##0.00\ &quot;₽&quot;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imes New Roman"/>
        <family val="1"/>
        <charset val="204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double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3"/>
        <color theme="1"/>
        <name val="Times New Roman"/>
        <family val="1"/>
        <charset val="204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imes New Roman"/>
        <family val="1"/>
        <charset val="204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imes New Roman"/>
        <family val="1"/>
        <charset val="204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imes New Roman"/>
        <family val="1"/>
        <charset val="204"/>
        <scheme val="none"/>
      </font>
      <numFmt numFmtId="164" formatCode="#,##0.00\ &quot;₽&quot;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double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imes New Roman"/>
        <family val="1"/>
        <charset val="204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imes New Roman"/>
        <family val="1"/>
        <charset val="204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imes New Roman"/>
        <family val="1"/>
        <charset val="204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imes New Roman"/>
        <family val="1"/>
        <charset val="204"/>
        <scheme val="none"/>
      </font>
      <numFmt numFmtId="164" formatCode="#,##0.00\ &quot;₽&quot;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double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imes New Roman"/>
        <family val="1"/>
        <charset val="204"/>
        <scheme val="none"/>
      </font>
      <numFmt numFmtId="164" formatCode="#,##0.00\ &quot;₽&quot;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imes New Roman"/>
        <family val="1"/>
        <charset val="204"/>
        <scheme val="none"/>
      </font>
      <numFmt numFmtId="164" formatCode="#,##0.00\ &quot;₽&quot;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imes New Roman"/>
        <family val="1"/>
        <charset val="204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imes New Roman"/>
        <family val="1"/>
        <charset val="204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imes New Roman"/>
        <family val="1"/>
        <charset val="204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imes New Roman"/>
        <family val="1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double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imes New Roman"/>
        <family val="1"/>
        <charset val="204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imes New Roman"/>
        <family val="1"/>
        <charset val="204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double">
          <color indexed="64"/>
        </top>
      </border>
    </dxf>
    <dxf>
      <font>
        <strike val="0"/>
        <outline val="0"/>
        <shadow val="0"/>
        <u val="none"/>
        <vertAlign val="baseline"/>
        <sz val="13"/>
        <color theme="1"/>
        <name val="Times New Roman"/>
        <family val="1"/>
        <charset val="204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imes New Roman"/>
        <family val="1"/>
        <charset val="204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3"/>
        <color theme="1"/>
        <name val="Times New Roman"/>
        <family val="1"/>
        <charset val="204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>
          <bgColor theme="9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border>
        <right style="double">
          <color auto="1"/>
        </right>
      </border>
    </dxf>
    <dxf>
      <border>
        <left style="double">
          <color auto="1"/>
        </left>
      </border>
    </dxf>
    <dxf>
      <fill>
        <patternFill>
          <bgColor theme="9" tint="0.79998168889431442"/>
        </patternFill>
      </fill>
      <border>
        <left style="double">
          <color auto="1"/>
        </left>
        <right style="double">
          <color auto="1"/>
        </right>
        <top style="double">
          <color auto="1"/>
        </top>
        <bottom style="double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/>
      </font>
      <fill>
        <patternFill>
          <bgColor theme="9" tint="0.39994506668294322"/>
        </patternFill>
      </fill>
    </dxf>
    <dxf>
      <border>
        <left style="double">
          <color auto="1"/>
        </left>
        <right style="double">
          <color auto="1"/>
        </right>
        <top style="thin">
          <color auto="1"/>
        </top>
        <bottom style="double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Стиль таблицы 1" pivot="0" count="5" xr9:uid="{F86C6579-A4EA-469F-A979-CAB4E51B82AC}">
      <tableStyleElement type="wholeTable" dxfId="84"/>
      <tableStyleElement type="headerRow" dxfId="83"/>
      <tableStyleElement type="totalRow" dxfId="82"/>
      <tableStyleElement type="firstColumn" dxfId="81"/>
      <tableStyleElement type="lastColumn" dxfId="80"/>
    </tableStyle>
  </tableStyles>
  <colors>
    <mruColors>
      <color rgb="FFFFEB9C"/>
      <color rgb="FFC6EFCE"/>
      <color rgb="FFFFC7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microsoft.com/office/2011/relationships/webextension" Target="../webextensions/webextension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0</xdr:row>
      <xdr:rowOff>28575</xdr:rowOff>
    </xdr:from>
    <xdr:to>
      <xdr:col>9</xdr:col>
      <xdr:colOff>1123950</xdr:colOff>
      <xdr:row>6</xdr:row>
      <xdr:rowOff>200025</xdr:rowOff>
    </xdr:to>
    <mc:AlternateContent xmlns:mc="http://schemas.openxmlformats.org/markup-compatibility/2006">
      <mc:Choice xmlns:we="http://schemas.microsoft.com/office/webextensions/webextension/2010/11" Requires="we">
        <xdr:graphicFrame macro="">
          <xdr:nvGraphicFramePr>
            <xdr:cNvPr id="6" name="Надстройка 5" title="Mini Calendar and Date Picker">
              <a:extLst>
                <a:ext uri="{FF2B5EF4-FFF2-40B4-BE49-F238E27FC236}">
                  <a16:creationId xmlns:a16="http://schemas.microsoft.com/office/drawing/2014/main" id="{CC1D9FEB-3EBB-4B7C-B356-F65CAF88F9C1}"/>
                </a:ext>
              </a:extLst>
            </xdr:cNvPr>
            <xdr:cNvGraphicFramePr>
              <a:graphicFrameLocks noGrp="1"/>
            </xdr:cNvGraphicFramePr>
          </xdr:nvGraphicFramePr>
          <xdr:xfrm>
            <a:off x="0" y="0"/>
            <a:ext cx="0" cy="0"/>
          </xdr:xfrm>
          <a:graphic>
            <a:graphicData uri="http://schemas.microsoft.com/office/webextensions/webextension/2010/11">
              <we:webextensionref xmlns:we="http://schemas.microsoft.com/office/webextensions/webextension/2010/11" xmlns:r="http://schemas.openxmlformats.org/officeDocument/2006/relationships" r:id="rId1"/>
            </a:graphicData>
          </a:graphic>
        </xdr:graphicFrame>
      </mc:Choice>
      <mc:Fallback>
        <xdr:pic>
          <xdr:nvPicPr>
            <xdr:cNvPr id="6" name="Надстройка 5" title="Mini Calendar and Date Picker">
              <a:extLst>
                <a:ext uri="{FF2B5EF4-FFF2-40B4-BE49-F238E27FC236}">
                  <a16:creationId xmlns:a16="http://schemas.microsoft.com/office/drawing/2014/main" id="{CC1D9FEB-3EBB-4B7C-B356-F65CAF88F9C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prstGeom prst="rect">
              <a:avLst/>
            </a:prstGeom>
          </xdr:spPr>
        </xdr:pic>
      </mc:Fallback>
    </mc:AlternateContent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6530697-3E33-47CA-BF2F-77006A5A11E0}" name="Таблица8" displayName="Таблица8" ref="A10:AE18" totalsRowCount="1" headerRowDxfId="72" dataDxfId="71" totalsRowDxfId="69" tableBorderDxfId="70" totalsRowBorderDxfId="68">
  <autoFilter ref="A10:AE17" xr:uid="{094B0034-AF1A-4A48-8187-2B461D6A8361}"/>
  <tableColumns count="31">
    <tableColumn id="1" xr3:uid="{AC705EB9-9957-4835-BA45-33EA417A8C5A}" name="н/п" dataDxfId="67" totalsRowDxfId="30">
      <calculatedColumnFormula>IF(ISBLANK(Таблица8[[#This Row],[Эмитент]]),"",ROW()-10)</calculatedColumnFormula>
    </tableColumn>
    <tableColumn id="3" xr3:uid="{16546822-24BE-42B4-AED9-83D15A1C1121}" name="Эмитент" dataDxfId="66" totalsRowDxfId="29"/>
    <tableColumn id="32" xr3:uid="{07D1C5C2-331C-495C-BE24-EE844E7034CF}" name="Позиция" dataDxfId="65" totalsRowDxfId="28">
      <calculatedColumnFormula>IF(Таблица8[[#This Row],[Эмитент]]="","","-")</calculatedColumnFormula>
    </tableColumn>
    <tableColumn id="2" xr3:uid="{D9BCE5CC-6A32-411A-9E15-CE1AD7E4AF21}" name="Дата (+)" dataDxfId="64" totalsRowDxfId="27">
      <calculatedColumnFormula>IF(Таблица8[[#This Row],[Эмитент]]="","","-")</calculatedColumnFormula>
    </tableColumn>
    <tableColumn id="4" xr3:uid="{BA56A61A-47EE-4C9F-833D-7179F36F6F38}" name="Количество (+)" dataDxfId="63" totalsRowDxfId="26">
      <calculatedColumnFormula>IF(Таблица8[[#This Row],[Эмитент]]="","","-")</calculatedColumnFormula>
    </tableColumn>
    <tableColumn id="5" xr3:uid="{0E5DC714-8E01-457F-8FA1-C6BB78D25DE4}" name="Цена акции (+)" dataDxfId="62" totalsRowDxfId="25">
      <calculatedColumnFormula>IF(Таблица8[[#This Row],[Эмитент]]="","","-")</calculatedColumnFormula>
    </tableColumn>
    <tableColumn id="7" xr3:uid="{16825D95-E77F-4969-981A-4A738F243126}" name="Сумма (+)" dataDxfId="61" totalsRowDxfId="24">
      <calculatedColumnFormula>IF(Таблица8[[#This Row],[Эмитент]]="","",IF(Таблица8[[#This Row],[Цена акции (+)]]="-","-",IF(Таблица8[[#This Row],[Цена акции (+)]]="0","0",Таблица8[[#This Row],[Цена акции (+)]]*Таблица8[[#This Row],[Количество (+)]])))</calculatedColumnFormula>
    </tableColumn>
    <tableColumn id="23" xr3:uid="{23AED974-F9A6-4E01-8E07-C9D166682E8C}" name="Стоп-лосс" dataDxfId="60" totalsRowDxfId="23">
      <calculatedColumnFormula>IF(Таблица8[[#This Row],[Эмитент]]="","","-")</calculatedColumnFormula>
    </tableColumn>
    <tableColumn id="22" xr3:uid="{C0ECA92D-7B03-4EDD-95CD-37F7F428165B}" name="Тейк-профит" dataDxfId="59" totalsRowDxfId="22">
      <calculatedColumnFormula>IF(Таблица8[[#This Row],[Эмитент]]="","","-")</calculatedColumnFormula>
    </tableColumn>
    <tableColumn id="9" xr3:uid="{1EB0281B-491A-4B6E-901E-132ED268DA77}" name="Дата (-)" dataDxfId="58" totalsRowDxfId="21">
      <calculatedColumnFormula>IF(Таблица8[[#This Row],[Эмитент]]="","","-")</calculatedColumnFormula>
    </tableColumn>
    <tableColumn id="10" xr3:uid="{A8C6BDB8-B09A-4DD5-9350-D1C2CED0BA1D}" name="Количество (-)" dataDxfId="57" totalsRowDxfId="20">
      <calculatedColumnFormula>IF(Таблица8[[#This Row],[Дата (-)]]="-","-",Таблица8[[#This Row],[Количество (+)]])</calculatedColumnFormula>
    </tableColumn>
    <tableColumn id="11" xr3:uid="{D40A2BDF-4B1C-4CFC-A7EE-ED1BDF782362}" name="Цена акции (-)" dataDxfId="56" totalsRowDxfId="19">
      <calculatedColumnFormula>IF(Таблица8[[#This Row],[Эмитент]]="","","-")</calculatedColumnFormula>
    </tableColumn>
    <tableColumn id="13" xr3:uid="{A7075B03-CDBF-4ED2-8625-E9B705543A99}" name="Сумма (-)" dataDxfId="55" totalsRowDxfId="18">
      <calculatedColumnFormula>IF(Таблица8[[#This Row],[Эмитент]]="","",IF(Таблица8[[#This Row],[Цена акции (-)]]="-","-",Таблица8[[#This Row],[Цена акции (-)]]*Таблица8[[#This Row],[Количество (-)]]))</calculatedColumnFormula>
    </tableColumn>
    <tableColumn id="6" xr3:uid="{6A1A61E2-CA2F-4050-9DF0-F7AB91886614}" name="Комиссия (+)" dataDxfId="54" totalsRowDxfId="17">
      <calculatedColumnFormula>IF(Таблица8[[#This Row],[Эмитент]]="","",IF(Таблица8[[#This Row],[Сумма (+)]]="-","-",IF(Таблица8[[#This Row],[Сумма (+)]]="","0",Таблица8[[#This Row],[Сумма (+)]]/100*0.06)))</calculatedColumnFormula>
    </tableColumn>
    <tableColumn id="12" xr3:uid="{A0B7688B-4C1A-4E1D-A499-83AB1570F407}" name="Комиссия (-)" dataDxfId="53" totalsRowDxfId="16">
      <calculatedColumnFormula>IF(Таблица8[[#This Row],[Эмитент]]="","",IF(Таблица8[[#This Row],[Сумма (-)]]="-","-",IF(Таблица8[[#This Row],[Сумма (-)]]="","0",Таблица8[[#This Row],[Сумма (-)]]/100*0.06)))</calculatedColumnFormula>
    </tableColumn>
    <tableColumn id="16" xr3:uid="{5C842CC8-BABF-45E1-80B2-9EF04942E4E0}" name="Налог 13%" dataDxfId="31" totalsRowDxfId="15">
      <calculatedColumnFormula>IF(Таблица8[[#This Row],[Позиция]]="Long",IF(Таблица8[[#This Row],[Цена акции (+)]]&lt;Таблица8[[#This Row],[Цена акции (-)]],(Таблица8[[#This Row],[Сумма (-)]]-Таблица8[[#This Row],[Сумма (+)]])*13%,"-"),IF(Таблица8[[#This Row],[Позиция]]="Short",IF(Таблица8[[#This Row],[Цена акции (+)]]&gt;Таблица8[[#This Row],[Цена акции (-)]],(Таблица8[[#This Row],[Сумма (+)]]-Таблица8[[#This Row],[Сумма (-)]])*13%,"-"),""))</calculatedColumnFormula>
    </tableColumn>
    <tableColumn id="31" xr3:uid="{4BE8C755-2800-4B27-8B72-39EC77D9BE49}" name="Дни (+)" dataDxfId="52" totalsRowDxfId="14">
      <calculatedColumnFormula>IF(Таблица8[[#This Row],[Дата (-)]]="","",IF(Таблица8[[#This Row],[Дата (+)]]="-","-",IF(Таблица8[[#This Row],[.]]="Активна",_xlfn.DAYS($A$1,Таблица8[[#This Row],[Дата (+)]]),_xlfn.DAYS(Таблица8[[#This Row],[Дата (-)]],Таблица8[[#This Row],[Дата (+)]]))))</calculatedColumnFormula>
    </tableColumn>
    <tableColumn id="17" xr3:uid="{95DED98D-B372-4540-BC3B-77B5DD6ACC44}" name="." dataDxfId="51" totalsRowDxfId="13">
      <calculatedColumnFormula>IF(Таблица8[[#This Row],[Эмитент]]="","",IF(Таблица8[[#This Row],[Сумма (-)]]="-","Активна","Закрыта"))</calculatedColumnFormula>
    </tableColumn>
    <tableColumn id="14" xr3:uid="{E717DABF-0CB7-4C78-AA3A-B8ECD95A4785}" name="Прибыль/убыток, руб." totalsRowFunction="sum" dataDxfId="50" totalsRowDxfId="12">
      <calculatedColumnFormula>IF(Таблица8[[#This Row],[Эмитент]]="","",IF(Таблица8[[#This Row],[Цена акции (-)]]="-","-",IF(Таблица8[[#This Row],[Цена акции (-)]]="0","0",Таблица8[[#This Row],[Сумма (-)]]-Таблица8[[#This Row],[Jt, 10%]]-Таблица8[[#This Row],[Сумма (+)]]-(Таблица8[[#This Row],[Комиссия (+)]]+Таблица8[[#This Row],[Комиссия (-)]]))))</calculatedColumnFormula>
    </tableColumn>
    <tableColumn id="15" xr3:uid="{8320B659-BB0C-4E9D-8197-80A67ECE2BFE}" name="в %" totalsRowFunction="sum" dataDxfId="49" totalsRowDxfId="11">
      <calculatedColumnFormula>IF(Таблица8[[#This Row],[Эмитент]]="","",IF(Таблица8[[#This Row],[Сумма (-)]]="-","-",IF(Таблица8[[#This Row],[Сумма (-)]]="0","0",Таблица8[[#This Row],[Прибыль/убыток, руб.]]/Таблица8[[#This Row],[Сумма (+)]])))</calculatedColumnFormula>
    </tableColumn>
    <tableColumn id="27" xr3:uid="{C7F2009C-4AA7-48E4-A630-DF4ADB679250}" name="Дата выплаты" dataDxfId="48" totalsRowDxfId="10">
      <calculatedColumnFormula>IF(Таблица8[[#This Row],[Эмитент]]="","","-")</calculatedColumnFormula>
    </tableColumn>
    <tableColumn id="25" xr3:uid="{667457B9-1DF8-4357-BF1B-ACF7E30BA0B0}" name="Выплата на 1 акцию" dataDxfId="47" totalsRowDxfId="9">
      <calculatedColumnFormula>IF(Таблица8[[#This Row],[Эмитент]]="","","-")</calculatedColumnFormula>
    </tableColumn>
    <tableColumn id="24" xr3:uid="{97D7B493-1D1E-4BD2-A9B0-0EBC15CB1923}" name="в руб." totalsRowFunction="sum" dataDxfId="46" totalsRowDxfId="8">
      <calculatedColumnFormula>IF(Таблица8[[#This Row],[Эмитент]]="","",IF(Таблица8[[#This Row],[Дата выплаты]]="-","-",(Таблица8[[#This Row],[Выплата на 1 акцию]]*Таблица8[[#This Row],[Количество (+)]])-((Таблица8[[#This Row],[Выплата на 1 акцию]]*Таблица8[[#This Row],[Количество (+)]])/100*13)))</calculatedColumnFormula>
    </tableColumn>
    <tableColumn id="26" xr3:uid="{F2B1C93B-7F5A-486B-ACC3-CB114C2E4F92}" name="в %." totalsRowFunction="sum" dataDxfId="45" totalsRowDxfId="7">
      <calculatedColumnFormula>IF(Таблица8[[#This Row],[Эмитент]]="","",IF(Таблица8[[#This Row],[Дата выплаты]]="-","-",Таблица8[[#This Row],[в руб.]]/Таблица8[[#This Row],[Сумма (+)]]))</calculatedColumnFormula>
    </tableColumn>
    <tableColumn id="29" xr3:uid="{D0847BCB-96E3-47FC-BE41-5D1790263606}" name="% (по Jt)" dataDxfId="44" totalsRowDxfId="6">
      <calculatedColumnFormula>IF(Таблица8[[#This Row],[Эмитент]]="","",IF(Таблица8[[#This Row],[Сумма (-)]]="-","-",(Таблица8[[#This Row],[Сумма (-)]]/Таблица8[[#This Row],[Сумма (+)]])-100%))</calculatedColumnFormula>
    </tableColumn>
    <tableColumn id="28" xr3:uid="{B5F995EE-F217-40C7-A5BC-DBD047B11088}" name="Jt, 10%" dataDxfId="43" totalsRowDxfId="5">
      <calculatedColumnFormula>IF(Таблица8[[#This Row],[Эмитент]]="","",IF(Таблица8[[#This Row],[Сумма (-)]]="-","-",(Таблица8[[#This Row],[Сумма (-)]]-Таблица8[[#This Row],[Сумма (+)]])/100*10))</calculatedColumnFormula>
    </tableColumn>
    <tableColumn id="30" xr3:uid="{C7DC4DEA-8EE7-4166-B0FC-BD59D02E6B7A}" name="Оплата  Jt" dataDxfId="42" totalsRowDxfId="4">
      <calculatedColumnFormula>IF(Таблица8[[#This Row],[Эмитент]]="","","Не оплачено")</calculatedColumnFormula>
    </tableColumn>
    <tableColumn id="18" xr3:uid="{F088438B-C6A4-4CA9-B025-1DC425AAA37F}" name="Мес. покупки" dataDxfId="41" totalsRowDxfId="3">
      <calculatedColumnFormula>TEXT(Таблица8[[#This Row],[Дата (+)]],"ММММ")</calculatedColumnFormula>
    </tableColumn>
    <tableColumn id="19" xr3:uid="{56827DE9-6B9E-4C34-972A-93083F598FEE}" name="Год покупки" dataDxfId="40" totalsRowDxfId="2">
      <calculatedColumnFormula>IF(Таблица8[[#This Row],[Эмитент]]="","",IF(Таблица8[[#This Row],[Эмитент]]="-","-",IF(Таблица8[[#This Row],[Дата (+)]]="-","-",YEAR(Таблица8[[#This Row],[Дата (+)]]))))</calculatedColumnFormula>
    </tableColumn>
    <tableColumn id="20" xr3:uid="{782DD5DD-49D8-41AB-ACCC-9855ED11EF10}" name="Мес. продажи" dataDxfId="39" totalsRowDxfId="1">
      <calculatedColumnFormula>TEXT(Таблица8[[#This Row],[Дата (-)]],"ММММ")</calculatedColumnFormula>
    </tableColumn>
    <tableColumn id="21" xr3:uid="{77239D69-F2B8-4695-95EC-50FE1AC48ED4}" name="Год продажи" dataDxfId="38" totalsRowDxfId="0">
      <calculatedColumnFormula>IF(Таблица8[[#This Row],[Дата (-)]]="-","-",IF(Таблица8[[#This Row],[Эмитент]]="","",YEAR(Таблица8[[#This Row],[Дата (-)]])))</calculatedColumnFormula>
    </tableColumn>
  </tableColumns>
  <tableStyleInfo name="Стиль таблицы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A51135F5-2D11-43D9-8B99-532B77B18B05}" name="Таблица9" displayName="Таблица9" ref="A1:A10" totalsRowShown="0" headerRowDxfId="37" dataDxfId="36">
  <autoFilter ref="A1:A10" xr:uid="{C981A0F6-068D-4DB4-B252-08C8961341B7}"/>
  <tableColumns count="1">
    <tableColumn id="1" xr3:uid="{40B8F9AE-611E-43FA-AE0F-7089C9B98EE2}" name="Дата" dataDxfId="35"/>
  </tableColumns>
  <tableStyleInfo name="Стиль таблицы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129350C-8904-4F53-A71E-8B62E36AE131}" name="Таблица2" displayName="Таблица2" ref="C1:C3" totalsRowShown="0" headerRowDxfId="34" dataDxfId="33">
  <autoFilter ref="C1:C3" xr:uid="{D8B0008F-281F-456B-9D4F-56EE6E13D6AD}"/>
  <tableColumns count="1">
    <tableColumn id="1" xr3:uid="{8A9A8412-AC9C-440B-80BE-7B83142EC7AB}" name="БС" dataDxfId="32"/>
  </tableColumns>
  <tableStyleInfo name="Стиль таблицы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2.xml"/></Relationships>
</file>

<file path=xl/webextensions/_rels/webextension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ebextensions/taskpanes.xml><?xml version="1.0" encoding="utf-8"?>
<wetp:taskpanes xmlns:wetp="http://schemas.microsoft.com/office/webextensions/taskpanes/2010/11">
  <wetp:taskpane dockstate="right" visibility="0" width="350" row="5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CC1D9FEB-3EBB-4B7C-B356-F65CAF88F9C1}">
  <we:reference id="wa102957665" version="1.3.0.0" store="ru-RU" storeType="OMEX"/>
  <we:alternateReferences>
    <we:reference id="WA102957665" version="1.3.0.0" store="WA102957665" storeType="OMEX"/>
  </we:alternateReferences>
  <we:properties>
    <we:property name="opt_cal_sys" value="21"/>
    <we:property name="opt_month" value="&quot;2020-09-01&quot;"/>
    <we:property name="opt_size" value="0"/>
    <we:property name="opt_theme" value="3"/>
    <we:property name="opt_wn" value="false"/>
  </we:properties>
  <we:bindings/>
  <we:snapshot xmlns:r="http://schemas.openxmlformats.org/officeDocument/2006/relationships" r:embed="rId1"/>
</we:webextension>
</file>

<file path=xl/webextensions/webextension2.xml><?xml version="1.0" encoding="utf-8"?>
<we:webextension xmlns:we="http://schemas.microsoft.com/office/webextensions/webextension/2010/11" id="{A41E1393-627E-49EA-9701-4ED68FEC21CE}">
  <we:reference id="wa103296784" version="1.1.0.0" store="ru-RU" storeType="OMEX"/>
  <we:alternateReferences>
    <we:reference id="WA103296784" version="1.1.0.0" store="WA103296784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EA37A-63C1-4C54-A27C-88B0CFE4E704}">
  <dimension ref="A1:AF29"/>
  <sheetViews>
    <sheetView tabSelected="1" zoomScale="80" zoomScaleNormal="80" workbookViewId="0">
      <pane ySplit="10" topLeftCell="A14" activePane="bottomLeft" state="frozen"/>
      <selection pane="bottomLeft" activeCell="P14" sqref="P14"/>
    </sheetView>
  </sheetViews>
  <sheetFormatPr defaultRowHeight="16.5" x14ac:dyDescent="0.25"/>
  <cols>
    <col min="1" max="1" width="4.28515625" style="2" customWidth="1"/>
    <col min="2" max="2" width="17.7109375" style="2" bestFit="1" customWidth="1"/>
    <col min="3" max="3" width="12.28515625" style="2" customWidth="1"/>
    <col min="4" max="4" width="14.7109375" style="2" customWidth="1"/>
    <col min="5" max="5" width="16.140625" style="2" customWidth="1"/>
    <col min="6" max="6" width="14.28515625" style="2" customWidth="1"/>
    <col min="7" max="7" width="14.42578125" style="2" customWidth="1"/>
    <col min="8" max="8" width="13" style="2" customWidth="1"/>
    <col min="9" max="9" width="12.42578125" style="2" customWidth="1"/>
    <col min="10" max="10" width="13" style="2" customWidth="1"/>
    <col min="11" max="11" width="14.85546875" style="2" customWidth="1"/>
    <col min="12" max="12" width="17.42578125" style="2" bestFit="1" customWidth="1"/>
    <col min="13" max="13" width="17.140625" style="2" customWidth="1"/>
    <col min="14" max="14" width="12.42578125" style="2" customWidth="1"/>
    <col min="15" max="15" width="12.5703125" style="2" customWidth="1"/>
    <col min="16" max="16" width="11" style="2" customWidth="1" collapsed="1"/>
    <col min="17" max="17" width="10.42578125" style="2" customWidth="1"/>
    <col min="18" max="18" width="14.28515625" style="2" customWidth="1"/>
    <col min="19" max="19" width="15.5703125" style="2" customWidth="1"/>
    <col min="20" max="20" width="13" style="2" customWidth="1"/>
    <col min="21" max="21" width="14.28515625" style="2" customWidth="1"/>
    <col min="22" max="23" width="13.140625" style="2" customWidth="1"/>
    <col min="24" max="24" width="15" style="2" customWidth="1"/>
    <col min="25" max="26" width="11.85546875" style="2" customWidth="1"/>
    <col min="27" max="30" width="9.140625" style="2" customWidth="1"/>
    <col min="31" max="16384" width="9.140625" style="2"/>
  </cols>
  <sheetData>
    <row r="1" spans="1:32" x14ac:dyDescent="0.25">
      <c r="A1" s="81"/>
      <c r="B1" s="81"/>
      <c r="C1" s="81"/>
      <c r="D1" s="81"/>
      <c r="E1" s="82"/>
      <c r="F1" s="82"/>
      <c r="G1" s="28"/>
      <c r="L1" s="1"/>
      <c r="P1" s="1"/>
    </row>
    <row r="2" spans="1:32" ht="24.75" customHeight="1" x14ac:dyDescent="0.25">
      <c r="A2" s="91"/>
      <c r="B2" s="91"/>
      <c r="C2" s="92"/>
      <c r="D2" s="8"/>
      <c r="E2" s="9"/>
      <c r="F2" s="7"/>
      <c r="G2" s="7"/>
      <c r="L2" s="25"/>
    </row>
    <row r="3" spans="1:32" ht="24.75" customHeight="1" x14ac:dyDescent="0.25">
      <c r="A3" s="91"/>
      <c r="B3" s="91"/>
      <c r="C3" s="92"/>
      <c r="D3" s="8"/>
      <c r="E3" s="9"/>
      <c r="F3" s="7"/>
      <c r="G3" s="7"/>
    </row>
    <row r="4" spans="1:32" ht="24.75" customHeight="1" x14ac:dyDescent="0.25">
      <c r="A4" s="93"/>
      <c r="B4" s="93"/>
      <c r="C4" s="93"/>
      <c r="D4" s="10"/>
      <c r="E4" s="9"/>
      <c r="F4" s="7"/>
      <c r="G4" s="7"/>
    </row>
    <row r="5" spans="1:32" ht="24.75" customHeight="1" x14ac:dyDescent="0.25">
      <c r="A5" s="94"/>
      <c r="B5" s="94"/>
      <c r="C5" s="95"/>
      <c r="D5" s="11"/>
      <c r="E5" s="12"/>
      <c r="F5" s="13"/>
      <c r="G5" s="13"/>
    </row>
    <row r="6" spans="1:32" ht="20.25" customHeight="1" x14ac:dyDescent="0.25">
      <c r="A6" s="87"/>
      <c r="B6" s="87"/>
      <c r="C6" s="88"/>
      <c r="D6" s="83"/>
      <c r="E6" s="84"/>
      <c r="F6" s="7"/>
      <c r="G6" s="7"/>
    </row>
    <row r="7" spans="1:32" x14ac:dyDescent="0.25">
      <c r="A7" s="89"/>
      <c r="B7" s="89"/>
      <c r="C7" s="90"/>
      <c r="D7" s="85"/>
      <c r="E7" s="86"/>
      <c r="F7" s="7"/>
      <c r="G7" s="7"/>
    </row>
    <row r="8" spans="1:32" ht="17.25" thickBot="1" x14ac:dyDescent="0.3"/>
    <row r="9" spans="1:32" s="23" customFormat="1" ht="16.5" customHeight="1" thickTop="1" x14ac:dyDescent="0.25">
      <c r="A9" s="97"/>
      <c r="B9" s="98"/>
      <c r="C9" s="99"/>
      <c r="D9" s="100" t="s">
        <v>3</v>
      </c>
      <c r="E9" s="101"/>
      <c r="F9" s="101"/>
      <c r="G9" s="101"/>
      <c r="H9" s="101"/>
      <c r="I9" s="102"/>
      <c r="J9" s="78" t="s">
        <v>4</v>
      </c>
      <c r="K9" s="79"/>
      <c r="L9" s="79"/>
      <c r="M9" s="80"/>
      <c r="N9" s="78"/>
      <c r="O9" s="79"/>
      <c r="P9" s="80"/>
      <c r="Q9" s="78"/>
      <c r="R9" s="80"/>
      <c r="S9" s="78" t="s">
        <v>36</v>
      </c>
      <c r="T9" s="80"/>
      <c r="U9" s="78" t="s">
        <v>26</v>
      </c>
      <c r="V9" s="79"/>
      <c r="W9" s="79"/>
      <c r="X9" s="80"/>
      <c r="Y9" s="78" t="s">
        <v>44</v>
      </c>
      <c r="Z9" s="79"/>
      <c r="AA9" s="80"/>
      <c r="AB9" s="78" t="s">
        <v>10</v>
      </c>
      <c r="AC9" s="79"/>
      <c r="AD9" s="79"/>
      <c r="AE9" s="80"/>
    </row>
    <row r="10" spans="1:32" s="22" customFormat="1" ht="49.5" x14ac:dyDescent="0.25">
      <c r="A10" s="14" t="s">
        <v>1</v>
      </c>
      <c r="B10" s="73" t="s">
        <v>5</v>
      </c>
      <c r="C10" s="42" t="s">
        <v>37</v>
      </c>
      <c r="D10" s="15" t="s">
        <v>18</v>
      </c>
      <c r="E10" s="16" t="s">
        <v>14</v>
      </c>
      <c r="F10" s="16" t="s">
        <v>11</v>
      </c>
      <c r="G10" s="73" t="s">
        <v>16</v>
      </c>
      <c r="H10" s="70" t="s">
        <v>34</v>
      </c>
      <c r="I10" s="74" t="s">
        <v>35</v>
      </c>
      <c r="J10" s="17" t="s">
        <v>17</v>
      </c>
      <c r="K10" s="16" t="s">
        <v>13</v>
      </c>
      <c r="L10" s="16" t="s">
        <v>12</v>
      </c>
      <c r="M10" s="20" t="s">
        <v>20</v>
      </c>
      <c r="N10" s="17" t="s">
        <v>15</v>
      </c>
      <c r="O10" s="19" t="s">
        <v>19</v>
      </c>
      <c r="P10" s="77" t="s">
        <v>24</v>
      </c>
      <c r="Q10" s="19" t="s">
        <v>33</v>
      </c>
      <c r="R10" s="20" t="s">
        <v>25</v>
      </c>
      <c r="S10" s="15" t="s">
        <v>30</v>
      </c>
      <c r="T10" s="20" t="s">
        <v>29</v>
      </c>
      <c r="U10" s="18" t="s">
        <v>32</v>
      </c>
      <c r="V10" s="17" t="s">
        <v>31</v>
      </c>
      <c r="W10" s="19" t="s">
        <v>27</v>
      </c>
      <c r="X10" s="20" t="s">
        <v>28</v>
      </c>
      <c r="Y10" s="19" t="s">
        <v>41</v>
      </c>
      <c r="Z10" s="19" t="s">
        <v>42</v>
      </c>
      <c r="AA10" s="20" t="s">
        <v>43</v>
      </c>
      <c r="AB10" s="26" t="s">
        <v>6</v>
      </c>
      <c r="AC10" s="16" t="s">
        <v>7</v>
      </c>
      <c r="AD10" s="16" t="s">
        <v>8</v>
      </c>
      <c r="AE10" s="20" t="s">
        <v>9</v>
      </c>
      <c r="AF10" s="21"/>
    </row>
    <row r="11" spans="1:32" s="1" customFormat="1" ht="33" customHeight="1" x14ac:dyDescent="0.25">
      <c r="A11" s="43">
        <f>IF(ISBLANK(Таблица8[[#This Row],[Эмитент]]),"",ROW()-10)</f>
        <v>1</v>
      </c>
      <c r="B11" s="43" t="s">
        <v>40</v>
      </c>
      <c r="C11" s="44" t="s">
        <v>39</v>
      </c>
      <c r="D11" s="40">
        <v>43998</v>
      </c>
      <c r="E11" s="39">
        <v>3</v>
      </c>
      <c r="F11" s="39">
        <v>100</v>
      </c>
      <c r="G11" s="49">
        <f>IF(Таблица8[[#This Row],[Эмитент]]="","",IF(Таблица8[[#This Row],[Цена акции (+)]]="-","-",IF(Таблица8[[#This Row],[Цена акции (+)]]="0","0",Таблица8[[#This Row],[Цена акции (+)]]*Таблица8[[#This Row],[Количество (+)]])))</f>
        <v>300</v>
      </c>
      <c r="H11" s="71" t="str">
        <f>IF(Таблица8[[#This Row],[Эмитент]]="","","-")</f>
        <v>-</v>
      </c>
      <c r="I11" s="76" t="str">
        <f>IF(Таблица8[[#This Row],[Эмитент]]="","","-")</f>
        <v>-</v>
      </c>
      <c r="J11" s="40">
        <v>44018</v>
      </c>
      <c r="K11" s="39">
        <f>IF(Таблица8[[#This Row],[Дата (-)]]="-","-",Таблица8[[#This Row],[Количество (+)]])</f>
        <v>3</v>
      </c>
      <c r="L11" s="39">
        <v>111</v>
      </c>
      <c r="M11" s="45">
        <f>IF(Таблица8[[#This Row],[Эмитент]]="","",IF(Таблица8[[#This Row],[Цена акции (-)]]="-","-",Таблица8[[#This Row],[Цена акции (-)]]*Таблица8[[#This Row],[Количество (-)]]))</f>
        <v>333</v>
      </c>
      <c r="N11" s="46">
        <f>IF(Таблица8[[#This Row],[Эмитент]]="","",IF(Таблица8[[#This Row],[Сумма (+)]]="-","-",IF(Таблица8[[#This Row],[Сумма (+)]]="","0",Таблица8[[#This Row],[Сумма (+)]]/100*0.06)))</f>
        <v>0.18</v>
      </c>
      <c r="O11" s="47">
        <f>IF(Таблица8[[#This Row],[Эмитент]]="","",IF(Таблица8[[#This Row],[Сумма (-)]]="-","-",IF(Таблица8[[#This Row],[Сумма (-)]]="","0",Таблица8[[#This Row],[Сумма (-)]]/100*0.06)))</f>
        <v>0.19980000000000001</v>
      </c>
      <c r="P11" s="48">
        <f>IF(Таблица8[[#This Row],[Позиция]]="Long",IF(Таблица8[[#This Row],[Цена акции (+)]]&lt;Таблица8[[#This Row],[Цена акции (-)]],(Таблица8[[#This Row],[Сумма (-)]]-Таблица8[[#This Row],[Сумма (+)]])*13%,"-"),IF(Таблица8[[#This Row],[Позиция]]="Short",IF(Таблица8[[#This Row],[Цена акции (+)]]&gt;Таблица8[[#This Row],[Цена акции (-)]],(Таблица8[[#This Row],[Сумма (+)]]-Таблица8[[#This Row],[Сумма (-)]])*13%,"-"),""))</f>
        <v>4.29</v>
      </c>
      <c r="Q11" s="41">
        <f>IF(Таблица8[[#This Row],[Дата (-)]]="","",IF(Таблица8[[#This Row],[Дата (+)]]="-","-",IF(Таблица8[[#This Row],[.]]="Активна",_xlfn.DAYS($A$1,Таблица8[[#This Row],[Дата (+)]]),_xlfn.DAYS(Таблица8[[#This Row],[Дата (-)]],Таблица8[[#This Row],[Дата (+)]]))))</f>
        <v>20</v>
      </c>
      <c r="R11" s="44" t="str">
        <f>IF(Таблица8[[#This Row],[Эмитент]]="","",IF(Таблица8[[#This Row],[Сумма (-)]]="-","Активна","Закрыта"))</f>
        <v>Закрыта</v>
      </c>
      <c r="S11" s="68">
        <f>IF(Таблица8[[#This Row],[Эмитент]]="","",IF(Таблица8[[#This Row],[Цена акции (-)]]="-","-",IF(Таблица8[[#This Row],[Цена акции (-)]]="0","0",Таблица8[[#This Row],[Сумма (-)]]-Таблица8[[#This Row],[Jt, 10%]]-Таблица8[[#This Row],[Сумма (+)]]-(Таблица8[[#This Row],[Комиссия (+)]]+Таблица8[[#This Row],[Комиссия (-)]]))))</f>
        <v>29.320199999999989</v>
      </c>
      <c r="T11" s="50">
        <f>IF(Таблица8[[#This Row],[Эмитент]]="","",IF(Таблица8[[#This Row],[Сумма (-)]]="-","-",IF(Таблица8[[#This Row],[Сумма (-)]]="0","0",Таблица8[[#This Row],[Прибыль/убыток, руб.]]/Таблица8[[#This Row],[Сумма (+)]])))</f>
        <v>9.773399999999996E-2</v>
      </c>
      <c r="U11" s="40" t="s">
        <v>2</v>
      </c>
      <c r="V11" s="49" t="s">
        <v>2</v>
      </c>
      <c r="W11" s="49" t="s">
        <v>2</v>
      </c>
      <c r="X11" s="50" t="s">
        <v>2</v>
      </c>
      <c r="Y11" s="51">
        <f>IF(Таблица8[[#This Row],[Эмитент]]="","",IF(Таблица8[[#This Row],[Сумма (-)]]="-","-",(Таблица8[[#This Row],[Сумма (-)]]/Таблица8[[#This Row],[Сумма (+)]])-100%))</f>
        <v>0.1100000000000001</v>
      </c>
      <c r="Z11" s="49">
        <f>IF(Таблица8[[#This Row],[Эмитент]]="","",IF(Таблица8[[#This Row],[Сумма (-)]]="-","-",(Таблица8[[#This Row],[Сумма (-)]]-Таблица8[[#This Row],[Сумма (+)]])/100*10))</f>
        <v>3.3000000000000003</v>
      </c>
      <c r="AA11" s="44" t="str">
        <f>IF(Таблица8[[#This Row],[Эмитент]]="","","Не оплачено")</f>
        <v>Не оплачено</v>
      </c>
      <c r="AB11" s="52" t="str">
        <f>TEXT(Таблица8[[#This Row],[Дата (+)]],"ММММ")</f>
        <v>Июнь</v>
      </c>
      <c r="AC11" s="43">
        <f>IF(Таблица8[[#This Row],[Эмитент]]="","",IF(Таблица8[[#This Row],[Эмитент]]="-","-",IF(Таблица8[[#This Row],[Дата (+)]]="-","-",YEAR(Таблица8[[#This Row],[Дата (+)]]))))</f>
        <v>2020</v>
      </c>
      <c r="AD11" s="43" t="str">
        <f>TEXT(Таблица8[[#This Row],[Дата (-)]],"ММММ")</f>
        <v>Июль</v>
      </c>
      <c r="AE11" s="44">
        <f>IF(Таблица8[[#This Row],[Дата (-)]]="-","-",IF(Таблица8[[#This Row],[Эмитент]]="","",YEAR(Таблица8[[#This Row],[Дата (-)]])))</f>
        <v>2020</v>
      </c>
    </row>
    <row r="12" spans="1:32" ht="49.5" x14ac:dyDescent="0.25">
      <c r="A12" s="43">
        <f>IF(ISBLANK(Таблица8[[#This Row],[Эмитент]]),"",ROW()-10)</f>
        <v>2</v>
      </c>
      <c r="B12" s="43" t="s">
        <v>40</v>
      </c>
      <c r="C12" s="44" t="s">
        <v>38</v>
      </c>
      <c r="D12" s="40">
        <v>43998</v>
      </c>
      <c r="E12" s="39">
        <v>3</v>
      </c>
      <c r="F12" s="39">
        <v>90</v>
      </c>
      <c r="G12" s="49">
        <f>IF(Таблица8[[#This Row],[Эмитент]]="","",IF(Таблица8[[#This Row],[Цена акции (+)]]="-","-",IF(Таблица8[[#This Row],[Цена акции (+)]]="0","0",Таблица8[[#This Row],[Цена акции (+)]]*Таблица8[[#This Row],[Количество (+)]])))</f>
        <v>270</v>
      </c>
      <c r="H12" s="71" t="str">
        <f>IF(Таблица8[[#This Row],[Эмитент]]="","","-")</f>
        <v>-</v>
      </c>
      <c r="I12" s="76" t="str">
        <f>IF(Таблица8[[#This Row],[Эмитент]]="","","-")</f>
        <v>-</v>
      </c>
      <c r="J12" s="40">
        <v>44137</v>
      </c>
      <c r="K12" s="39">
        <f>IF(Таблица8[[#This Row],[Дата (-)]]="-","-",Таблица8[[#This Row],[Количество (+)]])</f>
        <v>3</v>
      </c>
      <c r="L12" s="39">
        <v>85</v>
      </c>
      <c r="M12" s="45">
        <f>IF(Таблица8[[#This Row],[Эмитент]]="","",IF(Таблица8[[#This Row],[Цена акции (-)]]="-","-",Таблица8[[#This Row],[Цена акции (-)]]*Таблица8[[#This Row],[Количество (-)]]))</f>
        <v>255</v>
      </c>
      <c r="N12" s="46">
        <f>IF(Таблица8[[#This Row],[Эмитент]]="","",IF(Таблица8[[#This Row],[Сумма (+)]]="-","-",IF(Таблица8[[#This Row],[Сумма (+)]]="","0",Таблица8[[#This Row],[Сумма (+)]]/100*0.06)))</f>
        <v>0.16200000000000001</v>
      </c>
      <c r="O12" s="47">
        <f>IF(Таблица8[[#This Row],[Эмитент]]="","",IF(Таблица8[[#This Row],[Сумма (-)]]="-","-",IF(Таблица8[[#This Row],[Сумма (-)]]="","0",Таблица8[[#This Row],[Сумма (-)]]/100*0.06)))</f>
        <v>0.153</v>
      </c>
      <c r="P12" s="48">
        <f>IF(Таблица8[[#This Row],[Позиция]]="Long",IF(Таблица8[[#This Row],[Цена акции (+)]]&lt;Таблица8[[#This Row],[Цена акции (-)]],(Таблица8[[#This Row],[Сумма (-)]]-Таблица8[[#This Row],[Сумма (+)]])*13%,"-"),IF(Таблица8[[#This Row],[Позиция]]="Short",IF(Таблица8[[#This Row],[Цена акции (+)]]&gt;Таблица8[[#This Row],[Цена акции (-)]],(Таблица8[[#This Row],[Сумма (+)]]-Таблица8[[#This Row],[Сумма (-)]])*13%,"-"),""))</f>
        <v>1.9500000000000002</v>
      </c>
      <c r="Q12" s="41">
        <f>IF(Таблица8[[#This Row],[Дата (-)]]="","",IF(Таблица8[[#This Row],[Дата (+)]]="-","-",IF(Таблица8[[#This Row],[.]]="Активна",_xlfn.DAYS($A$1,Таблица8[[#This Row],[Дата (+)]]),_xlfn.DAYS(Таблица8[[#This Row],[Дата (-)]],Таблица8[[#This Row],[Дата (+)]]))))</f>
        <v>139</v>
      </c>
      <c r="R12" s="54" t="str">
        <f>IF(Таблица8[[#This Row],[Эмитент]]="","",IF(Таблица8[[#This Row],[Сумма (-)]]="-","Активна","Закрыта"))</f>
        <v>Закрыта</v>
      </c>
      <c r="S12" s="68">
        <f>IF(Таблица8[[#This Row],[Эмитент]]="","",IF(Таблица8[[#This Row],[Цена акции (-)]]="-","-",IF(Таблица8[[#This Row],[Цена акции (-)]]="0","0",Таблица8[[#This Row],[Сумма (-)]]-Таблица8[[#This Row],[Jt, 10%]]-Таблица8[[#This Row],[Сумма (+)]]-(Таблица8[[#This Row],[Комиссия (+)]]+Таблица8[[#This Row],[Комиссия (-)]]))))</f>
        <v>-13.815</v>
      </c>
      <c r="T12" s="50">
        <f>IF(Таблица8[[#This Row],[Эмитент]]="","",IF(Таблица8[[#This Row],[Сумма (-)]]="-","-",IF(Таблица8[[#This Row],[Сумма (-)]]="0","0",Таблица8[[#This Row],[Прибыль/убыток, руб.]]/Таблица8[[#This Row],[Сумма (+)]])))</f>
        <v>-5.1166666666666666E-2</v>
      </c>
      <c r="U12" s="51" t="str">
        <f>IF(Таблица8[[#This Row],[Эмитент]]="","","-")</f>
        <v>-</v>
      </c>
      <c r="V12" s="49" t="str">
        <f>IF(Таблица8[[#This Row],[Эмитент]]="","","-")</f>
        <v>-</v>
      </c>
      <c r="W12" s="49" t="str">
        <f>IF(Таблица8[[#This Row],[Эмитент]]="","",IF(Таблица8[[#This Row],[Дата выплаты]]="-","-",(Таблица8[[#This Row],[Выплата на 1 акцию]]*Таблица8[[#This Row],[Количество (+)]])-((Таблица8[[#This Row],[Выплата на 1 акцию]]*Таблица8[[#This Row],[Количество (+)]])/100*13)))</f>
        <v>-</v>
      </c>
      <c r="X12" s="45" t="str">
        <f>IF(Таблица8[[#This Row],[Эмитент]]="","",IF(Таблица8[[#This Row],[Дата выплаты]]="-","-",Таблица8[[#This Row],[в руб.]]/Таблица8[[#This Row],[Сумма (+)]]))</f>
        <v>-</v>
      </c>
      <c r="Y12" s="51">
        <f>IF(Таблица8[[#This Row],[Эмитент]]="","",IF(Таблица8[[#This Row],[Сумма (-)]]="-","-",(Таблица8[[#This Row],[Сумма (-)]]/Таблица8[[#This Row],[Сумма (+)]])-100%))</f>
        <v>-5.555555555555558E-2</v>
      </c>
      <c r="Z12" s="49">
        <f>IF(Таблица8[[#This Row],[Эмитент]]="","",IF(Таблица8[[#This Row],[Сумма (-)]]="-","-",(Таблица8[[#This Row],[Сумма (-)]]-Таблица8[[#This Row],[Сумма (+)]])/100*10))</f>
        <v>-1.5</v>
      </c>
      <c r="AA12" s="54" t="str">
        <f>IF(Таблица8[[#This Row],[Эмитент]]="","","Не оплачено")</f>
        <v>Не оплачено</v>
      </c>
      <c r="AB12" s="52" t="str">
        <f>TEXT(Таблица8[[#This Row],[Дата (+)]],"ММММ")</f>
        <v>Июнь</v>
      </c>
      <c r="AC12" s="53">
        <f>IF(Таблица8[[#This Row],[Эмитент]]="","",IF(Таблица8[[#This Row],[Эмитент]]="-","-",IF(Таблица8[[#This Row],[Дата (+)]]="-","-",YEAR(Таблица8[[#This Row],[Дата (+)]]))))</f>
        <v>2020</v>
      </c>
      <c r="AD12" s="43" t="str">
        <f>TEXT(Таблица8[[#This Row],[Дата (-)]],"ММММ")</f>
        <v>Ноябрь</v>
      </c>
      <c r="AE12" s="44">
        <f>IF(Таблица8[[#This Row],[Дата (-)]]="-","-",IF(Таблица8[[#This Row],[Эмитент]]="","",YEAR(Таблица8[[#This Row],[Дата (-)]])))</f>
        <v>2020</v>
      </c>
    </row>
    <row r="13" spans="1:32" ht="17.25" customHeight="1" x14ac:dyDescent="0.25">
      <c r="A13" s="53" t="str">
        <f>IF(ISBLANK(Таблица8[[#This Row],[Эмитент]]),"",ROW()-10)</f>
        <v/>
      </c>
      <c r="B13" s="43"/>
      <c r="C13" s="44" t="str">
        <f>IF(Таблица8[[#This Row],[Эмитент]]="","","-")</f>
        <v/>
      </c>
      <c r="D13" s="40" t="str">
        <f>IF(Таблица8[[#This Row],[Эмитент]]="","","-")</f>
        <v/>
      </c>
      <c r="E13" s="39" t="str">
        <f>IF(Таблица8[[#This Row],[Эмитент]]="","","-")</f>
        <v/>
      </c>
      <c r="F13" s="39" t="str">
        <f>IF(Таблица8[[#This Row],[Эмитент]]="","","-")</f>
        <v/>
      </c>
      <c r="G13" s="49" t="str">
        <f>IF(Таблица8[[#This Row],[Эмитент]]="","",IF(Таблица8[[#This Row],[Цена акции (+)]]="-","-",IF(Таблица8[[#This Row],[Цена акции (+)]]="0","0",Таблица8[[#This Row],[Цена акции (+)]]*Таблица8[[#This Row],[Количество (+)]])))</f>
        <v/>
      </c>
      <c r="H13" s="71" t="str">
        <f>IF(Таблица8[[#This Row],[Эмитент]]="","","-")</f>
        <v/>
      </c>
      <c r="I13" s="76" t="str">
        <f>IF(Таблица8[[#This Row],[Эмитент]]="","","-")</f>
        <v/>
      </c>
      <c r="J13" s="40" t="str">
        <f>IF(Таблица8[[#This Row],[Эмитент]]="","","-")</f>
        <v/>
      </c>
      <c r="K13" s="39" t="str">
        <f>IF(Таблица8[[#This Row],[Дата (-)]]="-","-",Таблица8[[#This Row],[Количество (+)]])</f>
        <v/>
      </c>
      <c r="L13" s="39" t="str">
        <f>IF(Таблица8[[#This Row],[Эмитент]]="","","-")</f>
        <v/>
      </c>
      <c r="M13" s="45" t="str">
        <f>IF(Таблица8[[#This Row],[Эмитент]]="","",IF(Таблица8[[#This Row],[Цена акции (-)]]="-","-",Таблица8[[#This Row],[Цена акции (-)]]*Таблица8[[#This Row],[Количество (-)]]))</f>
        <v/>
      </c>
      <c r="N13" s="46" t="str">
        <f>IF(Таблица8[[#This Row],[Эмитент]]="","",IF(Таблица8[[#This Row],[Сумма (+)]]="-","-",IF(Таблица8[[#This Row],[Сумма (+)]]="","0",Таблица8[[#This Row],[Сумма (+)]]/100*0.06)))</f>
        <v/>
      </c>
      <c r="O13" s="47" t="str">
        <f>IF(Таблица8[[#This Row],[Эмитент]]="","",IF(Таблица8[[#This Row],[Сумма (-)]]="-","-",IF(Таблица8[[#This Row],[Сумма (-)]]="","0",Таблица8[[#This Row],[Сумма (-)]]/100*0.06)))</f>
        <v/>
      </c>
      <c r="P13" s="48" t="str">
        <f>IF(Таблица8[[#This Row],[Позиция]]="Long",IF(Таблица8[[#This Row],[Цена акции (+)]]&lt;Таблица8[[#This Row],[Цена акции (-)]],(Таблица8[[#This Row],[Сумма (-)]]-Таблица8[[#This Row],[Сумма (+)]])*13%,"-"),IF(Таблица8[[#This Row],[Позиция]]="Short",IF(Таблица8[[#This Row],[Цена акции (+)]]&gt;Таблица8[[#This Row],[Цена акции (-)]],(Таблица8[[#This Row],[Сумма (+)]]-Таблица8[[#This Row],[Сумма (-)]])*13%,"-"),""))</f>
        <v/>
      </c>
      <c r="Q13" s="41" t="str">
        <f>IF(Таблица8[[#This Row],[Дата (-)]]="","",IF(Таблица8[[#This Row],[Дата (+)]]="-","-",IF(Таблица8[[#This Row],[.]]="Активна",_xlfn.DAYS($A$1,Таблица8[[#This Row],[Дата (+)]]),_xlfn.DAYS(Таблица8[[#This Row],[Дата (-)]],Таблица8[[#This Row],[Дата (+)]]))))</f>
        <v/>
      </c>
      <c r="R13" s="54" t="str">
        <f>IF(Таблица8[[#This Row],[Эмитент]]="","",IF(Таблица8[[#This Row],[Сумма (-)]]="-","Активна","Закрыта"))</f>
        <v/>
      </c>
      <c r="S13" s="68" t="str">
        <f>IF(Таблица8[[#This Row],[Эмитент]]="","",IF(Таблица8[[#This Row],[Цена акции (-)]]="-","-",IF(Таблица8[[#This Row],[Цена акции (-)]]="0","0",Таблица8[[#This Row],[Сумма (-)]]-Таблица8[[#This Row],[Jt, 10%]]-Таблица8[[#This Row],[Сумма (+)]]-(Таблица8[[#This Row],[Комиссия (+)]]+Таблица8[[#This Row],[Комиссия (-)]]))))</f>
        <v/>
      </c>
      <c r="T13" s="50" t="str">
        <f>IF(Таблица8[[#This Row],[Эмитент]]="","",IF(Таблица8[[#This Row],[Сумма (-)]]="-","-",IF(Таблица8[[#This Row],[Сумма (-)]]="0","0",Таблица8[[#This Row],[Прибыль/убыток, руб.]]/Таблица8[[#This Row],[Сумма (+)]])))</f>
        <v/>
      </c>
      <c r="U13" s="51" t="str">
        <f>IF(Таблица8[[#This Row],[Эмитент]]="","","-")</f>
        <v/>
      </c>
      <c r="V13" s="49" t="str">
        <f>IF(Таблица8[[#This Row],[Эмитент]]="","","-")</f>
        <v/>
      </c>
      <c r="W13" s="49" t="str">
        <f>IF(Таблица8[[#This Row],[Эмитент]]="","",IF(Таблица8[[#This Row],[Дата выплаты]]="-","-",(Таблица8[[#This Row],[Выплата на 1 акцию]]*Таблица8[[#This Row],[Количество (+)]])-((Таблица8[[#This Row],[Выплата на 1 акцию]]*Таблица8[[#This Row],[Количество (+)]])/100*13)))</f>
        <v/>
      </c>
      <c r="X13" s="50" t="str">
        <f>IF(Таблица8[[#This Row],[Эмитент]]="","",IF(Таблица8[[#This Row],[Дата выплаты]]="-","-",Таблица8[[#This Row],[в руб.]]/Таблица8[[#This Row],[Сумма (+)]]))</f>
        <v/>
      </c>
      <c r="Y13" s="51" t="str">
        <f>IF(Таблица8[[#This Row],[Эмитент]]="","",IF(Таблица8[[#This Row],[Сумма (-)]]="-","-",(Таблица8[[#This Row],[Сумма (-)]]/Таблица8[[#This Row],[Сумма (+)]])-100%))</f>
        <v/>
      </c>
      <c r="Z13" s="55" t="str">
        <f>IF(Таблица8[[#This Row],[Эмитент]]="","",IF(Таблица8[[#This Row],[Сумма (-)]]="-","-",(Таблица8[[#This Row],[Сумма (-)]]-Таблица8[[#This Row],[Сумма (+)]])/100*10))</f>
        <v/>
      </c>
      <c r="AA13" s="54" t="str">
        <f>IF(Таблица8[[#This Row],[Эмитент]]="","","Не оплачено")</f>
        <v/>
      </c>
      <c r="AB13" s="52" t="str">
        <f>TEXT(Таблица8[[#This Row],[Дата (+)]],"ММММ")</f>
        <v/>
      </c>
      <c r="AC13" s="53" t="str">
        <f>IF(Таблица8[[#This Row],[Эмитент]]="","",IF(Таблица8[[#This Row],[Эмитент]]="-","-",IF(Таблица8[[#This Row],[Дата (+)]]="-","-",YEAR(Таблица8[[#This Row],[Дата (+)]]))))</f>
        <v/>
      </c>
      <c r="AD13" s="43" t="str">
        <f>TEXT(Таблица8[[#This Row],[Дата (-)]],"ММММ")</f>
        <v/>
      </c>
      <c r="AE13" s="44" t="str">
        <f>IF(Таблица8[[#This Row],[Дата (-)]]="-","-",IF(Таблица8[[#This Row],[Эмитент]]="","",YEAR(Таблица8[[#This Row],[Дата (-)]])))</f>
        <v/>
      </c>
    </row>
    <row r="14" spans="1:32" x14ac:dyDescent="0.25">
      <c r="A14" s="53" t="str">
        <f>IF(ISBLANK(Таблица8[[#This Row],[Эмитент]]),"",ROW()-10)</f>
        <v/>
      </c>
      <c r="B14" s="43"/>
      <c r="C14" s="44"/>
      <c r="D14" s="40" t="str">
        <f>IF(Таблица8[[#This Row],[Эмитент]]="","","-")</f>
        <v/>
      </c>
      <c r="E14" s="39" t="str">
        <f>IF(Таблица8[[#This Row],[Эмитент]]="","","-")</f>
        <v/>
      </c>
      <c r="F14" s="39" t="str">
        <f>IF(Таблица8[[#This Row],[Эмитент]]="","","-")</f>
        <v/>
      </c>
      <c r="G14" s="49" t="str">
        <f>IF(Таблица8[[#This Row],[Эмитент]]="","",IF(Таблица8[[#This Row],[Цена акции (+)]]="-","-",IF(Таблица8[[#This Row],[Цена акции (+)]]="0","0",Таблица8[[#This Row],[Цена акции (+)]]*Таблица8[[#This Row],[Количество (+)]])))</f>
        <v/>
      </c>
      <c r="H14" s="71" t="str">
        <f>IF(Таблица8[[#This Row],[Эмитент]]="","","-")</f>
        <v/>
      </c>
      <c r="I14" s="76" t="str">
        <f>IF(Таблица8[[#This Row],[Эмитент]]="","","-")</f>
        <v/>
      </c>
      <c r="J14" s="40" t="str">
        <f>IF(Таблица8[[#This Row],[Эмитент]]="","","-")</f>
        <v/>
      </c>
      <c r="K14" s="39" t="str">
        <f>IF(Таблица8[[#This Row],[Дата (-)]]="-","-",Таблица8[[#This Row],[Количество (+)]])</f>
        <v/>
      </c>
      <c r="L14" s="39" t="str">
        <f>IF(Таблица8[[#This Row],[Эмитент]]="","","-")</f>
        <v/>
      </c>
      <c r="M14" s="45" t="str">
        <f>IF(Таблица8[[#This Row],[Эмитент]]="","",IF(Таблица8[[#This Row],[Цена акции (-)]]="-","-",Таблица8[[#This Row],[Цена акции (-)]]*Таблица8[[#This Row],[Количество (-)]]))</f>
        <v/>
      </c>
      <c r="N14" s="46" t="str">
        <f>IF(Таблица8[[#This Row],[Эмитент]]="","",IF(Таблица8[[#This Row],[Сумма (+)]]="-","-",IF(Таблица8[[#This Row],[Сумма (+)]]="","0",Таблица8[[#This Row],[Сумма (+)]]/100*0.06)))</f>
        <v/>
      </c>
      <c r="O14" s="47" t="str">
        <f>IF(Таблица8[[#This Row],[Эмитент]]="","",IF(Таблица8[[#This Row],[Сумма (-)]]="-","-",IF(Таблица8[[#This Row],[Сумма (-)]]="","0",Таблица8[[#This Row],[Сумма (-)]]/100*0.06)))</f>
        <v/>
      </c>
      <c r="P14" s="48" t="str">
        <f>IF(Таблица8[[#This Row],[Позиция]]="Long",IF(Таблица8[[#This Row],[Цена акции (+)]]&lt;Таблица8[[#This Row],[Цена акции (-)]],(Таблица8[[#This Row],[Сумма (-)]]-Таблица8[[#This Row],[Сумма (+)]])*13%,"-"),IF(Таблица8[[#This Row],[Позиция]]="Short",IF(Таблица8[[#This Row],[Цена акции (+)]]&gt;Таблица8[[#This Row],[Цена акции (-)]],(Таблица8[[#This Row],[Сумма (+)]]-Таблица8[[#This Row],[Сумма (-)]])*13%,"-"),""))</f>
        <v/>
      </c>
      <c r="Q14" s="41" t="str">
        <f>IF(Таблица8[[#This Row],[Дата (-)]]="","",IF(Таблица8[[#This Row],[Дата (+)]]="-","-",IF(Таблица8[[#This Row],[.]]="Активна",_xlfn.DAYS($A$1,Таблица8[[#This Row],[Дата (+)]]),_xlfn.DAYS(Таблица8[[#This Row],[Дата (-)]],Таблица8[[#This Row],[Дата (+)]]))))</f>
        <v/>
      </c>
      <c r="R14" s="48" t="str">
        <f>IF(Таблица8[[#This Row],[Эмитент]]="","",IF(Таблица8[[#This Row],[Сумма (-)]]="-","Активна","Закрыта"))</f>
        <v/>
      </c>
      <c r="S14" s="68" t="str">
        <f>IF(Таблица8[[#This Row],[Эмитент]]="","",IF(Таблица8[[#This Row],[Цена акции (-)]]="-","-",IF(Таблица8[[#This Row],[Цена акции (-)]]="0","0",Таблица8[[#This Row],[Сумма (-)]]-Таблица8[[#This Row],[Jt, 10%]]-Таблица8[[#This Row],[Сумма (+)]]-(Таблица8[[#This Row],[Комиссия (+)]]+Таблица8[[#This Row],[Комиссия (-)]]))))</f>
        <v/>
      </c>
      <c r="T14" s="50" t="str">
        <f>IF(Таблица8[[#This Row],[Эмитент]]="","",IF(Таблица8[[#This Row],[Сумма (-)]]="-","-",IF(Таблица8[[#This Row],[Сумма (-)]]="0","0",Таблица8[[#This Row],[Прибыль/убыток, руб.]]/Таблица8[[#This Row],[Сумма (+)]])))</f>
        <v/>
      </c>
      <c r="U14" s="51" t="str">
        <f>IF(Таблица8[[#This Row],[Эмитент]]="","","-")</f>
        <v/>
      </c>
      <c r="V14" s="49" t="str">
        <f>IF(Таблица8[[#This Row],[Эмитент]]="","","-")</f>
        <v/>
      </c>
      <c r="W14" s="49" t="str">
        <f>IF(Таблица8[[#This Row],[Эмитент]]="","",IF(Таблица8[[#This Row],[Дата выплаты]]="-","-",(Таблица8[[#This Row],[Выплата на 1 акцию]]*Таблица8[[#This Row],[Количество (+)]])-((Таблица8[[#This Row],[Выплата на 1 акцию]]*Таблица8[[#This Row],[Количество (+)]])/100*13)))</f>
        <v/>
      </c>
      <c r="X14" s="50" t="str">
        <f>IF(Таблица8[[#This Row],[Эмитент]]="","",IF(Таблица8[[#This Row],[Дата выплаты]]="-","-",Таблица8[[#This Row],[в руб.]]/Таблица8[[#This Row],[Сумма (+)]]))</f>
        <v/>
      </c>
      <c r="Y14" s="51" t="str">
        <f>IF(Таблица8[[#This Row],[Эмитент]]="","",IF(Таблица8[[#This Row],[Сумма (-)]]="-","-",(Таблица8[[#This Row],[Сумма (-)]]/Таблица8[[#This Row],[Сумма (+)]])-100%))</f>
        <v/>
      </c>
      <c r="Z14" s="49" t="str">
        <f>IF(Таблица8[[#This Row],[Эмитент]]="","",IF(Таблица8[[#This Row],[Сумма (-)]]="-","-",(Таблица8[[#This Row],[Сумма (-)]]-Таблица8[[#This Row],[Сумма (+)]])/100*10))</f>
        <v/>
      </c>
      <c r="AA14" s="56" t="str">
        <f>IF(Таблица8[[#This Row],[Эмитент]]="","","Не оплачено")</f>
        <v/>
      </c>
      <c r="AB14" s="52" t="str">
        <f>TEXT(Таблица8[[#This Row],[Дата (+)]],"ММММ")</f>
        <v/>
      </c>
      <c r="AC14" s="53" t="str">
        <f>IF(Таблица8[[#This Row],[Эмитент]]="","",IF(Таблица8[[#This Row],[Эмитент]]="-","-",IF(Таблица8[[#This Row],[Дата (+)]]="-","-",YEAR(Таблица8[[#This Row],[Дата (+)]]))))</f>
        <v/>
      </c>
      <c r="AD14" s="43" t="str">
        <f>TEXT(Таблица8[[#This Row],[Дата (-)]],"ММММ")</f>
        <v/>
      </c>
      <c r="AE14" s="44" t="str">
        <f>IF(Таблица8[[#This Row],[Дата (-)]]="-","-",IF(Таблица8[[#This Row],[Эмитент]]="","",YEAR(Таблица8[[#This Row],[Дата (-)]])))</f>
        <v/>
      </c>
    </row>
    <row r="15" spans="1:32" x14ac:dyDescent="0.25">
      <c r="A15" s="53" t="str">
        <f>IF(ISBLANK(Таблица8[[#This Row],[Эмитент]]),"",ROW()-10)</f>
        <v/>
      </c>
      <c r="B15" s="43"/>
      <c r="C15" s="44" t="str">
        <f>IF(Таблица8[[#This Row],[Эмитент]]="","","-")</f>
        <v/>
      </c>
      <c r="D15" s="40" t="str">
        <f>IF(Таблица8[[#This Row],[Эмитент]]="","","-")</f>
        <v/>
      </c>
      <c r="E15" s="39" t="str">
        <f>IF(Таблица8[[#This Row],[Эмитент]]="","","-")</f>
        <v/>
      </c>
      <c r="F15" s="39" t="str">
        <f>IF(Таблица8[[#This Row],[Эмитент]]="","","-")</f>
        <v/>
      </c>
      <c r="G15" s="49" t="str">
        <f>IF(Таблица8[[#This Row],[Эмитент]]="","",IF(Таблица8[[#This Row],[Цена акции (+)]]="-","-",IF(Таблица8[[#This Row],[Цена акции (+)]]="0","0",Таблица8[[#This Row],[Цена акции (+)]]*Таблица8[[#This Row],[Количество (+)]])))</f>
        <v/>
      </c>
      <c r="H15" s="71" t="str">
        <f>IF(Таблица8[[#This Row],[Эмитент]]="","","-")</f>
        <v/>
      </c>
      <c r="I15" s="76" t="str">
        <f>IF(Таблица8[[#This Row],[Эмитент]]="","","-")</f>
        <v/>
      </c>
      <c r="J15" s="40" t="str">
        <f>IF(Таблица8[[#This Row],[Эмитент]]="","","-")</f>
        <v/>
      </c>
      <c r="K15" s="39" t="str">
        <f>IF(Таблица8[[#This Row],[Дата (-)]]="-","-",Таблица8[[#This Row],[Количество (+)]])</f>
        <v/>
      </c>
      <c r="L15" s="39" t="str">
        <f>IF(Таблица8[[#This Row],[Эмитент]]="","","-")</f>
        <v/>
      </c>
      <c r="M15" s="45" t="str">
        <f>IF(Таблица8[[#This Row],[Эмитент]]="","",IF(Таблица8[[#This Row],[Цена акции (-)]]="-","-",Таблица8[[#This Row],[Цена акции (-)]]*Таблица8[[#This Row],[Количество (-)]]))</f>
        <v/>
      </c>
      <c r="N15" s="46" t="str">
        <f>IF(Таблица8[[#This Row],[Эмитент]]="","",IF(Таблица8[[#This Row],[Сумма (+)]]="-","-",IF(Таблица8[[#This Row],[Сумма (+)]]="","0",Таблица8[[#This Row],[Сумма (+)]]/100*0.06)))</f>
        <v/>
      </c>
      <c r="O15" s="47" t="str">
        <f>IF(Таблица8[[#This Row],[Эмитент]]="","",IF(Таблица8[[#This Row],[Сумма (-)]]="-","-",IF(Таблица8[[#This Row],[Сумма (-)]]="","0",Таблица8[[#This Row],[Сумма (-)]]/100*0.06)))</f>
        <v/>
      </c>
      <c r="P15" s="48" t="str">
        <f>IF(Таблица8[[#This Row],[Позиция]]="Long",IF(Таблица8[[#This Row],[Цена акции (+)]]&lt;Таблица8[[#This Row],[Цена акции (-)]],(Таблица8[[#This Row],[Сумма (-)]]-Таблица8[[#This Row],[Сумма (+)]])*13%,"-"),IF(Таблица8[[#This Row],[Позиция]]="Short",IF(Таблица8[[#This Row],[Цена акции (+)]]&gt;Таблица8[[#This Row],[Цена акции (-)]],(Таблица8[[#This Row],[Сумма (+)]]-Таблица8[[#This Row],[Сумма (-)]])*13%,"-"),""))</f>
        <v/>
      </c>
      <c r="Q15" s="41" t="str">
        <f>IF(Таблица8[[#This Row],[Дата (-)]]="","",IF(Таблица8[[#This Row],[Дата (+)]]="-","-",IF(Таблица8[[#This Row],[.]]="Активна",_xlfn.DAYS($A$1,Таблица8[[#This Row],[Дата (+)]]),_xlfn.DAYS(Таблица8[[#This Row],[Дата (-)]],Таблица8[[#This Row],[Дата (+)]]))))</f>
        <v/>
      </c>
      <c r="R15" s="48" t="str">
        <f>IF(Таблица8[[#This Row],[Эмитент]]="","",IF(Таблица8[[#This Row],[Сумма (-)]]="-","Активна","Закрыта"))</f>
        <v/>
      </c>
      <c r="S15" s="68" t="str">
        <f>IF(Таблица8[[#This Row],[Эмитент]]="","",IF(Таблица8[[#This Row],[Цена акции (-)]]="-","-",IF(Таблица8[[#This Row],[Цена акции (-)]]="0","0",Таблица8[[#This Row],[Сумма (-)]]-Таблица8[[#This Row],[Jt, 10%]]-Таблица8[[#This Row],[Сумма (+)]]-(Таблица8[[#This Row],[Комиссия (+)]]+Таблица8[[#This Row],[Комиссия (-)]]))))</f>
        <v/>
      </c>
      <c r="T15" s="50" t="str">
        <f>IF(Таблица8[[#This Row],[Эмитент]]="","",IF(Таблица8[[#This Row],[Сумма (-)]]="-","-",IF(Таблица8[[#This Row],[Сумма (-)]]="0","0",Таблица8[[#This Row],[Прибыль/убыток, руб.]]/Таблица8[[#This Row],[Сумма (+)]])))</f>
        <v/>
      </c>
      <c r="U15" s="51" t="str">
        <f>IF(Таблица8[[#This Row],[Эмитент]]="","","-")</f>
        <v/>
      </c>
      <c r="V15" s="49" t="str">
        <f>IF(Таблица8[[#This Row],[Эмитент]]="","","-")</f>
        <v/>
      </c>
      <c r="W15" s="49" t="str">
        <f>IF(Таблица8[[#This Row],[Эмитент]]="","",IF(Таблица8[[#This Row],[Дата выплаты]]="-","-",(Таблица8[[#This Row],[Выплата на 1 акцию]]*Таблица8[[#This Row],[Количество (+)]])-((Таблица8[[#This Row],[Выплата на 1 акцию]]*Таблица8[[#This Row],[Количество (+)]])/100*13)))</f>
        <v/>
      </c>
      <c r="X15" s="50" t="str">
        <f>IF(Таблица8[[#This Row],[Эмитент]]="","",IF(Таблица8[[#This Row],[Дата выплаты]]="-","-",Таблица8[[#This Row],[в руб.]]/Таблица8[[#This Row],[Сумма (+)]]))</f>
        <v/>
      </c>
      <c r="Y15" s="51" t="str">
        <f>IF(Таблица8[[#This Row],[Эмитент]]="","",IF(Таблица8[[#This Row],[Сумма (-)]]="-","-",(Таблица8[[#This Row],[Сумма (-)]]/Таблица8[[#This Row],[Сумма (+)]])-100%))</f>
        <v/>
      </c>
      <c r="Z15" s="49" t="str">
        <f>IF(Таблица8[[#This Row],[Эмитент]]="","",IF(Таблица8[[#This Row],[Сумма (-)]]="-","-",(Таблица8[[#This Row],[Сумма (-)]]-Таблица8[[#This Row],[Сумма (+)]])/100*10))</f>
        <v/>
      </c>
      <c r="AA15" s="56" t="str">
        <f>IF(Таблица8[[#This Row],[Эмитент]]="","","Не оплачено")</f>
        <v/>
      </c>
      <c r="AB15" s="52" t="str">
        <f>TEXT(Таблица8[[#This Row],[Дата (+)]],"ММММ")</f>
        <v/>
      </c>
      <c r="AC15" s="53" t="str">
        <f>IF(Таблица8[[#This Row],[Эмитент]]="","",IF(Таблица8[[#This Row],[Эмитент]]="-","-",IF(Таблица8[[#This Row],[Дата (+)]]="-","-",YEAR(Таблица8[[#This Row],[Дата (+)]]))))</f>
        <v/>
      </c>
      <c r="AD15" s="43" t="str">
        <f>TEXT(Таблица8[[#This Row],[Дата (-)]],"ММММ")</f>
        <v/>
      </c>
      <c r="AE15" s="44" t="str">
        <f>IF(Таблица8[[#This Row],[Дата (-)]]="-","-",IF(Таблица8[[#This Row],[Эмитент]]="","",YEAR(Таблица8[[#This Row],[Дата (-)]])))</f>
        <v/>
      </c>
    </row>
    <row r="16" spans="1:32" x14ac:dyDescent="0.25">
      <c r="A16" s="53" t="str">
        <f>IF(ISBLANK(Таблица8[[#This Row],[Эмитент]]),"",ROW()-10)</f>
        <v/>
      </c>
      <c r="B16" s="43"/>
      <c r="C16" s="44" t="str">
        <f>IF(Таблица8[[#This Row],[Эмитент]]="","","-")</f>
        <v/>
      </c>
      <c r="D16" s="40" t="str">
        <f>IF(Таблица8[[#This Row],[Эмитент]]="","","-")</f>
        <v/>
      </c>
      <c r="E16" s="39" t="str">
        <f>IF(Таблица8[[#This Row],[Эмитент]]="","","-")</f>
        <v/>
      </c>
      <c r="F16" s="39" t="str">
        <f>IF(Таблица8[[#This Row],[Эмитент]]="","","-")</f>
        <v/>
      </c>
      <c r="G16" s="49" t="str">
        <f>IF(Таблица8[[#This Row],[Эмитент]]="","",IF(Таблица8[[#This Row],[Цена акции (+)]]="-","-",IF(Таблица8[[#This Row],[Цена акции (+)]]="0","0",Таблица8[[#This Row],[Цена акции (+)]]*Таблица8[[#This Row],[Количество (+)]])))</f>
        <v/>
      </c>
      <c r="H16" s="71" t="str">
        <f>IF(Таблица8[[#This Row],[Эмитент]]="","","-")</f>
        <v/>
      </c>
      <c r="I16" s="76" t="str">
        <f>IF(Таблица8[[#This Row],[Эмитент]]="","","-")</f>
        <v/>
      </c>
      <c r="J16" s="40" t="str">
        <f>IF(Таблица8[[#This Row],[Эмитент]]="","","-")</f>
        <v/>
      </c>
      <c r="K16" s="39" t="str">
        <f>IF(Таблица8[[#This Row],[Дата (-)]]="-","-",Таблица8[[#This Row],[Количество (+)]])</f>
        <v/>
      </c>
      <c r="L16" s="39" t="str">
        <f>IF(Таблица8[[#This Row],[Эмитент]]="","","-")</f>
        <v/>
      </c>
      <c r="M16" s="45" t="str">
        <f>IF(Таблица8[[#This Row],[Эмитент]]="","",IF(Таблица8[[#This Row],[Цена акции (-)]]="-","-",Таблица8[[#This Row],[Цена акции (-)]]*Таблица8[[#This Row],[Количество (-)]]))</f>
        <v/>
      </c>
      <c r="N16" s="46" t="str">
        <f>IF(Таблица8[[#This Row],[Эмитент]]="","",IF(Таблица8[[#This Row],[Сумма (+)]]="-","-",IF(Таблица8[[#This Row],[Сумма (+)]]="","0",Таблица8[[#This Row],[Сумма (+)]]/100*0.06)))</f>
        <v/>
      </c>
      <c r="O16" s="47" t="str">
        <f>IF(Таблица8[[#This Row],[Эмитент]]="","",IF(Таблица8[[#This Row],[Сумма (-)]]="-","-",IF(Таблица8[[#This Row],[Сумма (-)]]="","0",Таблица8[[#This Row],[Сумма (-)]]/100*0.06)))</f>
        <v/>
      </c>
      <c r="P16" s="48" t="str">
        <f>IF(Таблица8[[#This Row],[Позиция]]="Long",IF(Таблица8[[#This Row],[Цена акции (+)]]&lt;Таблица8[[#This Row],[Цена акции (-)]],(Таблица8[[#This Row],[Сумма (-)]]-Таблица8[[#This Row],[Сумма (+)]])*13%,"-"),IF(Таблица8[[#This Row],[Позиция]]="Short",IF(Таблица8[[#This Row],[Цена акции (+)]]&gt;Таблица8[[#This Row],[Цена акции (-)]],(Таблица8[[#This Row],[Сумма (+)]]-Таблица8[[#This Row],[Сумма (-)]])*13%,"-"),""))</f>
        <v/>
      </c>
      <c r="Q16" s="41" t="str">
        <f>IF(Таблица8[[#This Row],[Дата (-)]]="","",IF(Таблица8[[#This Row],[Дата (+)]]="-","-",IF(Таблица8[[#This Row],[.]]="Активна",_xlfn.DAYS($A$1,Таблица8[[#This Row],[Дата (+)]]),_xlfn.DAYS(Таблица8[[#This Row],[Дата (-)]],Таблица8[[#This Row],[Дата (+)]]))))</f>
        <v/>
      </c>
      <c r="R16" s="48" t="str">
        <f>IF(Таблица8[[#This Row],[Эмитент]]="","",IF(Таблица8[[#This Row],[Сумма (-)]]="-","Активна","Закрыта"))</f>
        <v/>
      </c>
      <c r="S16" s="68" t="str">
        <f>IF(Таблица8[[#This Row],[Эмитент]]="","",IF(Таблица8[[#This Row],[Цена акции (-)]]="-","-",IF(Таблица8[[#This Row],[Цена акции (-)]]="0","0",Таблица8[[#This Row],[Сумма (-)]]-Таблица8[[#This Row],[Jt, 10%]]-Таблица8[[#This Row],[Сумма (+)]]-(Таблица8[[#This Row],[Комиссия (+)]]+Таблица8[[#This Row],[Комиссия (-)]]))))</f>
        <v/>
      </c>
      <c r="T16" s="50" t="str">
        <f>IF(Таблица8[[#This Row],[Эмитент]]="","",IF(Таблица8[[#This Row],[Сумма (-)]]="-","-",IF(Таблица8[[#This Row],[Сумма (-)]]="0","0",Таблица8[[#This Row],[Прибыль/убыток, руб.]]/Таблица8[[#This Row],[Сумма (+)]])))</f>
        <v/>
      </c>
      <c r="U16" s="51" t="str">
        <f>IF(Таблица8[[#This Row],[Эмитент]]="","","-")</f>
        <v/>
      </c>
      <c r="V16" s="49" t="str">
        <f>IF(Таблица8[[#This Row],[Эмитент]]="","","-")</f>
        <v/>
      </c>
      <c r="W16" s="49" t="str">
        <f>IF(Таблица8[[#This Row],[Эмитент]]="","",IF(Таблица8[[#This Row],[Дата выплаты]]="-","-",(Таблица8[[#This Row],[Выплата на 1 акцию]]*Таблица8[[#This Row],[Количество (+)]])-((Таблица8[[#This Row],[Выплата на 1 акцию]]*Таблица8[[#This Row],[Количество (+)]])/100*13)))</f>
        <v/>
      </c>
      <c r="X16" s="50" t="str">
        <f>IF(Таблица8[[#This Row],[Эмитент]]="","",IF(Таблица8[[#This Row],[Дата выплаты]]="-","-",Таблица8[[#This Row],[в руб.]]/Таблица8[[#This Row],[Сумма (+)]]))</f>
        <v/>
      </c>
      <c r="Y16" s="51" t="str">
        <f>IF(Таблица8[[#This Row],[Эмитент]]="","",IF(Таблица8[[#This Row],[Сумма (-)]]="-","-",(Таблица8[[#This Row],[Сумма (-)]]/Таблица8[[#This Row],[Сумма (+)]])-100%))</f>
        <v/>
      </c>
      <c r="Z16" s="49" t="str">
        <f>IF(Таблица8[[#This Row],[Эмитент]]="","",IF(Таблица8[[#This Row],[Сумма (-)]]="-","-",(Таблица8[[#This Row],[Сумма (-)]]-Таблица8[[#This Row],[Сумма (+)]])/100*10))</f>
        <v/>
      </c>
      <c r="AA16" s="56" t="str">
        <f>IF(Таблица8[[#This Row],[Эмитент]]="","","Не оплачено")</f>
        <v/>
      </c>
      <c r="AB16" s="52" t="str">
        <f>TEXT(Таблица8[[#This Row],[Дата (+)]],"ММММ")</f>
        <v/>
      </c>
      <c r="AC16" s="53" t="str">
        <f>IF(Таблица8[[#This Row],[Эмитент]]="","",IF(Таблица8[[#This Row],[Эмитент]]="-","-",IF(Таблица8[[#This Row],[Дата (+)]]="-","-",YEAR(Таблица8[[#This Row],[Дата (+)]]))))</f>
        <v/>
      </c>
      <c r="AD16" s="43" t="str">
        <f>TEXT(Таблица8[[#This Row],[Дата (-)]],"ММММ")</f>
        <v/>
      </c>
      <c r="AE16" s="44" t="str">
        <f>IF(Таблица8[[#This Row],[Дата (-)]]="-","-",IF(Таблица8[[#This Row],[Эмитент]]="","",YEAR(Таблица8[[#This Row],[Дата (-)]])))</f>
        <v/>
      </c>
    </row>
    <row r="17" spans="1:31" x14ac:dyDescent="0.25">
      <c r="A17" s="57" t="str">
        <f>IF(ISBLANK(Таблица8[[#This Row],[Эмитент]]),"",ROW()-10)</f>
        <v/>
      </c>
      <c r="B17" s="67"/>
      <c r="C17" s="58" t="str">
        <f>IF(Таблица8[[#This Row],[Эмитент]]="","","-")</f>
        <v/>
      </c>
      <c r="D17" s="75" t="str">
        <f>IF(Таблица8[[#This Row],[Эмитент]]="","","-")</f>
        <v/>
      </c>
      <c r="E17" s="59" t="str">
        <f>IF(Таблица8[[#This Row],[Эмитент]]="","","-")</f>
        <v/>
      </c>
      <c r="F17" s="59" t="str">
        <f>IF(Таблица8[[#This Row],[Эмитент]]="","","-")</f>
        <v/>
      </c>
      <c r="G17" s="63" t="str">
        <f>IF(Таблица8[[#This Row],[Эмитент]]="","",IF(Таблица8[[#This Row],[Цена акции (+)]]="-","-",IF(Таблица8[[#This Row],[Цена акции (+)]]="0","0",Таблица8[[#This Row],[Цена акции (+)]]*Таблица8[[#This Row],[Количество (+)]])))</f>
        <v/>
      </c>
      <c r="H17" s="72" t="str">
        <f>IF(Таблица8[[#This Row],[Эмитент]]="","","-")</f>
        <v/>
      </c>
      <c r="I17" s="60" t="str">
        <f>IF(Таблица8[[#This Row],[Эмитент]]="","","-")</f>
        <v/>
      </c>
      <c r="J17" s="75" t="str">
        <f>IF(Таблица8[[#This Row],[Эмитент]]="","","-")</f>
        <v/>
      </c>
      <c r="K17" s="59" t="str">
        <f>IF(Таблица8[[#This Row],[Дата (-)]]="-","-",Таблица8[[#This Row],[Количество (+)]])</f>
        <v/>
      </c>
      <c r="L17" s="59" t="str">
        <f>IF(Таблица8[[#This Row],[Эмитент]]="","","-")</f>
        <v/>
      </c>
      <c r="M17" s="60" t="str">
        <f>IF(Таблица8[[#This Row],[Эмитент]]="","",IF(Таблица8[[#This Row],[Цена акции (-)]]="-","-",Таблица8[[#This Row],[Цена акции (-)]]*Таблица8[[#This Row],[Количество (-)]]))</f>
        <v/>
      </c>
      <c r="N17" s="61" t="str">
        <f>IF(Таблица8[[#This Row],[Эмитент]]="","",IF(Таблица8[[#This Row],[Сумма (+)]]="-","-",IF(Таблица8[[#This Row],[Сумма (+)]]="","0",Таблица8[[#This Row],[Сумма (+)]]/100*0.06)))</f>
        <v/>
      </c>
      <c r="O17" s="61" t="str">
        <f>IF(Таблица8[[#This Row],[Эмитент]]="","",IF(Таблица8[[#This Row],[Сумма (-)]]="-","-",IF(Таблица8[[#This Row],[Сумма (-)]]="","0",Таблица8[[#This Row],[Сумма (-)]]/100*0.06)))</f>
        <v/>
      </c>
      <c r="P17" s="62" t="str">
        <f>IF(Таблица8[[#This Row],[Позиция]]="Long",IF(Таблица8[[#This Row],[Цена акции (+)]]&lt;Таблица8[[#This Row],[Цена акции (-)]],(Таблица8[[#This Row],[Сумма (-)]]-Таблица8[[#This Row],[Сумма (+)]])*13%,"-"),IF(Таблица8[[#This Row],[Позиция]]="Short",IF(Таблица8[[#This Row],[Цена акции (+)]]&gt;Таблица8[[#This Row],[Цена акции (-)]],(Таблица8[[#This Row],[Сумма (+)]]-Таблица8[[#This Row],[Сумма (-)]])*13%,"-"),""))</f>
        <v/>
      </c>
      <c r="Q17" s="27" t="str">
        <f>IF(Таблица8[[#This Row],[Дата (-)]]="","",IF(Таблица8[[#This Row],[Дата (+)]]="-","-",IF(Таблица8[[#This Row],[.]]="Активна",_xlfn.DAYS($A$1,Таблица8[[#This Row],[Дата (+)]]),_xlfn.DAYS(Таблица8[[#This Row],[Дата (-)]],Таблица8[[#This Row],[Дата (+)]]))))</f>
        <v/>
      </c>
      <c r="R17" s="62" t="str">
        <f>IF(Таблица8[[#This Row],[Эмитент]]="","",IF(Таблица8[[#This Row],[Сумма (-)]]="-","Активна","Закрыта"))</f>
        <v/>
      </c>
      <c r="S17" s="69" t="str">
        <f>IF(Таблица8[[#This Row],[Эмитент]]="","",IF(Таблица8[[#This Row],[Цена акции (-)]]="-","-",IF(Таблица8[[#This Row],[Цена акции (-)]]="0","0",Таблица8[[#This Row],[Сумма (-)]]-Таблица8[[#This Row],[Jt, 10%]]-Таблица8[[#This Row],[Сумма (+)]]-(Таблица8[[#This Row],[Комиссия (+)]]+Таблица8[[#This Row],[Комиссия (-)]]))))</f>
        <v/>
      </c>
      <c r="T17" s="64" t="str">
        <f>IF(Таблица8[[#This Row],[Эмитент]]="","",IF(Таблица8[[#This Row],[Сумма (-)]]="-","-",IF(Таблица8[[#This Row],[Сумма (-)]]="0","0",Таблица8[[#This Row],[Прибыль/убыток, руб.]]/Таблица8[[#This Row],[Сумма (+)]])))</f>
        <v/>
      </c>
      <c r="U17" s="65" t="str">
        <f>IF(Таблица8[[#This Row],[Эмитент]]="","","-")</f>
        <v/>
      </c>
      <c r="V17" s="63" t="str">
        <f>IF(Таблица8[[#This Row],[Эмитент]]="","","-")</f>
        <v/>
      </c>
      <c r="W17" s="63" t="str">
        <f>IF(Таблица8[[#This Row],[Эмитент]]="","",IF(Таблица8[[#This Row],[Дата выплаты]]="-","-",(Таблица8[[#This Row],[Выплата на 1 акцию]]*Таблица8[[#This Row],[Количество (+)]])-((Таблица8[[#This Row],[Выплата на 1 акцию]]*Таблица8[[#This Row],[Количество (+)]])/100*13)))</f>
        <v/>
      </c>
      <c r="X17" s="64" t="str">
        <f>IF(Таблица8[[#This Row],[Эмитент]]="","",IF(Таблица8[[#This Row],[Дата выплаты]]="-","-",Таблица8[[#This Row],[в руб.]]/Таблица8[[#This Row],[Сумма (+)]]))</f>
        <v/>
      </c>
      <c r="Y17" s="65" t="str">
        <f>IF(Таблица8[[#This Row],[Эмитент]]="","",IF(Таблица8[[#This Row],[Сумма (-)]]="-","-",(Таблица8[[#This Row],[Сумма (-)]]/Таблица8[[#This Row],[Сумма (+)]])-100%))</f>
        <v/>
      </c>
      <c r="Z17" s="63" t="str">
        <f>IF(Таблица8[[#This Row],[Эмитент]]="","",IF(Таблица8[[#This Row],[Сумма (-)]]="-","-",(Таблица8[[#This Row],[Сумма (-)]]-Таблица8[[#This Row],[Сумма (+)]])/100*10))</f>
        <v/>
      </c>
      <c r="AA17" s="66" t="str">
        <f>IF(Таблица8[[#This Row],[Эмитент]]="","","Не оплачено")</f>
        <v/>
      </c>
      <c r="AB17" s="67" t="str">
        <f>TEXT(Таблица8[[#This Row],[Дата (+)]],"ММММ")</f>
        <v/>
      </c>
      <c r="AC17" s="57" t="str">
        <f>IF(Таблица8[[#This Row],[Эмитент]]="","",IF(Таблица8[[#This Row],[Эмитент]]="-","-",IF(Таблица8[[#This Row],[Дата (+)]]="-","-",YEAR(Таблица8[[#This Row],[Дата (+)]]))))</f>
        <v/>
      </c>
      <c r="AD17" s="67" t="str">
        <f>TEXT(Таблица8[[#This Row],[Дата (-)]],"ММММ")</f>
        <v/>
      </c>
      <c r="AE17" s="58" t="str">
        <f>IF(Таблица8[[#This Row],[Дата (-)]]="-","-",IF(Таблица8[[#This Row],[Эмитент]]="","",YEAR(Таблица8[[#This Row],[Дата (-)]])))</f>
        <v/>
      </c>
    </row>
    <row r="18" spans="1:31" ht="17.25" thickBot="1" x14ac:dyDescent="0.3">
      <c r="A18" s="29"/>
      <c r="B18" s="30"/>
      <c r="C18" s="30"/>
      <c r="D18" s="31"/>
      <c r="E18" s="31"/>
      <c r="F18" s="31"/>
      <c r="G18" s="31"/>
      <c r="H18" s="31"/>
      <c r="I18" s="31"/>
      <c r="J18" s="32"/>
      <c r="K18" s="32"/>
      <c r="L18" s="30"/>
      <c r="M18" s="31"/>
      <c r="N18" s="31"/>
      <c r="O18" s="31"/>
      <c r="P18" s="33"/>
      <c r="Q18" s="31"/>
      <c r="R18" s="34"/>
      <c r="S18" s="35">
        <f>SUBTOTAL(109,Таблица8[Прибыль/убыток, руб.])</f>
        <v>15.50519999999999</v>
      </c>
      <c r="T18" s="36">
        <f>SUBTOTAL(109,Таблица8[в %])</f>
        <v>4.6567333333333294E-2</v>
      </c>
      <c r="U18" s="36"/>
      <c r="V18" s="35"/>
      <c r="W18" s="35">
        <f>SUBTOTAL(109,Таблица8[в руб.])</f>
        <v>0</v>
      </c>
      <c r="X18" s="36">
        <f>SUBTOTAL(109,Таблица8[в %.])</f>
        <v>0</v>
      </c>
      <c r="Y18" s="31"/>
      <c r="Z18" s="31"/>
      <c r="AA18" s="34"/>
      <c r="AB18" s="37"/>
      <c r="AC18" s="31"/>
      <c r="AD18" s="31"/>
      <c r="AE18" s="38"/>
    </row>
    <row r="19" spans="1:31" ht="17.25" thickTop="1" x14ac:dyDescent="0.25">
      <c r="R19" s="24"/>
    </row>
    <row r="20" spans="1:31" ht="66" customHeight="1" x14ac:dyDescent="0.25">
      <c r="B20" s="96" t="s">
        <v>45</v>
      </c>
      <c r="C20" s="96"/>
      <c r="D20" s="96"/>
      <c r="E20" s="96"/>
      <c r="F20" s="96"/>
      <c r="G20" s="96"/>
      <c r="H20" s="96"/>
      <c r="I20" s="96"/>
      <c r="J20" s="96"/>
      <c r="K20" s="96"/>
      <c r="L20" s="103" t="s">
        <v>47</v>
      </c>
      <c r="M20" s="103"/>
      <c r="N20" s="103"/>
      <c r="O20" s="103"/>
      <c r="P20" s="103"/>
      <c r="Q20" s="103"/>
      <c r="R20" s="103"/>
      <c r="S20" s="103"/>
      <c r="T20" s="103"/>
      <c r="U20" s="103"/>
    </row>
    <row r="21" spans="1:31" ht="148.5" customHeight="1" x14ac:dyDescent="0.25">
      <c r="B21" s="96" t="s">
        <v>46</v>
      </c>
      <c r="C21" s="96"/>
      <c r="D21" s="96"/>
      <c r="E21" s="96"/>
      <c r="F21" s="96"/>
      <c r="G21" s="96"/>
      <c r="H21" s="96"/>
      <c r="I21" s="96"/>
      <c r="J21" s="96"/>
      <c r="K21" s="96"/>
      <c r="L21" s="103" t="s">
        <v>48</v>
      </c>
      <c r="M21" s="103"/>
      <c r="N21" s="103"/>
      <c r="O21" s="103"/>
      <c r="P21" s="103"/>
      <c r="Q21" s="103"/>
      <c r="R21" s="103"/>
      <c r="S21" s="103"/>
      <c r="T21" s="103"/>
      <c r="U21" s="103"/>
    </row>
    <row r="22" spans="1:31" ht="16.5" customHeight="1" x14ac:dyDescent="0.25">
      <c r="L22" s="104" t="s">
        <v>49</v>
      </c>
      <c r="M22" s="104"/>
      <c r="N22" s="104"/>
      <c r="O22" s="104"/>
      <c r="P22" s="104"/>
      <c r="Q22" s="104"/>
      <c r="R22" s="104"/>
      <c r="S22" s="104"/>
      <c r="T22" s="104"/>
      <c r="U22" s="104"/>
    </row>
    <row r="23" spans="1:31" x14ac:dyDescent="0.25">
      <c r="L23" s="104"/>
      <c r="M23" s="104"/>
      <c r="N23" s="104"/>
      <c r="O23" s="104"/>
      <c r="P23" s="104"/>
      <c r="Q23" s="104"/>
      <c r="R23" s="104"/>
      <c r="S23" s="104"/>
      <c r="T23" s="104"/>
      <c r="U23" s="104"/>
    </row>
    <row r="24" spans="1:31" ht="27.75" customHeight="1" x14ac:dyDescent="0.25">
      <c r="D24" s="25"/>
      <c r="L24" s="104"/>
      <c r="M24" s="104"/>
      <c r="N24" s="104"/>
      <c r="O24" s="104"/>
      <c r="P24" s="104"/>
      <c r="Q24" s="104"/>
      <c r="R24" s="104"/>
      <c r="S24" s="104"/>
      <c r="T24" s="104"/>
      <c r="U24" s="104"/>
    </row>
    <row r="25" spans="1:31" ht="33" customHeight="1" x14ac:dyDescent="0.25">
      <c r="D25" s="25"/>
      <c r="L25" s="104"/>
      <c r="M25" s="104"/>
      <c r="N25" s="104"/>
      <c r="O25" s="104"/>
      <c r="P25" s="104"/>
      <c r="Q25" s="104"/>
      <c r="R25" s="104"/>
      <c r="S25" s="104"/>
      <c r="T25" s="104"/>
      <c r="U25" s="104"/>
    </row>
    <row r="26" spans="1:31" x14ac:dyDescent="0.25">
      <c r="D26" s="25"/>
    </row>
    <row r="27" spans="1:31" ht="16.5" customHeight="1" x14ac:dyDescent="0.25">
      <c r="D27" s="25"/>
    </row>
    <row r="28" spans="1:31" x14ac:dyDescent="0.25">
      <c r="D28" s="25"/>
      <c r="G28" s="25"/>
    </row>
    <row r="29" spans="1:31" ht="16.5" customHeight="1" x14ac:dyDescent="0.25"/>
  </sheetData>
  <mergeCells count="22">
    <mergeCell ref="L20:U20"/>
    <mergeCell ref="L21:U21"/>
    <mergeCell ref="L22:U25"/>
    <mergeCell ref="B20:K20"/>
    <mergeCell ref="A3:C3"/>
    <mergeCell ref="A9:C9"/>
    <mergeCell ref="D9:I9"/>
    <mergeCell ref="B21:K21"/>
    <mergeCell ref="U9:X9"/>
    <mergeCell ref="Y9:AA9"/>
    <mergeCell ref="AB9:AE9"/>
    <mergeCell ref="S9:T9"/>
    <mergeCell ref="A1:D1"/>
    <mergeCell ref="E1:F1"/>
    <mergeCell ref="J9:M9"/>
    <mergeCell ref="N9:P9"/>
    <mergeCell ref="Q9:R9"/>
    <mergeCell ref="D6:E7"/>
    <mergeCell ref="A6:C7"/>
    <mergeCell ref="A2:C2"/>
    <mergeCell ref="A4:C4"/>
    <mergeCell ref="A5:C5"/>
  </mergeCells>
  <phoneticPr fontId="2" type="noConversion"/>
  <conditionalFormatting sqref="D11:D17">
    <cfRule type="expression" dxfId="79" priority="3">
      <formula>AND($B11&lt;&gt;"",$D11="-")</formula>
    </cfRule>
  </conditionalFormatting>
  <conditionalFormatting sqref="E11:E17">
    <cfRule type="expression" dxfId="78" priority="2">
      <formula>AND($B11&lt;&gt;"",$E11="-")</formula>
    </cfRule>
  </conditionalFormatting>
  <conditionalFormatting sqref="L11:L17">
    <cfRule type="expression" dxfId="77" priority="1">
      <formula>AND($J11&lt;&gt;"-",$L11="-")</formula>
    </cfRule>
  </conditionalFormatting>
  <conditionalFormatting sqref="F11:F17">
    <cfRule type="expression" dxfId="76" priority="52">
      <formula>AND($B11&lt;&gt;"",$F11="-")</formula>
    </cfRule>
  </conditionalFormatting>
  <conditionalFormatting sqref="A11:AE17">
    <cfRule type="expression" dxfId="75" priority="53">
      <formula>$R11="Активна"</formula>
    </cfRule>
    <cfRule type="expression" dxfId="74" priority="54">
      <formula>AND($R11="Закрыта",$AA11="Не оплачено")</formula>
    </cfRule>
    <cfRule type="expression" dxfId="73" priority="55">
      <formula>AND($R11="Закрыта",$AA11="Оплачено")</formula>
    </cfRule>
  </conditionalFormatting>
  <dataValidations count="2">
    <dataValidation type="list" allowBlank="1" showInputMessage="1" sqref="AA11:AA17" xr:uid="{090BFFFE-ADF6-4EBF-AC8A-1317DC7311D5}">
      <formula1>"Не оплачено, Оплачено"</formula1>
    </dataValidation>
    <dataValidation type="list" allowBlank="1" showInputMessage="1" sqref="C11:C17" xr:uid="{F6CEB401-E501-4838-B202-83A865A7D6A0}">
      <formula1>"Short,Long,-"</formula1>
    </dataValidation>
  </dataValidations>
  <pageMargins left="0.7" right="0.7" top="0.75" bottom="0.75" header="0.3" footer="0.3"/>
  <pageSetup paperSize="9" orientation="portrait" r:id="rId1"/>
  <ignoredErrors>
    <ignoredError sqref="C13 C15:C17" calculatedColumn="1"/>
  </ignoredErrors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ED4CC377-19BB-426E-8E19-F87FC7D29CCE}">
          <x14:formula1>
            <xm:f>Списки!$A$2:$A$10</xm:f>
          </x14:formula1>
          <xm:sqref>J11:J17 U11:U17 D11:D17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D0FBC-B3F9-43AA-A7FE-F1A858CBA6CE}">
  <dimension ref="A1:C10"/>
  <sheetViews>
    <sheetView workbookViewId="0">
      <selection activeCell="C2" sqref="C2"/>
    </sheetView>
  </sheetViews>
  <sheetFormatPr defaultRowHeight="15" x14ac:dyDescent="0.25"/>
  <cols>
    <col min="1" max="1" width="12.7109375" bestFit="1" customWidth="1"/>
  </cols>
  <sheetData>
    <row r="1" spans="1:3" ht="16.5" x14ac:dyDescent="0.25">
      <c r="A1" s="3" t="s">
        <v>0</v>
      </c>
      <c r="C1" s="6" t="s">
        <v>21</v>
      </c>
    </row>
    <row r="2" spans="1:3" ht="16.5" x14ac:dyDescent="0.25">
      <c r="A2" s="4">
        <f ca="1">TODAY()-3</f>
        <v>44134</v>
      </c>
      <c r="C2" s="5" t="s">
        <v>22</v>
      </c>
    </row>
    <row r="3" spans="1:3" ht="16.5" x14ac:dyDescent="0.25">
      <c r="A3" s="4">
        <f ca="1">TODAY()-2</f>
        <v>44135</v>
      </c>
      <c r="C3" s="5" t="s">
        <v>23</v>
      </c>
    </row>
    <row r="4" spans="1:3" ht="16.5" x14ac:dyDescent="0.25">
      <c r="A4" s="4">
        <f ca="1">TODAY()-1</f>
        <v>44136</v>
      </c>
    </row>
    <row r="5" spans="1:3" ht="16.5" x14ac:dyDescent="0.25">
      <c r="A5" s="4" t="s">
        <v>2</v>
      </c>
    </row>
    <row r="6" spans="1:3" ht="16.5" x14ac:dyDescent="0.25">
      <c r="A6" s="4">
        <f ca="1">TODAY()</f>
        <v>44137</v>
      </c>
    </row>
    <row r="7" spans="1:3" ht="16.5" x14ac:dyDescent="0.25">
      <c r="A7" s="4" t="s">
        <v>2</v>
      </c>
    </row>
    <row r="8" spans="1:3" ht="16.5" x14ac:dyDescent="0.25">
      <c r="A8" s="4">
        <f ca="1">TODAY()+1</f>
        <v>44138</v>
      </c>
    </row>
    <row r="9" spans="1:3" ht="16.5" x14ac:dyDescent="0.25">
      <c r="A9" s="4">
        <f ca="1">TODAY()+2</f>
        <v>44139</v>
      </c>
    </row>
    <row r="10" spans="1:3" ht="16.5" x14ac:dyDescent="0.25">
      <c r="A10" s="4">
        <f ca="1">TODAY()+3</f>
        <v>44140</v>
      </c>
    </row>
  </sheetData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Сделки с ЦБ</vt:lpstr>
      <vt:lpstr>Списки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Anastasia Martova</dc:creator>
  <cp:lastModifiedBy>Elena</cp:lastModifiedBy>
  <dcterms:created xsi:type="dcterms:W3CDTF">2015-06-05T18:19:34Z</dcterms:created>
  <dcterms:modified xsi:type="dcterms:W3CDTF">2020-11-02T20:51:00Z</dcterms:modified>
</cp:coreProperties>
</file>