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 codeName="{316AF4FF-6532-DD95-964C-923D217D005E}"/>
  <workbookPr codeName="ЭтаКнига"/>
  <mc:AlternateContent xmlns:mc="http://schemas.openxmlformats.org/markup-compatibility/2006">
    <mc:Choice Requires="x15">
      <x15ac:absPath xmlns:x15ac="http://schemas.microsoft.com/office/spreadsheetml/2010/11/ac" url="E:\FREELANCE\EXCELWORLD\TEST-011-Расчет неустойки\"/>
    </mc:Choice>
  </mc:AlternateContent>
  <xr:revisionPtr revIDLastSave="0" documentId="13_ncr:1_{960BAC25-B965-4B8C-B16A-902B21A9DD7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ЦАОП (итог)" sheetId="2" r:id="rId1"/>
    <sheet name="ЦАОП (0)" sheetId="4" r:id="rId2"/>
    <sheet name="Вопрос" sheetId="3" r:id="rId3"/>
  </sheets>
  <functionGroups builtInGroupCount="19"/>
  <externalReferences>
    <externalReference r:id="rId4"/>
  </externalReferences>
  <definedNames>
    <definedName name="_xlnm._FilterDatabase" localSheetId="1" hidden="1">'ЦАОП (0)'!$A$1:$Q$97</definedName>
    <definedName name="_xlnm._FilterDatabase" localSheetId="0" hidden="1">'ЦАОП (итог)'!$A$1:$Q$97</definedName>
    <definedName name="Праздники">OFFSET([1]календарь!$A$3,,,COUNTA([1]календарь!$A$3:$A$31))</definedName>
    <definedName name="Рабочие_дни">OFFSET([1]календарь!$D$3,,,COUNTA([1]календарь!$D$3:$D$31))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T8" i="4" s="1"/>
  <c r="P18" i="2"/>
  <c r="P25" i="2"/>
  <c r="P49" i="2"/>
  <c r="P2" i="2"/>
  <c r="F97" i="4"/>
  <c r="B97" i="4"/>
  <c r="N96" i="4"/>
  <c r="O96" i="4" s="1"/>
  <c r="J96" i="4"/>
  <c r="K96" i="4" s="1"/>
  <c r="G96" i="4"/>
  <c r="O95" i="4"/>
  <c r="N95" i="4"/>
  <c r="J95" i="4"/>
  <c r="K95" i="4" s="1"/>
  <c r="G95" i="4"/>
  <c r="Q95" i="4" s="1"/>
  <c r="O94" i="4"/>
  <c r="N94" i="4"/>
  <c r="K94" i="4"/>
  <c r="J94" i="4"/>
  <c r="G94" i="4"/>
  <c r="Q94" i="4" s="1"/>
  <c r="O93" i="4"/>
  <c r="N93" i="4"/>
  <c r="L93" i="4"/>
  <c r="K93" i="4"/>
  <c r="M93" i="4" s="1"/>
  <c r="J93" i="4"/>
  <c r="G93" i="4"/>
  <c r="Q93" i="4" s="1"/>
  <c r="N92" i="4"/>
  <c r="M92" i="4"/>
  <c r="L92" i="4"/>
  <c r="J92" i="4"/>
  <c r="K92" i="4" s="1"/>
  <c r="G92" i="4"/>
  <c r="N91" i="4"/>
  <c r="O91" i="4" s="1"/>
  <c r="M91" i="4"/>
  <c r="J91" i="4"/>
  <c r="K91" i="4" s="1"/>
  <c r="G91" i="4"/>
  <c r="O90" i="4"/>
  <c r="N90" i="4"/>
  <c r="J90" i="4"/>
  <c r="K90" i="4" s="1"/>
  <c r="G90" i="4"/>
  <c r="O89" i="4"/>
  <c r="N89" i="4"/>
  <c r="K89" i="4"/>
  <c r="J89" i="4"/>
  <c r="G89" i="4"/>
  <c r="Q89" i="4" s="1"/>
  <c r="N88" i="4"/>
  <c r="J88" i="4"/>
  <c r="K88" i="4" s="1"/>
  <c r="G88" i="4"/>
  <c r="N87" i="4"/>
  <c r="O87" i="4" s="1"/>
  <c r="M87" i="4"/>
  <c r="J87" i="4"/>
  <c r="K87" i="4" s="1"/>
  <c r="G87" i="4"/>
  <c r="N86" i="4"/>
  <c r="O86" i="4" s="1"/>
  <c r="J86" i="4"/>
  <c r="K86" i="4" s="1"/>
  <c r="G86" i="4"/>
  <c r="O85" i="4"/>
  <c r="N85" i="4"/>
  <c r="K85" i="4"/>
  <c r="M85" i="4" s="1"/>
  <c r="J85" i="4"/>
  <c r="G85" i="4"/>
  <c r="Q85" i="4" s="1"/>
  <c r="N84" i="4"/>
  <c r="J84" i="4"/>
  <c r="K84" i="4" s="1"/>
  <c r="M84" i="4" s="1"/>
  <c r="G84" i="4"/>
  <c r="N83" i="4"/>
  <c r="O83" i="4" s="1"/>
  <c r="M83" i="4"/>
  <c r="J83" i="4"/>
  <c r="K83" i="4" s="1"/>
  <c r="G83" i="4"/>
  <c r="N82" i="4"/>
  <c r="O82" i="4" s="1"/>
  <c r="J82" i="4"/>
  <c r="K82" i="4" s="1"/>
  <c r="G82" i="4"/>
  <c r="O81" i="4"/>
  <c r="N81" i="4"/>
  <c r="K81" i="4"/>
  <c r="M81" i="4" s="1"/>
  <c r="J81" i="4"/>
  <c r="G81" i="4"/>
  <c r="Q81" i="4" s="1"/>
  <c r="N80" i="4"/>
  <c r="M80" i="4"/>
  <c r="J80" i="4"/>
  <c r="K80" i="4" s="1"/>
  <c r="G80" i="4"/>
  <c r="N79" i="4"/>
  <c r="M79" i="4"/>
  <c r="J79" i="4"/>
  <c r="K79" i="4" s="1"/>
  <c r="G79" i="4"/>
  <c r="N78" i="4"/>
  <c r="O78" i="4" s="1"/>
  <c r="J78" i="4"/>
  <c r="K78" i="4" s="1"/>
  <c r="G78" i="4"/>
  <c r="O77" i="4"/>
  <c r="N77" i="4"/>
  <c r="K77" i="4"/>
  <c r="M77" i="4" s="1"/>
  <c r="L77" i="4" s="1"/>
  <c r="J77" i="4"/>
  <c r="G77" i="4"/>
  <c r="Q77" i="4" s="1"/>
  <c r="N76" i="4"/>
  <c r="M76" i="4"/>
  <c r="L76" i="4" s="1"/>
  <c r="J76" i="4"/>
  <c r="K76" i="4" s="1"/>
  <c r="G76" i="4"/>
  <c r="N75" i="4"/>
  <c r="O75" i="4" s="1"/>
  <c r="M75" i="4"/>
  <c r="J75" i="4"/>
  <c r="K75" i="4" s="1"/>
  <c r="G75" i="4"/>
  <c r="O74" i="4"/>
  <c r="N74" i="4"/>
  <c r="J74" i="4"/>
  <c r="K74" i="4" s="1"/>
  <c r="G74" i="4"/>
  <c r="O73" i="4"/>
  <c r="N73" i="4"/>
  <c r="K73" i="4"/>
  <c r="J73" i="4"/>
  <c r="G73" i="4"/>
  <c r="Q73" i="4" s="1"/>
  <c r="N72" i="4"/>
  <c r="J72" i="4"/>
  <c r="K72" i="4" s="1"/>
  <c r="G72" i="4"/>
  <c r="N71" i="4"/>
  <c r="O71" i="4" s="1"/>
  <c r="M71" i="4"/>
  <c r="J71" i="4"/>
  <c r="K71" i="4" s="1"/>
  <c r="G71" i="4"/>
  <c r="N70" i="4"/>
  <c r="O70" i="4" s="1"/>
  <c r="J70" i="4"/>
  <c r="K70" i="4" s="1"/>
  <c r="G70" i="4"/>
  <c r="O69" i="4"/>
  <c r="N69" i="4"/>
  <c r="K69" i="4"/>
  <c r="M69" i="4" s="1"/>
  <c r="J69" i="4"/>
  <c r="G69" i="4"/>
  <c r="N68" i="4"/>
  <c r="J68" i="4"/>
  <c r="K68" i="4" s="1"/>
  <c r="M68" i="4" s="1"/>
  <c r="G68" i="4"/>
  <c r="N67" i="4"/>
  <c r="O67" i="4" s="1"/>
  <c r="M67" i="4"/>
  <c r="J67" i="4"/>
  <c r="K67" i="4" s="1"/>
  <c r="G67" i="4"/>
  <c r="N66" i="4"/>
  <c r="O66" i="4" s="1"/>
  <c r="J66" i="4"/>
  <c r="K66" i="4" s="1"/>
  <c r="G66" i="4"/>
  <c r="O65" i="4"/>
  <c r="N65" i="4"/>
  <c r="K65" i="4"/>
  <c r="M65" i="4" s="1"/>
  <c r="J65" i="4"/>
  <c r="G65" i="4"/>
  <c r="N64" i="4"/>
  <c r="M64" i="4"/>
  <c r="J64" i="4"/>
  <c r="K64" i="4" s="1"/>
  <c r="G64" i="4"/>
  <c r="N63" i="4"/>
  <c r="M63" i="4"/>
  <c r="J63" i="4"/>
  <c r="K63" i="4" s="1"/>
  <c r="G63" i="4"/>
  <c r="N62" i="4"/>
  <c r="O62" i="4" s="1"/>
  <c r="J62" i="4"/>
  <c r="K62" i="4" s="1"/>
  <c r="G62" i="4"/>
  <c r="O61" i="4"/>
  <c r="N61" i="4"/>
  <c r="L61" i="4"/>
  <c r="K61" i="4"/>
  <c r="M61" i="4" s="1"/>
  <c r="J61" i="4"/>
  <c r="G61" i="4"/>
  <c r="N60" i="4"/>
  <c r="M60" i="4"/>
  <c r="L60" i="4"/>
  <c r="J60" i="4"/>
  <c r="K60" i="4" s="1"/>
  <c r="G60" i="4"/>
  <c r="N59" i="4"/>
  <c r="O59" i="4" s="1"/>
  <c r="M59" i="4"/>
  <c r="J59" i="4"/>
  <c r="K59" i="4" s="1"/>
  <c r="G59" i="4"/>
  <c r="O58" i="4"/>
  <c r="N58" i="4"/>
  <c r="J58" i="4"/>
  <c r="K58" i="4" s="1"/>
  <c r="G58" i="4"/>
  <c r="O57" i="4"/>
  <c r="N57" i="4"/>
  <c r="K57" i="4"/>
  <c r="J57" i="4"/>
  <c r="G57" i="4"/>
  <c r="N56" i="4"/>
  <c r="J56" i="4"/>
  <c r="K56" i="4" s="1"/>
  <c r="G56" i="4"/>
  <c r="N55" i="4"/>
  <c r="O55" i="4" s="1"/>
  <c r="M55" i="4"/>
  <c r="J55" i="4"/>
  <c r="K55" i="4" s="1"/>
  <c r="G55" i="4"/>
  <c r="N54" i="4"/>
  <c r="O54" i="4" s="1"/>
  <c r="J54" i="4"/>
  <c r="K54" i="4" s="1"/>
  <c r="G54" i="4"/>
  <c r="N53" i="4"/>
  <c r="L53" i="4"/>
  <c r="K53" i="4"/>
  <c r="M53" i="4" s="1"/>
  <c r="J53" i="4"/>
  <c r="N52" i="4"/>
  <c r="O52" i="4" s="1"/>
  <c r="J52" i="4"/>
  <c r="K52" i="4" s="1"/>
  <c r="G52" i="4"/>
  <c r="G53" i="4" s="1"/>
  <c r="N51" i="4"/>
  <c r="O51" i="4" s="1"/>
  <c r="M51" i="4"/>
  <c r="J51" i="4"/>
  <c r="K51" i="4" s="1"/>
  <c r="G51" i="4"/>
  <c r="N50" i="4"/>
  <c r="O50" i="4" s="1"/>
  <c r="K50" i="4"/>
  <c r="J50" i="4"/>
  <c r="G50" i="4"/>
  <c r="N49" i="4"/>
  <c r="K49" i="4"/>
  <c r="J49" i="4"/>
  <c r="G49" i="4"/>
  <c r="N48" i="4"/>
  <c r="O48" i="4" s="1"/>
  <c r="M48" i="4"/>
  <c r="L48" i="4" s="1"/>
  <c r="J48" i="4"/>
  <c r="K48" i="4" s="1"/>
  <c r="G48" i="4"/>
  <c r="O47" i="4"/>
  <c r="N47" i="4"/>
  <c r="J47" i="4"/>
  <c r="K47" i="4" s="1"/>
  <c r="G47" i="4"/>
  <c r="N46" i="4"/>
  <c r="O46" i="4" s="1"/>
  <c r="J46" i="4"/>
  <c r="K46" i="4" s="1"/>
  <c r="G46" i="4"/>
  <c r="N45" i="4"/>
  <c r="L45" i="4"/>
  <c r="K45" i="4"/>
  <c r="M45" i="4" s="1"/>
  <c r="J45" i="4"/>
  <c r="N44" i="4"/>
  <c r="O44" i="4" s="1"/>
  <c r="J44" i="4"/>
  <c r="K44" i="4" s="1"/>
  <c r="M44" i="4" s="1"/>
  <c r="G44" i="4"/>
  <c r="G45" i="4" s="1"/>
  <c r="N43" i="4"/>
  <c r="J43" i="4"/>
  <c r="K43" i="4" s="1"/>
  <c r="G43" i="4"/>
  <c r="O43" i="4" s="1"/>
  <c r="N42" i="4"/>
  <c r="O42" i="4" s="1"/>
  <c r="K42" i="4"/>
  <c r="J42" i="4"/>
  <c r="G42" i="4"/>
  <c r="N41" i="4"/>
  <c r="M41" i="4"/>
  <c r="L41" i="4" s="1"/>
  <c r="K41" i="4"/>
  <c r="J41" i="4"/>
  <c r="G41" i="4"/>
  <c r="O41" i="4" s="1"/>
  <c r="N40" i="4"/>
  <c r="J40" i="4"/>
  <c r="K40" i="4" s="1"/>
  <c r="G40" i="4"/>
  <c r="N39" i="4"/>
  <c r="L39" i="4"/>
  <c r="J39" i="4"/>
  <c r="K39" i="4" s="1"/>
  <c r="M39" i="4" s="1"/>
  <c r="G39" i="4"/>
  <c r="N38" i="4"/>
  <c r="O38" i="4" s="1"/>
  <c r="J38" i="4"/>
  <c r="K38" i="4" s="1"/>
  <c r="M38" i="4" s="1"/>
  <c r="G38" i="4"/>
  <c r="N37" i="4"/>
  <c r="M37" i="4"/>
  <c r="K37" i="4"/>
  <c r="J37" i="4"/>
  <c r="G37" i="4"/>
  <c r="N36" i="4"/>
  <c r="M36" i="4"/>
  <c r="J36" i="4"/>
  <c r="K36" i="4" s="1"/>
  <c r="G36" i="4"/>
  <c r="N35" i="4"/>
  <c r="O35" i="4" s="1"/>
  <c r="K35" i="4"/>
  <c r="J35" i="4"/>
  <c r="G35" i="4"/>
  <c r="O34" i="4"/>
  <c r="N34" i="4"/>
  <c r="J34" i="4"/>
  <c r="K34" i="4" s="1"/>
  <c r="G34" i="4"/>
  <c r="O33" i="4"/>
  <c r="N33" i="4"/>
  <c r="K33" i="4"/>
  <c r="J33" i="4"/>
  <c r="G33" i="4"/>
  <c r="N32" i="4"/>
  <c r="J32" i="4"/>
  <c r="K32" i="4" s="1"/>
  <c r="G32" i="4"/>
  <c r="N31" i="4"/>
  <c r="J31" i="4"/>
  <c r="K31" i="4" s="1"/>
  <c r="G31" i="4"/>
  <c r="N30" i="4"/>
  <c r="O30" i="4" s="1"/>
  <c r="J30" i="4"/>
  <c r="K30" i="4" s="1"/>
  <c r="G30" i="4"/>
  <c r="N29" i="4"/>
  <c r="M29" i="4"/>
  <c r="L29" i="4"/>
  <c r="K29" i="4"/>
  <c r="J29" i="4"/>
  <c r="G29" i="4"/>
  <c r="N28" i="4"/>
  <c r="M28" i="4"/>
  <c r="J28" i="4"/>
  <c r="K28" i="4" s="1"/>
  <c r="G28" i="4"/>
  <c r="N27" i="4"/>
  <c r="O27" i="4" s="1"/>
  <c r="K27" i="4"/>
  <c r="J27" i="4"/>
  <c r="G27" i="4"/>
  <c r="O26" i="4"/>
  <c r="N26" i="4"/>
  <c r="J26" i="4"/>
  <c r="K26" i="4" s="1"/>
  <c r="G26" i="4"/>
  <c r="P25" i="4"/>
  <c r="T25" i="4" s="1"/>
  <c r="O25" i="4"/>
  <c r="N25" i="4"/>
  <c r="L25" i="4"/>
  <c r="K25" i="4"/>
  <c r="M25" i="4" s="1"/>
  <c r="J25" i="4"/>
  <c r="G25" i="4"/>
  <c r="Q25" i="4" s="1"/>
  <c r="N24" i="4"/>
  <c r="J24" i="4"/>
  <c r="K24" i="4" s="1"/>
  <c r="G24" i="4"/>
  <c r="N23" i="4"/>
  <c r="L23" i="4"/>
  <c r="J23" i="4"/>
  <c r="K23" i="4" s="1"/>
  <c r="M23" i="4" s="1"/>
  <c r="N22" i="4"/>
  <c r="L22" i="4"/>
  <c r="J22" i="4"/>
  <c r="K22" i="4" s="1"/>
  <c r="M22" i="4" s="1"/>
  <c r="N21" i="4"/>
  <c r="M21" i="4"/>
  <c r="L21" i="4"/>
  <c r="K21" i="4"/>
  <c r="J21" i="4"/>
  <c r="G21" i="4"/>
  <c r="N20" i="4"/>
  <c r="M20" i="4"/>
  <c r="L20" i="4"/>
  <c r="J20" i="4"/>
  <c r="K20" i="4" s="1"/>
  <c r="G20" i="4"/>
  <c r="N19" i="4"/>
  <c r="O19" i="4" s="1"/>
  <c r="K19" i="4"/>
  <c r="J19" i="4"/>
  <c r="G19" i="4"/>
  <c r="N18" i="4"/>
  <c r="L18" i="4"/>
  <c r="J18" i="4"/>
  <c r="K18" i="4" s="1"/>
  <c r="M18" i="4" s="1"/>
  <c r="N17" i="4"/>
  <c r="L17" i="4"/>
  <c r="K17" i="4"/>
  <c r="M17" i="4" s="1"/>
  <c r="J17" i="4"/>
  <c r="N16" i="4"/>
  <c r="O16" i="4" s="1"/>
  <c r="J16" i="4"/>
  <c r="K16" i="4" s="1"/>
  <c r="G16" i="4"/>
  <c r="G17" i="4" s="1"/>
  <c r="N15" i="4"/>
  <c r="L15" i="4"/>
  <c r="K15" i="4"/>
  <c r="M15" i="4" s="1"/>
  <c r="J15" i="4"/>
  <c r="N14" i="4"/>
  <c r="L14" i="4"/>
  <c r="J14" i="4"/>
  <c r="K14" i="4" s="1"/>
  <c r="M14" i="4" s="1"/>
  <c r="N13" i="4"/>
  <c r="M13" i="4"/>
  <c r="L13" i="4"/>
  <c r="J13" i="4"/>
  <c r="K13" i="4" s="1"/>
  <c r="G13" i="4"/>
  <c r="O12" i="4"/>
  <c r="N12" i="4"/>
  <c r="J12" i="4"/>
  <c r="K12" i="4" s="1"/>
  <c r="G12" i="4"/>
  <c r="O11" i="4"/>
  <c r="N11" i="4"/>
  <c r="K11" i="4"/>
  <c r="M11" i="4" s="1"/>
  <c r="L11" i="4" s="1"/>
  <c r="J11" i="4"/>
  <c r="G11" i="4"/>
  <c r="N10" i="4"/>
  <c r="M10" i="4"/>
  <c r="L10" i="4"/>
  <c r="J10" i="4"/>
  <c r="K10" i="4" s="1"/>
  <c r="N9" i="4"/>
  <c r="O9" i="4" s="1"/>
  <c r="J9" i="4"/>
  <c r="K9" i="4" s="1"/>
  <c r="G9" i="4"/>
  <c r="P8" i="4"/>
  <c r="N8" i="4"/>
  <c r="O8" i="4" s="1"/>
  <c r="J8" i="4"/>
  <c r="K8" i="4" s="1"/>
  <c r="G8" i="4"/>
  <c r="Q8" i="4" s="1"/>
  <c r="O7" i="4"/>
  <c r="N7" i="4"/>
  <c r="L7" i="4"/>
  <c r="K7" i="4"/>
  <c r="M7" i="4" s="1"/>
  <c r="J7" i="4"/>
  <c r="N6" i="4"/>
  <c r="J6" i="4"/>
  <c r="K6" i="4" s="1"/>
  <c r="G6" i="4"/>
  <c r="G7" i="4" s="1"/>
  <c r="N5" i="4"/>
  <c r="O5" i="4" s="1"/>
  <c r="J5" i="4"/>
  <c r="K5" i="4" s="1"/>
  <c r="G5" i="4"/>
  <c r="O4" i="4"/>
  <c r="N4" i="4"/>
  <c r="J4" i="4"/>
  <c r="K4" i="4" s="1"/>
  <c r="G4" i="4"/>
  <c r="O3" i="4"/>
  <c r="N3" i="4"/>
  <c r="K3" i="4"/>
  <c r="J3" i="4"/>
  <c r="G3" i="4"/>
  <c r="Q2" i="4"/>
  <c r="N2" i="4"/>
  <c r="J2" i="4"/>
  <c r="K2" i="4" s="1"/>
  <c r="G2" i="4"/>
  <c r="P2" i="4" s="1"/>
  <c r="P4" i="2"/>
  <c r="P12" i="2"/>
  <c r="P16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4" i="2"/>
  <c r="P22" i="2"/>
  <c r="P30" i="2"/>
  <c r="P34" i="2"/>
  <c r="P42" i="2"/>
  <c r="P50" i="2"/>
  <c r="P58" i="2"/>
  <c r="P66" i="2"/>
  <c r="P74" i="2"/>
  <c r="P82" i="2"/>
  <c r="P90" i="2"/>
  <c r="P7" i="2"/>
  <c r="P15" i="2"/>
  <c r="P23" i="2"/>
  <c r="P31" i="2"/>
  <c r="P39" i="2"/>
  <c r="P47" i="2"/>
  <c r="P55" i="2"/>
  <c r="P63" i="2"/>
  <c r="P71" i="2"/>
  <c r="P75" i="2"/>
  <c r="P83" i="2"/>
  <c r="P91" i="2"/>
  <c r="P5" i="2"/>
  <c r="P9" i="2"/>
  <c r="P13" i="2"/>
  <c r="P17" i="2"/>
  <c r="P21" i="2"/>
  <c r="P29" i="2"/>
  <c r="P33" i="2"/>
  <c r="P37" i="2"/>
  <c r="P41" i="2"/>
  <c r="P45" i="2"/>
  <c r="P53" i="2"/>
  <c r="P57" i="2"/>
  <c r="P61" i="2"/>
  <c r="P65" i="2"/>
  <c r="P69" i="2"/>
  <c r="P73" i="2"/>
  <c r="P77" i="2"/>
  <c r="P81" i="2"/>
  <c r="P85" i="2"/>
  <c r="P89" i="2"/>
  <c r="P93" i="2"/>
  <c r="P10" i="2"/>
  <c r="P26" i="2"/>
  <c r="P38" i="2"/>
  <c r="P46" i="2"/>
  <c r="P54" i="2"/>
  <c r="P62" i="2"/>
  <c r="P70" i="2"/>
  <c r="P78" i="2"/>
  <c r="P86" i="2"/>
  <c r="P94" i="2"/>
  <c r="P11" i="2"/>
  <c r="P19" i="2"/>
  <c r="P27" i="2"/>
  <c r="P35" i="2"/>
  <c r="P43" i="2"/>
  <c r="P51" i="2"/>
  <c r="P59" i="2"/>
  <c r="P67" i="2"/>
  <c r="P79" i="2"/>
  <c r="P87" i="2"/>
  <c r="P95" i="2"/>
  <c r="P6" i="2"/>
  <c r="P3" i="2"/>
  <c r="P96" i="4"/>
  <c r="P94" i="4"/>
  <c r="P93" i="4"/>
  <c r="P77" i="4"/>
  <c r="P61" i="4"/>
  <c r="P85" i="4"/>
  <c r="P81" i="4"/>
  <c r="P65" i="4"/>
  <c r="M50" i="4"/>
  <c r="P69" i="4"/>
  <c r="P70" i="4"/>
  <c r="P62" i="4"/>
  <c r="P50" i="4"/>
  <c r="P38" i="4"/>
  <c r="M3" i="4"/>
  <c r="P82" i="4"/>
  <c r="P74" i="4"/>
  <c r="M2" i="4"/>
  <c r="P86" i="4"/>
  <c r="P78" i="4"/>
  <c r="P57" i="4"/>
  <c r="P34" i="4"/>
  <c r="P30" i="4"/>
  <c r="P26" i="4"/>
  <c r="P16" i="4"/>
  <c r="P12" i="4"/>
  <c r="P4" i="4"/>
  <c r="P90" i="4"/>
  <c r="P89" i="4"/>
  <c r="P54" i="4"/>
  <c r="M49" i="4"/>
  <c r="P42" i="4"/>
  <c r="P41" i="4"/>
  <c r="M40" i="4"/>
  <c r="M30" i="4"/>
  <c r="P73" i="4"/>
  <c r="P46" i="4"/>
  <c r="M6" i="4"/>
  <c r="P66" i="4"/>
  <c r="P58" i="4"/>
  <c r="P33" i="4"/>
  <c r="P11" i="4"/>
  <c r="P3" i="4"/>
  <c r="L37" i="4" l="1"/>
  <c r="T2" i="4"/>
  <c r="T11" i="4"/>
  <c r="T94" i="4"/>
  <c r="T86" i="4"/>
  <c r="T78" i="4"/>
  <c r="T70" i="4"/>
  <c r="T62" i="4"/>
  <c r="T54" i="4"/>
  <c r="T46" i="4"/>
  <c r="T38" i="4"/>
  <c r="T26" i="4"/>
  <c r="T93" i="4"/>
  <c r="T89" i="4"/>
  <c r="T85" i="4"/>
  <c r="T81" i="4"/>
  <c r="T77" i="4"/>
  <c r="T73" i="4"/>
  <c r="T69" i="4"/>
  <c r="T65" i="4"/>
  <c r="T61" i="4"/>
  <c r="T57" i="4"/>
  <c r="T41" i="4"/>
  <c r="T33" i="4"/>
  <c r="T90" i="4"/>
  <c r="T82" i="4"/>
  <c r="T74" i="4"/>
  <c r="T66" i="4"/>
  <c r="T58" i="4"/>
  <c r="T50" i="4"/>
  <c r="T42" i="4"/>
  <c r="T34" i="4"/>
  <c r="T30" i="4"/>
  <c r="T96" i="4"/>
  <c r="T16" i="4"/>
  <c r="T12" i="4"/>
  <c r="T4" i="4"/>
  <c r="T3" i="4"/>
  <c r="L6" i="4"/>
  <c r="L30" i="4"/>
  <c r="Q41" i="4"/>
  <c r="L49" i="4"/>
  <c r="L2" i="4"/>
  <c r="L3" i="4"/>
  <c r="M12" i="4"/>
  <c r="L12" i="4" s="1"/>
  <c r="Q4" i="4"/>
  <c r="Q12" i="4"/>
  <c r="G18" i="4"/>
  <c r="O39" i="4"/>
  <c r="Q11" i="4"/>
  <c r="O13" i="4"/>
  <c r="M42" i="4"/>
  <c r="L42" i="4" s="1"/>
  <c r="M52" i="4"/>
  <c r="L52" i="4" s="1"/>
  <c r="Q62" i="4"/>
  <c r="M72" i="4"/>
  <c r="L72" i="4" s="1"/>
  <c r="O2" i="4"/>
  <c r="M26" i="4"/>
  <c r="L26" i="4"/>
  <c r="O29" i="4"/>
  <c r="M31" i="4"/>
  <c r="L31" i="4" s="1"/>
  <c r="M33" i="4"/>
  <c r="L33" i="4" s="1"/>
  <c r="M34" i="4"/>
  <c r="L34" i="4" s="1"/>
  <c r="O37" i="4"/>
  <c r="L38" i="4"/>
  <c r="L64" i="4"/>
  <c r="M73" i="4"/>
  <c r="L73" i="4"/>
  <c r="Q78" i="4"/>
  <c r="M88" i="4"/>
  <c r="L88" i="4" s="1"/>
  <c r="Q33" i="4"/>
  <c r="M46" i="4"/>
  <c r="L46" i="4" s="1"/>
  <c r="Q50" i="4"/>
  <c r="M56" i="4"/>
  <c r="L56" i="4"/>
  <c r="M82" i="4"/>
  <c r="L82" i="4" s="1"/>
  <c r="Q3" i="4"/>
  <c r="O17" i="4"/>
  <c r="M19" i="4"/>
  <c r="L19" i="4" s="1"/>
  <c r="G22" i="4"/>
  <c r="O21" i="4"/>
  <c r="M57" i="4"/>
  <c r="L57" i="4"/>
  <c r="Q65" i="4"/>
  <c r="L5" i="4"/>
  <c r="O6" i="4"/>
  <c r="G10" i="4"/>
  <c r="M5" i="4"/>
  <c r="G14" i="4"/>
  <c r="O14" i="4"/>
  <c r="Q16" i="4"/>
  <c r="M27" i="4"/>
  <c r="L27" i="4" s="1"/>
  <c r="L28" i="4"/>
  <c r="O31" i="4"/>
  <c r="M35" i="4"/>
  <c r="L35" i="4" s="1"/>
  <c r="L36" i="4"/>
  <c r="O40" i="4"/>
  <c r="M47" i="4"/>
  <c r="L47" i="4" s="1"/>
  <c r="O49" i="4"/>
  <c r="Q49" i="4"/>
  <c r="P49" i="4"/>
  <c r="T49" i="4" s="1"/>
  <c r="M66" i="4"/>
  <c r="L66" i="4" s="1"/>
  <c r="L80" i="4"/>
  <c r="M89" i="4"/>
  <c r="L89" i="4"/>
  <c r="O20" i="4"/>
  <c r="O36" i="4"/>
  <c r="Q38" i="4"/>
  <c r="Q58" i="4"/>
  <c r="Q61" i="4"/>
  <c r="M78" i="4"/>
  <c r="L78" i="4" s="1"/>
  <c r="Q90" i="4"/>
  <c r="Q91" i="4"/>
  <c r="Q42" i="4"/>
  <c r="Q54" i="4"/>
  <c r="Q57" i="4"/>
  <c r="M58" i="4"/>
  <c r="L58" i="4" s="1"/>
  <c r="L68" i="4"/>
  <c r="L69" i="4"/>
  <c r="Q70" i="4"/>
  <c r="Q71" i="4"/>
  <c r="M74" i="4"/>
  <c r="L74" i="4" s="1"/>
  <c r="L84" i="4"/>
  <c r="L85" i="4"/>
  <c r="Q86" i="4"/>
  <c r="Q87" i="4"/>
  <c r="M90" i="4"/>
  <c r="L90" i="4" s="1"/>
  <c r="O28" i="4"/>
  <c r="Q30" i="4"/>
  <c r="Q46" i="4"/>
  <c r="M62" i="4"/>
  <c r="L62" i="4"/>
  <c r="Q74" i="4"/>
  <c r="L40" i="4"/>
  <c r="M43" i="4"/>
  <c r="L43" i="4" s="1"/>
  <c r="O24" i="4"/>
  <c r="Q26" i="4"/>
  <c r="O32" i="4"/>
  <c r="Q34" i="4"/>
  <c r="L44" i="4"/>
  <c r="O45" i="4"/>
  <c r="L50" i="4"/>
  <c r="L51" i="4"/>
  <c r="O53" i="4"/>
  <c r="M54" i="4"/>
  <c r="L54" i="4"/>
  <c r="O63" i="4"/>
  <c r="L65" i="4"/>
  <c r="Q66" i="4"/>
  <c r="Q69" i="4"/>
  <c r="M70" i="4"/>
  <c r="L70" i="4"/>
  <c r="O79" i="4"/>
  <c r="L81" i="4"/>
  <c r="Q82" i="4"/>
  <c r="Q83" i="4"/>
  <c r="M86" i="4"/>
  <c r="L86" i="4" s="1"/>
  <c r="L55" i="4"/>
  <c r="O56" i="4"/>
  <c r="L59" i="4"/>
  <c r="O60" i="4"/>
  <c r="L63" i="4"/>
  <c r="O64" i="4"/>
  <c r="L67" i="4"/>
  <c r="O68" i="4"/>
  <c r="L71" i="4"/>
  <c r="O72" i="4"/>
  <c r="L75" i="4"/>
  <c r="O76" i="4"/>
  <c r="L79" i="4"/>
  <c r="O80" i="4"/>
  <c r="L83" i="4"/>
  <c r="O84" i="4"/>
  <c r="L87" i="4"/>
  <c r="O88" i="4"/>
  <c r="L91" i="4"/>
  <c r="O92" i="4"/>
  <c r="M94" i="4"/>
  <c r="L94" i="4"/>
  <c r="M95" i="4"/>
  <c r="L95" i="4" s="1"/>
  <c r="M96" i="4"/>
  <c r="L96" i="4" s="1"/>
  <c r="Q96" i="4"/>
  <c r="O2" i="2"/>
  <c r="O3" i="2"/>
  <c r="O4" i="2"/>
  <c r="O5" i="2"/>
  <c r="O6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13" i="2"/>
  <c r="O14" i="2"/>
  <c r="O12" i="2"/>
  <c r="O11" i="2"/>
  <c r="O10" i="2"/>
  <c r="O9" i="2"/>
  <c r="O8" i="2"/>
  <c r="O7" i="2"/>
  <c r="P5" i="4"/>
  <c r="P55" i="4"/>
  <c r="P71" i="4"/>
  <c r="P53" i="4"/>
  <c r="P83" i="4"/>
  <c r="M24" i="4"/>
  <c r="P91" i="4"/>
  <c r="P51" i="4"/>
  <c r="P27" i="4"/>
  <c r="P48" i="4"/>
  <c r="P52" i="4"/>
  <c r="P95" i="4"/>
  <c r="M8" i="4"/>
  <c r="M4" i="4"/>
  <c r="M16" i="4"/>
  <c r="P9" i="4"/>
  <c r="P7" i="4"/>
  <c r="P6" i="4"/>
  <c r="P43" i="4"/>
  <c r="P35" i="4"/>
  <c r="P44" i="4"/>
  <c r="P45" i="4"/>
  <c r="P47" i="4"/>
  <c r="M32" i="4"/>
  <c r="P31" i="4"/>
  <c r="M9" i="4"/>
  <c r="P59" i="4"/>
  <c r="P19" i="4"/>
  <c r="P87" i="4"/>
  <c r="P75" i="4"/>
  <c r="P67" i="4"/>
  <c r="P21" i="4"/>
  <c r="P40" i="4"/>
  <c r="P20" i="4"/>
  <c r="P13" i="4"/>
  <c r="P39" i="4"/>
  <c r="P79" i="4"/>
  <c r="T79" i="4" l="1"/>
  <c r="T39" i="4"/>
  <c r="T13" i="4"/>
  <c r="T20" i="4"/>
  <c r="T40" i="4"/>
  <c r="T21" i="4"/>
  <c r="T67" i="4"/>
  <c r="T75" i="4"/>
  <c r="T87" i="4"/>
  <c r="T19" i="4"/>
  <c r="T59" i="4"/>
  <c r="T31" i="4"/>
  <c r="T47" i="4"/>
  <c r="T45" i="4"/>
  <c r="T44" i="4"/>
  <c r="T35" i="4"/>
  <c r="T43" i="4"/>
  <c r="T6" i="4"/>
  <c r="T7" i="4"/>
  <c r="T9" i="4"/>
  <c r="T95" i="4"/>
  <c r="T52" i="4"/>
  <c r="T48" i="4"/>
  <c r="T27" i="4"/>
  <c r="T51" i="4"/>
  <c r="T91" i="4"/>
  <c r="T83" i="4"/>
  <c r="T53" i="4"/>
  <c r="T71" i="4"/>
  <c r="T55" i="4"/>
  <c r="T5" i="4"/>
  <c r="Q13" i="4"/>
  <c r="Q21" i="4"/>
  <c r="Q67" i="4"/>
  <c r="Q75" i="4"/>
  <c r="Q19" i="4"/>
  <c r="Q59" i="4"/>
  <c r="L9" i="4"/>
  <c r="L32" i="4"/>
  <c r="Q47" i="4"/>
  <c r="Q44" i="4"/>
  <c r="Q35" i="4"/>
  <c r="Q43" i="4"/>
  <c r="Q7" i="4"/>
  <c r="Q9" i="4"/>
  <c r="L16" i="4"/>
  <c r="L4" i="4"/>
  <c r="L8" i="4"/>
  <c r="Q52" i="4"/>
  <c r="Q48" i="4"/>
  <c r="Q27" i="4"/>
  <c r="Q51" i="4"/>
  <c r="L24" i="4"/>
  <c r="Q53" i="4"/>
  <c r="Q55" i="4"/>
  <c r="Q5" i="4"/>
  <c r="Q31" i="4"/>
  <c r="Q84" i="4"/>
  <c r="G23" i="4"/>
  <c r="Q18" i="4"/>
  <c r="P18" i="4"/>
  <c r="T18" i="4" s="1"/>
  <c r="O18" i="4"/>
  <c r="Q76" i="4"/>
  <c r="Q40" i="4"/>
  <c r="Q20" i="4"/>
  <c r="Q72" i="4"/>
  <c r="Q45" i="4"/>
  <c r="Q6" i="4"/>
  <c r="Q39" i="4"/>
  <c r="O22" i="4"/>
  <c r="Q79" i="4"/>
  <c r="Q92" i="4"/>
  <c r="Q88" i="4"/>
  <c r="Q80" i="4"/>
  <c r="G15" i="4"/>
  <c r="O10" i="4"/>
  <c r="G7" i="2"/>
  <c r="P63" i="4"/>
  <c r="P24" i="4"/>
  <c r="P76" i="4"/>
  <c r="P36" i="4"/>
  <c r="P56" i="4"/>
  <c r="P68" i="4"/>
  <c r="P80" i="4"/>
  <c r="P32" i="4"/>
  <c r="P84" i="4"/>
  <c r="P37" i="4"/>
  <c r="P88" i="4"/>
  <c r="P60" i="4"/>
  <c r="P17" i="4"/>
  <c r="P28" i="4"/>
  <c r="P29" i="4"/>
  <c r="P92" i="4"/>
  <c r="P72" i="4"/>
  <c r="P64" i="4"/>
  <c r="P14" i="4"/>
  <c r="T14" i="4" l="1"/>
  <c r="T64" i="4"/>
  <c r="T72" i="4"/>
  <c r="T92" i="4"/>
  <c r="T29" i="4"/>
  <c r="T28" i="4"/>
  <c r="T17" i="4"/>
  <c r="T60" i="4"/>
  <c r="T88" i="4"/>
  <c r="T37" i="4"/>
  <c r="T84" i="4"/>
  <c r="T32" i="4"/>
  <c r="T80" i="4"/>
  <c r="T68" i="4"/>
  <c r="T56" i="4"/>
  <c r="T36" i="4"/>
  <c r="T76" i="4"/>
  <c r="T24" i="4"/>
  <c r="T63" i="4"/>
  <c r="Q14" i="4"/>
  <c r="Q64" i="4"/>
  <c r="Q29" i="4"/>
  <c r="Q28" i="4"/>
  <c r="Q17" i="4"/>
  <c r="Q60" i="4"/>
  <c r="Q37" i="4"/>
  <c r="Q32" i="4"/>
  <c r="Q68" i="4"/>
  <c r="Q56" i="4"/>
  <c r="Q36" i="4"/>
  <c r="Q24" i="4"/>
  <c r="Q63" i="4"/>
  <c r="O15" i="4"/>
  <c r="O23" i="4"/>
  <c r="Q2" i="2"/>
  <c r="P22" i="4"/>
  <c r="P10" i="4"/>
  <c r="P23" i="4"/>
  <c r="T23" i="4" l="1"/>
  <c r="T10" i="4"/>
  <c r="T22" i="4"/>
  <c r="Q10" i="4"/>
  <c r="Q22" i="4"/>
  <c r="Q23" i="4"/>
  <c r="Q3" i="2"/>
  <c r="Q6" i="2"/>
  <c r="Q5" i="2"/>
  <c r="Q4" i="2"/>
  <c r="L7" i="2"/>
  <c r="L10" i="2"/>
  <c r="L13" i="2"/>
  <c r="L14" i="2"/>
  <c r="L15" i="2"/>
  <c r="L17" i="2"/>
  <c r="L18" i="2"/>
  <c r="L20" i="2"/>
  <c r="L21" i="2"/>
  <c r="L22" i="2"/>
  <c r="L23" i="2"/>
  <c r="L25" i="2"/>
  <c r="L29" i="2"/>
  <c r="L39" i="2"/>
  <c r="L45" i="2"/>
  <c r="L53" i="2"/>
  <c r="P15" i="4"/>
  <c r="T15" i="4" l="1"/>
  <c r="Q15" i="4"/>
  <c r="Q97" i="4" s="1"/>
  <c r="N6" i="2"/>
  <c r="N7" i="2"/>
  <c r="N8" i="2"/>
  <c r="N9" i="2"/>
  <c r="N10" i="2"/>
  <c r="N11" i="2"/>
  <c r="N12" i="2"/>
  <c r="N13" i="2"/>
  <c r="N5" i="2"/>
  <c r="N2" i="2"/>
  <c r="N3" i="2"/>
  <c r="N4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Q7" i="2" l="1"/>
  <c r="J3" i="2"/>
  <c r="K3" i="2" s="1"/>
  <c r="J4" i="2"/>
  <c r="K4" i="2" s="1"/>
  <c r="J5" i="2"/>
  <c r="K5" i="2" s="1"/>
  <c r="J6" i="2"/>
  <c r="K6" i="2" s="1"/>
  <c r="J7" i="2"/>
  <c r="K7" i="2" s="1"/>
  <c r="J8" i="2"/>
  <c r="J9" i="2"/>
  <c r="K9" i="2" s="1"/>
  <c r="J10" i="2"/>
  <c r="J11" i="2"/>
  <c r="J12" i="2"/>
  <c r="K12" i="2" s="1"/>
  <c r="J13" i="2"/>
  <c r="K13" i="2" s="1"/>
  <c r="J14" i="2"/>
  <c r="K14" i="2" s="1"/>
  <c r="J15" i="2"/>
  <c r="J16" i="2"/>
  <c r="K16" i="2" s="1"/>
  <c r="J17" i="2"/>
  <c r="K17" i="2" s="1"/>
  <c r="J18" i="2"/>
  <c r="J19" i="2"/>
  <c r="K19" i="2" s="1"/>
  <c r="J20" i="2"/>
  <c r="K20" i="2" s="1"/>
  <c r="J21" i="2"/>
  <c r="K21" i="2" s="1"/>
  <c r="J22" i="2"/>
  <c r="K22" i="2" s="1"/>
  <c r="J23" i="2"/>
  <c r="J24" i="2"/>
  <c r="K24" i="2" s="1"/>
  <c r="J25" i="2"/>
  <c r="J26" i="2"/>
  <c r="J27" i="2"/>
  <c r="J28" i="2"/>
  <c r="K28" i="2" s="1"/>
  <c r="J29" i="2"/>
  <c r="J30" i="2"/>
  <c r="J31" i="2"/>
  <c r="J32" i="2"/>
  <c r="J33" i="2"/>
  <c r="J34" i="2"/>
  <c r="J35" i="2"/>
  <c r="J36" i="2"/>
  <c r="J37" i="2"/>
  <c r="J38" i="2"/>
  <c r="K38" i="2" s="1"/>
  <c r="J39" i="2"/>
  <c r="J40" i="2"/>
  <c r="J41" i="2"/>
  <c r="J42" i="2"/>
  <c r="J43" i="2"/>
  <c r="J44" i="2"/>
  <c r="K44" i="2" s="1"/>
  <c r="J45" i="2"/>
  <c r="J46" i="2"/>
  <c r="J47" i="2"/>
  <c r="J48" i="2"/>
  <c r="J49" i="2"/>
  <c r="J50" i="2"/>
  <c r="J51" i="2"/>
  <c r="J52" i="2"/>
  <c r="K52" i="2" s="1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2" i="2"/>
  <c r="K2" i="2" s="1"/>
  <c r="K96" i="2" l="1"/>
  <c r="K94" i="2"/>
  <c r="K90" i="2"/>
  <c r="K86" i="2"/>
  <c r="K82" i="2"/>
  <c r="K78" i="2"/>
  <c r="K74" i="2"/>
  <c r="K70" i="2"/>
  <c r="K66" i="2"/>
  <c r="K62" i="2"/>
  <c r="K58" i="2"/>
  <c r="K54" i="2"/>
  <c r="K50" i="2"/>
  <c r="K46" i="2"/>
  <c r="K42" i="2"/>
  <c r="K34" i="2"/>
  <c r="K30" i="2"/>
  <c r="K26" i="2"/>
  <c r="K18" i="2"/>
  <c r="K10" i="2"/>
  <c r="K93" i="2"/>
  <c r="K89" i="2"/>
  <c r="K85" i="2"/>
  <c r="K81" i="2"/>
  <c r="K77" i="2"/>
  <c r="K73" i="2"/>
  <c r="K69" i="2"/>
  <c r="K65" i="2"/>
  <c r="K61" i="2"/>
  <c r="K57" i="2"/>
  <c r="K53" i="2"/>
  <c r="K49" i="2"/>
  <c r="K45" i="2"/>
  <c r="K41" i="2"/>
  <c r="K37" i="2"/>
  <c r="K33" i="2"/>
  <c r="K29" i="2"/>
  <c r="K25" i="2"/>
  <c r="K92" i="2"/>
  <c r="K88" i="2"/>
  <c r="K84" i="2"/>
  <c r="K80" i="2"/>
  <c r="K76" i="2"/>
  <c r="K72" i="2"/>
  <c r="K68" i="2"/>
  <c r="K64" i="2"/>
  <c r="K60" i="2"/>
  <c r="K56" i="2"/>
  <c r="K48" i="2"/>
  <c r="K40" i="2"/>
  <c r="K36" i="2"/>
  <c r="K32" i="2"/>
  <c r="K8" i="2"/>
  <c r="K95" i="2"/>
  <c r="K91" i="2"/>
  <c r="K87" i="2"/>
  <c r="K83" i="2"/>
  <c r="K79" i="2"/>
  <c r="K75" i="2"/>
  <c r="K71" i="2"/>
  <c r="K67" i="2"/>
  <c r="K63" i="2"/>
  <c r="K59" i="2"/>
  <c r="K55" i="2"/>
  <c r="K51" i="2"/>
  <c r="K47" i="2"/>
  <c r="K43" i="2"/>
  <c r="K39" i="2"/>
  <c r="K35" i="2"/>
  <c r="K31" i="2"/>
  <c r="K27" i="2"/>
  <c r="K23" i="2"/>
  <c r="K15" i="2"/>
  <c r="K11" i="2"/>
  <c r="G3" i="2"/>
  <c r="G4" i="2"/>
  <c r="G5" i="2"/>
  <c r="G6" i="2"/>
  <c r="G8" i="2"/>
  <c r="G9" i="2"/>
  <c r="G11" i="2"/>
  <c r="G12" i="2"/>
  <c r="G16" i="2"/>
  <c r="G19" i="2"/>
  <c r="G24" i="2"/>
  <c r="G26" i="2"/>
  <c r="G27" i="2"/>
  <c r="G28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6" i="2"/>
  <c r="G47" i="2"/>
  <c r="G48" i="2"/>
  <c r="G49" i="2"/>
  <c r="G50" i="2"/>
  <c r="G51" i="2"/>
  <c r="G52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2" i="2"/>
  <c r="M19" i="2"/>
  <c r="L19" i="2" s="1"/>
  <c r="M27" i="2"/>
  <c r="M31" i="2"/>
  <c r="M57" i="2"/>
  <c r="M76" i="2"/>
  <c r="M80" i="2"/>
  <c r="M82" i="2"/>
  <c r="M92" i="2"/>
  <c r="M94" i="2"/>
  <c r="M96" i="2"/>
  <c r="M13" i="2"/>
  <c r="M15" i="2"/>
  <c r="M17" i="2"/>
  <c r="M12" i="2"/>
  <c r="L12" i="2" s="1"/>
  <c r="M7" i="2"/>
  <c r="M10" i="2"/>
  <c r="M53" i="2"/>
  <c r="M23" i="2"/>
  <c r="M21" i="2"/>
  <c r="M29" i="2"/>
  <c r="M25" i="2"/>
  <c r="M8" i="2"/>
  <c r="M4" i="2"/>
  <c r="M6" i="2"/>
  <c r="M49" i="2"/>
  <c r="Q84" i="2" l="1"/>
  <c r="Q72" i="2"/>
  <c r="Q95" i="2"/>
  <c r="Q8" i="2"/>
  <c r="Q80" i="2"/>
  <c r="Q87" i="2"/>
  <c r="Q71" i="2"/>
  <c r="Q94" i="2"/>
  <c r="Q90" i="2"/>
  <c r="Q78" i="2"/>
  <c r="Q74" i="2"/>
  <c r="Q49" i="2"/>
  <c r="Q91" i="2"/>
  <c r="Q93" i="2"/>
  <c r="Q81" i="2"/>
  <c r="Q77" i="2"/>
  <c r="L4" i="2"/>
  <c r="L27" i="2"/>
  <c r="L76" i="2"/>
  <c r="L92" i="2"/>
  <c r="L31" i="2"/>
  <c r="L80" i="2"/>
  <c r="L57" i="2"/>
  <c r="L94" i="2"/>
  <c r="L8" i="2"/>
  <c r="L82" i="2"/>
  <c r="L96" i="2"/>
  <c r="L49" i="2"/>
  <c r="L6" i="2"/>
  <c r="G20" i="2"/>
  <c r="G45" i="2"/>
  <c r="G29" i="2"/>
  <c r="G17" i="2"/>
  <c r="G53" i="2"/>
  <c r="G39" i="2"/>
  <c r="G25" i="2"/>
  <c r="G13" i="2"/>
  <c r="G10" i="2"/>
  <c r="M90" i="2"/>
  <c r="L90" i="2" s="1"/>
  <c r="M86" i="2"/>
  <c r="L86" i="2" s="1"/>
  <c r="M72" i="2"/>
  <c r="L72" i="2" s="1"/>
  <c r="M55" i="2"/>
  <c r="L55" i="2" s="1"/>
  <c r="M51" i="2"/>
  <c r="L51" i="2" s="1"/>
  <c r="M88" i="2"/>
  <c r="L88" i="2" s="1"/>
  <c r="M84" i="2"/>
  <c r="L84" i="2" s="1"/>
  <c r="M74" i="2"/>
  <c r="L74" i="2" s="1"/>
  <c r="M95" i="2"/>
  <c r="L95" i="2" s="1"/>
  <c r="M93" i="2"/>
  <c r="L93" i="2" s="1"/>
  <c r="M91" i="2"/>
  <c r="L91" i="2" s="1"/>
  <c r="M89" i="2"/>
  <c r="L89" i="2" s="1"/>
  <c r="M87" i="2"/>
  <c r="L87" i="2" s="1"/>
  <c r="M85" i="2"/>
  <c r="L85" i="2" s="1"/>
  <c r="M83" i="2"/>
  <c r="L83" i="2" s="1"/>
  <c r="M81" i="2"/>
  <c r="L81" i="2" s="1"/>
  <c r="M79" i="2"/>
  <c r="L79" i="2" s="1"/>
  <c r="M70" i="2"/>
  <c r="L70" i="2" s="1"/>
  <c r="M68" i="2"/>
  <c r="L68" i="2" s="1"/>
  <c r="M66" i="2"/>
  <c r="L66" i="2" s="1"/>
  <c r="M64" i="2"/>
  <c r="L64" i="2" s="1"/>
  <c r="M62" i="2"/>
  <c r="L62" i="2" s="1"/>
  <c r="M60" i="2"/>
  <c r="L60" i="2" s="1"/>
  <c r="M47" i="2"/>
  <c r="L47" i="2" s="1"/>
  <c r="M41" i="2"/>
  <c r="L41" i="2" s="1"/>
  <c r="M37" i="2"/>
  <c r="L37" i="2" s="1"/>
  <c r="M43" i="2"/>
  <c r="L43" i="2" s="1"/>
  <c r="M35" i="2"/>
  <c r="L35" i="2" s="1"/>
  <c r="M33" i="2"/>
  <c r="L33" i="2" s="1"/>
  <c r="F97" i="2"/>
  <c r="B97" i="2"/>
  <c r="M5" i="2"/>
  <c r="L5" i="2" s="1"/>
  <c r="M11" i="2"/>
  <c r="L11" i="2" s="1"/>
  <c r="M45" i="2"/>
  <c r="M39" i="2"/>
  <c r="M3" i="2"/>
  <c r="M2" i="2"/>
  <c r="M9" i="2"/>
  <c r="M32" i="2"/>
  <c r="Q58" i="2" l="1"/>
  <c r="Q59" i="2"/>
  <c r="Q16" i="2"/>
  <c r="Q24" i="2"/>
  <c r="Q43" i="2"/>
  <c r="Q61" i="2"/>
  <c r="Q19" i="2"/>
  <c r="Q68" i="2"/>
  <c r="Q63" i="2"/>
  <c r="Q51" i="2"/>
  <c r="Q12" i="2"/>
  <c r="Q40" i="2"/>
  <c r="Q48" i="2"/>
  <c r="Q36" i="2"/>
  <c r="Q64" i="2"/>
  <c r="Q44" i="2"/>
  <c r="Q30" i="2"/>
  <c r="Q65" i="2"/>
  <c r="Q75" i="2"/>
  <c r="Q26" i="2"/>
  <c r="Q62" i="2"/>
  <c r="Q60" i="2"/>
  <c r="Q67" i="2"/>
  <c r="Q56" i="2"/>
  <c r="Q96" i="2"/>
  <c r="Q32" i="2"/>
  <c r="Q34" i="2"/>
  <c r="Q28" i="2"/>
  <c r="Q52" i="2"/>
  <c r="Q33" i="2"/>
  <c r="Q25" i="2"/>
  <c r="Q11" i="2"/>
  <c r="Q38" i="2"/>
  <c r="Q57" i="2"/>
  <c r="Q73" i="2"/>
  <c r="Q89" i="2"/>
  <c r="Q55" i="2"/>
  <c r="Q83" i="2"/>
  <c r="Q37" i="2"/>
  <c r="Q88" i="2"/>
  <c r="Q35" i="2"/>
  <c r="Q54" i="2"/>
  <c r="Q70" i="2"/>
  <c r="Q86" i="2"/>
  <c r="Q50" i="2"/>
  <c r="Q69" i="2"/>
  <c r="Q85" i="2"/>
  <c r="Q46" i="2"/>
  <c r="Q76" i="2"/>
  <c r="Q31" i="2"/>
  <c r="Q66" i="2"/>
  <c r="Q82" i="2"/>
  <c r="Q27" i="2"/>
  <c r="Q79" i="2"/>
  <c r="Q47" i="2"/>
  <c r="Q92" i="2"/>
  <c r="Q41" i="2"/>
  <c r="Q42" i="2"/>
  <c r="Q9" i="2"/>
  <c r="L2" i="2"/>
  <c r="L32" i="2"/>
  <c r="L9" i="2"/>
  <c r="L3" i="2"/>
  <c r="G21" i="2"/>
  <c r="G14" i="2"/>
  <c r="G18" i="2"/>
  <c r="G22" i="2"/>
  <c r="M78" i="2"/>
  <c r="L78" i="2" s="1"/>
  <c r="M73" i="2"/>
  <c r="L73" i="2" s="1"/>
  <c r="M77" i="2"/>
  <c r="L77" i="2" s="1"/>
  <c r="M71" i="2"/>
  <c r="L71" i="2" s="1"/>
  <c r="M75" i="2"/>
  <c r="L75" i="2" s="1"/>
  <c r="M63" i="2"/>
  <c r="L63" i="2" s="1"/>
  <c r="M67" i="2"/>
  <c r="L67" i="2" s="1"/>
  <c r="M61" i="2"/>
  <c r="L61" i="2" s="1"/>
  <c r="M65" i="2"/>
  <c r="L65" i="2" s="1"/>
  <c r="M69" i="2"/>
  <c r="L69" i="2" s="1"/>
  <c r="M59" i="2"/>
  <c r="L59" i="2" s="1"/>
  <c r="M54" i="2"/>
  <c r="L54" i="2" s="1"/>
  <c r="M58" i="2"/>
  <c r="L58" i="2" s="1"/>
  <c r="M48" i="2"/>
  <c r="L48" i="2" s="1"/>
  <c r="M52" i="2"/>
  <c r="L52" i="2" s="1"/>
  <c r="M56" i="2"/>
  <c r="L56" i="2" s="1"/>
  <c r="M38" i="2"/>
  <c r="L38" i="2" s="1"/>
  <c r="M42" i="2"/>
  <c r="L42" i="2" s="1"/>
  <c r="M46" i="2"/>
  <c r="L46" i="2" s="1"/>
  <c r="M36" i="2"/>
  <c r="L36" i="2" s="1"/>
  <c r="M44" i="2"/>
  <c r="L44" i="2" s="1"/>
  <c r="M34" i="2"/>
  <c r="L34" i="2" s="1"/>
  <c r="M20" i="2"/>
  <c r="M28" i="2"/>
  <c r="L28" i="2" s="1"/>
  <c r="M26" i="2"/>
  <c r="L26" i="2" s="1"/>
  <c r="M14" i="2"/>
  <c r="M22" i="2"/>
  <c r="M18" i="2"/>
  <c r="M40" i="2"/>
  <c r="M30" i="2"/>
  <c r="M16" i="2"/>
  <c r="M24" i="2"/>
  <c r="M50" i="2"/>
  <c r="Q20" i="2" l="1"/>
  <c r="Q17" i="2"/>
  <c r="Q13" i="2"/>
  <c r="Q53" i="2"/>
  <c r="Q10" i="2"/>
  <c r="Q39" i="2"/>
  <c r="Q18" i="2"/>
  <c r="Q45" i="2"/>
  <c r="Q29" i="2"/>
  <c r="L16" i="2"/>
  <c r="L30" i="2"/>
  <c r="L24" i="2"/>
  <c r="L50" i="2"/>
  <c r="L40" i="2"/>
  <c r="G23" i="2"/>
  <c r="G15" i="2"/>
  <c r="Q14" i="2" l="1"/>
  <c r="Q22" i="2"/>
  <c r="Q21" i="2"/>
  <c r="Q23" i="2" l="1"/>
  <c r="Q15" i="2"/>
  <c r="Q9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Nikita Dvorets</author>
  </authors>
  <commentList>
    <comment ref="N1" authorId="0" shapeId="0" xr:uid="{F9D96B76-64B1-4EF6-BE91-8EA4781A5D08}">
      <text>
        <r>
          <rPr>
            <b/>
            <sz val="9"/>
            <color indexed="81"/>
            <rFont val="Tahoma"/>
            <charset val="1"/>
          </rPr>
          <t>Nikita Dvorets:</t>
        </r>
        <r>
          <rPr>
            <sz val="9"/>
            <color indexed="81"/>
            <rFont val="Tahoma"/>
            <charset val="1"/>
          </rPr>
          <t xml:space="preserve">
"+" - отсутствие данных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Nikita Dvorets</author>
  </authors>
  <commentList>
    <comment ref="N1" authorId="0" shapeId="0" xr:uid="{CC57E667-E00C-4EF7-90C9-ED2044D14D7B}">
      <text>
        <r>
          <rPr>
            <b/>
            <sz val="9"/>
            <color indexed="81"/>
            <rFont val="Tahoma"/>
            <charset val="1"/>
          </rPr>
          <t>Nikita Dvorets:</t>
        </r>
        <r>
          <rPr>
            <sz val="9"/>
            <color indexed="81"/>
            <rFont val="Tahoma"/>
            <charset val="1"/>
          </rPr>
          <t xml:space="preserve">
"+" - отсутствие данных</t>
        </r>
      </text>
    </comment>
  </commentList>
</comments>
</file>

<file path=xl/sharedStrings.xml><?xml version="1.0" encoding="utf-8"?>
<sst xmlns="http://schemas.openxmlformats.org/spreadsheetml/2006/main" count="213" uniqueCount="65">
  <si>
    <t>№ этапа</t>
  </si>
  <si>
    <t>№
акта</t>
  </si>
  <si>
    <t>Срок по контракту</t>
  </si>
  <si>
    <t>18/1</t>
  </si>
  <si>
    <t>24/2</t>
  </si>
  <si>
    <t>24/1</t>
  </si>
  <si>
    <t>25/1</t>
  </si>
  <si>
    <t>29/2</t>
  </si>
  <si>
    <t>33/1</t>
  </si>
  <si>
    <t>34/1</t>
  </si>
  <si>
    <t>58/1</t>
  </si>
  <si>
    <t>от</t>
  </si>
  <si>
    <t>Остаток 
по этапу</t>
  </si>
  <si>
    <t>Цена этапа</t>
  </si>
  <si>
    <t>Просрочено дней</t>
  </si>
  <si>
    <t>Ставка
по актам</t>
  </si>
  <si>
    <t>Сумма</t>
  </si>
  <si>
    <t>Праздники</t>
  </si>
  <si>
    <t>1</t>
  </si>
  <si>
    <t>2/1</t>
  </si>
  <si>
    <t>3</t>
  </si>
  <si>
    <t>5/1</t>
  </si>
  <si>
    <t>5/2</t>
  </si>
  <si>
    <t>6</t>
  </si>
  <si>
    <t>9/1</t>
  </si>
  <si>
    <t>9/2</t>
  </si>
  <si>
    <t>9/3</t>
  </si>
  <si>
    <t>10/1</t>
  </si>
  <si>
    <t>10/2</t>
  </si>
  <si>
    <t>11/1</t>
  </si>
  <si>
    <t>11/2</t>
  </si>
  <si>
    <t>11/3</t>
  </si>
  <si>
    <t>11/4</t>
  </si>
  <si>
    <t>12/1</t>
  </si>
  <si>
    <t>15/1</t>
  </si>
  <si>
    <t>29/1</t>
  </si>
  <si>
    <t>36/1</t>
  </si>
  <si>
    <t>79/1</t>
  </si>
  <si>
    <t>ИТОГО</t>
  </si>
  <si>
    <t>7/1</t>
  </si>
  <si>
    <t>16/1</t>
  </si>
  <si>
    <t>9/4</t>
  </si>
  <si>
    <t>10/3</t>
  </si>
  <si>
    <t>12/2</t>
  </si>
  <si>
    <t>7/2</t>
  </si>
  <si>
    <t>15/2</t>
  </si>
  <si>
    <t>36/2</t>
  </si>
  <si>
    <t>каникулы</t>
  </si>
  <si>
    <t>Международный женский день</t>
  </si>
  <si>
    <t>Праздник весны и труда</t>
  </si>
  <si>
    <t>День защитника отеч.</t>
  </si>
  <si>
    <t>День победы</t>
  </si>
  <si>
    <t>День народного единства</t>
  </si>
  <si>
    <t>День труда</t>
  </si>
  <si>
    <t>День России</t>
  </si>
  <si>
    <t>День нар. един-ва</t>
  </si>
  <si>
    <t>Рабочий
+1</t>
  </si>
  <si>
    <t>Сумма акта 1</t>
  </si>
  <si>
    <t>Неустойка по 1му акту</t>
  </si>
  <si>
    <t>Дата акта i</t>
  </si>
  <si>
    <t>На остаток/
период просрочки</t>
  </si>
  <si>
    <t>дата получения заказчиком акта приемки выполненных работ</t>
  </si>
  <si>
    <t>Ставка по просрочке, новый вариант
И(A2&lt;=A3;O2&gt;0;H2&lt;&gt;0)</t>
  </si>
  <si>
    <t>Ставка по просрочке, старый вариант
И(A2&lt;=A3;O2&gt;0)</t>
  </si>
  <si>
    <r>
      <t xml:space="preserve">Разность [P ЦАОП(итог)] </t>
    </r>
    <r>
      <rPr>
        <sz val="16"/>
        <color theme="1"/>
        <rFont val="Calibri"/>
        <family val="2"/>
        <charset val="204"/>
        <scheme val="minor"/>
      </rPr>
      <t>-</t>
    </r>
    <r>
      <rPr>
        <sz val="8"/>
        <color theme="1"/>
        <rFont val="Calibri"/>
        <family val="2"/>
        <charset val="204"/>
        <scheme val="minor"/>
      </rPr>
      <t xml:space="preserve">
[Р ЦАОП(0)]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</si>
</sst>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2" xfId="0" applyNumberFormat="1" applyBorder="1"/>
    <xf numFmtId="0" fontId="0" fillId="0" borderId="3" xfId="0" applyBorder="1" applyAlignment="1">
      <alignment horizontal="center" vertical="center"/>
    </xf>
    <xf numFmtId="14" fontId="0" fillId="2" borderId="0" xfId="0" applyNumberFormat="1" applyFill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0" fontId="4" fillId="0" borderId="0" xfId="0" applyFont="1"/>
    <xf numFmtId="4" fontId="4" fillId="0" borderId="0" xfId="0" applyNumberFormat="1" applyFont="1"/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0" fillId="4" borderId="0" xfId="0" applyNumberFormat="1" applyFill="1"/>
    <xf numFmtId="0" fontId="0" fillId="4" borderId="0" xfId="0" applyFill="1"/>
    <xf numFmtId="14" fontId="0" fillId="5" borderId="0" xfId="0" applyNumberFormat="1" applyFill="1"/>
    <xf numFmtId="14" fontId="0" fillId="6" borderId="0" xfId="0" applyNumberFormat="1" applyFill="1"/>
    <xf numFmtId="14" fontId="0" fillId="7" borderId="0" xfId="0" applyNumberFormat="1" applyFill="1"/>
    <xf numFmtId="14" fontId="0" fillId="3" borderId="0" xfId="0" applyNumberFormat="1" applyFill="1"/>
    <xf numFmtId="14" fontId="0" fillId="0" borderId="0" xfId="0" applyNumberFormat="1"/>
    <xf numFmtId="14" fontId="0" fillId="8" borderId="0" xfId="0" applyNumberFormat="1" applyFill="1"/>
    <xf numFmtId="14" fontId="0" fillId="9" borderId="0" xfId="0" applyNumberFormat="1" applyFill="1"/>
    <xf numFmtId="14" fontId="0" fillId="10" borderId="0" xfId="0" applyNumberFormat="1" applyFill="1"/>
    <xf numFmtId="0" fontId="0" fillId="10" borderId="0" xfId="0" applyFill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4" fontId="0" fillId="0" borderId="3" xfId="0" applyNumberFormat="1" applyBorder="1"/>
    <xf numFmtId="49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1" xfId="0" applyNumberFormat="1" applyBorder="1"/>
    <xf numFmtId="14" fontId="0" fillId="0" borderId="3" xfId="0" applyNumberFormat="1" applyBorder="1"/>
    <xf numFmtId="49" fontId="0" fillId="0" borderId="2" xfId="0" applyNumberForma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14" fontId="0" fillId="0" borderId="2" xfId="0" applyNumberFormat="1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12" borderId="0" xfId="0" applyNumberFormat="1" applyFill="1"/>
    <xf numFmtId="0" fontId="0" fillId="12" borderId="0" xfId="0" applyFill="1"/>
    <xf numFmtId="14" fontId="5" fillId="13" borderId="1" xfId="0" applyNumberFormat="1" applyFont="1" applyFill="1" applyBorder="1" applyAlignment="1">
      <alignment horizontal="center" vertical="center"/>
    </xf>
    <xf numFmtId="0" fontId="0" fillId="1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1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0" fontId="1" fillId="0" borderId="2" xfId="0" applyNumberFormat="1" applyFont="1" applyFill="1" applyBorder="1"/>
    <xf numFmtId="4" fontId="0" fillId="0" borderId="6" xfId="0" applyNumberFormat="1" applyFill="1" applyBorder="1"/>
    <xf numFmtId="4" fontId="4" fillId="0" borderId="0" xfId="0" applyNumberFormat="1" applyFont="1" applyFill="1"/>
    <xf numFmtId="14" fontId="5" fillId="0" borderId="1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14" fontId="0" fillId="0" borderId="2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0" fontId="1" fillId="0" borderId="12" xfId="0" applyNumberFormat="1" applyFont="1" applyFill="1" applyBorder="1"/>
    <xf numFmtId="0" fontId="0" fillId="3" borderId="5" xfId="0" applyFill="1" applyBorder="1"/>
    <xf numFmtId="4" fontId="0" fillId="3" borderId="1" xfId="0" applyNumberFormat="1" applyFill="1" applyBorder="1"/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/>
    <xf numFmtId="14" fontId="0" fillId="3" borderId="2" xfId="0" applyNumberFormat="1" applyFill="1" applyBorder="1"/>
    <xf numFmtId="0" fontId="0" fillId="3" borderId="8" xfId="0" applyFill="1" applyBorder="1"/>
    <xf numFmtId="10" fontId="2" fillId="3" borderId="9" xfId="0" applyNumberFormat="1" applyFon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14" borderId="5" xfId="0" applyFill="1" applyBorder="1"/>
    <xf numFmtId="4" fontId="0" fillId="14" borderId="1" xfId="0" applyNumberFormat="1" applyFill="1" applyBorder="1"/>
    <xf numFmtId="49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/>
    </xf>
    <xf numFmtId="14" fontId="0" fillId="14" borderId="1" xfId="0" applyNumberFormat="1" applyFill="1" applyBorder="1"/>
    <xf numFmtId="14" fontId="0" fillId="14" borderId="2" xfId="0" applyNumberFormat="1" applyFill="1" applyBorder="1"/>
    <xf numFmtId="0" fontId="0" fillId="14" borderId="8" xfId="0" applyFill="1" applyBorder="1"/>
    <xf numFmtId="10" fontId="2" fillId="14" borderId="9" xfId="0" applyNumberFormat="1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4" borderId="8" xfId="0" applyNumberFormat="1" applyFill="1" applyBorder="1" applyAlignment="1">
      <alignment horizontal="center"/>
    </xf>
    <xf numFmtId="0" fontId="1" fillId="14" borderId="14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1" borderId="0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vertical="top" wrapText="1"/>
    </xf>
    <xf numFmtId="10" fontId="0" fillId="14" borderId="0" xfId="0" applyNumberFormat="1" applyFill="1"/>
    <xf numFmtId="0" fontId="0" fillId="15" borderId="5" xfId="0" applyFill="1" applyBorder="1"/>
    <xf numFmtId="4" fontId="0" fillId="15" borderId="1" xfId="0" applyNumberFormat="1" applyFill="1" applyBorder="1"/>
    <xf numFmtId="49" fontId="0" fillId="15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4" fontId="0" fillId="15" borderId="1" xfId="0" applyNumberFormat="1" applyFill="1" applyBorder="1"/>
    <xf numFmtId="14" fontId="0" fillId="15" borderId="2" xfId="0" applyNumberFormat="1" applyFill="1" applyBorder="1"/>
    <xf numFmtId="0" fontId="0" fillId="15" borderId="8" xfId="0" applyFill="1" applyBorder="1"/>
    <xf numFmtId="10" fontId="2" fillId="15" borderId="9" xfId="0" applyNumberFormat="1" applyFon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0" fontId="1" fillId="15" borderId="11" xfId="0" applyFont="1" applyFill="1" applyBorder="1" applyAlignment="1">
      <alignment horizontal="center" vertical="center"/>
    </xf>
    <xf numFmtId="10" fontId="1" fillId="15" borderId="2" xfId="0" applyNumberFormat="1" applyFont="1" applyFill="1" applyBorder="1"/>
    <xf numFmtId="4" fontId="0" fillId="15" borderId="6" xfId="0" applyNumberFormat="1" applyFill="1" applyBorder="1"/>
    <xf numFmtId="14" fontId="0" fillId="15" borderId="0" xfId="0" applyNumberFormat="1" applyFill="1"/>
    <xf numFmtId="0" fontId="0" fillId="15" borderId="0" xfId="0" applyFill="1"/>
    <xf numFmtId="10" fontId="0" fillId="15" borderId="0" xfId="0" applyNumberFormat="1" applyFill="1"/>
  </cellXfs>
  <cellStyles count="3">
    <cellStyle name="Обычный" xfId="0" builtinId="0"/>
    <cellStyle name="Финансовый 2" xfId="1" xr:uid="{00000000-0005-0000-0000-000001000000}"/>
    <cellStyle name="Финансовый 3" xfId="2" xr:uid="{00000000-0005-0000-0000-000002000000}"/>
  </cellStyles>
  <dxfs count="8">
    <dxf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fill>
        <patternFill>
          <bgColor theme="0" tint="-0.14996795556505021"/>
        </patternFill>
      </fill>
    </dxf>
    <dxf>
      <font>
        <b val="0"/>
        <i val="0"/>
      </font>
    </dxf>
    <dxf>
      <font>
        <b val="0"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0</xdr:row>
      <xdr:rowOff>180973</xdr:rowOff>
    </xdr:from>
    <xdr:to>
      <xdr:col>19</xdr:col>
      <xdr:colOff>476249</xdr:colOff>
      <xdr:row>121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9F5421-2F9D-4990-B06C-1CAAD5C6F23C}"/>
            </a:ext>
          </a:extLst>
        </xdr:cNvPr>
        <xdr:cNvSpPr txBox="1"/>
      </xdr:nvSpPr>
      <xdr:spPr>
        <a:xfrm>
          <a:off x="1400174" y="180973"/>
          <a:ext cx="10658475" cy="22974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Добрый день, я новичок в экселе, прошу не проходите мимо. Необходимо довести до ума формулы для расчета просрочки по этапам.</a:t>
          </a:r>
          <a:br>
            <a:rPr lang="ru-RU" sz="1200"/>
          </a:br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 меня где-то ошибки в условиях, по 4му этапу, например, показывает из-за пустой ячейки 44 тысячи.</a:t>
          </a:r>
          <a:br>
            <a:rPr lang="ru-RU" sz="1200"/>
          </a:br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Пример расчета на основе 5-го этапа:</a:t>
          </a:r>
          <a:br>
            <a:rPr lang="ru-RU" sz="1200"/>
          </a:br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2 262 215 (сумму этапа) *52 (дня просрочки)*1/300*5,5%=21566,45 руб. (1ый акт вх. 22.05) просрочка в днях с 01.04 по 22.05</a:t>
          </a:r>
          <a:br>
            <a:rPr lang="ru-RU" sz="1200"/>
          </a:br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718 491*24*1/300*5,5%=3161,36 руб. (2ой акт с 23.05 по 15.06 просрочка).</a:t>
          </a:r>
          <a:br>
            <a:rPr lang="ru-RU" sz="1200"/>
          </a:br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359 567,4 * 154 * 1/300 *4,25% =7844,56 (16.06-16.11 (текущая дата на момент последних расчетов)</a:t>
          </a:r>
          <a:br>
            <a:rPr lang="ru-RU" sz="1200"/>
          </a:br>
          <a:br>
            <a:rPr lang="ru-RU" sz="1200"/>
          </a:br>
          <a:r>
            <a:rPr lang="ru-RU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документе присутствует макрос для ключевой ставки на указанную дату.</a:t>
          </a:r>
        </a:p>
        <a:p>
          <a:endParaRPr lang="ru-R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Контракт на выполнение работ по строительству. Контрактом предусмотрен график выполнения работ. Просрочка идёт начиная со следующего дня после предусмотренного контрактом.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Согласен, заголовок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G1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 может быть в расчете, но хотелось подобрать некие универсальные формулы, что бы расчеты велись по одной формуле для всего листа. 1ый этап выполнен полностью, остаток 0, но предъявлен позднее установленного срока.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"Заголовок не точен, имеется ввиду "Удельная стоимость просроченного акта"?" тут немного сложнее, смотрите (опять же на примере 5го этапа).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Сумма работ по 5му этапу (общая, по контракту) составляет 2262215 руб, работы должны были быть выполнены Подрядчиком в марте, но предъявлены только в мае частично на сумму 1 543 724, соответственно,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 основную сумму надо начислить неустойку с просрочкой с 01.04. по 22.05, что составляет 52 дня: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2 262 215 * 52 *1/300 * 5,5% = 21 566,45 руб.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Следующий акт предъявлен в июне на сумму 358923,6 руб. (строка 5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надо начислить неустойку на вот эту разницу (остаток, невыполненные работы которые не выполнялись определенный срок) и на дату следующего акта считаем: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2 262 215 - 1 543 724 = 718 491 руб. Считаем: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718 491 * 24 *1/300 * 5,5% = 3 161,36 руб.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Потому, как по одной строке (где общая стоимость работ по этапу контракта указана) необходимо выполнить два расчета, я сделал две группы столбцов,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K, L, M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них я планировал сделать расчет неустойки с первого "закрытия" работ, а насчитывать сумму на остаток планировал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P, Q (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т.к. в одной строке и 2 млн общей стоимости и 700 тысяч "остатка" и неустойку надо от каждой суммы посчитать на разные даты).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Следующий расчет идет уже от 359 567,40: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359 567,4 * 154 * 1/300 *4,25% =7844,56 (уже на текущую дату (16.11 в ячейке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N1)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т.к. дальше идёт уже следующий этап, а этот не "закрыт" в ноль), соответственно ставка снижена и рассчитывается на дату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N1,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от которой и считается просрочка в днях: с 16.06 по 16.11)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Ошибка в формуле? Зачем сравнивать соседние порядковые номера этапов, если очевидно, что последующий &gt;= предыдущему?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Идея была в том, что бы в расчет попадали дни для расчета неустойки на "остаток", т.к. для расчета дней просрочки необходимо вычитать из последующей даты предыдущую в рамках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одного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этапа (что бы из 8ой строки по 5-му этапу не вычиталась дата из 7ой с 6ым этапом).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6-я строка: столбец К=52 дня (с 01.04 по 22.05), столбец О=24 дня (с 23.05 по 15.06).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Сделано криво, безусловно, но на большее моих скромных познаний, увы не хватает.</a:t>
          </a:r>
        </a:p>
        <a:p>
          <a:endParaRPr lang="ru-RU"/>
        </a:p>
        <a:p>
          <a:r>
            <a:rPr lang="ru-RU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Вопрос - почему нет данных по ячейкам</a:t>
          </a:r>
        </a:p>
        <a:p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потому что нет выполнения по этому этапу (физически не сделаны работы и/или нет акта выполненных работ) и неустойку надо в данном случае расчитывать от полной стоимости этапа на текущую дату (ключевая ставка и количество дней исходя из единственного числа в столбце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"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текущая дата").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26-11-2020</a:t>
          </a: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Привел столбец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соответствие с формулой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L6.</a:t>
          </a:r>
          <a:br>
            <a:rPr lang="en-US"/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ый этап закрыт полностью единственным актом 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K, L, M),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там нет "остатков" (этап выполнен полностью, остаток 0), соответственно лучше сделать так, что бы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P, Q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были нули (что бы если в суде расчеты показать не возникало вопросов), я пока сделал так, что бы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расчет не производился, если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будет "0".</a:t>
          </a:r>
          <a:br>
            <a:rPr lang="ru-RU"/>
          </a:b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столбце "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O"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немного не правильные условия, смотрите, по Вашей формуле считает дни просрочки, хотя срок исполнения не наступил, срок выполнения - ноябрь 2020 года, сейчас 26ое, а там по 320 дней везде (в конце таблицы).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О6 и О7 - даты правильные.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чуть выше них - ячейка О5 (выполнения нет, зато есть просрочка) стоит 320 дней, просрочка должна рассчитываться с 02.03.2020 по 16.11.2020 (значение из ячейки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N1),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там точно не 320 будет, а примерно 259~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ru-RU"/>
          </a:b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NikitaDvorets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уже лучше =)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1ый акт закрыли, полностью, там просрочка примерно 109, 110 дней (если со след. дня считать) 2 строка (столбцы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L M),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т.е. не должно идти расчетов на остаток его нет 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G2=0) (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столбцах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P, Q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можно нули сделать?)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Последняя строка ячейка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O96,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срок не наступил (стоит 178 дней)</a:t>
          </a:r>
        </a:p>
        <a:p>
          <a:endParaRPr lang="ru-R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NikitaDvorets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 договору один выполняет работы, второй принимает и оплачивает. Не важно сколько дней потратит заказчик на приёмку, датой приёмки выполненных работ считается дата когда акт приемки выполненных работ был получен заказчиком (дата вх.)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рабочий +1 это следующий рабочий день, в столбце слева "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i"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указан последний день месяца в котором должны быть выполнены работы (сроки в договоре указаны в виде месяца и года, поэтому взят последний день месяца), возьмем для примера 5й этап (6, 7 строки), срок март 2020 (дата 31.03.2020 вторник) т.к. этот день входит в срок выполнения работ, просрочка начинается на следующий день, т.е. 01.04.2020. Таким образом расчет идёт с 01.04 (с 01.04 по 22.05 =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дня, т.к. 1ый акт дата вх. 22.05) 2 262 215 (сумма этапа) *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(дни просрочки указаны в ячейке К6)*1/300*5,5% (ключевая ставка ЦБ РФ на дату просрочки) =21566,45 руб.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Просрочка по следующему акту 24 дня (с 23.05 по 15.06) (в ячейке О6 должно быть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 этой формуле этот срок считало правильно: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ru-RU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I6&gt;$N$1;"-";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G6=0;0;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A6&gt;=A7;H6&gt;0;H7-H6);H7-H6;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N6="+";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ЗНАЧЕН($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N$1)-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ЗНАЧЕН(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J6);$N$1-H6))))</a:t>
          </a: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но не правильно считало по 3 и 4 строке, я выше писал об этом.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Смотрите, 2й этап (3я строка) не закрыт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G3&gt;0,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 А4&gt;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 (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ниже есть цифра с номером следующего этапа), соответственно просрочка есть идёт с 02.03.2020 по текущую дату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N1 (16.11.2020), </a:t>
          </a:r>
          <a:r>
            <a:rPr lang="ru-RU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калькулятор дней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мне выдает 260 дней.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по сути ничем, просто в одной строке (в 6й в конкретном примере) два значения, по которым надо провести расчёты 2 262 215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B6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718 491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G6,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поэтому я решил их таким образом разделить, что бы не нагружать формулу обилием условий (у меня с построением алгоритмов расчетов по условиям проблемы).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сумма это расчет суммы неустойки по "остаткам" (718 491 в конкретном примере) 2 262 215 - 1 543 724 = 718 491 руб. 718 491 *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*1/300 * 5,5% = 3 161,36 руб. (формула для расчета такая же как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(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 1му акту). рубли * дни * 1/300 * ставку = неустойка (ПП РФ 1042).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не хочется разворачивать таблицу горизонтально, не удобно в работе постоянно листать горизонтально (это часть таблицы) дальше есть всякие графики, расчет долей этапов, даты, суммы, номера платежных поручений и т.д.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Есть другие аналогичные по другим объектам, где в каждом этапе несколько десятков актов и если их вести в горизонтали такая портянка получится... может удобней списаться по вотсапу, вайберу или вк?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Может картинкой </a:t>
          </a:r>
          <a:r>
            <a:rPr lang="ru-RU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ТАК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будет понятней.</a:t>
          </a:r>
        </a:p>
        <a:p>
          <a:endParaRPr lang="ru-R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NikitaDvorets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O7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должно быть 154 (просрочка с 16.06 по 16.11)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Похоже, что так тоже неправильно будет считать дни </a:t>
          </a:r>
          <a:br>
            <a:rPr lang="ru-RU"/>
          </a:b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Возможно натолкнет на определенную идею: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Условие: 0 в остатке, но есть просрочка...</a:t>
          </a:r>
          <a:br>
            <a:rPr lang="ru-RU"/>
          </a:b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Например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последней строке 5-го этапа: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Положим, что на 358 тысяч был "закрывающий" этап акт (7я строка), в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G7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условно поставим 0. акт от июня, а срок закончился в апреле, соответственно в 7ю строку в столбец "О" должно попасть кол-во дней с 01.04 по 15.06. и посчитать сумму неустойки от стоимости невыполненных в срок работ (358 тыс.,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F7)</a:t>
          </a:r>
          <a:endParaRPr lang="ru-R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/>
            <a:t>_____________________________________________  </a:t>
          </a: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расчете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O7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работает участок формулы:</a:t>
          </a:r>
          <a:endParaRPr lang="ru-RU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A7&lt;&gt;A8;H7-J7;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N7="+";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ЗНАЧЕН($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N$1)-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ЗНАЧЕН(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J7);$N$1-H7)</a:t>
          </a: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 именно:</a:t>
          </a:r>
          <a:endParaRPr lang="ru-RU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A7&lt;&gt;A8;H7-J7</a:t>
          </a: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Почему это неправильно, а правильно</a:t>
          </a:r>
          <a:endParaRPr lang="ru-RU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ЗНАЧЕН($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N$1)-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ЗНАЧЕН(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J7);$N$1-H7)</a:t>
          </a: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Что такого особенного в 7-й строке?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Потому что акта после него по этому этапу не было, постараюсь пояснить еще раз, попроще: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Срок по 5 этапу - март, но в срок работы выполнены не были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(15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06 &gt;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31.03)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соответственно началась просрочка, неустойка насчитывается, исходя из стоимости НЕВЫПОЛНЕННЫХ работ, т.к. на конец марта работы выполнены не были, то она рассчитывается от стоимости всего этапа, а именно от 2262215 руб.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так как первый акт 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.05.20, то с этой стоимости считается только дни между сроком по контракту (март) и приёмкой (май), 22.05-01.04=52.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Итого 52 дня просрочки.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2 262 215*52*1/300*5,5%=21566,45 руб.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Но акт не "закрыл" этап и часть работ продолжали оставаться невыполненными, а именно: 718 491,00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для этого из стоимости этапа вычитаем стоимость выполненных работ и получается стоимость </a:t>
          </a:r>
          <a:r>
            <a:rPr lang="ru-RU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выполненных работ: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ru-RU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=ОКРУГЛ(ЕСЛИ(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B6&gt;0;B6-F6;G5-F6);2)</a:t>
          </a:r>
        </a:p>
        <a:p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какое-то время они продолжали оставаться невыполненными, а именно до приемки следующих работ по акту 15.06, соответственно просрочка на 718 491,00 рублей составляет 24 дня (15.06-</a:t>
          </a:r>
          <a:r>
            <a:rPr lang="ru-RU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.05) [следующий день после 22.05]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718 491*24*1/300*5,5%=3161,36 руб.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следующий акт на 358923,6 руб. 15.06. соответственно остаток (718491-358 923,60=359567,40 руб.) не был выполнен, поэтому считается просрочка с текущей даты: </a:t>
          </a:r>
          <a:r>
            <a:rPr lang="ru-RU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16.11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-16.06=154 дня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359 567,4 * 154 * 1/300 *4,25% =7844,56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 бы работы не были выполнены до сих пор, то считали бы на дату предъявления требования (текущую) (как в строчке выше, где 849 т.р. стоимость, а выполнено 0)</a:t>
          </a:r>
          <a:b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конце мая заказчик получил первый акт на 1 543 724,</a:t>
          </a:r>
        </a:p>
        <a:p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возникли сомнения в ключевых ставках.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бросается в глаза, что в 13 и 14 этапах размер ставок разный, в условиях видимо тоже ошибка.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выполнения нет, сроки одинаковые, значит просрочка на текущую дату, а на сегодня она 4,25%.</a:t>
          </a:r>
          <a:br>
            <a:rPr lang="ru-RU"/>
          </a:b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что если добавить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H28&lt;&gt;0,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так правильно будет для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P28?</a:t>
          </a:r>
          <a:br>
            <a:rPr lang="en-US"/>
          </a:br>
          <a:endParaRPr 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G28=0;0;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ЕСЛИ(И(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A28&lt;=A29;O28&gt;0;H28&lt;&gt;0);Get_KeyRate(H29);Get_KeyRate($N$1)))</a:t>
          </a:r>
        </a:p>
        <a:p>
          <a:br>
            <a:rPr lang="ru-RU"/>
          </a:br>
          <a:endParaRPr lang="ru-R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ru-RU"/>
          </a:b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blizhayshiy_rabochiy_den_s_uchetom_prazdnikov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"/>
      <sheetName val="EXCEL2.RU (2)"/>
      <sheetName val="календарь"/>
      <sheetName val="EXCEL2.RU"/>
    </sheetNames>
    <sheetDataSet>
      <sheetData sheetId="0" refreshError="1"/>
      <sheetData sheetId="1" refreshError="1"/>
      <sheetData sheetId="2">
        <row r="3">
          <cell r="A3">
            <v>40546</v>
          </cell>
          <cell r="D3">
            <v>40607</v>
          </cell>
        </row>
        <row r="4">
          <cell r="A4">
            <v>40547</v>
          </cell>
        </row>
        <row r="5">
          <cell r="A5">
            <v>40548</v>
          </cell>
        </row>
        <row r="6">
          <cell r="A6">
            <v>40549</v>
          </cell>
        </row>
        <row r="7">
          <cell r="A7">
            <v>40550</v>
          </cell>
        </row>
        <row r="8">
          <cell r="A8">
            <v>40553</v>
          </cell>
        </row>
        <row r="9">
          <cell r="A9">
            <v>40597</v>
          </cell>
        </row>
        <row r="10">
          <cell r="A10">
            <v>40610</v>
          </cell>
        </row>
        <row r="11">
          <cell r="A11">
            <v>40665</v>
          </cell>
        </row>
        <row r="12">
          <cell r="A12">
            <v>40672</v>
          </cell>
        </row>
        <row r="13">
          <cell r="A13">
            <v>40707</v>
          </cell>
        </row>
        <row r="14">
          <cell r="A14">
            <v>40910</v>
          </cell>
        </row>
        <row r="15">
          <cell r="A15">
            <v>40911</v>
          </cell>
        </row>
        <row r="16">
          <cell r="A16">
            <v>40912</v>
          </cell>
        </row>
        <row r="17">
          <cell r="A17">
            <v>40913</v>
          </cell>
        </row>
        <row r="18">
          <cell r="A18">
            <v>40914</v>
          </cell>
        </row>
        <row r="19">
          <cell r="A19">
            <v>40917</v>
          </cell>
        </row>
        <row r="20">
          <cell r="A20">
            <v>40962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00B050"/>
    <pageSetUpPr fitToPage="1"/>
  </sheetPr>
  <dimension ref="A1:S97"/>
  <sheetViews>
    <sheetView tabSelected="1" zoomScale="85" zoomScaleNormal="85" workbookViewId="0">
      <pane xSplit="1" ySplit="1" topLeftCell="G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2" max="2" width="20.5703125" customWidth="1"/>
    <col min="3" max="3" width="10.28515625" customWidth="1"/>
    <col min="4" max="4" width="7.42578125" customWidth="1"/>
    <col min="5" max="5" width="18" customWidth="1"/>
    <col min="6" max="6" width="15.28515625" customWidth="1"/>
    <col min="7" max="7" width="15.7109375" customWidth="1"/>
    <col min="8" max="8" width="16.140625" customWidth="1"/>
    <col min="9" max="9" width="15.140625" customWidth="1"/>
    <col min="10" max="10" width="18.140625" customWidth="1"/>
    <col min="11" max="11" width="12.140625" style="51" customWidth="1"/>
    <col min="12" max="12" width="15.7109375" style="51" customWidth="1"/>
    <col min="13" max="13" width="12.7109375" style="51" customWidth="1"/>
    <col min="14" max="14" width="12.85546875" style="47" customWidth="1"/>
    <col min="15" max="15" width="18.85546875" style="51" customWidth="1"/>
    <col min="16" max="16" width="18.140625" style="51" customWidth="1"/>
    <col min="17" max="17" width="12.140625" style="51" customWidth="1"/>
    <col min="18" max="18" width="12.28515625" customWidth="1"/>
    <col min="19" max="19" width="17.5703125" customWidth="1"/>
  </cols>
  <sheetData>
    <row r="1" spans="1:19" ht="75" x14ac:dyDescent="0.25">
      <c r="A1" s="41" t="s">
        <v>0</v>
      </c>
      <c r="B1" s="42" t="s">
        <v>13</v>
      </c>
      <c r="C1" s="42" t="s">
        <v>1</v>
      </c>
      <c r="D1" s="42"/>
      <c r="E1" s="41" t="s">
        <v>59</v>
      </c>
      <c r="F1" s="41" t="s">
        <v>57</v>
      </c>
      <c r="G1" s="42" t="s">
        <v>12</v>
      </c>
      <c r="H1" s="64" t="s">
        <v>61</v>
      </c>
      <c r="I1" s="42" t="s">
        <v>2</v>
      </c>
      <c r="J1" s="42" t="s">
        <v>56</v>
      </c>
      <c r="K1" s="48" t="s">
        <v>14</v>
      </c>
      <c r="L1" s="58" t="s">
        <v>58</v>
      </c>
      <c r="M1" s="42" t="s">
        <v>15</v>
      </c>
      <c r="N1" s="45">
        <v>44151</v>
      </c>
      <c r="O1" s="56" t="s">
        <v>60</v>
      </c>
      <c r="P1" s="100" t="s">
        <v>62</v>
      </c>
      <c r="Q1" s="52" t="s">
        <v>16</v>
      </c>
      <c r="R1" s="92" t="s">
        <v>17</v>
      </c>
      <c r="S1" s="93"/>
    </row>
    <row r="2" spans="1:19" x14ac:dyDescent="0.25">
      <c r="A2" s="39">
        <v>1</v>
      </c>
      <c r="B2" s="37">
        <v>53547</v>
      </c>
      <c r="C2" s="34" t="s">
        <v>18</v>
      </c>
      <c r="D2" s="40" t="s">
        <v>11</v>
      </c>
      <c r="E2" s="36">
        <v>43966</v>
      </c>
      <c r="F2" s="37">
        <v>53547</v>
      </c>
      <c r="G2" s="37">
        <f t="shared" ref="G2:G65" si="0">ROUND(IF(B2&gt;0,B2-F2,G1-F2),2)</f>
        <v>0</v>
      </c>
      <c r="H2" s="35">
        <v>43973</v>
      </c>
      <c r="I2" s="38">
        <v>43861</v>
      </c>
      <c r="J2" s="3">
        <f>WORKDAY.INTL(I2,1,1,$R$2:$R$87)</f>
        <v>43864</v>
      </c>
      <c r="K2" s="49">
        <f>IF(AND(H2&gt;J2,B2&gt;0),H2-J2+1,0)</f>
        <v>110</v>
      </c>
      <c r="L2" s="59">
        <f t="shared" ref="L2:L5" si="1">IF(B2&gt;0,ROUND((B2*K2*1/300*M2),2),0)</f>
        <v>1079.8599999999999</v>
      </c>
      <c r="M2" s="50">
        <f t="shared" ref="M2:M65" si="2">IF(K2=0,0,Get_KeyRate(H2))</f>
        <v>5.5E-2</v>
      </c>
      <c r="N2" s="46" t="str">
        <f t="shared" ref="N2:N4" si="3">IF(AND(E2=0,F2=0,H2=0),"+","")</f>
        <v/>
      </c>
      <c r="O2" s="85">
        <f t="shared" ref="O2:O4" si="4">IF(N2="+",IF(I2&gt;$N$1,"0",IF(N2="+",VALUE($N$1)-VALUE(J2),$N$1-H2))+IF(G2=0,0,IF(AND(A2&gt;=A3,H2&gt;0,H3-H2),H3-H2)),IF(I2&gt;$N$1,"0",IF(G2=0,0,IF(AND(A2&gt;=A3,H2&gt;0,H3-H2),H3-H2,IF(AND(A2&lt;&gt;A3,B2="",B3&lt;&gt;0),VALUE($N$1)-VALUE(H2),IF(A2&lt;&gt;A3,H2-J2,IF(N2="+",VALUE($N$1)-VALUE(J2),$N$1-H2)))))))</f>
        <v>0</v>
      </c>
      <c r="P2" s="53">
        <f>IF(G2=0,0,IF(AND(A2&lt;=A3,O2&gt;0,H2&lt;&gt;0),Get_KeyRate(H3),Get_KeyRate($N$1)))</f>
        <v>0</v>
      </c>
      <c r="Q2" s="54">
        <f>IF(G2=0,0,IF(O2&gt;0,ROUND((G2*O2*1/300*P2),2),0))</f>
        <v>0</v>
      </c>
      <c r="R2" s="5">
        <v>43466</v>
      </c>
      <c r="S2" s="94" t="s">
        <v>47</v>
      </c>
    </row>
    <row r="3" spans="1:19" x14ac:dyDescent="0.25">
      <c r="A3" s="26">
        <v>2</v>
      </c>
      <c r="B3" s="9">
        <v>629125</v>
      </c>
      <c r="C3" s="12" t="s">
        <v>19</v>
      </c>
      <c r="D3" s="2" t="s">
        <v>11</v>
      </c>
      <c r="E3" s="6">
        <v>43966</v>
      </c>
      <c r="F3" s="9">
        <v>619378</v>
      </c>
      <c r="G3" s="9">
        <f t="shared" si="0"/>
        <v>9747</v>
      </c>
      <c r="H3" s="7">
        <v>43973</v>
      </c>
      <c r="I3" s="32">
        <v>43890</v>
      </c>
      <c r="J3" s="38">
        <f t="shared" ref="J3:J66" si="5">WORKDAY.INTL(I3,1,1,$R$2:$R$87)</f>
        <v>43892</v>
      </c>
      <c r="K3" s="49">
        <f t="shared" ref="K3:K66" si="6">IF(AND(H3&gt;J3,B3&gt;0),H3-J3+1,0)</f>
        <v>82</v>
      </c>
      <c r="L3" s="59">
        <f t="shared" si="1"/>
        <v>9457.85</v>
      </c>
      <c r="M3" s="50">
        <f t="shared" si="2"/>
        <v>5.5E-2</v>
      </c>
      <c r="N3" s="46" t="str">
        <f t="shared" si="3"/>
        <v/>
      </c>
      <c r="O3" s="85">
        <f t="shared" si="4"/>
        <v>81</v>
      </c>
      <c r="P3" s="53">
        <f>IF(G3=0,0,IF(AND(A3&lt;=A4,O3&gt;0,H3&lt;&gt;0),Get_KeyRate(H4),Get_KeyRate($N$1)))</f>
        <v>5.5E-2</v>
      </c>
      <c r="Q3" s="54">
        <f t="shared" ref="Q3:Q66" si="7">IF(G3=0,0,IF(O3&gt;0,ROUND((G3*O3*1/300*P3),2),0))</f>
        <v>144.74</v>
      </c>
      <c r="R3" s="5">
        <v>43467</v>
      </c>
      <c r="S3" s="94"/>
    </row>
    <row r="4" spans="1:19" x14ac:dyDescent="0.25">
      <c r="A4" s="26">
        <v>3</v>
      </c>
      <c r="B4" s="9">
        <v>82910</v>
      </c>
      <c r="C4" s="12" t="s">
        <v>20</v>
      </c>
      <c r="D4" s="2" t="s">
        <v>11</v>
      </c>
      <c r="E4" s="6">
        <v>43966</v>
      </c>
      <c r="F4" s="9">
        <v>82907</v>
      </c>
      <c r="G4" s="9">
        <f t="shared" si="0"/>
        <v>3</v>
      </c>
      <c r="H4" s="7">
        <v>43973</v>
      </c>
      <c r="I4" s="32">
        <v>43890</v>
      </c>
      <c r="J4" s="38">
        <f t="shared" si="5"/>
        <v>43892</v>
      </c>
      <c r="K4" s="49">
        <f t="shared" si="6"/>
        <v>82</v>
      </c>
      <c r="L4" s="59">
        <f t="shared" si="1"/>
        <v>1246.4100000000001</v>
      </c>
      <c r="M4" s="50">
        <f t="shared" si="2"/>
        <v>5.5E-2</v>
      </c>
      <c r="N4" s="46" t="str">
        <f t="shared" si="3"/>
        <v/>
      </c>
      <c r="O4" s="85">
        <f t="shared" si="4"/>
        <v>81</v>
      </c>
      <c r="P4" s="53">
        <f>IF(G4=0,0,IF(AND(A4&lt;=A5,O4&gt;0,H4&lt;&gt;0),Get_KeyRate(H5),Get_KeyRate($N$1)))</f>
        <v>0</v>
      </c>
      <c r="Q4" s="54">
        <f t="shared" si="7"/>
        <v>0</v>
      </c>
      <c r="R4" s="5">
        <v>43468</v>
      </c>
      <c r="S4" s="94"/>
    </row>
    <row r="5" spans="1:19" x14ac:dyDescent="0.25">
      <c r="A5" s="26">
        <v>4</v>
      </c>
      <c r="B5" s="9">
        <v>849598</v>
      </c>
      <c r="C5" s="60"/>
      <c r="D5" s="8"/>
      <c r="E5" s="8">
        <v>0</v>
      </c>
      <c r="F5" s="59">
        <v>0</v>
      </c>
      <c r="G5" s="59">
        <f t="shared" si="0"/>
        <v>849598</v>
      </c>
      <c r="H5" s="8">
        <v>0</v>
      </c>
      <c r="I5" s="61">
        <v>43890</v>
      </c>
      <c r="J5" s="62">
        <f t="shared" si="5"/>
        <v>43892</v>
      </c>
      <c r="K5" s="49">
        <f t="shared" si="6"/>
        <v>0</v>
      </c>
      <c r="L5" s="59">
        <f t="shared" si="1"/>
        <v>0</v>
      </c>
      <c r="M5" s="50">
        <f t="shared" si="2"/>
        <v>0</v>
      </c>
      <c r="N5" s="63" t="str">
        <f>IF(OR(E5=0,F5=0,H5=0),"+","")</f>
        <v>+</v>
      </c>
      <c r="O5" s="85">
        <f t="shared" ref="O5:O12" si="8">IF(N5="+",IF(I5&gt;$N$1,"0",IF(N5="+",VALUE($N$1)-VALUE(J5),$N$1-H5))+IF(G5=0,0,IF(AND(A5&gt;=A6,H5&gt;0,H6-H5),H6-H5)),IF(I5&gt;$N$1,"0",IF(G5=0,0,IF(AND(A5&gt;=A6,H5&gt;0,H6-H5),H6-H5,IF(AND(A5&lt;&gt;A6,B5="",B6&lt;&gt;0),VALUE($N$1)-VALUE(H5),IF(A5&lt;&gt;A6,H5-J5,IF(N5="+",VALUE($N$1)-VALUE(J5),$N$1-H5)))))))</f>
        <v>259</v>
      </c>
      <c r="P5" s="53">
        <f>IF(G5=0,0,IF(AND(A5&lt;=A6,O5&gt;0,H5&lt;&gt;0),Get_KeyRate(H6),Get_KeyRate($N$1)))</f>
        <v>4.2500000000000003E-2</v>
      </c>
      <c r="Q5" s="54">
        <f t="shared" si="7"/>
        <v>31173.17</v>
      </c>
      <c r="R5" s="19">
        <v>43469</v>
      </c>
      <c r="S5" s="94"/>
    </row>
    <row r="6" spans="1:19" s="44" customFormat="1" ht="15.75" thickBot="1" x14ac:dyDescent="0.3">
      <c r="A6" s="66">
        <v>5</v>
      </c>
      <c r="B6" s="67">
        <v>2262215</v>
      </c>
      <c r="C6" s="68" t="s">
        <v>21</v>
      </c>
      <c r="D6" s="69" t="s">
        <v>11</v>
      </c>
      <c r="E6" s="70">
        <v>43966</v>
      </c>
      <c r="F6" s="67">
        <v>1543724</v>
      </c>
      <c r="G6" s="67">
        <f t="shared" si="0"/>
        <v>718491</v>
      </c>
      <c r="H6" s="70">
        <v>43973</v>
      </c>
      <c r="I6" s="71">
        <v>43921</v>
      </c>
      <c r="J6" s="72">
        <f t="shared" si="5"/>
        <v>43922</v>
      </c>
      <c r="K6" s="73">
        <f t="shared" si="6"/>
        <v>52</v>
      </c>
      <c r="L6" s="67">
        <f>IF(B6&gt;0,ROUND((B6*K6*1/300*M6),2),0)</f>
        <v>21566.45</v>
      </c>
      <c r="M6" s="74">
        <f t="shared" si="2"/>
        <v>5.5E-2</v>
      </c>
      <c r="N6" s="75" t="str">
        <f t="shared" ref="N6:N13" si="9">IF(OR(E6=0,F6=0,H6=0),"+","")</f>
        <v/>
      </c>
      <c r="O6" s="85">
        <f t="shared" si="8"/>
        <v>24</v>
      </c>
      <c r="P6" s="53">
        <f>IF(G6=0,0,IF(AND(A6&lt;=A7,O6&gt;0,H6&lt;&gt;0),Get_KeyRate(H7),Get_KeyRate($N$1)))</f>
        <v>5.5E-2</v>
      </c>
      <c r="Q6" s="54">
        <f t="shared" si="7"/>
        <v>3161.36</v>
      </c>
      <c r="R6" s="43">
        <v>43470</v>
      </c>
      <c r="S6" s="94"/>
    </row>
    <row r="7" spans="1:19" s="44" customFormat="1" ht="15.75" thickBot="1" x14ac:dyDescent="0.3">
      <c r="A7" s="76">
        <v>5</v>
      </c>
      <c r="B7" s="77"/>
      <c r="C7" s="78" t="s">
        <v>22</v>
      </c>
      <c r="D7" s="79" t="s">
        <v>11</v>
      </c>
      <c r="E7" s="80">
        <v>43993</v>
      </c>
      <c r="F7" s="77">
        <v>358923.6</v>
      </c>
      <c r="G7" s="77">
        <f t="shared" si="0"/>
        <v>359567.4</v>
      </c>
      <c r="H7" s="80">
        <v>43997</v>
      </c>
      <c r="I7" s="81">
        <v>43921</v>
      </c>
      <c r="J7" s="82">
        <f t="shared" si="5"/>
        <v>43922</v>
      </c>
      <c r="K7" s="83">
        <f t="shared" si="6"/>
        <v>0</v>
      </c>
      <c r="L7" s="77">
        <f t="shared" ref="L7:L70" si="10">IF(B7&gt;0,ROUND((B7*K7*1/300*M7),2),0)</f>
        <v>0</v>
      </c>
      <c r="M7" s="84">
        <f t="shared" si="2"/>
        <v>0</v>
      </c>
      <c r="N7" s="87" t="str">
        <f t="shared" si="9"/>
        <v/>
      </c>
      <c r="O7" s="89">
        <f t="shared" si="8"/>
        <v>154</v>
      </c>
      <c r="P7" s="53">
        <f>IF(G7=0,0,IF(AND(A7&lt;=A8,O7&gt;0,H7&lt;&gt;0),Get_KeyRate(H8),Get_KeyRate($N$1)))</f>
        <v>5.5E-2</v>
      </c>
      <c r="Q7" s="54">
        <f t="shared" si="7"/>
        <v>10151.790000000001</v>
      </c>
      <c r="R7" s="43">
        <v>43471</v>
      </c>
      <c r="S7" s="94"/>
    </row>
    <row r="8" spans="1:19" x14ac:dyDescent="0.25">
      <c r="A8" s="26">
        <v>6</v>
      </c>
      <c r="B8" s="9">
        <v>4264318</v>
      </c>
      <c r="C8" s="12" t="s">
        <v>23</v>
      </c>
      <c r="D8" s="2" t="s">
        <v>11</v>
      </c>
      <c r="E8" s="6">
        <v>43966</v>
      </c>
      <c r="F8" s="9">
        <v>4264318</v>
      </c>
      <c r="G8" s="9">
        <f t="shared" si="0"/>
        <v>0</v>
      </c>
      <c r="H8" s="7">
        <v>43973</v>
      </c>
      <c r="I8" s="32">
        <v>43921</v>
      </c>
      <c r="J8" s="38">
        <f t="shared" si="5"/>
        <v>43922</v>
      </c>
      <c r="K8" s="49">
        <f t="shared" si="6"/>
        <v>52</v>
      </c>
      <c r="L8" s="59">
        <f t="shared" si="10"/>
        <v>40653.160000000003</v>
      </c>
      <c r="M8" s="50">
        <f t="shared" si="2"/>
        <v>5.5E-2</v>
      </c>
      <c r="N8" s="46" t="str">
        <f t="shared" si="9"/>
        <v/>
      </c>
      <c r="O8" s="88">
        <f t="shared" si="8"/>
        <v>0</v>
      </c>
      <c r="P8" s="53">
        <f>IF(G8=0,0,IF(AND(A8&lt;=A9,O8&gt;0,H8&lt;&gt;0),Get_KeyRate(H9),Get_KeyRate($N$1)))</f>
        <v>0</v>
      </c>
      <c r="Q8" s="54">
        <f t="shared" si="7"/>
        <v>0</v>
      </c>
      <c r="R8" s="5">
        <v>43472</v>
      </c>
      <c r="S8" s="94"/>
    </row>
    <row r="9" spans="1:19" x14ac:dyDescent="0.25">
      <c r="A9" s="26">
        <v>7</v>
      </c>
      <c r="B9" s="9">
        <v>447601</v>
      </c>
      <c r="C9" s="12" t="s">
        <v>39</v>
      </c>
      <c r="D9" s="2" t="s">
        <v>11</v>
      </c>
      <c r="E9" s="6">
        <v>44099</v>
      </c>
      <c r="F9" s="9">
        <v>175416</v>
      </c>
      <c r="G9" s="9">
        <f t="shared" si="0"/>
        <v>272185</v>
      </c>
      <c r="H9" s="7">
        <v>44099</v>
      </c>
      <c r="I9" s="32">
        <v>43951</v>
      </c>
      <c r="J9" s="38">
        <f t="shared" si="5"/>
        <v>43957</v>
      </c>
      <c r="K9" s="49">
        <f t="shared" si="6"/>
        <v>143</v>
      </c>
      <c r="L9" s="59">
        <f t="shared" si="10"/>
        <v>9067.65</v>
      </c>
      <c r="M9" s="50">
        <f t="shared" si="2"/>
        <v>4.2500000000000003E-2</v>
      </c>
      <c r="N9" s="46" t="str">
        <f t="shared" si="9"/>
        <v/>
      </c>
      <c r="O9" s="85">
        <f t="shared" si="8"/>
        <v>42</v>
      </c>
      <c r="P9" s="53">
        <f>IF(G9=0,0,IF(AND(A9&lt;=A10,O9&gt;0,H9&lt;&gt;0),Get_KeyRate(H10),Get_KeyRate($N$1)))</f>
        <v>4.2500000000000003E-2</v>
      </c>
      <c r="Q9" s="54">
        <f t="shared" si="7"/>
        <v>1619.5</v>
      </c>
      <c r="R9" s="5">
        <v>43473</v>
      </c>
      <c r="S9" s="94"/>
    </row>
    <row r="10" spans="1:19" x14ac:dyDescent="0.25">
      <c r="A10" s="26">
        <v>7</v>
      </c>
      <c r="B10" s="9"/>
      <c r="C10" s="12" t="s">
        <v>44</v>
      </c>
      <c r="D10" s="2" t="s">
        <v>11</v>
      </c>
      <c r="E10" s="6">
        <v>44141</v>
      </c>
      <c r="F10" s="9">
        <v>224442.44</v>
      </c>
      <c r="G10" s="9">
        <f t="shared" si="0"/>
        <v>47742.559999999998</v>
      </c>
      <c r="H10" s="7">
        <v>44141</v>
      </c>
      <c r="I10" s="32">
        <v>43951</v>
      </c>
      <c r="J10" s="38">
        <f t="shared" si="5"/>
        <v>43957</v>
      </c>
      <c r="K10" s="49">
        <f t="shared" si="6"/>
        <v>0</v>
      </c>
      <c r="L10" s="59">
        <f t="shared" si="10"/>
        <v>0</v>
      </c>
      <c r="M10" s="50">
        <f t="shared" si="2"/>
        <v>0</v>
      </c>
      <c r="N10" s="46" t="str">
        <f t="shared" si="9"/>
        <v/>
      </c>
      <c r="O10" s="85">
        <f t="shared" si="8"/>
        <v>10</v>
      </c>
      <c r="P10" s="53">
        <f>IF(G10=0,0,IF(AND(A10&lt;=A11,O10&gt;0,H10&lt;&gt;0),Get_KeyRate(H11),Get_KeyRate($N$1)))</f>
        <v>0</v>
      </c>
      <c r="Q10" s="54">
        <f t="shared" si="7"/>
        <v>0</v>
      </c>
      <c r="R10" s="14">
        <v>43519</v>
      </c>
      <c r="S10" s="15" t="s">
        <v>50</v>
      </c>
    </row>
    <row r="11" spans="1:19" x14ac:dyDescent="0.25">
      <c r="A11" s="26">
        <v>8</v>
      </c>
      <c r="B11" s="9">
        <v>9488.9999999999982</v>
      </c>
      <c r="C11" s="12"/>
      <c r="D11" s="2"/>
      <c r="E11" s="6"/>
      <c r="F11" s="9"/>
      <c r="G11" s="9">
        <f t="shared" si="0"/>
        <v>9489</v>
      </c>
      <c r="H11" s="7"/>
      <c r="I11" s="32">
        <v>43951</v>
      </c>
      <c r="J11" s="38">
        <f t="shared" si="5"/>
        <v>43957</v>
      </c>
      <c r="K11" s="49">
        <f t="shared" si="6"/>
        <v>0</v>
      </c>
      <c r="L11" s="59">
        <f t="shared" si="10"/>
        <v>0</v>
      </c>
      <c r="M11" s="50">
        <f t="shared" si="2"/>
        <v>0</v>
      </c>
      <c r="N11" s="46" t="str">
        <f t="shared" si="9"/>
        <v>+</v>
      </c>
      <c r="O11" s="85">
        <f t="shared" si="8"/>
        <v>194</v>
      </c>
      <c r="P11" s="53">
        <f>IF(G11=0,0,IF(AND(A11&lt;=A12,O11&gt;0,H11&lt;&gt;0),Get_KeyRate(H12),Get_KeyRate($N$1)))</f>
        <v>4.2500000000000003E-2</v>
      </c>
      <c r="Q11" s="54">
        <f t="shared" si="7"/>
        <v>260.79000000000002</v>
      </c>
      <c r="R11" s="16">
        <v>43532</v>
      </c>
      <c r="S11" s="95" t="s">
        <v>48</v>
      </c>
    </row>
    <row r="12" spans="1:19" ht="15" customHeight="1" x14ac:dyDescent="0.25">
      <c r="A12" s="26">
        <v>9</v>
      </c>
      <c r="B12" s="9">
        <v>3399442</v>
      </c>
      <c r="C12" s="12" t="s">
        <v>24</v>
      </c>
      <c r="D12" s="2" t="s">
        <v>11</v>
      </c>
      <c r="E12" s="6">
        <v>43993</v>
      </c>
      <c r="F12" s="9">
        <v>1674162</v>
      </c>
      <c r="G12" s="9">
        <f t="shared" si="0"/>
        <v>1725280</v>
      </c>
      <c r="H12" s="7">
        <v>43997</v>
      </c>
      <c r="I12" s="32">
        <v>44012</v>
      </c>
      <c r="J12" s="38">
        <f t="shared" si="5"/>
        <v>44013</v>
      </c>
      <c r="K12" s="49">
        <f t="shared" si="6"/>
        <v>0</v>
      </c>
      <c r="L12" s="59">
        <f t="shared" si="10"/>
        <v>0</v>
      </c>
      <c r="M12" s="50">
        <f t="shared" si="2"/>
        <v>0</v>
      </c>
      <c r="N12" s="46" t="str">
        <f t="shared" si="9"/>
        <v/>
      </c>
      <c r="O12" s="85">
        <f t="shared" si="8"/>
        <v>42</v>
      </c>
      <c r="P12" s="53">
        <f>IF(G12=0,0,IF(AND(A12&lt;=A13,O12&gt;0,H12&lt;&gt;0),Get_KeyRate(H13),Get_KeyRate($N$1)))</f>
        <v>4.2500000000000003E-2</v>
      </c>
      <c r="Q12" s="54">
        <f t="shared" si="7"/>
        <v>10265.42</v>
      </c>
      <c r="R12" s="16">
        <v>43533</v>
      </c>
      <c r="S12" s="95"/>
    </row>
    <row r="13" spans="1:19" x14ac:dyDescent="0.25">
      <c r="A13" s="26">
        <v>9</v>
      </c>
      <c r="B13" s="9"/>
      <c r="C13" s="12" t="s">
        <v>25</v>
      </c>
      <c r="D13" s="2" t="s">
        <v>11</v>
      </c>
      <c r="E13" s="6">
        <v>44039</v>
      </c>
      <c r="F13" s="9">
        <v>1222496.3999999999</v>
      </c>
      <c r="G13" s="9">
        <f t="shared" si="0"/>
        <v>502783.6</v>
      </c>
      <c r="H13" s="7">
        <v>44039</v>
      </c>
      <c r="I13" s="32">
        <v>44012</v>
      </c>
      <c r="J13" s="38">
        <f t="shared" si="5"/>
        <v>44013</v>
      </c>
      <c r="K13" s="49">
        <f t="shared" si="6"/>
        <v>0</v>
      </c>
      <c r="L13" s="59">
        <f t="shared" si="10"/>
        <v>0</v>
      </c>
      <c r="M13" s="50">
        <f t="shared" si="2"/>
        <v>0</v>
      </c>
      <c r="N13" s="46" t="str">
        <f t="shared" si="9"/>
        <v/>
      </c>
      <c r="O13" s="85">
        <f t="shared" ref="O13:O76" si="11">IF(N13="+",IF(I13&gt;$N$1,"0",IF(N13="+",VALUE($N$1)-VALUE(J13),$N$1-H13))+IF(G13=0,0,IF(AND(A13&gt;=A14,H13&gt;0,H14-H13),H14-H13)),IF(I13&gt;$N$1,"0",IF(G13=0,0,IF(AND(A13&gt;=A14,H13&gt;0,H14-H13),H14-H13,IF(AND(A13&lt;&gt;A14,B13="",B14&lt;&gt;0),VALUE($N$1)-VALUE(H13),IF(A13&lt;&gt;A14,H13-J13,IF(N13="+",VALUE($N$1)-VALUE(J13),$N$1-H13)))))))</f>
        <v>29</v>
      </c>
      <c r="P13" s="53">
        <f>IF(G13=0,0,IF(AND(A13&lt;=A14,O13&gt;0,H13&lt;&gt;0),Get_KeyRate(H14),Get_KeyRate($N$1)))</f>
        <v>4.2500000000000003E-2</v>
      </c>
      <c r="Q13" s="54">
        <f t="shared" si="7"/>
        <v>2065.6</v>
      </c>
      <c r="R13" s="16">
        <v>43534</v>
      </c>
      <c r="S13" s="95"/>
    </row>
    <row r="14" spans="1:19" x14ac:dyDescent="0.25">
      <c r="A14" s="26">
        <v>9</v>
      </c>
      <c r="B14" s="9"/>
      <c r="C14" s="12" t="s">
        <v>26</v>
      </c>
      <c r="D14" s="2" t="s">
        <v>11</v>
      </c>
      <c r="E14" s="7">
        <v>44063</v>
      </c>
      <c r="F14" s="9">
        <v>75850.59</v>
      </c>
      <c r="G14" s="9">
        <f t="shared" si="0"/>
        <v>426933.01</v>
      </c>
      <c r="H14" s="7">
        <v>44068</v>
      </c>
      <c r="I14" s="32">
        <v>44012</v>
      </c>
      <c r="J14" s="38">
        <f t="shared" si="5"/>
        <v>44013</v>
      </c>
      <c r="K14" s="49">
        <f t="shared" si="6"/>
        <v>0</v>
      </c>
      <c r="L14" s="59">
        <f t="shared" si="10"/>
        <v>0</v>
      </c>
      <c r="M14" s="50">
        <f t="shared" si="2"/>
        <v>0</v>
      </c>
      <c r="N14" s="46" t="str">
        <f t="shared" ref="N14:N69" si="12">IF(AND(E14=0,F14=0,H14=0),"+","")</f>
        <v/>
      </c>
      <c r="O14" s="85">
        <f t="shared" si="11"/>
        <v>31</v>
      </c>
      <c r="P14" s="53">
        <f>IF(G14=0,0,IF(AND(A14&lt;=A15,O14&gt;0,H14&lt;&gt;0),Get_KeyRate(H15),Get_KeyRate($N$1)))</f>
        <v>4.2500000000000003E-2</v>
      </c>
      <c r="Q14" s="54">
        <f t="shared" si="7"/>
        <v>1874.95</v>
      </c>
      <c r="R14" s="17">
        <v>43586</v>
      </c>
      <c r="S14" s="96" t="s">
        <v>49</v>
      </c>
    </row>
    <row r="15" spans="1:19" ht="15" customHeight="1" x14ac:dyDescent="0.25">
      <c r="A15" s="26">
        <v>9</v>
      </c>
      <c r="B15" s="9"/>
      <c r="C15" s="12" t="s">
        <v>41</v>
      </c>
      <c r="D15" s="2" t="s">
        <v>11</v>
      </c>
      <c r="E15" s="6">
        <v>44099</v>
      </c>
      <c r="F15" s="9">
        <v>257509.2</v>
      </c>
      <c r="G15" s="9">
        <f t="shared" si="0"/>
        <v>169423.81</v>
      </c>
      <c r="H15" s="6">
        <v>44099</v>
      </c>
      <c r="I15" s="32">
        <v>44012</v>
      </c>
      <c r="J15" s="38">
        <f t="shared" si="5"/>
        <v>44013</v>
      </c>
      <c r="K15" s="49">
        <f t="shared" si="6"/>
        <v>0</v>
      </c>
      <c r="L15" s="59">
        <f t="shared" si="10"/>
        <v>0</v>
      </c>
      <c r="M15" s="50">
        <f t="shared" si="2"/>
        <v>0</v>
      </c>
      <c r="N15" s="46" t="str">
        <f t="shared" si="12"/>
        <v/>
      </c>
      <c r="O15" s="85">
        <f t="shared" si="11"/>
        <v>52</v>
      </c>
      <c r="P15" s="53">
        <f>IF(G15=0,0,IF(AND(A15&lt;=A16,O15&gt;0,H15&lt;&gt;0),Get_KeyRate(H16),Get_KeyRate($N$1)))</f>
        <v>4.2500000000000003E-2</v>
      </c>
      <c r="Q15" s="54">
        <f t="shared" si="7"/>
        <v>1248.0899999999999</v>
      </c>
      <c r="R15" s="17">
        <v>43587</v>
      </c>
      <c r="S15" s="96"/>
    </row>
    <row r="16" spans="1:19" x14ac:dyDescent="0.25">
      <c r="A16" s="26">
        <v>10</v>
      </c>
      <c r="B16" s="9">
        <v>1133000</v>
      </c>
      <c r="C16" s="12" t="s">
        <v>27</v>
      </c>
      <c r="D16" s="2" t="s">
        <v>11</v>
      </c>
      <c r="E16" s="7">
        <v>44039</v>
      </c>
      <c r="F16" s="9">
        <v>411991.2</v>
      </c>
      <c r="G16" s="9">
        <f t="shared" si="0"/>
        <v>721008.8</v>
      </c>
      <c r="H16" s="7">
        <v>44039</v>
      </c>
      <c r="I16" s="32">
        <v>44012</v>
      </c>
      <c r="J16" s="38">
        <f t="shared" si="5"/>
        <v>44013</v>
      </c>
      <c r="K16" s="49">
        <f t="shared" si="6"/>
        <v>27</v>
      </c>
      <c r="L16" s="59">
        <f t="shared" si="10"/>
        <v>4333.7299999999996</v>
      </c>
      <c r="M16" s="50">
        <f t="shared" si="2"/>
        <v>4.2500000000000003E-2</v>
      </c>
      <c r="N16" s="46" t="str">
        <f t="shared" si="12"/>
        <v/>
      </c>
      <c r="O16" s="85">
        <f t="shared" si="11"/>
        <v>29</v>
      </c>
      <c r="P16" s="53">
        <f>IF(G16=0,0,IF(AND(A16&lt;=A17,O16&gt;0,H16&lt;&gt;0),Get_KeyRate(H17),Get_KeyRate($N$1)))</f>
        <v>4.2500000000000003E-2</v>
      </c>
      <c r="Q16" s="54">
        <f t="shared" si="7"/>
        <v>2962.14</v>
      </c>
      <c r="R16" s="17">
        <v>43588</v>
      </c>
      <c r="S16" s="96"/>
    </row>
    <row r="17" spans="1:19" x14ac:dyDescent="0.25">
      <c r="A17" s="26">
        <v>10</v>
      </c>
      <c r="B17" s="9"/>
      <c r="C17" s="12" t="s">
        <v>28</v>
      </c>
      <c r="D17" s="2" t="s">
        <v>11</v>
      </c>
      <c r="E17" s="7">
        <v>44063</v>
      </c>
      <c r="F17" s="9">
        <v>367264.8</v>
      </c>
      <c r="G17" s="9">
        <f t="shared" si="0"/>
        <v>353744</v>
      </c>
      <c r="H17" s="7">
        <v>44068</v>
      </c>
      <c r="I17" s="32">
        <v>44012</v>
      </c>
      <c r="J17" s="38">
        <f t="shared" si="5"/>
        <v>44013</v>
      </c>
      <c r="K17" s="49">
        <f t="shared" si="6"/>
        <v>0</v>
      </c>
      <c r="L17" s="59">
        <f t="shared" si="10"/>
        <v>0</v>
      </c>
      <c r="M17" s="50">
        <f t="shared" si="2"/>
        <v>0</v>
      </c>
      <c r="N17" s="46" t="str">
        <f t="shared" si="12"/>
        <v/>
      </c>
      <c r="O17" s="85">
        <f t="shared" si="11"/>
        <v>31</v>
      </c>
      <c r="P17" s="53">
        <f>IF(G17=0,0,IF(AND(A17&lt;=A18,O17&gt;0,H17&lt;&gt;0),Get_KeyRate(H18),Get_KeyRate($N$1)))</f>
        <v>4.2500000000000003E-2</v>
      </c>
      <c r="Q17" s="54">
        <f t="shared" si="7"/>
        <v>1553.53</v>
      </c>
      <c r="R17" s="17">
        <v>43589</v>
      </c>
      <c r="S17" s="96"/>
    </row>
    <row r="18" spans="1:19" x14ac:dyDescent="0.25">
      <c r="A18" s="26">
        <v>10</v>
      </c>
      <c r="B18" s="9"/>
      <c r="C18" s="12" t="s">
        <v>42</v>
      </c>
      <c r="D18" s="2" t="s">
        <v>11</v>
      </c>
      <c r="E18" s="6">
        <v>44099</v>
      </c>
      <c r="F18" s="9">
        <v>353744</v>
      </c>
      <c r="G18" s="9">
        <f t="shared" si="0"/>
        <v>0</v>
      </c>
      <c r="H18" s="6">
        <v>44099</v>
      </c>
      <c r="I18" s="32">
        <v>44012</v>
      </c>
      <c r="J18" s="38">
        <f t="shared" si="5"/>
        <v>44013</v>
      </c>
      <c r="K18" s="49">
        <f t="shared" si="6"/>
        <v>0</v>
      </c>
      <c r="L18" s="59">
        <f t="shared" si="10"/>
        <v>0</v>
      </c>
      <c r="M18" s="50">
        <f t="shared" si="2"/>
        <v>0</v>
      </c>
      <c r="N18" s="46" t="str">
        <f t="shared" si="12"/>
        <v/>
      </c>
      <c r="O18" s="85">
        <f t="shared" si="11"/>
        <v>0</v>
      </c>
      <c r="P18" s="53">
        <f>IF(G18=0,0,IF(AND(A18&lt;=A19,O18&gt;0,H18&lt;&gt;0),Get_KeyRate(H19),Get_KeyRate($N$1)))</f>
        <v>0</v>
      </c>
      <c r="Q18" s="54">
        <f t="shared" si="7"/>
        <v>0</v>
      </c>
      <c r="R18" s="17">
        <v>43590</v>
      </c>
      <c r="S18" s="96"/>
    </row>
    <row r="19" spans="1:19" x14ac:dyDescent="0.25">
      <c r="A19" s="26">
        <v>11</v>
      </c>
      <c r="B19" s="9">
        <v>3004223</v>
      </c>
      <c r="C19" s="12" t="s">
        <v>29</v>
      </c>
      <c r="D19" s="2" t="s">
        <v>11</v>
      </c>
      <c r="E19" s="7">
        <v>43966</v>
      </c>
      <c r="F19" s="9">
        <v>842136</v>
      </c>
      <c r="G19" s="9">
        <f t="shared" si="0"/>
        <v>2162087</v>
      </c>
      <c r="H19" s="7">
        <v>43973</v>
      </c>
      <c r="I19" s="32">
        <v>44012</v>
      </c>
      <c r="J19" s="38">
        <f t="shared" si="5"/>
        <v>44013</v>
      </c>
      <c r="K19" s="49">
        <f t="shared" si="6"/>
        <v>0</v>
      </c>
      <c r="L19" s="59">
        <f t="shared" si="10"/>
        <v>0</v>
      </c>
      <c r="M19" s="50">
        <f t="shared" si="2"/>
        <v>0</v>
      </c>
      <c r="N19" s="46" t="str">
        <f t="shared" si="12"/>
        <v/>
      </c>
      <c r="O19" s="85">
        <f t="shared" si="11"/>
        <v>24</v>
      </c>
      <c r="P19" s="53">
        <f>IF(G19=0,0,IF(AND(A19&lt;=A20,O19&gt;0,H19&lt;&gt;0),Get_KeyRate(H20),Get_KeyRate($N$1)))</f>
        <v>5.5E-2</v>
      </c>
      <c r="Q19" s="54">
        <f t="shared" si="7"/>
        <v>9513.18</v>
      </c>
      <c r="R19" s="19">
        <v>43594</v>
      </c>
      <c r="S19" s="90" t="s">
        <v>51</v>
      </c>
    </row>
    <row r="20" spans="1:19" x14ac:dyDescent="0.25">
      <c r="A20" s="26">
        <v>11</v>
      </c>
      <c r="B20" s="9"/>
      <c r="C20" s="12" t="s">
        <v>30</v>
      </c>
      <c r="D20" s="2" t="s">
        <v>11</v>
      </c>
      <c r="E20" s="7">
        <v>43993</v>
      </c>
      <c r="F20" s="9">
        <v>663872.4</v>
      </c>
      <c r="G20" s="9">
        <f t="shared" si="0"/>
        <v>1498214.6</v>
      </c>
      <c r="H20" s="7">
        <v>43997</v>
      </c>
      <c r="I20" s="32">
        <v>44012</v>
      </c>
      <c r="J20" s="38">
        <f t="shared" si="5"/>
        <v>44013</v>
      </c>
      <c r="K20" s="49">
        <f t="shared" si="6"/>
        <v>0</v>
      </c>
      <c r="L20" s="59">
        <f t="shared" si="10"/>
        <v>0</v>
      </c>
      <c r="M20" s="50">
        <f t="shared" si="2"/>
        <v>0</v>
      </c>
      <c r="N20" s="46" t="str">
        <f t="shared" si="12"/>
        <v/>
      </c>
      <c r="O20" s="85">
        <f t="shared" si="11"/>
        <v>42</v>
      </c>
      <c r="P20" s="53">
        <f>IF(G20=0,0,IF(AND(A20&lt;=A21,O20&gt;0,H20&lt;&gt;0),Get_KeyRate(H21),Get_KeyRate($N$1)))</f>
        <v>4.2500000000000003E-2</v>
      </c>
      <c r="Q20" s="54">
        <f t="shared" si="7"/>
        <v>8914.3799999999992</v>
      </c>
      <c r="R20" s="19">
        <v>43595</v>
      </c>
      <c r="S20" s="90"/>
    </row>
    <row r="21" spans="1:19" x14ac:dyDescent="0.25">
      <c r="A21" s="26">
        <v>11</v>
      </c>
      <c r="B21" s="9"/>
      <c r="C21" s="12" t="s">
        <v>31</v>
      </c>
      <c r="D21" s="2" t="s">
        <v>11</v>
      </c>
      <c r="E21" s="7">
        <v>44039</v>
      </c>
      <c r="F21" s="9">
        <v>1112151.6000000001</v>
      </c>
      <c r="G21" s="9">
        <f t="shared" si="0"/>
        <v>386063</v>
      </c>
      <c r="H21" s="7">
        <v>44039</v>
      </c>
      <c r="I21" s="32">
        <v>44012</v>
      </c>
      <c r="J21" s="38">
        <f t="shared" si="5"/>
        <v>44013</v>
      </c>
      <c r="K21" s="49">
        <f t="shared" si="6"/>
        <v>0</v>
      </c>
      <c r="L21" s="59">
        <f t="shared" si="10"/>
        <v>0</v>
      </c>
      <c r="M21" s="50">
        <f t="shared" si="2"/>
        <v>0</v>
      </c>
      <c r="N21" s="46" t="str">
        <f t="shared" si="12"/>
        <v/>
      </c>
      <c r="O21" s="85">
        <f t="shared" si="11"/>
        <v>29</v>
      </c>
      <c r="P21" s="53">
        <f>IF(G21=0,0,IF(AND(A21&lt;=A22,O21&gt;0,H21&lt;&gt;0),Get_KeyRate(H22),Get_KeyRate($N$1)))</f>
        <v>4.2500000000000003E-2</v>
      </c>
      <c r="Q21" s="54">
        <f t="shared" si="7"/>
        <v>1586.08</v>
      </c>
      <c r="R21" s="19">
        <v>43596</v>
      </c>
      <c r="S21" s="90"/>
    </row>
    <row r="22" spans="1:19" x14ac:dyDescent="0.25">
      <c r="A22" s="26">
        <v>11</v>
      </c>
      <c r="B22" s="9"/>
      <c r="C22" s="13" t="s">
        <v>32</v>
      </c>
      <c r="D22" s="2" t="s">
        <v>11</v>
      </c>
      <c r="E22" s="7">
        <v>44063</v>
      </c>
      <c r="F22" s="9">
        <v>308734.8</v>
      </c>
      <c r="G22" s="9">
        <f t="shared" si="0"/>
        <v>77328.2</v>
      </c>
      <c r="H22" s="7">
        <v>44068</v>
      </c>
      <c r="I22" s="32">
        <v>44012</v>
      </c>
      <c r="J22" s="38">
        <f t="shared" si="5"/>
        <v>44013</v>
      </c>
      <c r="K22" s="49">
        <f t="shared" si="6"/>
        <v>0</v>
      </c>
      <c r="L22" s="59">
        <f t="shared" si="10"/>
        <v>0</v>
      </c>
      <c r="M22" s="50">
        <f t="shared" si="2"/>
        <v>0</v>
      </c>
      <c r="N22" s="46" t="str">
        <f t="shared" si="12"/>
        <v/>
      </c>
      <c r="O22" s="85">
        <f t="shared" si="11"/>
        <v>31</v>
      </c>
      <c r="P22" s="53">
        <f>IF(G22=0,0,IF(AND(A22&lt;=A23,O22&gt;0,H22&lt;&gt;0),Get_KeyRate(H23),Get_KeyRate($N$1)))</f>
        <v>4.2500000000000003E-2</v>
      </c>
      <c r="Q22" s="54">
        <f t="shared" si="7"/>
        <v>339.6</v>
      </c>
      <c r="R22" s="19">
        <v>43597</v>
      </c>
      <c r="S22" s="90"/>
    </row>
    <row r="23" spans="1:19" x14ac:dyDescent="0.25">
      <c r="A23" s="26">
        <v>11</v>
      </c>
      <c r="B23" s="9"/>
      <c r="C23" s="13" t="s">
        <v>32</v>
      </c>
      <c r="D23" s="2" t="s">
        <v>11</v>
      </c>
      <c r="E23" s="6">
        <v>44099</v>
      </c>
      <c r="F23" s="9">
        <v>75927.600000000006</v>
      </c>
      <c r="G23" s="9">
        <f t="shared" si="0"/>
        <v>1400.6</v>
      </c>
      <c r="H23" s="6">
        <v>44099</v>
      </c>
      <c r="I23" s="32">
        <v>44012</v>
      </c>
      <c r="J23" s="38">
        <f t="shared" si="5"/>
        <v>44013</v>
      </c>
      <c r="K23" s="49">
        <f t="shared" si="6"/>
        <v>0</v>
      </c>
      <c r="L23" s="59">
        <f t="shared" si="10"/>
        <v>0</v>
      </c>
      <c r="M23" s="50">
        <f t="shared" si="2"/>
        <v>0</v>
      </c>
      <c r="N23" s="46" t="str">
        <f t="shared" si="12"/>
        <v/>
      </c>
      <c r="O23" s="85">
        <f t="shared" si="11"/>
        <v>52</v>
      </c>
      <c r="P23" s="53">
        <f>IF(G23=0,0,IF(AND(A23&lt;=A24,O23&gt;0,H23&lt;&gt;0),Get_KeyRate(H24),Get_KeyRate($N$1)))</f>
        <v>4.2500000000000003E-2</v>
      </c>
      <c r="Q23" s="54">
        <f t="shared" si="7"/>
        <v>10.32</v>
      </c>
      <c r="R23" s="20">
        <v>43628</v>
      </c>
      <c r="S23" s="1" t="s">
        <v>54</v>
      </c>
    </row>
    <row r="24" spans="1:19" x14ac:dyDescent="0.25">
      <c r="A24" s="26">
        <v>12</v>
      </c>
      <c r="B24" s="9">
        <v>428264.00000000006</v>
      </c>
      <c r="C24" s="12" t="s">
        <v>33</v>
      </c>
      <c r="D24" s="2" t="s">
        <v>11</v>
      </c>
      <c r="E24" s="7">
        <v>44063</v>
      </c>
      <c r="F24" s="9">
        <v>78234</v>
      </c>
      <c r="G24" s="9">
        <f t="shared" si="0"/>
        <v>350030</v>
      </c>
      <c r="H24" s="7">
        <v>44068</v>
      </c>
      <c r="I24" s="32">
        <v>44012</v>
      </c>
      <c r="J24" s="38">
        <f t="shared" si="5"/>
        <v>44013</v>
      </c>
      <c r="K24" s="49">
        <f t="shared" si="6"/>
        <v>56</v>
      </c>
      <c r="L24" s="59">
        <f t="shared" si="10"/>
        <v>3397.56</v>
      </c>
      <c r="M24" s="50">
        <f t="shared" si="2"/>
        <v>4.2500000000000003E-2</v>
      </c>
      <c r="N24" s="46" t="str">
        <f t="shared" si="12"/>
        <v/>
      </c>
      <c r="O24" s="85">
        <f t="shared" si="11"/>
        <v>31</v>
      </c>
      <c r="P24" s="53">
        <f>IF(G24=0,0,IF(AND(A24&lt;=A25,O24&gt;0,H24&lt;&gt;0),Get_KeyRate(H25),Get_KeyRate($N$1)))</f>
        <v>4.2500000000000003E-2</v>
      </c>
      <c r="Q24" s="54">
        <f t="shared" si="7"/>
        <v>1537.22</v>
      </c>
      <c r="R24" s="21">
        <v>43771</v>
      </c>
      <c r="S24" s="97" t="s">
        <v>52</v>
      </c>
    </row>
    <row r="25" spans="1:19" ht="15" customHeight="1" x14ac:dyDescent="0.25">
      <c r="A25" s="26">
        <v>12</v>
      </c>
      <c r="B25" s="9"/>
      <c r="C25" s="12" t="s">
        <v>43</v>
      </c>
      <c r="D25" s="2" t="s">
        <v>11</v>
      </c>
      <c r="E25" s="6">
        <v>44099</v>
      </c>
      <c r="F25" s="9">
        <v>350030</v>
      </c>
      <c r="G25" s="9">
        <f t="shared" si="0"/>
        <v>0</v>
      </c>
      <c r="H25" s="6">
        <v>44099</v>
      </c>
      <c r="I25" s="32">
        <v>44012</v>
      </c>
      <c r="J25" s="38">
        <f t="shared" si="5"/>
        <v>44013</v>
      </c>
      <c r="K25" s="49">
        <f t="shared" si="6"/>
        <v>0</v>
      </c>
      <c r="L25" s="59">
        <f t="shared" si="10"/>
        <v>0</v>
      </c>
      <c r="M25" s="50">
        <f t="shared" si="2"/>
        <v>0</v>
      </c>
      <c r="N25" s="46" t="str">
        <f t="shared" si="12"/>
        <v/>
      </c>
      <c r="O25" s="85">
        <f t="shared" si="11"/>
        <v>0</v>
      </c>
      <c r="P25" s="53">
        <f>IF(G25=0,0,IF(AND(A25&lt;=A26,O25&gt;0,H25&lt;&gt;0),Get_KeyRate(H26),Get_KeyRate($N$1)))</f>
        <v>0</v>
      </c>
      <c r="Q25" s="54">
        <f t="shared" si="7"/>
        <v>0</v>
      </c>
      <c r="R25" s="21">
        <v>43772</v>
      </c>
      <c r="S25" s="97"/>
    </row>
    <row r="26" spans="1:19" s="116" customFormat="1" x14ac:dyDescent="0.25">
      <c r="A26" s="103">
        <v>13</v>
      </c>
      <c r="B26" s="104">
        <v>728400</v>
      </c>
      <c r="C26" s="105"/>
      <c r="D26" s="106"/>
      <c r="E26" s="106"/>
      <c r="F26" s="104"/>
      <c r="G26" s="104">
        <f t="shared" si="0"/>
        <v>728400</v>
      </c>
      <c r="H26" s="106"/>
      <c r="I26" s="107">
        <v>44012</v>
      </c>
      <c r="J26" s="108">
        <f t="shared" si="5"/>
        <v>44013</v>
      </c>
      <c r="K26" s="109">
        <f t="shared" si="6"/>
        <v>0</v>
      </c>
      <c r="L26" s="104">
        <f t="shared" si="10"/>
        <v>0</v>
      </c>
      <c r="M26" s="110">
        <f t="shared" si="2"/>
        <v>0</v>
      </c>
      <c r="N26" s="111" t="str">
        <f t="shared" si="12"/>
        <v>+</v>
      </c>
      <c r="O26" s="112">
        <f t="shared" si="11"/>
        <v>138</v>
      </c>
      <c r="P26" s="113">
        <f>IF(G26=0,0,IF(AND(A26&lt;=A27,O26&gt;0,H26&lt;&gt;0),Get_KeyRate(H27),Get_KeyRate($N$1)))</f>
        <v>4.2500000000000003E-2</v>
      </c>
      <c r="Q26" s="114">
        <f t="shared" si="7"/>
        <v>14240.22</v>
      </c>
      <c r="R26" s="115">
        <v>43773</v>
      </c>
      <c r="S26" s="97"/>
    </row>
    <row r="27" spans="1:19" s="116" customFormat="1" x14ac:dyDescent="0.25">
      <c r="A27" s="103">
        <v>14</v>
      </c>
      <c r="B27" s="104">
        <v>278614</v>
      </c>
      <c r="C27" s="105"/>
      <c r="D27" s="106"/>
      <c r="E27" s="106"/>
      <c r="F27" s="104"/>
      <c r="G27" s="104">
        <f t="shared" si="0"/>
        <v>278614</v>
      </c>
      <c r="H27" s="106"/>
      <c r="I27" s="107">
        <v>44012</v>
      </c>
      <c r="J27" s="108">
        <f t="shared" si="5"/>
        <v>44013</v>
      </c>
      <c r="K27" s="109">
        <f t="shared" si="6"/>
        <v>0</v>
      </c>
      <c r="L27" s="104">
        <f t="shared" si="10"/>
        <v>0</v>
      </c>
      <c r="M27" s="110">
        <f t="shared" si="2"/>
        <v>0</v>
      </c>
      <c r="N27" s="111" t="str">
        <f t="shared" si="12"/>
        <v>+</v>
      </c>
      <c r="O27" s="112">
        <f t="shared" si="11"/>
        <v>138</v>
      </c>
      <c r="P27" s="113">
        <f>IF(G27=0,0,IF(AND(A27&lt;=A28,O27&gt;0,H27&lt;&gt;0),Get_KeyRate(H28),Get_KeyRate($N$1)))</f>
        <v>4.2500000000000003E-2</v>
      </c>
      <c r="Q27" s="114">
        <f t="shared" si="7"/>
        <v>5446.9</v>
      </c>
      <c r="R27" s="115">
        <v>43831</v>
      </c>
      <c r="S27" s="94" t="s">
        <v>47</v>
      </c>
    </row>
    <row r="28" spans="1:19" x14ac:dyDescent="0.25">
      <c r="A28" s="26">
        <v>15</v>
      </c>
      <c r="B28" s="9">
        <v>1158016.9999999998</v>
      </c>
      <c r="C28" s="12" t="s">
        <v>34</v>
      </c>
      <c r="D28" s="2" t="s">
        <v>11</v>
      </c>
      <c r="E28" s="6">
        <v>43993</v>
      </c>
      <c r="F28" s="9">
        <v>172428</v>
      </c>
      <c r="G28" s="9">
        <f t="shared" si="0"/>
        <v>985589</v>
      </c>
      <c r="H28" s="7">
        <v>43997</v>
      </c>
      <c r="I28" s="32">
        <v>44012</v>
      </c>
      <c r="J28" s="38">
        <f t="shared" si="5"/>
        <v>44013</v>
      </c>
      <c r="K28" s="49">
        <f t="shared" si="6"/>
        <v>0</v>
      </c>
      <c r="L28" s="59">
        <f t="shared" si="10"/>
        <v>0</v>
      </c>
      <c r="M28" s="50">
        <f t="shared" si="2"/>
        <v>0</v>
      </c>
      <c r="N28" s="46" t="str">
        <f t="shared" si="12"/>
        <v/>
      </c>
      <c r="O28" s="85">
        <f t="shared" si="11"/>
        <v>144</v>
      </c>
      <c r="P28" s="53">
        <f>IF(G28=0,0,IF(AND(A28&lt;=A29,O28&gt;0,H28&lt;&gt;0),Get_KeyRate(H29),Get_KeyRate($N$1)))</f>
        <v>4.2500000000000003E-2</v>
      </c>
      <c r="Q28" s="54">
        <f t="shared" si="7"/>
        <v>20106.02</v>
      </c>
      <c r="R28" s="5">
        <v>43832</v>
      </c>
      <c r="S28" s="94"/>
    </row>
    <row r="29" spans="1:19" x14ac:dyDescent="0.25">
      <c r="A29" s="26">
        <v>15</v>
      </c>
      <c r="B29" s="9"/>
      <c r="C29" s="12" t="s">
        <v>45</v>
      </c>
      <c r="D29" s="2" t="s">
        <v>11</v>
      </c>
      <c r="E29" s="6">
        <v>44141</v>
      </c>
      <c r="F29" s="9">
        <v>829850.76</v>
      </c>
      <c r="G29" s="9">
        <f t="shared" si="0"/>
        <v>155738.23999999999</v>
      </c>
      <c r="H29" s="6">
        <v>44141</v>
      </c>
      <c r="I29" s="32">
        <v>44012</v>
      </c>
      <c r="J29" s="38">
        <f t="shared" si="5"/>
        <v>44013</v>
      </c>
      <c r="K29" s="49">
        <f t="shared" si="6"/>
        <v>0</v>
      </c>
      <c r="L29" s="59">
        <f t="shared" si="10"/>
        <v>0</v>
      </c>
      <c r="M29" s="50">
        <f t="shared" si="2"/>
        <v>0</v>
      </c>
      <c r="N29" s="46" t="str">
        <f t="shared" si="12"/>
        <v/>
      </c>
      <c r="O29" s="85">
        <f t="shared" si="11"/>
        <v>10</v>
      </c>
      <c r="P29" s="53">
        <f>IF(G29=0,0,IF(AND(A29&lt;=A30,O29&gt;0,H29&lt;&gt;0),Get_KeyRate(H30),Get_KeyRate($N$1)))</f>
        <v>4.2500000000000003E-2</v>
      </c>
      <c r="Q29" s="54">
        <f t="shared" si="7"/>
        <v>220.63</v>
      </c>
      <c r="R29" s="5">
        <v>43833</v>
      </c>
      <c r="S29" s="94"/>
    </row>
    <row r="30" spans="1:19" x14ac:dyDescent="0.25">
      <c r="A30" s="26">
        <v>16</v>
      </c>
      <c r="B30" s="9">
        <v>732344</v>
      </c>
      <c r="C30" s="12" t="s">
        <v>40</v>
      </c>
      <c r="D30" s="2" t="s">
        <v>11</v>
      </c>
      <c r="E30" s="6">
        <v>44099</v>
      </c>
      <c r="F30" s="9">
        <v>657691.19999999995</v>
      </c>
      <c r="G30" s="9">
        <f t="shared" si="0"/>
        <v>74652.800000000003</v>
      </c>
      <c r="H30" s="6">
        <v>44099</v>
      </c>
      <c r="I30" s="32">
        <v>44012</v>
      </c>
      <c r="J30" s="38">
        <f t="shared" si="5"/>
        <v>44013</v>
      </c>
      <c r="K30" s="49">
        <f t="shared" si="6"/>
        <v>87</v>
      </c>
      <c r="L30" s="59">
        <f t="shared" si="10"/>
        <v>9026.14</v>
      </c>
      <c r="M30" s="50">
        <f t="shared" si="2"/>
        <v>4.2500000000000003E-2</v>
      </c>
      <c r="N30" s="46" t="str">
        <f t="shared" si="12"/>
        <v/>
      </c>
      <c r="O30" s="85">
        <f t="shared" si="11"/>
        <v>86</v>
      </c>
      <c r="P30" s="53">
        <f>IF(G30=0,0,IF(AND(A30&lt;=A31,O30&gt;0,H30&lt;&gt;0),Get_KeyRate(H31),Get_KeyRate($N$1)))</f>
        <v>0</v>
      </c>
      <c r="Q30" s="54">
        <f t="shared" si="7"/>
        <v>0</v>
      </c>
      <c r="R30" s="5">
        <v>43834</v>
      </c>
      <c r="S30" s="94"/>
    </row>
    <row r="31" spans="1:19" x14ac:dyDescent="0.25">
      <c r="A31" s="26">
        <v>17</v>
      </c>
      <c r="B31" s="9">
        <v>321117</v>
      </c>
      <c r="C31" s="12"/>
      <c r="D31" s="2"/>
      <c r="E31" s="2"/>
      <c r="F31" s="9"/>
      <c r="G31" s="9">
        <f t="shared" si="0"/>
        <v>321117</v>
      </c>
      <c r="H31" s="8"/>
      <c r="I31" s="32">
        <v>44012</v>
      </c>
      <c r="J31" s="38">
        <f t="shared" si="5"/>
        <v>44013</v>
      </c>
      <c r="K31" s="49">
        <f t="shared" si="6"/>
        <v>0</v>
      </c>
      <c r="L31" s="59">
        <f t="shared" si="10"/>
        <v>0</v>
      </c>
      <c r="M31" s="50">
        <f t="shared" si="2"/>
        <v>0</v>
      </c>
      <c r="N31" s="46" t="str">
        <f t="shared" si="12"/>
        <v>+</v>
      </c>
      <c r="O31" s="85">
        <f t="shared" si="11"/>
        <v>138</v>
      </c>
      <c r="P31" s="53">
        <f>IF(G31=0,0,IF(AND(A31&lt;=A32,O31&gt;0,H31&lt;&gt;0),Get_KeyRate(H32),Get_KeyRate($N$1)))</f>
        <v>4.2500000000000003E-2</v>
      </c>
      <c r="Q31" s="54">
        <f t="shared" si="7"/>
        <v>6277.84</v>
      </c>
      <c r="R31" s="5">
        <v>43835</v>
      </c>
      <c r="S31" s="94"/>
    </row>
    <row r="32" spans="1:19" x14ac:dyDescent="0.25">
      <c r="A32" s="26">
        <v>18</v>
      </c>
      <c r="B32" s="9">
        <v>3575511</v>
      </c>
      <c r="C32" s="12" t="s">
        <v>3</v>
      </c>
      <c r="D32" s="2" t="s">
        <v>11</v>
      </c>
      <c r="E32" s="6">
        <v>44099</v>
      </c>
      <c r="F32" s="9">
        <v>25263.599999999999</v>
      </c>
      <c r="G32" s="9">
        <f t="shared" si="0"/>
        <v>3550247.4</v>
      </c>
      <c r="H32" s="6">
        <v>44099</v>
      </c>
      <c r="I32" s="32">
        <v>44043</v>
      </c>
      <c r="J32" s="38">
        <f t="shared" si="5"/>
        <v>44046</v>
      </c>
      <c r="K32" s="49">
        <f t="shared" si="6"/>
        <v>54</v>
      </c>
      <c r="L32" s="59">
        <f t="shared" si="10"/>
        <v>27352.66</v>
      </c>
      <c r="M32" s="50">
        <f t="shared" si="2"/>
        <v>4.2500000000000003E-2</v>
      </c>
      <c r="N32" s="46" t="str">
        <f t="shared" si="12"/>
        <v/>
      </c>
      <c r="O32" s="85">
        <f t="shared" si="11"/>
        <v>53</v>
      </c>
      <c r="P32" s="53">
        <f>IF(G32=0,0,IF(AND(A32&lt;=A33,O32&gt;0,H32&lt;&gt;0),Get_KeyRate(H33),Get_KeyRate($N$1)))</f>
        <v>0</v>
      </c>
      <c r="Q32" s="54">
        <f t="shared" si="7"/>
        <v>0</v>
      </c>
      <c r="R32" s="5">
        <v>43836</v>
      </c>
      <c r="S32" s="94"/>
    </row>
    <row r="33" spans="1:19" x14ac:dyDescent="0.25">
      <c r="A33" s="26">
        <v>19</v>
      </c>
      <c r="B33" s="9">
        <v>1939736</v>
      </c>
      <c r="C33" s="12"/>
      <c r="D33" s="2"/>
      <c r="E33" s="2"/>
      <c r="F33" s="9"/>
      <c r="G33" s="9">
        <f t="shared" si="0"/>
        <v>1939736</v>
      </c>
      <c r="H33" s="8"/>
      <c r="I33" s="32">
        <v>44043</v>
      </c>
      <c r="J33" s="38">
        <f t="shared" si="5"/>
        <v>44046</v>
      </c>
      <c r="K33" s="49">
        <f t="shared" si="6"/>
        <v>0</v>
      </c>
      <c r="L33" s="59">
        <f t="shared" si="10"/>
        <v>0</v>
      </c>
      <c r="M33" s="50">
        <f t="shared" si="2"/>
        <v>0</v>
      </c>
      <c r="N33" s="46" t="str">
        <f t="shared" si="12"/>
        <v>+</v>
      </c>
      <c r="O33" s="85">
        <f t="shared" si="11"/>
        <v>105</v>
      </c>
      <c r="P33" s="53">
        <f>IF(G33=0,0,IF(AND(A33&lt;=A34,O33&gt;0,H33&lt;&gt;0),Get_KeyRate(H34),Get_KeyRate($N$1)))</f>
        <v>4.2500000000000003E-2</v>
      </c>
      <c r="Q33" s="54">
        <f t="shared" si="7"/>
        <v>28853.57</v>
      </c>
      <c r="R33" s="5">
        <v>43837</v>
      </c>
      <c r="S33" s="94"/>
    </row>
    <row r="34" spans="1:19" x14ac:dyDescent="0.25">
      <c r="A34" s="26">
        <v>20</v>
      </c>
      <c r="B34" s="9">
        <v>53707.000000000007</v>
      </c>
      <c r="C34" s="12"/>
      <c r="D34" s="2"/>
      <c r="E34" s="2"/>
      <c r="F34" s="9"/>
      <c r="G34" s="9">
        <f t="shared" si="0"/>
        <v>53707</v>
      </c>
      <c r="H34" s="8"/>
      <c r="I34" s="32">
        <v>44043</v>
      </c>
      <c r="J34" s="38">
        <f t="shared" si="5"/>
        <v>44046</v>
      </c>
      <c r="K34" s="49">
        <f t="shared" si="6"/>
        <v>0</v>
      </c>
      <c r="L34" s="59">
        <f t="shared" si="10"/>
        <v>0</v>
      </c>
      <c r="M34" s="50">
        <f t="shared" si="2"/>
        <v>0</v>
      </c>
      <c r="N34" s="46" t="str">
        <f t="shared" si="12"/>
        <v>+</v>
      </c>
      <c r="O34" s="85">
        <f t="shared" si="11"/>
        <v>105</v>
      </c>
      <c r="P34" s="53">
        <f>IF(G34=0,0,IF(AND(A34&lt;=A35,O34&gt;0,H34&lt;&gt;0),Get_KeyRate(H35),Get_KeyRate($N$1)))</f>
        <v>4.2500000000000003E-2</v>
      </c>
      <c r="Q34" s="54">
        <f t="shared" si="7"/>
        <v>798.89</v>
      </c>
      <c r="R34" s="5">
        <v>43838</v>
      </c>
      <c r="S34" s="94"/>
    </row>
    <row r="35" spans="1:19" x14ac:dyDescent="0.25">
      <c r="A35" s="26">
        <v>21</v>
      </c>
      <c r="B35" s="9">
        <v>1089795</v>
      </c>
      <c r="C35" s="12"/>
      <c r="D35" s="2"/>
      <c r="E35" s="2"/>
      <c r="F35" s="9"/>
      <c r="G35" s="9">
        <f t="shared" si="0"/>
        <v>1089795</v>
      </c>
      <c r="H35" s="8"/>
      <c r="I35" s="32">
        <v>44074</v>
      </c>
      <c r="J35" s="38">
        <f t="shared" si="5"/>
        <v>44075</v>
      </c>
      <c r="K35" s="49">
        <f t="shared" si="6"/>
        <v>0</v>
      </c>
      <c r="L35" s="59">
        <f t="shared" si="10"/>
        <v>0</v>
      </c>
      <c r="M35" s="50">
        <f t="shared" si="2"/>
        <v>0</v>
      </c>
      <c r="N35" s="46" t="str">
        <f t="shared" si="12"/>
        <v>+</v>
      </c>
      <c r="O35" s="85">
        <f t="shared" si="11"/>
        <v>76</v>
      </c>
      <c r="P35" s="53">
        <f>IF(G35=0,0,IF(AND(A35&lt;=A36,O35&gt;0,H35&lt;&gt;0),Get_KeyRate(H36),Get_KeyRate($N$1)))</f>
        <v>4.2500000000000003E-2</v>
      </c>
      <c r="Q35" s="54">
        <f t="shared" si="7"/>
        <v>11733.46</v>
      </c>
      <c r="R35" s="22">
        <v>43883</v>
      </c>
      <c r="S35" s="98" t="s">
        <v>50</v>
      </c>
    </row>
    <row r="36" spans="1:19" x14ac:dyDescent="0.25">
      <c r="A36" s="26">
        <v>22</v>
      </c>
      <c r="B36" s="9">
        <v>726119</v>
      </c>
      <c r="C36" s="12"/>
      <c r="D36" s="2"/>
      <c r="E36" s="2"/>
      <c r="F36" s="9"/>
      <c r="G36" s="9">
        <f t="shared" si="0"/>
        <v>726119</v>
      </c>
      <c r="H36" s="8"/>
      <c r="I36" s="32">
        <v>44074</v>
      </c>
      <c r="J36" s="38">
        <f t="shared" si="5"/>
        <v>44075</v>
      </c>
      <c r="K36" s="49">
        <f t="shared" si="6"/>
        <v>0</v>
      </c>
      <c r="L36" s="59">
        <f t="shared" si="10"/>
        <v>0</v>
      </c>
      <c r="M36" s="50">
        <f t="shared" si="2"/>
        <v>0</v>
      </c>
      <c r="N36" s="46" t="str">
        <f t="shared" si="12"/>
        <v>+</v>
      </c>
      <c r="O36" s="85">
        <f t="shared" si="11"/>
        <v>76</v>
      </c>
      <c r="P36" s="53">
        <f>IF(G36=0,0,IF(AND(A36&lt;=A37,O36&gt;0,H36&lt;&gt;0),Get_KeyRate(H37),Get_KeyRate($N$1)))</f>
        <v>4.2500000000000003E-2</v>
      </c>
      <c r="Q36" s="54">
        <f t="shared" si="7"/>
        <v>7817.88</v>
      </c>
      <c r="R36" s="22">
        <v>43884</v>
      </c>
      <c r="S36" s="98"/>
    </row>
    <row r="37" spans="1:19" x14ac:dyDescent="0.25">
      <c r="A37" s="26">
        <v>23</v>
      </c>
      <c r="B37" s="9">
        <v>1386200</v>
      </c>
      <c r="C37" s="12"/>
      <c r="D37" s="2"/>
      <c r="E37" s="2"/>
      <c r="F37" s="9"/>
      <c r="G37" s="9">
        <f t="shared" si="0"/>
        <v>1386200</v>
      </c>
      <c r="H37" s="8"/>
      <c r="I37" s="32">
        <v>44074</v>
      </c>
      <c r="J37" s="38">
        <f t="shared" si="5"/>
        <v>44075</v>
      </c>
      <c r="K37" s="49">
        <f t="shared" si="6"/>
        <v>0</v>
      </c>
      <c r="L37" s="59">
        <f t="shared" si="10"/>
        <v>0</v>
      </c>
      <c r="M37" s="50">
        <f t="shared" si="2"/>
        <v>0</v>
      </c>
      <c r="N37" s="46" t="str">
        <f t="shared" si="12"/>
        <v>+</v>
      </c>
      <c r="O37" s="85">
        <f t="shared" si="11"/>
        <v>76</v>
      </c>
      <c r="P37" s="53">
        <f>IF(G37=0,0,IF(AND(A37&lt;=A38,O37&gt;0,H37&lt;&gt;0),Get_KeyRate(H38),Get_KeyRate($N$1)))</f>
        <v>4.2500000000000003E-2</v>
      </c>
      <c r="Q37" s="54">
        <f t="shared" si="7"/>
        <v>14924.75</v>
      </c>
      <c r="R37" s="22">
        <v>43885</v>
      </c>
      <c r="S37" s="98"/>
    </row>
    <row r="38" spans="1:19" x14ac:dyDescent="0.25">
      <c r="A38" s="26">
        <v>24</v>
      </c>
      <c r="B38" s="9">
        <v>961895.00000000012</v>
      </c>
      <c r="C38" s="12" t="s">
        <v>5</v>
      </c>
      <c r="D38" s="2" t="s">
        <v>11</v>
      </c>
      <c r="E38" s="7">
        <v>44063</v>
      </c>
      <c r="F38" s="9">
        <v>163862.39999999999</v>
      </c>
      <c r="G38" s="9">
        <f t="shared" si="0"/>
        <v>798032.6</v>
      </c>
      <c r="H38" s="7">
        <v>44068</v>
      </c>
      <c r="I38" s="32">
        <v>44074</v>
      </c>
      <c r="J38" s="38">
        <f t="shared" si="5"/>
        <v>44075</v>
      </c>
      <c r="K38" s="49">
        <f t="shared" si="6"/>
        <v>0</v>
      </c>
      <c r="L38" s="59">
        <f t="shared" si="10"/>
        <v>0</v>
      </c>
      <c r="M38" s="50">
        <f t="shared" si="2"/>
        <v>0</v>
      </c>
      <c r="N38" s="46" t="str">
        <f t="shared" si="12"/>
        <v/>
      </c>
      <c r="O38" s="85">
        <f t="shared" si="11"/>
        <v>31</v>
      </c>
      <c r="P38" s="53">
        <f>IF(G38=0,0,IF(AND(A38&lt;=A39,O38&gt;0,H38&lt;&gt;0),Get_KeyRate(H39),Get_KeyRate($N$1)))</f>
        <v>4.2500000000000003E-2</v>
      </c>
      <c r="Q38" s="54">
        <f t="shared" si="7"/>
        <v>3504.69</v>
      </c>
      <c r="R38" s="16">
        <v>43897</v>
      </c>
      <c r="S38" s="95" t="s">
        <v>48</v>
      </c>
    </row>
    <row r="39" spans="1:19" ht="15" customHeight="1" x14ac:dyDescent="0.25">
      <c r="A39" s="26">
        <v>24</v>
      </c>
      <c r="B39" s="9"/>
      <c r="C39" s="12" t="s">
        <v>4</v>
      </c>
      <c r="D39" s="2" t="s">
        <v>11</v>
      </c>
      <c r="E39" s="7">
        <v>44099</v>
      </c>
      <c r="F39" s="9">
        <v>94658.4</v>
      </c>
      <c r="G39" s="9">
        <f t="shared" si="0"/>
        <v>703374.2</v>
      </c>
      <c r="H39" s="7">
        <v>44099</v>
      </c>
      <c r="I39" s="32">
        <v>44074</v>
      </c>
      <c r="J39" s="38">
        <f t="shared" si="5"/>
        <v>44075</v>
      </c>
      <c r="K39" s="49">
        <f t="shared" si="6"/>
        <v>0</v>
      </c>
      <c r="L39" s="59">
        <f t="shared" si="10"/>
        <v>0</v>
      </c>
      <c r="M39" s="50">
        <f t="shared" si="2"/>
        <v>0</v>
      </c>
      <c r="N39" s="46" t="str">
        <f t="shared" si="12"/>
        <v/>
      </c>
      <c r="O39" s="85">
        <f t="shared" si="11"/>
        <v>52</v>
      </c>
      <c r="P39" s="53">
        <f>IF(G39=0,0,IF(AND(A39&lt;=A40,O39&gt;0,H39&lt;&gt;0),Get_KeyRate(H40),Get_KeyRate($N$1)))</f>
        <v>4.2500000000000003E-2</v>
      </c>
      <c r="Q39" s="54">
        <f t="shared" si="7"/>
        <v>5181.5200000000004</v>
      </c>
      <c r="R39" s="16">
        <v>43898</v>
      </c>
      <c r="S39" s="95"/>
    </row>
    <row r="40" spans="1:19" x14ac:dyDescent="0.25">
      <c r="A40" s="26">
        <v>25</v>
      </c>
      <c r="B40" s="9">
        <v>2863205</v>
      </c>
      <c r="C40" s="12" t="s">
        <v>6</v>
      </c>
      <c r="D40" s="2" t="s">
        <v>11</v>
      </c>
      <c r="E40" s="7">
        <v>44099</v>
      </c>
      <c r="F40" s="9">
        <v>2751631.2</v>
      </c>
      <c r="G40" s="9">
        <f t="shared" si="0"/>
        <v>111573.8</v>
      </c>
      <c r="H40" s="7">
        <v>44099</v>
      </c>
      <c r="I40" s="32">
        <v>44074</v>
      </c>
      <c r="J40" s="38">
        <f t="shared" si="5"/>
        <v>44075</v>
      </c>
      <c r="K40" s="49">
        <f t="shared" si="6"/>
        <v>25</v>
      </c>
      <c r="L40" s="59">
        <f t="shared" si="10"/>
        <v>10140.52</v>
      </c>
      <c r="M40" s="50">
        <f t="shared" si="2"/>
        <v>4.2500000000000003E-2</v>
      </c>
      <c r="N40" s="46" t="str">
        <f t="shared" si="12"/>
        <v/>
      </c>
      <c r="O40" s="85">
        <f t="shared" si="11"/>
        <v>24</v>
      </c>
      <c r="P40" s="53">
        <f>IF(G40=0,0,IF(AND(A40&lt;=A41,O40&gt;0,H40&lt;&gt;0),Get_KeyRate(H41),Get_KeyRate($N$1)))</f>
        <v>0</v>
      </c>
      <c r="Q40" s="54">
        <f t="shared" si="7"/>
        <v>0</v>
      </c>
      <c r="R40" s="16">
        <v>43899</v>
      </c>
      <c r="S40" s="95"/>
    </row>
    <row r="41" spans="1:19" x14ac:dyDescent="0.25">
      <c r="A41" s="26">
        <v>26</v>
      </c>
      <c r="B41" s="9">
        <v>132598</v>
      </c>
      <c r="C41" s="12"/>
      <c r="D41" s="2"/>
      <c r="E41" s="8"/>
      <c r="F41" s="9"/>
      <c r="G41" s="9">
        <f t="shared" si="0"/>
        <v>132598</v>
      </c>
      <c r="H41" s="8"/>
      <c r="I41" s="32">
        <v>44074</v>
      </c>
      <c r="J41" s="38">
        <f t="shared" si="5"/>
        <v>44075</v>
      </c>
      <c r="K41" s="49">
        <f t="shared" si="6"/>
        <v>0</v>
      </c>
      <c r="L41" s="59">
        <f t="shared" si="10"/>
        <v>0</v>
      </c>
      <c r="M41" s="50">
        <f t="shared" si="2"/>
        <v>0</v>
      </c>
      <c r="N41" s="46" t="str">
        <f t="shared" si="12"/>
        <v>+</v>
      </c>
      <c r="O41" s="85">
        <f t="shared" si="11"/>
        <v>76</v>
      </c>
      <c r="P41" s="53">
        <f>IF(G41=0,0,IF(AND(A41&lt;=A42,O41&gt;0,H41&lt;&gt;0),Get_KeyRate(H42),Get_KeyRate($N$1)))</f>
        <v>4.2500000000000003E-2</v>
      </c>
      <c r="Q41" s="54">
        <f t="shared" si="7"/>
        <v>1427.64</v>
      </c>
      <c r="S41" s="18">
        <v>43918</v>
      </c>
    </row>
    <row r="42" spans="1:19" x14ac:dyDescent="0.25">
      <c r="A42" s="26">
        <v>27</v>
      </c>
      <c r="B42" s="9">
        <v>520685.99999999994</v>
      </c>
      <c r="C42" s="12"/>
      <c r="D42" s="2"/>
      <c r="E42" s="8"/>
      <c r="F42" s="9"/>
      <c r="G42" s="9">
        <f t="shared" si="0"/>
        <v>520686</v>
      </c>
      <c r="H42" s="8"/>
      <c r="I42" s="32">
        <v>44074</v>
      </c>
      <c r="J42" s="38">
        <f t="shared" si="5"/>
        <v>44075</v>
      </c>
      <c r="K42" s="49">
        <f t="shared" si="6"/>
        <v>0</v>
      </c>
      <c r="L42" s="59">
        <f t="shared" si="10"/>
        <v>0</v>
      </c>
      <c r="M42" s="50">
        <f t="shared" si="2"/>
        <v>0</v>
      </c>
      <c r="N42" s="46" t="str">
        <f t="shared" si="12"/>
        <v>+</v>
      </c>
      <c r="O42" s="85">
        <f t="shared" si="11"/>
        <v>76</v>
      </c>
      <c r="P42" s="53">
        <f>IF(G42=0,0,IF(AND(A42&lt;=A43,O42&gt;0,H42&lt;&gt;0),Get_KeyRate(H43),Get_KeyRate($N$1)))</f>
        <v>4.2500000000000003E-2</v>
      </c>
      <c r="Q42" s="54">
        <f t="shared" si="7"/>
        <v>5606.05</v>
      </c>
      <c r="S42" s="18">
        <v>43919</v>
      </c>
    </row>
    <row r="43" spans="1:19" x14ac:dyDescent="0.25">
      <c r="A43" s="26">
        <v>28</v>
      </c>
      <c r="B43" s="9">
        <v>488182.00000000006</v>
      </c>
      <c r="C43" s="12"/>
      <c r="D43" s="2"/>
      <c r="E43" s="8"/>
      <c r="F43" s="9"/>
      <c r="G43" s="9">
        <f t="shared" si="0"/>
        <v>488182</v>
      </c>
      <c r="H43" s="8"/>
      <c r="I43" s="32">
        <v>44074</v>
      </c>
      <c r="J43" s="38">
        <f t="shared" si="5"/>
        <v>44075</v>
      </c>
      <c r="K43" s="49">
        <f t="shared" si="6"/>
        <v>0</v>
      </c>
      <c r="L43" s="59">
        <f t="shared" si="10"/>
        <v>0</v>
      </c>
      <c r="M43" s="50">
        <f t="shared" si="2"/>
        <v>0</v>
      </c>
      <c r="N43" s="46" t="str">
        <f t="shared" si="12"/>
        <v>+</v>
      </c>
      <c r="O43" s="85">
        <f t="shared" si="11"/>
        <v>76</v>
      </c>
      <c r="P43" s="53">
        <f>IF(G43=0,0,IF(AND(A43&lt;=A44,O43&gt;0,H43&lt;&gt;0),Get_KeyRate(H44),Get_KeyRate($N$1)))</f>
        <v>4.2500000000000003E-2</v>
      </c>
      <c r="Q43" s="54">
        <f t="shared" si="7"/>
        <v>5256.09</v>
      </c>
      <c r="S43" s="18">
        <v>43920</v>
      </c>
    </row>
    <row r="44" spans="1:19" x14ac:dyDescent="0.25">
      <c r="A44" s="26">
        <v>29</v>
      </c>
      <c r="B44" s="9">
        <v>249138</v>
      </c>
      <c r="C44" s="12" t="s">
        <v>35</v>
      </c>
      <c r="D44" s="2" t="s">
        <v>11</v>
      </c>
      <c r="E44" s="7">
        <v>44063</v>
      </c>
      <c r="F44" s="9">
        <v>227139.6</v>
      </c>
      <c r="G44" s="9">
        <f t="shared" si="0"/>
        <v>21998.400000000001</v>
      </c>
      <c r="H44" s="7">
        <v>44068</v>
      </c>
      <c r="I44" s="32">
        <v>44074</v>
      </c>
      <c r="J44" s="38">
        <f t="shared" si="5"/>
        <v>44075</v>
      </c>
      <c r="K44" s="49">
        <f t="shared" si="6"/>
        <v>0</v>
      </c>
      <c r="L44" s="59">
        <f t="shared" si="10"/>
        <v>0</v>
      </c>
      <c r="M44" s="50">
        <f t="shared" si="2"/>
        <v>0</v>
      </c>
      <c r="N44" s="46" t="str">
        <f t="shared" si="12"/>
        <v/>
      </c>
      <c r="O44" s="85">
        <f t="shared" si="11"/>
        <v>73</v>
      </c>
      <c r="P44" s="53">
        <f>IF(G44=0,0,IF(AND(A44&lt;=A45,O44&gt;0,H44&lt;&gt;0),Get_KeyRate(H45),Get_KeyRate($N$1)))</f>
        <v>4.2500000000000003E-2</v>
      </c>
      <c r="Q44" s="54">
        <f t="shared" si="7"/>
        <v>227.5</v>
      </c>
      <c r="S44" s="18">
        <v>43921</v>
      </c>
    </row>
    <row r="45" spans="1:19" x14ac:dyDescent="0.25">
      <c r="A45" s="26">
        <v>29</v>
      </c>
      <c r="B45" s="9"/>
      <c r="C45" s="12" t="s">
        <v>7</v>
      </c>
      <c r="D45" s="2" t="s">
        <v>11</v>
      </c>
      <c r="E45" s="7">
        <v>44141</v>
      </c>
      <c r="F45" s="9">
        <v>17653.5</v>
      </c>
      <c r="G45" s="9">
        <f t="shared" si="0"/>
        <v>4344.8999999999996</v>
      </c>
      <c r="H45" s="7">
        <v>44141</v>
      </c>
      <c r="I45" s="32">
        <v>44074</v>
      </c>
      <c r="J45" s="38">
        <f t="shared" si="5"/>
        <v>44075</v>
      </c>
      <c r="K45" s="49">
        <f t="shared" si="6"/>
        <v>0</v>
      </c>
      <c r="L45" s="59">
        <f t="shared" si="10"/>
        <v>0</v>
      </c>
      <c r="M45" s="50">
        <f t="shared" si="2"/>
        <v>0</v>
      </c>
      <c r="N45" s="46" t="str">
        <f t="shared" si="12"/>
        <v/>
      </c>
      <c r="O45" s="85">
        <f t="shared" si="11"/>
        <v>10</v>
      </c>
      <c r="P45" s="53">
        <f>IF(G45=0,0,IF(AND(A45&lt;=A46,O45&gt;0,H45&lt;&gt;0),Get_KeyRate(H46),Get_KeyRate($N$1)))</f>
        <v>0</v>
      </c>
      <c r="Q45" s="54">
        <f t="shared" si="7"/>
        <v>0</v>
      </c>
      <c r="S45" s="18">
        <v>43922</v>
      </c>
    </row>
    <row r="46" spans="1:19" x14ac:dyDescent="0.25">
      <c r="A46" s="26">
        <v>30</v>
      </c>
      <c r="B46" s="9">
        <v>46809</v>
      </c>
      <c r="C46" s="12"/>
      <c r="D46" s="2"/>
      <c r="E46" s="8"/>
      <c r="F46" s="9"/>
      <c r="G46" s="9">
        <f t="shared" si="0"/>
        <v>46809</v>
      </c>
      <c r="H46" s="8"/>
      <c r="I46" s="32">
        <v>44074</v>
      </c>
      <c r="J46" s="38">
        <f t="shared" si="5"/>
        <v>44075</v>
      </c>
      <c r="K46" s="49">
        <f t="shared" si="6"/>
        <v>0</v>
      </c>
      <c r="L46" s="59">
        <f t="shared" si="10"/>
        <v>0</v>
      </c>
      <c r="M46" s="50">
        <f t="shared" si="2"/>
        <v>0</v>
      </c>
      <c r="N46" s="46" t="str">
        <f t="shared" si="12"/>
        <v>+</v>
      </c>
      <c r="O46" s="85">
        <f t="shared" si="11"/>
        <v>76</v>
      </c>
      <c r="P46" s="53">
        <f>IF(G46=0,0,IF(AND(A46&lt;=A47,O46&gt;0,H46&lt;&gt;0),Get_KeyRate(H47),Get_KeyRate($N$1)))</f>
        <v>4.2500000000000003E-2</v>
      </c>
      <c r="Q46" s="54">
        <f t="shared" si="7"/>
        <v>503.98</v>
      </c>
      <c r="S46" s="18">
        <v>43923</v>
      </c>
    </row>
    <row r="47" spans="1:19" x14ac:dyDescent="0.25">
      <c r="A47" s="26">
        <v>31</v>
      </c>
      <c r="B47" s="9">
        <v>3905532</v>
      </c>
      <c r="C47" s="12"/>
      <c r="D47" s="2"/>
      <c r="E47" s="8"/>
      <c r="F47" s="9"/>
      <c r="G47" s="9">
        <f t="shared" si="0"/>
        <v>3905532</v>
      </c>
      <c r="H47" s="8"/>
      <c r="I47" s="32">
        <v>44104</v>
      </c>
      <c r="J47" s="38">
        <f t="shared" si="5"/>
        <v>44105</v>
      </c>
      <c r="K47" s="49">
        <f t="shared" si="6"/>
        <v>0</v>
      </c>
      <c r="L47" s="59">
        <f t="shared" si="10"/>
        <v>0</v>
      </c>
      <c r="M47" s="50">
        <f t="shared" si="2"/>
        <v>0</v>
      </c>
      <c r="N47" s="46" t="str">
        <f t="shared" si="12"/>
        <v>+</v>
      </c>
      <c r="O47" s="85">
        <f t="shared" si="11"/>
        <v>46</v>
      </c>
      <c r="P47" s="53">
        <f>IF(G47=0,0,IF(AND(A47&lt;=A48,O47&gt;0,H47&lt;&gt;0),Get_KeyRate(H48),Get_KeyRate($N$1)))</f>
        <v>4.2500000000000003E-2</v>
      </c>
      <c r="Q47" s="54">
        <f t="shared" si="7"/>
        <v>25451.05</v>
      </c>
      <c r="S47" s="18">
        <v>43924</v>
      </c>
    </row>
    <row r="48" spans="1:19" x14ac:dyDescent="0.25">
      <c r="A48" s="26">
        <v>32</v>
      </c>
      <c r="B48" s="9">
        <v>2742453.9999999995</v>
      </c>
      <c r="C48" s="12"/>
      <c r="D48" s="2"/>
      <c r="E48" s="8"/>
      <c r="F48" s="9"/>
      <c r="G48" s="9">
        <f t="shared" si="0"/>
        <v>2742454</v>
      </c>
      <c r="H48" s="8"/>
      <c r="I48" s="32">
        <v>44104</v>
      </c>
      <c r="J48" s="38">
        <f t="shared" si="5"/>
        <v>44105</v>
      </c>
      <c r="K48" s="49">
        <f t="shared" si="6"/>
        <v>0</v>
      </c>
      <c r="L48" s="59">
        <f t="shared" si="10"/>
        <v>0</v>
      </c>
      <c r="M48" s="50">
        <f t="shared" si="2"/>
        <v>0</v>
      </c>
      <c r="N48" s="46" t="str">
        <f t="shared" si="12"/>
        <v>+</v>
      </c>
      <c r="O48" s="85">
        <f t="shared" si="11"/>
        <v>46</v>
      </c>
      <c r="P48" s="53">
        <f>IF(G48=0,0,IF(AND(A48&lt;=A49,O48&gt;0,H48&lt;&gt;0),Get_KeyRate(H49),Get_KeyRate($N$1)))</f>
        <v>4.2500000000000003E-2</v>
      </c>
      <c r="Q48" s="54">
        <f t="shared" si="7"/>
        <v>17871.66</v>
      </c>
      <c r="S48" s="18">
        <v>43925</v>
      </c>
    </row>
    <row r="49" spans="1:19" x14ac:dyDescent="0.25">
      <c r="A49" s="26">
        <v>33</v>
      </c>
      <c r="B49" s="9">
        <v>92166</v>
      </c>
      <c r="C49" s="12" t="s">
        <v>8</v>
      </c>
      <c r="D49" s="2" t="s">
        <v>11</v>
      </c>
      <c r="E49" s="7">
        <v>44141</v>
      </c>
      <c r="F49" s="9">
        <v>92166</v>
      </c>
      <c r="G49" s="9">
        <f t="shared" si="0"/>
        <v>0</v>
      </c>
      <c r="H49" s="7">
        <v>44141</v>
      </c>
      <c r="I49" s="32">
        <v>44104</v>
      </c>
      <c r="J49" s="38">
        <f t="shared" si="5"/>
        <v>44105</v>
      </c>
      <c r="K49" s="49">
        <f t="shared" si="6"/>
        <v>37</v>
      </c>
      <c r="L49" s="59">
        <f t="shared" si="10"/>
        <v>483.1</v>
      </c>
      <c r="M49" s="50">
        <f t="shared" si="2"/>
        <v>4.2500000000000003E-2</v>
      </c>
      <c r="N49" s="46" t="str">
        <f t="shared" si="12"/>
        <v/>
      </c>
      <c r="O49" s="85">
        <f t="shared" si="11"/>
        <v>0</v>
      </c>
      <c r="P49" s="53">
        <f>IF(G49=0,0,IF(AND(A49&lt;=A50,O49&gt;0,H49&lt;&gt;0),Get_KeyRate(H50),Get_KeyRate($N$1)))</f>
        <v>0</v>
      </c>
      <c r="Q49" s="54">
        <f t="shared" si="7"/>
        <v>0</v>
      </c>
      <c r="S49" s="18">
        <v>43926</v>
      </c>
    </row>
    <row r="50" spans="1:19" x14ac:dyDescent="0.25">
      <c r="A50" s="26">
        <v>34</v>
      </c>
      <c r="B50" s="9">
        <v>1239826.9999999998</v>
      </c>
      <c r="C50" s="12" t="s">
        <v>9</v>
      </c>
      <c r="D50" s="2" t="s">
        <v>11</v>
      </c>
      <c r="E50" s="7">
        <v>44141</v>
      </c>
      <c r="F50" s="9">
        <v>918350.84</v>
      </c>
      <c r="G50" s="9">
        <f t="shared" si="0"/>
        <v>321476.15999999997</v>
      </c>
      <c r="H50" s="7">
        <v>44141</v>
      </c>
      <c r="I50" s="32">
        <v>44104</v>
      </c>
      <c r="J50" s="38">
        <f t="shared" si="5"/>
        <v>44105</v>
      </c>
      <c r="K50" s="49">
        <f t="shared" si="6"/>
        <v>37</v>
      </c>
      <c r="L50" s="59">
        <f t="shared" si="10"/>
        <v>6498.76</v>
      </c>
      <c r="M50" s="50">
        <f t="shared" si="2"/>
        <v>4.2500000000000003E-2</v>
      </c>
      <c r="N50" s="46" t="str">
        <f t="shared" si="12"/>
        <v/>
      </c>
      <c r="O50" s="85">
        <f t="shared" si="11"/>
        <v>36</v>
      </c>
      <c r="P50" s="53">
        <f>IF(G50=0,0,IF(AND(A50&lt;=A51,O50&gt;0,H50&lt;&gt;0),Get_KeyRate(H51),Get_KeyRate($N$1)))</f>
        <v>0</v>
      </c>
      <c r="Q50" s="54">
        <f t="shared" si="7"/>
        <v>0</v>
      </c>
      <c r="S50" s="18">
        <v>43927</v>
      </c>
    </row>
    <row r="51" spans="1:19" x14ac:dyDescent="0.25">
      <c r="A51" s="26">
        <v>35</v>
      </c>
      <c r="B51" s="9">
        <v>1268541</v>
      </c>
      <c r="C51" s="12"/>
      <c r="D51" s="2"/>
      <c r="E51" s="8"/>
      <c r="F51" s="9"/>
      <c r="G51" s="9">
        <f t="shared" si="0"/>
        <v>1268541</v>
      </c>
      <c r="H51" s="8"/>
      <c r="I51" s="32">
        <v>44104</v>
      </c>
      <c r="J51" s="38">
        <f t="shared" si="5"/>
        <v>44105</v>
      </c>
      <c r="K51" s="49">
        <f t="shared" si="6"/>
        <v>0</v>
      </c>
      <c r="L51" s="59">
        <f t="shared" si="10"/>
        <v>0</v>
      </c>
      <c r="M51" s="50">
        <f t="shared" si="2"/>
        <v>0</v>
      </c>
      <c r="N51" s="46" t="str">
        <f t="shared" si="12"/>
        <v>+</v>
      </c>
      <c r="O51" s="85">
        <f t="shared" si="11"/>
        <v>46</v>
      </c>
      <c r="P51" s="53">
        <f>IF(G51=0,0,IF(AND(A51&lt;=A52,O51&gt;0,H51&lt;&gt;0),Get_KeyRate(H52),Get_KeyRate($N$1)))</f>
        <v>4.2500000000000003E-2</v>
      </c>
      <c r="Q51" s="54">
        <f t="shared" si="7"/>
        <v>8266.66</v>
      </c>
      <c r="S51" s="18">
        <v>43928</v>
      </c>
    </row>
    <row r="52" spans="1:19" x14ac:dyDescent="0.25">
      <c r="A52" s="26">
        <v>36</v>
      </c>
      <c r="B52" s="9">
        <v>565450</v>
      </c>
      <c r="C52" s="12" t="s">
        <v>36</v>
      </c>
      <c r="D52" s="2" t="s">
        <v>11</v>
      </c>
      <c r="E52" s="7">
        <v>44063</v>
      </c>
      <c r="F52" s="9">
        <v>248911.2</v>
      </c>
      <c r="G52" s="9">
        <f t="shared" si="0"/>
        <v>316538.8</v>
      </c>
      <c r="H52" s="7">
        <v>44068</v>
      </c>
      <c r="I52" s="32">
        <v>44104</v>
      </c>
      <c r="J52" s="38">
        <f t="shared" si="5"/>
        <v>44105</v>
      </c>
      <c r="K52" s="49">
        <f t="shared" si="6"/>
        <v>0</v>
      </c>
      <c r="L52" s="59">
        <f t="shared" si="10"/>
        <v>0</v>
      </c>
      <c r="M52" s="50">
        <f t="shared" si="2"/>
        <v>0</v>
      </c>
      <c r="N52" s="46" t="str">
        <f t="shared" si="12"/>
        <v/>
      </c>
      <c r="O52" s="85">
        <f t="shared" si="11"/>
        <v>73</v>
      </c>
      <c r="P52" s="53">
        <f>IF(G52=0,0,IF(AND(A52&lt;=A53,O52&gt;0,H52&lt;&gt;0),Get_KeyRate(H53),Get_KeyRate($N$1)))</f>
        <v>4.2500000000000003E-2</v>
      </c>
      <c r="Q52" s="54">
        <f t="shared" si="7"/>
        <v>3273.54</v>
      </c>
      <c r="S52" s="18">
        <v>43929</v>
      </c>
    </row>
    <row r="53" spans="1:19" x14ac:dyDescent="0.25">
      <c r="A53" s="26">
        <v>36</v>
      </c>
      <c r="B53" s="9"/>
      <c r="C53" s="12" t="s">
        <v>46</v>
      </c>
      <c r="D53" s="2" t="s">
        <v>11</v>
      </c>
      <c r="E53" s="7">
        <v>44141</v>
      </c>
      <c r="F53" s="9">
        <v>314161.68</v>
      </c>
      <c r="G53" s="9">
        <f t="shared" si="0"/>
        <v>2377.12</v>
      </c>
      <c r="H53" s="7">
        <v>44141</v>
      </c>
      <c r="I53" s="32">
        <v>44104</v>
      </c>
      <c r="J53" s="38">
        <f t="shared" si="5"/>
        <v>44105</v>
      </c>
      <c r="K53" s="49">
        <f t="shared" si="6"/>
        <v>0</v>
      </c>
      <c r="L53" s="59">
        <f t="shared" si="10"/>
        <v>0</v>
      </c>
      <c r="M53" s="50">
        <f t="shared" si="2"/>
        <v>0</v>
      </c>
      <c r="N53" s="46" t="str">
        <f t="shared" si="12"/>
        <v/>
      </c>
      <c r="O53" s="85">
        <f t="shared" si="11"/>
        <v>10</v>
      </c>
      <c r="P53" s="53">
        <f>IF(G53=0,0,IF(AND(A53&lt;=A54,O53&gt;0,H53&lt;&gt;0),Get_KeyRate(H54),Get_KeyRate($N$1)))</f>
        <v>0</v>
      </c>
      <c r="Q53" s="54">
        <f t="shared" si="7"/>
        <v>0</v>
      </c>
      <c r="S53" s="18">
        <v>43930</v>
      </c>
    </row>
    <row r="54" spans="1:19" x14ac:dyDescent="0.25">
      <c r="A54" s="26">
        <v>37</v>
      </c>
      <c r="B54" s="9">
        <v>2349763</v>
      </c>
      <c r="C54" s="12"/>
      <c r="D54" s="2"/>
      <c r="E54" s="2"/>
      <c r="F54" s="9"/>
      <c r="G54" s="9">
        <f t="shared" si="0"/>
        <v>2349763</v>
      </c>
      <c r="H54" s="8"/>
      <c r="I54" s="32">
        <v>44104</v>
      </c>
      <c r="J54" s="38">
        <f t="shared" si="5"/>
        <v>44105</v>
      </c>
      <c r="K54" s="49">
        <f t="shared" si="6"/>
        <v>0</v>
      </c>
      <c r="L54" s="59">
        <f t="shared" si="10"/>
        <v>0</v>
      </c>
      <c r="M54" s="50">
        <f t="shared" si="2"/>
        <v>0</v>
      </c>
      <c r="N54" s="46" t="str">
        <f t="shared" si="12"/>
        <v>+</v>
      </c>
      <c r="O54" s="85">
        <f t="shared" si="11"/>
        <v>46</v>
      </c>
      <c r="P54" s="53">
        <f>IF(G54=0,0,IF(AND(A54&lt;=A55,O54&gt;0,H54&lt;&gt;0),Get_KeyRate(H55),Get_KeyRate($N$1)))</f>
        <v>4.2500000000000003E-2</v>
      </c>
      <c r="Q54" s="54">
        <f t="shared" si="7"/>
        <v>15312.62</v>
      </c>
      <c r="S54" s="18">
        <v>43931</v>
      </c>
    </row>
    <row r="55" spans="1:19" x14ac:dyDescent="0.25">
      <c r="A55" s="26">
        <v>38</v>
      </c>
      <c r="B55" s="9">
        <v>249273.99999999997</v>
      </c>
      <c r="C55" s="12"/>
      <c r="D55" s="2"/>
      <c r="E55" s="2"/>
      <c r="F55" s="9"/>
      <c r="G55" s="9">
        <f t="shared" si="0"/>
        <v>249274</v>
      </c>
      <c r="H55" s="8"/>
      <c r="I55" s="32">
        <v>44104</v>
      </c>
      <c r="J55" s="38">
        <f t="shared" si="5"/>
        <v>44105</v>
      </c>
      <c r="K55" s="49">
        <f t="shared" si="6"/>
        <v>0</v>
      </c>
      <c r="L55" s="59">
        <f t="shared" si="10"/>
        <v>0</v>
      </c>
      <c r="M55" s="50">
        <f t="shared" si="2"/>
        <v>0</v>
      </c>
      <c r="N55" s="46" t="str">
        <f t="shared" si="12"/>
        <v>+</v>
      </c>
      <c r="O55" s="85">
        <f t="shared" si="11"/>
        <v>46</v>
      </c>
      <c r="P55" s="53">
        <f>IF(G55=0,0,IF(AND(A55&lt;=A56,O55&gt;0,H55&lt;&gt;0),Get_KeyRate(H56),Get_KeyRate($N$1)))</f>
        <v>4.2500000000000003E-2</v>
      </c>
      <c r="Q55" s="54">
        <f t="shared" si="7"/>
        <v>1624.44</v>
      </c>
      <c r="S55" s="18">
        <v>43932</v>
      </c>
    </row>
    <row r="56" spans="1:19" x14ac:dyDescent="0.25">
      <c r="A56" s="26">
        <v>39</v>
      </c>
      <c r="B56" s="9">
        <v>220754</v>
      </c>
      <c r="C56" s="12"/>
      <c r="D56" s="2"/>
      <c r="E56" s="2"/>
      <c r="F56" s="9"/>
      <c r="G56" s="9">
        <f t="shared" si="0"/>
        <v>220754</v>
      </c>
      <c r="H56" s="8"/>
      <c r="I56" s="32">
        <v>44104</v>
      </c>
      <c r="J56" s="38">
        <f t="shared" si="5"/>
        <v>44105</v>
      </c>
      <c r="K56" s="49">
        <f t="shared" si="6"/>
        <v>0</v>
      </c>
      <c r="L56" s="59">
        <f t="shared" si="10"/>
        <v>0</v>
      </c>
      <c r="M56" s="50">
        <f t="shared" si="2"/>
        <v>0</v>
      </c>
      <c r="N56" s="46" t="str">
        <f t="shared" si="12"/>
        <v>+</v>
      </c>
      <c r="O56" s="85">
        <f t="shared" si="11"/>
        <v>46</v>
      </c>
      <c r="P56" s="53">
        <f>IF(G56=0,0,IF(AND(A56&lt;=A57,O56&gt;0,H56&lt;&gt;0),Get_KeyRate(H57),Get_KeyRate($N$1)))</f>
        <v>4.2500000000000003E-2</v>
      </c>
      <c r="Q56" s="54">
        <f t="shared" si="7"/>
        <v>1438.58</v>
      </c>
      <c r="S56" s="18">
        <v>43933</v>
      </c>
    </row>
    <row r="57" spans="1:19" x14ac:dyDescent="0.25">
      <c r="A57" s="26">
        <v>40</v>
      </c>
      <c r="B57" s="9">
        <v>130039.00000000001</v>
      </c>
      <c r="C57" s="12"/>
      <c r="D57" s="2"/>
      <c r="E57" s="2"/>
      <c r="F57" s="9"/>
      <c r="G57" s="9">
        <f t="shared" si="0"/>
        <v>130039</v>
      </c>
      <c r="H57" s="8"/>
      <c r="I57" s="32">
        <v>44104</v>
      </c>
      <c r="J57" s="38">
        <f t="shared" si="5"/>
        <v>44105</v>
      </c>
      <c r="K57" s="49">
        <f t="shared" si="6"/>
        <v>0</v>
      </c>
      <c r="L57" s="59">
        <f t="shared" si="10"/>
        <v>0</v>
      </c>
      <c r="M57" s="50">
        <f t="shared" si="2"/>
        <v>0</v>
      </c>
      <c r="N57" s="46" t="str">
        <f t="shared" si="12"/>
        <v>+</v>
      </c>
      <c r="O57" s="85">
        <f t="shared" si="11"/>
        <v>46</v>
      </c>
      <c r="P57" s="53">
        <f>IF(G57=0,0,IF(AND(A57&lt;=A58,O57&gt;0,H57&lt;&gt;0),Get_KeyRate(H58),Get_KeyRate($N$1)))</f>
        <v>4.2500000000000003E-2</v>
      </c>
      <c r="Q57" s="54">
        <f t="shared" si="7"/>
        <v>847.42</v>
      </c>
      <c r="S57" s="18">
        <v>43934</v>
      </c>
    </row>
    <row r="58" spans="1:19" x14ac:dyDescent="0.25">
      <c r="A58" s="26">
        <v>41</v>
      </c>
      <c r="B58" s="9">
        <v>2692844</v>
      </c>
      <c r="C58" s="12"/>
      <c r="D58" s="2"/>
      <c r="E58" s="2"/>
      <c r="F58" s="9"/>
      <c r="G58" s="9">
        <f t="shared" si="0"/>
        <v>2692844</v>
      </c>
      <c r="H58" s="8"/>
      <c r="I58" s="32">
        <v>44104</v>
      </c>
      <c r="J58" s="38">
        <f t="shared" si="5"/>
        <v>44105</v>
      </c>
      <c r="K58" s="49">
        <f t="shared" si="6"/>
        <v>0</v>
      </c>
      <c r="L58" s="59">
        <f t="shared" si="10"/>
        <v>0</v>
      </c>
      <c r="M58" s="50">
        <f t="shared" si="2"/>
        <v>0</v>
      </c>
      <c r="N58" s="46" t="str">
        <f t="shared" si="12"/>
        <v>+</v>
      </c>
      <c r="O58" s="85">
        <f t="shared" si="11"/>
        <v>46</v>
      </c>
      <c r="P58" s="53">
        <f>IF(G58=0,0,IF(AND(A58&lt;=A59,O58&gt;0,H58&lt;&gt;0),Get_KeyRate(H59),Get_KeyRate($N$1)))</f>
        <v>4.2500000000000003E-2</v>
      </c>
      <c r="Q58" s="54">
        <f t="shared" si="7"/>
        <v>17548.37</v>
      </c>
      <c r="S58" s="18">
        <v>43935</v>
      </c>
    </row>
    <row r="59" spans="1:19" x14ac:dyDescent="0.25">
      <c r="A59" s="26">
        <v>42</v>
      </c>
      <c r="B59" s="9">
        <v>2947091.0000000005</v>
      </c>
      <c r="C59" s="12"/>
      <c r="D59" s="2"/>
      <c r="E59" s="2"/>
      <c r="F59" s="9"/>
      <c r="G59" s="9">
        <f t="shared" si="0"/>
        <v>2947091</v>
      </c>
      <c r="H59" s="8"/>
      <c r="I59" s="32">
        <v>44135</v>
      </c>
      <c r="J59" s="38">
        <f t="shared" si="5"/>
        <v>44137</v>
      </c>
      <c r="K59" s="49">
        <f t="shared" si="6"/>
        <v>0</v>
      </c>
      <c r="L59" s="59">
        <f t="shared" si="10"/>
        <v>0</v>
      </c>
      <c r="M59" s="50">
        <f t="shared" si="2"/>
        <v>0</v>
      </c>
      <c r="N59" s="46" t="str">
        <f t="shared" si="12"/>
        <v>+</v>
      </c>
      <c r="O59" s="85">
        <f t="shared" si="11"/>
        <v>14</v>
      </c>
      <c r="P59" s="53">
        <f>IF(G59=0,0,IF(AND(A59&lt;=A60,O59&gt;0,H59&lt;&gt;0),Get_KeyRate(H60),Get_KeyRate($N$1)))</f>
        <v>4.2500000000000003E-2</v>
      </c>
      <c r="Q59" s="54">
        <f t="shared" si="7"/>
        <v>5845.06</v>
      </c>
      <c r="S59" s="18">
        <v>43936</v>
      </c>
    </row>
    <row r="60" spans="1:19" x14ac:dyDescent="0.25">
      <c r="A60" s="26">
        <v>43</v>
      </c>
      <c r="B60" s="9">
        <v>151713</v>
      </c>
      <c r="C60" s="12"/>
      <c r="D60" s="2"/>
      <c r="E60" s="2"/>
      <c r="F60" s="9"/>
      <c r="G60" s="9">
        <f t="shared" si="0"/>
        <v>151713</v>
      </c>
      <c r="H60" s="8"/>
      <c r="I60" s="32">
        <v>44135</v>
      </c>
      <c r="J60" s="38">
        <f t="shared" si="5"/>
        <v>44137</v>
      </c>
      <c r="K60" s="49">
        <f t="shared" si="6"/>
        <v>0</v>
      </c>
      <c r="L60" s="59">
        <f t="shared" si="10"/>
        <v>0</v>
      </c>
      <c r="M60" s="50">
        <f t="shared" si="2"/>
        <v>0</v>
      </c>
      <c r="N60" s="46" t="str">
        <f t="shared" si="12"/>
        <v>+</v>
      </c>
      <c r="O60" s="85">
        <f t="shared" si="11"/>
        <v>14</v>
      </c>
      <c r="P60" s="53">
        <f>IF(G60=0,0,IF(AND(A60&lt;=A61,O60&gt;0,H60&lt;&gt;0),Get_KeyRate(H61),Get_KeyRate($N$1)))</f>
        <v>4.2500000000000003E-2</v>
      </c>
      <c r="Q60" s="54">
        <f t="shared" si="7"/>
        <v>300.89999999999998</v>
      </c>
      <c r="S60" s="18">
        <v>43937</v>
      </c>
    </row>
    <row r="61" spans="1:19" x14ac:dyDescent="0.25">
      <c r="A61" s="26">
        <v>44</v>
      </c>
      <c r="B61" s="9">
        <v>709075.99999999988</v>
      </c>
      <c r="C61" s="12"/>
      <c r="D61" s="2"/>
      <c r="E61" s="2"/>
      <c r="F61" s="9"/>
      <c r="G61" s="9">
        <f t="shared" si="0"/>
        <v>709076</v>
      </c>
      <c r="H61" s="8"/>
      <c r="I61" s="32">
        <v>44135</v>
      </c>
      <c r="J61" s="38">
        <f t="shared" si="5"/>
        <v>44137</v>
      </c>
      <c r="K61" s="49">
        <f t="shared" si="6"/>
        <v>0</v>
      </c>
      <c r="L61" s="59">
        <f t="shared" si="10"/>
        <v>0</v>
      </c>
      <c r="M61" s="50">
        <f t="shared" si="2"/>
        <v>0</v>
      </c>
      <c r="N61" s="46" t="str">
        <f t="shared" si="12"/>
        <v>+</v>
      </c>
      <c r="O61" s="85">
        <f t="shared" si="11"/>
        <v>14</v>
      </c>
      <c r="P61" s="53">
        <f>IF(G61=0,0,IF(AND(A61&lt;=A62,O61&gt;0,H61&lt;&gt;0),Get_KeyRate(H62),Get_KeyRate($N$1)))</f>
        <v>4.2500000000000003E-2</v>
      </c>
      <c r="Q61" s="54">
        <f t="shared" si="7"/>
        <v>1406.33</v>
      </c>
      <c r="S61" s="18">
        <v>43938</v>
      </c>
    </row>
    <row r="62" spans="1:19" x14ac:dyDescent="0.25">
      <c r="A62" s="26">
        <v>45</v>
      </c>
      <c r="B62" s="9">
        <v>2642410</v>
      </c>
      <c r="C62" s="12"/>
      <c r="D62" s="2"/>
      <c r="E62" s="2"/>
      <c r="F62" s="9"/>
      <c r="G62" s="9">
        <f t="shared" si="0"/>
        <v>2642410</v>
      </c>
      <c r="H62" s="8"/>
      <c r="I62" s="32">
        <v>44135</v>
      </c>
      <c r="J62" s="38">
        <f t="shared" si="5"/>
        <v>44137</v>
      </c>
      <c r="K62" s="49">
        <f t="shared" si="6"/>
        <v>0</v>
      </c>
      <c r="L62" s="59">
        <f t="shared" si="10"/>
        <v>0</v>
      </c>
      <c r="M62" s="50">
        <f t="shared" si="2"/>
        <v>0</v>
      </c>
      <c r="N62" s="46" t="str">
        <f t="shared" si="12"/>
        <v>+</v>
      </c>
      <c r="O62" s="85">
        <f t="shared" si="11"/>
        <v>14</v>
      </c>
      <c r="P62" s="53">
        <f>IF(G62=0,0,IF(AND(A62&lt;=A63,O62&gt;0,H62&lt;&gt;0),Get_KeyRate(H63),Get_KeyRate($N$1)))</f>
        <v>4.2500000000000003E-2</v>
      </c>
      <c r="Q62" s="54">
        <f t="shared" si="7"/>
        <v>5240.78</v>
      </c>
      <c r="S62" s="18">
        <v>43939</v>
      </c>
    </row>
    <row r="63" spans="1:19" x14ac:dyDescent="0.25">
      <c r="A63" s="26">
        <v>46</v>
      </c>
      <c r="B63" s="9">
        <v>151661</v>
      </c>
      <c r="C63" s="12"/>
      <c r="D63" s="2"/>
      <c r="E63" s="2"/>
      <c r="F63" s="9"/>
      <c r="G63" s="9">
        <f t="shared" si="0"/>
        <v>151661</v>
      </c>
      <c r="H63" s="8"/>
      <c r="I63" s="32">
        <v>44135</v>
      </c>
      <c r="J63" s="38">
        <f t="shared" si="5"/>
        <v>44137</v>
      </c>
      <c r="K63" s="49">
        <f t="shared" si="6"/>
        <v>0</v>
      </c>
      <c r="L63" s="59">
        <f t="shared" si="10"/>
        <v>0</v>
      </c>
      <c r="M63" s="50">
        <f t="shared" si="2"/>
        <v>0</v>
      </c>
      <c r="N63" s="46" t="str">
        <f t="shared" si="12"/>
        <v>+</v>
      </c>
      <c r="O63" s="85">
        <f t="shared" si="11"/>
        <v>14</v>
      </c>
      <c r="P63" s="53">
        <f>IF(G63=0,0,IF(AND(A63&lt;=A64,O63&gt;0,H63&lt;&gt;0),Get_KeyRate(H64),Get_KeyRate($N$1)))</f>
        <v>4.2500000000000003E-2</v>
      </c>
      <c r="Q63" s="54">
        <f t="shared" si="7"/>
        <v>300.79000000000002</v>
      </c>
      <c r="S63" s="18">
        <v>43940</v>
      </c>
    </row>
    <row r="64" spans="1:19" x14ac:dyDescent="0.25">
      <c r="A64" s="26">
        <v>47</v>
      </c>
      <c r="B64" s="9">
        <v>77993</v>
      </c>
      <c r="C64" s="12"/>
      <c r="D64" s="2"/>
      <c r="E64" s="2"/>
      <c r="F64" s="9"/>
      <c r="G64" s="9">
        <f t="shared" si="0"/>
        <v>77993</v>
      </c>
      <c r="H64" s="8"/>
      <c r="I64" s="32">
        <v>44135</v>
      </c>
      <c r="J64" s="38">
        <f t="shared" si="5"/>
        <v>44137</v>
      </c>
      <c r="K64" s="49">
        <f t="shared" si="6"/>
        <v>0</v>
      </c>
      <c r="L64" s="59">
        <f t="shared" si="10"/>
        <v>0</v>
      </c>
      <c r="M64" s="50">
        <f t="shared" si="2"/>
        <v>0</v>
      </c>
      <c r="N64" s="46" t="str">
        <f t="shared" si="12"/>
        <v>+</v>
      </c>
      <c r="O64" s="85">
        <f t="shared" si="11"/>
        <v>14</v>
      </c>
      <c r="P64" s="53">
        <f>IF(G64=0,0,IF(AND(A64&lt;=A65,O64&gt;0,H64&lt;&gt;0),Get_KeyRate(H65),Get_KeyRate($N$1)))</f>
        <v>4.2500000000000003E-2</v>
      </c>
      <c r="Q64" s="54">
        <f t="shared" si="7"/>
        <v>154.69</v>
      </c>
      <c r="S64" s="18">
        <v>43941</v>
      </c>
    </row>
    <row r="65" spans="1:19" x14ac:dyDescent="0.25">
      <c r="A65" s="26">
        <v>48</v>
      </c>
      <c r="B65" s="9">
        <v>1290301.9999999998</v>
      </c>
      <c r="C65" s="12"/>
      <c r="D65" s="2"/>
      <c r="E65" s="2"/>
      <c r="F65" s="9"/>
      <c r="G65" s="9">
        <f t="shared" si="0"/>
        <v>1290302</v>
      </c>
      <c r="H65" s="8"/>
      <c r="I65" s="32">
        <v>44135</v>
      </c>
      <c r="J65" s="38">
        <f t="shared" si="5"/>
        <v>44137</v>
      </c>
      <c r="K65" s="49">
        <f t="shared" si="6"/>
        <v>0</v>
      </c>
      <c r="L65" s="59">
        <f t="shared" si="10"/>
        <v>0</v>
      </c>
      <c r="M65" s="50">
        <f t="shared" si="2"/>
        <v>0</v>
      </c>
      <c r="N65" s="46" t="str">
        <f t="shared" si="12"/>
        <v>+</v>
      </c>
      <c r="O65" s="85">
        <f t="shared" si="11"/>
        <v>14</v>
      </c>
      <c r="P65" s="53">
        <f>IF(G65=0,0,IF(AND(A65&lt;=A66,O65&gt;0,H65&lt;&gt;0),Get_KeyRate(H66),Get_KeyRate($N$1)))</f>
        <v>4.2500000000000003E-2</v>
      </c>
      <c r="Q65" s="54">
        <f t="shared" si="7"/>
        <v>2559.1</v>
      </c>
      <c r="S65" s="18">
        <v>43942</v>
      </c>
    </row>
    <row r="66" spans="1:19" x14ac:dyDescent="0.25">
      <c r="A66" s="26">
        <v>49</v>
      </c>
      <c r="B66" s="9">
        <v>613132.00000000012</v>
      </c>
      <c r="C66" s="12"/>
      <c r="D66" s="2"/>
      <c r="E66" s="2"/>
      <c r="F66" s="9"/>
      <c r="G66" s="9">
        <f t="shared" ref="G66:G96" si="13">ROUND(IF(B66&gt;0,B66-F66,G65-F66),2)</f>
        <v>613132</v>
      </c>
      <c r="H66" s="8"/>
      <c r="I66" s="32">
        <v>44135</v>
      </c>
      <c r="J66" s="38">
        <f t="shared" si="5"/>
        <v>44137</v>
      </c>
      <c r="K66" s="49">
        <f t="shared" si="6"/>
        <v>0</v>
      </c>
      <c r="L66" s="59">
        <f t="shared" si="10"/>
        <v>0</v>
      </c>
      <c r="M66" s="50">
        <f t="shared" ref="M66:M96" si="14">IF(K66=0,0,Get_KeyRate(H66))</f>
        <v>0</v>
      </c>
      <c r="N66" s="46" t="str">
        <f t="shared" si="12"/>
        <v>+</v>
      </c>
      <c r="O66" s="85">
        <f t="shared" si="11"/>
        <v>14</v>
      </c>
      <c r="P66" s="53">
        <f>IF(G66=0,0,IF(AND(A66&lt;=A67,O66&gt;0,H66&lt;&gt;0),Get_KeyRate(H67),Get_KeyRate($N$1)))</f>
        <v>4.2500000000000003E-2</v>
      </c>
      <c r="Q66" s="54">
        <f t="shared" si="7"/>
        <v>1216.05</v>
      </c>
      <c r="S66" s="18">
        <v>43943</v>
      </c>
    </row>
    <row r="67" spans="1:19" x14ac:dyDescent="0.25">
      <c r="A67" s="26">
        <v>50</v>
      </c>
      <c r="B67" s="9">
        <v>304143</v>
      </c>
      <c r="C67" s="12"/>
      <c r="D67" s="2"/>
      <c r="E67" s="2"/>
      <c r="F67" s="9"/>
      <c r="G67" s="9">
        <f t="shared" si="13"/>
        <v>304143</v>
      </c>
      <c r="H67" s="8"/>
      <c r="I67" s="32">
        <v>44135</v>
      </c>
      <c r="J67" s="38">
        <f t="shared" ref="J67:J96" si="15">WORKDAY.INTL(I67,1,1,$R$2:$R$87)</f>
        <v>44137</v>
      </c>
      <c r="K67" s="49">
        <f t="shared" ref="K67:K96" si="16">IF(AND(H67&gt;J67,B67&gt;0),H67-J67+1,0)</f>
        <v>0</v>
      </c>
      <c r="L67" s="59">
        <f t="shared" si="10"/>
        <v>0</v>
      </c>
      <c r="M67" s="50">
        <f t="shared" si="14"/>
        <v>0</v>
      </c>
      <c r="N67" s="46" t="str">
        <f t="shared" si="12"/>
        <v>+</v>
      </c>
      <c r="O67" s="85">
        <f t="shared" si="11"/>
        <v>14</v>
      </c>
      <c r="P67" s="53">
        <f>IF(G67=0,0,IF(AND(A67&lt;=A68,O67&gt;0,H67&lt;&gt;0),Get_KeyRate(H68),Get_KeyRate($N$1)))</f>
        <v>4.2500000000000003E-2</v>
      </c>
      <c r="Q67" s="54">
        <f t="shared" ref="Q67:Q96" si="17">IF(G67=0,0,IF(O67&gt;0,ROUND((G67*O67*1/300*P67),2),0))</f>
        <v>603.22</v>
      </c>
      <c r="S67" s="18">
        <v>43944</v>
      </c>
    </row>
    <row r="68" spans="1:19" x14ac:dyDescent="0.25">
      <c r="A68" s="26">
        <v>51</v>
      </c>
      <c r="B68" s="9">
        <v>733234</v>
      </c>
      <c r="C68" s="12"/>
      <c r="D68" s="2"/>
      <c r="E68" s="2"/>
      <c r="F68" s="9"/>
      <c r="G68" s="9">
        <f t="shared" si="13"/>
        <v>733234</v>
      </c>
      <c r="H68" s="8"/>
      <c r="I68" s="32">
        <v>44135</v>
      </c>
      <c r="J68" s="38">
        <f t="shared" si="15"/>
        <v>44137</v>
      </c>
      <c r="K68" s="49">
        <f t="shared" si="16"/>
        <v>0</v>
      </c>
      <c r="L68" s="59">
        <f t="shared" si="10"/>
        <v>0</v>
      </c>
      <c r="M68" s="50">
        <f t="shared" si="14"/>
        <v>0</v>
      </c>
      <c r="N68" s="46" t="str">
        <f t="shared" si="12"/>
        <v>+</v>
      </c>
      <c r="O68" s="85">
        <f t="shared" si="11"/>
        <v>14</v>
      </c>
      <c r="P68" s="53">
        <f>IF(G68=0,0,IF(AND(A68&lt;=A69,O68&gt;0,H68&lt;&gt;0),Get_KeyRate(H69),Get_KeyRate($N$1)))</f>
        <v>4.2500000000000003E-2</v>
      </c>
      <c r="Q68" s="54">
        <f t="shared" si="17"/>
        <v>1454.25</v>
      </c>
      <c r="S68" s="18">
        <v>43945</v>
      </c>
    </row>
    <row r="69" spans="1:19" x14ac:dyDescent="0.25">
      <c r="A69" s="26">
        <v>52</v>
      </c>
      <c r="B69" s="9">
        <v>2126970</v>
      </c>
      <c r="C69" s="12"/>
      <c r="D69" s="2"/>
      <c r="E69" s="2"/>
      <c r="F69" s="9"/>
      <c r="G69" s="9">
        <f t="shared" si="13"/>
        <v>2126970</v>
      </c>
      <c r="H69" s="8"/>
      <c r="I69" s="32">
        <v>44135</v>
      </c>
      <c r="J69" s="38">
        <f t="shared" si="15"/>
        <v>44137</v>
      </c>
      <c r="K69" s="49">
        <f t="shared" si="16"/>
        <v>0</v>
      </c>
      <c r="L69" s="59">
        <f t="shared" si="10"/>
        <v>0</v>
      </c>
      <c r="M69" s="50">
        <f t="shared" si="14"/>
        <v>0</v>
      </c>
      <c r="N69" s="46" t="str">
        <f t="shared" si="12"/>
        <v>+</v>
      </c>
      <c r="O69" s="85">
        <f t="shared" si="11"/>
        <v>14</v>
      </c>
      <c r="P69" s="53">
        <f>IF(G69=0,0,IF(AND(A69&lt;=A70,O69&gt;0,H69&lt;&gt;0),Get_KeyRate(H70),Get_KeyRate($N$1)))</f>
        <v>4.2500000000000003E-2</v>
      </c>
      <c r="Q69" s="54">
        <f t="shared" si="17"/>
        <v>4218.49</v>
      </c>
      <c r="S69" s="18">
        <v>43946</v>
      </c>
    </row>
    <row r="70" spans="1:19" x14ac:dyDescent="0.25">
      <c r="A70" s="26">
        <v>53</v>
      </c>
      <c r="B70" s="9">
        <v>1067534</v>
      </c>
      <c r="C70" s="12"/>
      <c r="D70" s="2"/>
      <c r="E70" s="2"/>
      <c r="F70" s="9"/>
      <c r="G70" s="9">
        <f t="shared" si="13"/>
        <v>1067534</v>
      </c>
      <c r="H70" s="8"/>
      <c r="I70" s="32">
        <v>44165</v>
      </c>
      <c r="J70" s="38">
        <f t="shared" si="15"/>
        <v>44166</v>
      </c>
      <c r="K70" s="49">
        <f t="shared" si="16"/>
        <v>0</v>
      </c>
      <c r="L70" s="59">
        <f t="shared" si="10"/>
        <v>0</v>
      </c>
      <c r="M70" s="50">
        <f t="shared" si="14"/>
        <v>0</v>
      </c>
      <c r="N70" s="46" t="str">
        <f t="shared" ref="N70:N96" si="18">IF(AND(E70=0,F70=0,H70=0),"+","")</f>
        <v>+</v>
      </c>
      <c r="O70" s="85">
        <f t="shared" si="11"/>
        <v>0</v>
      </c>
      <c r="P70" s="53">
        <f>IF(G70=0,0,IF(AND(A70&lt;=A71,O70&gt;0,H70&lt;&gt;0),Get_KeyRate(H71),Get_KeyRate($N$1)))</f>
        <v>4.2500000000000003E-2</v>
      </c>
      <c r="Q70" s="54">
        <f t="shared" si="17"/>
        <v>0</v>
      </c>
      <c r="S70" s="18">
        <v>43947</v>
      </c>
    </row>
    <row r="71" spans="1:19" x14ac:dyDescent="0.25">
      <c r="A71" s="26">
        <v>54</v>
      </c>
      <c r="B71" s="9">
        <v>5044770</v>
      </c>
      <c r="C71" s="12"/>
      <c r="D71" s="2"/>
      <c r="E71" s="2"/>
      <c r="F71" s="9"/>
      <c r="G71" s="9">
        <f t="shared" si="13"/>
        <v>5044770</v>
      </c>
      <c r="H71" s="8"/>
      <c r="I71" s="32">
        <v>44165</v>
      </c>
      <c r="J71" s="38">
        <f t="shared" si="15"/>
        <v>44166</v>
      </c>
      <c r="K71" s="49">
        <f t="shared" si="16"/>
        <v>0</v>
      </c>
      <c r="L71" s="59">
        <f t="shared" ref="L71:L96" si="19">IF(B71&gt;0,ROUND((B71*K71*1/300*M71),2),0)</f>
        <v>0</v>
      </c>
      <c r="M71" s="50">
        <f t="shared" si="14"/>
        <v>0</v>
      </c>
      <c r="N71" s="46" t="str">
        <f t="shared" si="18"/>
        <v>+</v>
      </c>
      <c r="O71" s="85">
        <f t="shared" si="11"/>
        <v>0</v>
      </c>
      <c r="P71" s="53">
        <f>IF(G71=0,0,IF(AND(A71&lt;=A72,O71&gt;0,H71&lt;&gt;0),Get_KeyRate(H72),Get_KeyRate($N$1)))</f>
        <v>4.2500000000000003E-2</v>
      </c>
      <c r="Q71" s="54">
        <f t="shared" si="17"/>
        <v>0</v>
      </c>
      <c r="S71" s="18">
        <v>43948</v>
      </c>
    </row>
    <row r="72" spans="1:19" x14ac:dyDescent="0.25">
      <c r="A72" s="26">
        <v>55</v>
      </c>
      <c r="B72" s="9">
        <v>427621</v>
      </c>
      <c r="C72" s="12"/>
      <c r="D72" s="2"/>
      <c r="E72" s="2"/>
      <c r="F72" s="9"/>
      <c r="G72" s="9">
        <f t="shared" si="13"/>
        <v>427621</v>
      </c>
      <c r="H72" s="8"/>
      <c r="I72" s="32">
        <v>44165</v>
      </c>
      <c r="J72" s="38">
        <f t="shared" si="15"/>
        <v>44166</v>
      </c>
      <c r="K72" s="49">
        <f t="shared" si="16"/>
        <v>0</v>
      </c>
      <c r="L72" s="59">
        <f t="shared" si="19"/>
        <v>0</v>
      </c>
      <c r="M72" s="50">
        <f t="shared" si="14"/>
        <v>0</v>
      </c>
      <c r="N72" s="46" t="str">
        <f t="shared" si="18"/>
        <v>+</v>
      </c>
      <c r="O72" s="85">
        <f t="shared" si="11"/>
        <v>0</v>
      </c>
      <c r="P72" s="53">
        <f>IF(G72=0,0,IF(AND(A72&lt;=A73,O72&gt;0,H72&lt;&gt;0),Get_KeyRate(H73),Get_KeyRate($N$1)))</f>
        <v>4.2500000000000003E-2</v>
      </c>
      <c r="Q72" s="54">
        <f t="shared" si="17"/>
        <v>0</v>
      </c>
      <c r="S72" s="18">
        <v>43949</v>
      </c>
    </row>
    <row r="73" spans="1:19" x14ac:dyDescent="0.25">
      <c r="A73" s="26">
        <v>56</v>
      </c>
      <c r="B73" s="9">
        <v>134723</v>
      </c>
      <c r="C73" s="12"/>
      <c r="D73" s="2"/>
      <c r="E73" s="2"/>
      <c r="F73" s="9"/>
      <c r="G73" s="9">
        <f t="shared" si="13"/>
        <v>134723</v>
      </c>
      <c r="H73" s="8"/>
      <c r="I73" s="32">
        <v>44165</v>
      </c>
      <c r="J73" s="38">
        <f t="shared" si="15"/>
        <v>44166</v>
      </c>
      <c r="K73" s="49">
        <f t="shared" si="16"/>
        <v>0</v>
      </c>
      <c r="L73" s="59">
        <f t="shared" si="19"/>
        <v>0</v>
      </c>
      <c r="M73" s="50">
        <f t="shared" si="14"/>
        <v>0</v>
      </c>
      <c r="N73" s="46" t="str">
        <f t="shared" si="18"/>
        <v>+</v>
      </c>
      <c r="O73" s="85">
        <f t="shared" si="11"/>
        <v>0</v>
      </c>
      <c r="P73" s="53">
        <f>IF(G73=0,0,IF(AND(A73&lt;=A74,O73&gt;0,H73&lt;&gt;0),Get_KeyRate(H74),Get_KeyRate($N$1)))</f>
        <v>4.2500000000000003E-2</v>
      </c>
      <c r="Q73" s="54">
        <f t="shared" si="17"/>
        <v>0</v>
      </c>
      <c r="S73" s="18">
        <v>43950</v>
      </c>
    </row>
    <row r="74" spans="1:19" x14ac:dyDescent="0.25">
      <c r="A74" s="26">
        <v>57</v>
      </c>
      <c r="B74" s="9">
        <v>23508</v>
      </c>
      <c r="C74" s="12"/>
      <c r="D74" s="2"/>
      <c r="E74" s="2"/>
      <c r="F74" s="9"/>
      <c r="G74" s="9">
        <f t="shared" si="13"/>
        <v>23508</v>
      </c>
      <c r="H74" s="8"/>
      <c r="I74" s="32">
        <v>44165</v>
      </c>
      <c r="J74" s="38">
        <f t="shared" si="15"/>
        <v>44166</v>
      </c>
      <c r="K74" s="49">
        <f t="shared" si="16"/>
        <v>0</v>
      </c>
      <c r="L74" s="59">
        <f t="shared" si="19"/>
        <v>0</v>
      </c>
      <c r="M74" s="50">
        <f t="shared" si="14"/>
        <v>0</v>
      </c>
      <c r="N74" s="46" t="str">
        <f t="shared" si="18"/>
        <v>+</v>
      </c>
      <c r="O74" s="85">
        <f t="shared" si="11"/>
        <v>0</v>
      </c>
      <c r="P74" s="53">
        <f>IF(G74=0,0,IF(AND(A74&lt;=A75,O74&gt;0,H74&lt;&gt;0),Get_KeyRate(H75),Get_KeyRate($N$1)))</f>
        <v>4.2500000000000003E-2</v>
      </c>
      <c r="Q74" s="54">
        <f t="shared" si="17"/>
        <v>0</v>
      </c>
      <c r="S74" s="18">
        <v>43951</v>
      </c>
    </row>
    <row r="75" spans="1:19" x14ac:dyDescent="0.25">
      <c r="A75" s="26">
        <v>58</v>
      </c>
      <c r="B75" s="9">
        <v>1563550</v>
      </c>
      <c r="C75" s="12" t="s">
        <v>10</v>
      </c>
      <c r="D75" s="2" t="s">
        <v>11</v>
      </c>
      <c r="E75" s="6">
        <v>43993</v>
      </c>
      <c r="F75" s="9">
        <v>515787.6</v>
      </c>
      <c r="G75" s="9">
        <f t="shared" si="13"/>
        <v>1047762.4</v>
      </c>
      <c r="H75" s="7">
        <v>43997</v>
      </c>
      <c r="I75" s="32">
        <v>44165</v>
      </c>
      <c r="J75" s="38">
        <f t="shared" si="15"/>
        <v>44166</v>
      </c>
      <c r="K75" s="49">
        <f t="shared" si="16"/>
        <v>0</v>
      </c>
      <c r="L75" s="59">
        <f t="shared" si="19"/>
        <v>0</v>
      </c>
      <c r="M75" s="50">
        <f t="shared" si="14"/>
        <v>0</v>
      </c>
      <c r="N75" s="46" t="str">
        <f t="shared" si="18"/>
        <v/>
      </c>
      <c r="O75" s="85" t="str">
        <f t="shared" si="11"/>
        <v>0</v>
      </c>
      <c r="P75" s="53">
        <f>IF(G75=0,0,IF(AND(A75&lt;=A76,O75&gt;0,H75&lt;&gt;0),Get_KeyRate(H76),Get_KeyRate($N$1)))</f>
        <v>0</v>
      </c>
      <c r="Q75" s="54">
        <f t="shared" si="17"/>
        <v>0</v>
      </c>
      <c r="R75" s="17">
        <v>43952</v>
      </c>
      <c r="S75" s="99" t="s">
        <v>53</v>
      </c>
    </row>
    <row r="76" spans="1:19" x14ac:dyDescent="0.25">
      <c r="A76" s="26">
        <v>59</v>
      </c>
      <c r="B76" s="9">
        <v>422081.00000000006</v>
      </c>
      <c r="C76" s="12"/>
      <c r="D76" s="2"/>
      <c r="E76" s="2"/>
      <c r="F76" s="9"/>
      <c r="G76" s="9">
        <f t="shared" si="13"/>
        <v>422081</v>
      </c>
      <c r="H76" s="8"/>
      <c r="I76" s="32">
        <v>44165</v>
      </c>
      <c r="J76" s="38">
        <f t="shared" si="15"/>
        <v>44166</v>
      </c>
      <c r="K76" s="49">
        <f t="shared" si="16"/>
        <v>0</v>
      </c>
      <c r="L76" s="59">
        <f t="shared" si="19"/>
        <v>0</v>
      </c>
      <c r="M76" s="50">
        <f t="shared" si="14"/>
        <v>0</v>
      </c>
      <c r="N76" s="46" t="str">
        <f t="shared" si="18"/>
        <v>+</v>
      </c>
      <c r="O76" s="85">
        <f t="shared" si="11"/>
        <v>0</v>
      </c>
      <c r="P76" s="53">
        <f>IF(G76=0,0,IF(AND(A76&lt;=A77,O76&gt;0,H76&lt;&gt;0),Get_KeyRate(H77),Get_KeyRate($N$1)))</f>
        <v>4.2500000000000003E-2</v>
      </c>
      <c r="Q76" s="54">
        <f t="shared" si="17"/>
        <v>0</v>
      </c>
      <c r="R76" s="17">
        <v>43953</v>
      </c>
      <c r="S76" s="99"/>
    </row>
    <row r="77" spans="1:19" x14ac:dyDescent="0.25">
      <c r="A77" s="26">
        <v>60</v>
      </c>
      <c r="B77" s="9">
        <v>137670</v>
      </c>
      <c r="C77" s="12"/>
      <c r="D77" s="2"/>
      <c r="E77" s="2"/>
      <c r="F77" s="9"/>
      <c r="G77" s="9">
        <f t="shared" si="13"/>
        <v>137670</v>
      </c>
      <c r="H77" s="8"/>
      <c r="I77" s="32">
        <v>44165</v>
      </c>
      <c r="J77" s="38">
        <f t="shared" si="15"/>
        <v>44166</v>
      </c>
      <c r="K77" s="49">
        <f t="shared" si="16"/>
        <v>0</v>
      </c>
      <c r="L77" s="59">
        <f t="shared" si="19"/>
        <v>0</v>
      </c>
      <c r="M77" s="50">
        <f t="shared" si="14"/>
        <v>0</v>
      </c>
      <c r="N77" s="46" t="str">
        <f t="shared" si="18"/>
        <v>+</v>
      </c>
      <c r="O77" s="85">
        <f t="shared" ref="O77:O96" si="20">IF(N77="+",IF(I77&gt;$N$1,"0",IF(N77="+",VALUE($N$1)-VALUE(J77),$N$1-H77))+IF(G77=0,0,IF(AND(A77&gt;=A78,H77&gt;0,H78-H77),H78-H77)),IF(I77&gt;$N$1,"0",IF(G77=0,0,IF(AND(A77&gt;=A78,H77&gt;0,H78-H77),H78-H77,IF(AND(A77&lt;&gt;A78,B77="",B78&lt;&gt;0),VALUE($N$1)-VALUE(H77),IF(A77&lt;&gt;A78,H77-J77,IF(N77="+",VALUE($N$1)-VALUE(J77),$N$1-H77)))))))</f>
        <v>0</v>
      </c>
      <c r="P77" s="53">
        <f>IF(G77=0,0,IF(AND(A77&lt;=A78,O77&gt;0,H77&lt;&gt;0),Get_KeyRate(H78),Get_KeyRate($N$1)))</f>
        <v>4.2500000000000003E-2</v>
      </c>
      <c r="Q77" s="54">
        <f t="shared" si="17"/>
        <v>0</v>
      </c>
      <c r="R77" s="17">
        <v>43954</v>
      </c>
      <c r="S77" s="99"/>
    </row>
    <row r="78" spans="1:19" x14ac:dyDescent="0.25">
      <c r="A78" s="26">
        <v>61</v>
      </c>
      <c r="B78" s="9">
        <v>1834890.0000000002</v>
      </c>
      <c r="C78" s="12"/>
      <c r="D78" s="2"/>
      <c r="E78" s="2"/>
      <c r="F78" s="9"/>
      <c r="G78" s="9">
        <f t="shared" si="13"/>
        <v>1834890</v>
      </c>
      <c r="H78" s="8"/>
      <c r="I78" s="32">
        <v>44196</v>
      </c>
      <c r="J78" s="38">
        <f t="shared" si="15"/>
        <v>44197</v>
      </c>
      <c r="K78" s="49">
        <f t="shared" si="16"/>
        <v>0</v>
      </c>
      <c r="L78" s="59">
        <f t="shared" si="19"/>
        <v>0</v>
      </c>
      <c r="M78" s="50">
        <f t="shared" si="14"/>
        <v>0</v>
      </c>
      <c r="N78" s="46" t="str">
        <f t="shared" si="18"/>
        <v>+</v>
      </c>
      <c r="O78" s="85">
        <f t="shared" si="20"/>
        <v>0</v>
      </c>
      <c r="P78" s="53">
        <f>IF(G78=0,0,IF(AND(A78&lt;=A79,O78&gt;0,H78&lt;&gt;0),Get_KeyRate(H79),Get_KeyRate($N$1)))</f>
        <v>4.2500000000000003E-2</v>
      </c>
      <c r="Q78" s="54">
        <f t="shared" si="17"/>
        <v>0</v>
      </c>
      <c r="R78" s="17">
        <v>43955</v>
      </c>
      <c r="S78" s="99"/>
    </row>
    <row r="79" spans="1:19" x14ac:dyDescent="0.25">
      <c r="A79" s="26">
        <v>62</v>
      </c>
      <c r="B79" s="9">
        <v>1470679</v>
      </c>
      <c r="C79" s="12"/>
      <c r="D79" s="2"/>
      <c r="E79" s="2"/>
      <c r="F79" s="9"/>
      <c r="G79" s="9">
        <f t="shared" si="13"/>
        <v>1470679</v>
      </c>
      <c r="H79" s="8"/>
      <c r="I79" s="32">
        <v>44196</v>
      </c>
      <c r="J79" s="38">
        <f t="shared" si="15"/>
        <v>44197</v>
      </c>
      <c r="K79" s="49">
        <f t="shared" si="16"/>
        <v>0</v>
      </c>
      <c r="L79" s="59">
        <f t="shared" si="19"/>
        <v>0</v>
      </c>
      <c r="M79" s="50">
        <f t="shared" si="14"/>
        <v>0</v>
      </c>
      <c r="N79" s="46" t="str">
        <f t="shared" si="18"/>
        <v>+</v>
      </c>
      <c r="O79" s="85">
        <f t="shared" si="20"/>
        <v>0</v>
      </c>
      <c r="P79" s="53">
        <f>IF(G79=0,0,IF(AND(A79&lt;=A80,O79&gt;0,H79&lt;&gt;0),Get_KeyRate(H80),Get_KeyRate($N$1)))</f>
        <v>4.2500000000000003E-2</v>
      </c>
      <c r="Q79" s="54">
        <f t="shared" si="17"/>
        <v>0</v>
      </c>
      <c r="R79" s="17">
        <v>43956</v>
      </c>
      <c r="S79" s="99"/>
    </row>
    <row r="80" spans="1:19" x14ac:dyDescent="0.25">
      <c r="A80" s="26">
        <v>63</v>
      </c>
      <c r="B80" s="9">
        <v>723560</v>
      </c>
      <c r="C80" s="12"/>
      <c r="D80" s="2"/>
      <c r="E80" s="2"/>
      <c r="F80" s="9"/>
      <c r="G80" s="9">
        <f t="shared" si="13"/>
        <v>723560</v>
      </c>
      <c r="H80" s="8"/>
      <c r="I80" s="32">
        <v>44196</v>
      </c>
      <c r="J80" s="38">
        <f t="shared" si="15"/>
        <v>44197</v>
      </c>
      <c r="K80" s="49">
        <f t="shared" si="16"/>
        <v>0</v>
      </c>
      <c r="L80" s="59">
        <f t="shared" si="19"/>
        <v>0</v>
      </c>
      <c r="M80" s="50">
        <f t="shared" si="14"/>
        <v>0</v>
      </c>
      <c r="N80" s="46" t="str">
        <f t="shared" si="18"/>
        <v>+</v>
      </c>
      <c r="O80" s="85">
        <f t="shared" si="20"/>
        <v>0</v>
      </c>
      <c r="P80" s="53">
        <f>IF(G80=0,0,IF(AND(A80&lt;=A81,O80&gt;0,H80&lt;&gt;0),Get_KeyRate(H81),Get_KeyRate($N$1)))</f>
        <v>4.2500000000000003E-2</v>
      </c>
      <c r="Q80" s="54">
        <f t="shared" si="17"/>
        <v>0</v>
      </c>
      <c r="R80" s="19">
        <v>43960</v>
      </c>
      <c r="S80" s="90" t="s">
        <v>51</v>
      </c>
    </row>
    <row r="81" spans="1:19" x14ac:dyDescent="0.25">
      <c r="A81" s="26">
        <v>64</v>
      </c>
      <c r="B81" s="9">
        <v>1527208.0000000002</v>
      </c>
      <c r="C81" s="12"/>
      <c r="D81" s="2"/>
      <c r="E81" s="2"/>
      <c r="F81" s="9"/>
      <c r="G81" s="9">
        <f t="shared" si="13"/>
        <v>1527208</v>
      </c>
      <c r="H81" s="8"/>
      <c r="I81" s="32">
        <v>44196</v>
      </c>
      <c r="J81" s="38">
        <f t="shared" si="15"/>
        <v>44197</v>
      </c>
      <c r="K81" s="49">
        <f t="shared" si="16"/>
        <v>0</v>
      </c>
      <c r="L81" s="59">
        <f t="shared" si="19"/>
        <v>0</v>
      </c>
      <c r="M81" s="50">
        <f t="shared" si="14"/>
        <v>0</v>
      </c>
      <c r="N81" s="46" t="str">
        <f t="shared" si="18"/>
        <v>+</v>
      </c>
      <c r="O81" s="85">
        <f t="shared" si="20"/>
        <v>0</v>
      </c>
      <c r="P81" s="53">
        <f>IF(G81=0,0,IF(AND(A81&lt;=A82,O81&gt;0,H81&lt;&gt;0),Get_KeyRate(H82),Get_KeyRate($N$1)))</f>
        <v>4.2500000000000003E-2</v>
      </c>
      <c r="Q81" s="54">
        <f t="shared" si="17"/>
        <v>0</v>
      </c>
      <c r="R81" s="19">
        <v>43961</v>
      </c>
      <c r="S81" s="90"/>
    </row>
    <row r="82" spans="1:19" x14ac:dyDescent="0.25">
      <c r="A82" s="26">
        <v>65</v>
      </c>
      <c r="B82" s="9">
        <v>192440</v>
      </c>
      <c r="C82" s="12"/>
      <c r="D82" s="2"/>
      <c r="E82" s="2"/>
      <c r="F82" s="9"/>
      <c r="G82" s="9">
        <f t="shared" si="13"/>
        <v>192440</v>
      </c>
      <c r="H82" s="8"/>
      <c r="I82" s="32">
        <v>44196</v>
      </c>
      <c r="J82" s="38">
        <f t="shared" si="15"/>
        <v>44197</v>
      </c>
      <c r="K82" s="49">
        <f t="shared" si="16"/>
        <v>0</v>
      </c>
      <c r="L82" s="59">
        <f t="shared" si="19"/>
        <v>0</v>
      </c>
      <c r="M82" s="50">
        <f t="shared" si="14"/>
        <v>0</v>
      </c>
      <c r="N82" s="46" t="str">
        <f t="shared" si="18"/>
        <v>+</v>
      </c>
      <c r="O82" s="85">
        <f t="shared" si="20"/>
        <v>0</v>
      </c>
      <c r="P82" s="53">
        <f>IF(G82=0,0,IF(AND(A82&lt;=A83,O82&gt;0,H82&lt;&gt;0),Get_KeyRate(H83),Get_KeyRate($N$1)))</f>
        <v>4.2500000000000003E-2</v>
      </c>
      <c r="Q82" s="54">
        <f t="shared" si="17"/>
        <v>0</v>
      </c>
      <c r="R82" s="19">
        <v>43962</v>
      </c>
      <c r="S82" s="90"/>
    </row>
    <row r="83" spans="1:19" x14ac:dyDescent="0.25">
      <c r="A83" s="26">
        <v>66</v>
      </c>
      <c r="B83" s="9">
        <v>6497143.9999999991</v>
      </c>
      <c r="C83" s="12"/>
      <c r="D83" s="2"/>
      <c r="E83" s="2"/>
      <c r="F83" s="9"/>
      <c r="G83" s="9">
        <f t="shared" si="13"/>
        <v>6497144</v>
      </c>
      <c r="H83" s="8"/>
      <c r="I83" s="32">
        <v>44196</v>
      </c>
      <c r="J83" s="38">
        <f t="shared" si="15"/>
        <v>44197</v>
      </c>
      <c r="K83" s="49">
        <f t="shared" si="16"/>
        <v>0</v>
      </c>
      <c r="L83" s="59">
        <f t="shared" si="19"/>
        <v>0</v>
      </c>
      <c r="M83" s="50">
        <f t="shared" si="14"/>
        <v>0</v>
      </c>
      <c r="N83" s="46" t="str">
        <f t="shared" si="18"/>
        <v>+</v>
      </c>
      <c r="O83" s="85">
        <f t="shared" si="20"/>
        <v>0</v>
      </c>
      <c r="P83" s="53">
        <f>IF(G83=0,0,IF(AND(A83&lt;=A84,O83&gt;0,H83&lt;&gt;0),Get_KeyRate(H84),Get_KeyRate($N$1)))</f>
        <v>4.2500000000000003E-2</v>
      </c>
      <c r="Q83" s="54">
        <f t="shared" si="17"/>
        <v>0</v>
      </c>
      <c r="R83" s="20">
        <v>43994</v>
      </c>
      <c r="S83" s="91" t="s">
        <v>54</v>
      </c>
    </row>
    <row r="84" spans="1:19" x14ac:dyDescent="0.25">
      <c r="A84" s="26">
        <v>67</v>
      </c>
      <c r="B84" s="9">
        <v>52577</v>
      </c>
      <c r="C84" s="12"/>
      <c r="D84" s="2"/>
      <c r="E84" s="2"/>
      <c r="F84" s="9"/>
      <c r="G84" s="9">
        <f t="shared" si="13"/>
        <v>52577</v>
      </c>
      <c r="H84" s="8"/>
      <c r="I84" s="32">
        <v>44196</v>
      </c>
      <c r="J84" s="38">
        <f t="shared" si="15"/>
        <v>44197</v>
      </c>
      <c r="K84" s="49">
        <f t="shared" si="16"/>
        <v>0</v>
      </c>
      <c r="L84" s="59">
        <f t="shared" si="19"/>
        <v>0</v>
      </c>
      <c r="M84" s="50">
        <f t="shared" si="14"/>
        <v>0</v>
      </c>
      <c r="N84" s="46" t="str">
        <f t="shared" si="18"/>
        <v>+</v>
      </c>
      <c r="O84" s="85">
        <f t="shared" si="20"/>
        <v>0</v>
      </c>
      <c r="P84" s="53">
        <f>IF(G84=0,0,IF(AND(A84&lt;=A85,O84&gt;0,H84&lt;&gt;0),Get_KeyRate(H85),Get_KeyRate($N$1)))</f>
        <v>4.2500000000000003E-2</v>
      </c>
      <c r="Q84" s="54">
        <f t="shared" si="17"/>
        <v>0</v>
      </c>
      <c r="R84" s="20">
        <v>43995</v>
      </c>
      <c r="S84" s="91"/>
    </row>
    <row r="85" spans="1:19" x14ac:dyDescent="0.25">
      <c r="A85" s="26">
        <v>68</v>
      </c>
      <c r="B85" s="9">
        <v>60854.000000000007</v>
      </c>
      <c r="C85" s="12"/>
      <c r="D85" s="2"/>
      <c r="E85" s="2"/>
      <c r="F85" s="9"/>
      <c r="G85" s="9">
        <f t="shared" si="13"/>
        <v>60854</v>
      </c>
      <c r="H85" s="8"/>
      <c r="I85" s="32">
        <v>44196</v>
      </c>
      <c r="J85" s="38">
        <f t="shared" si="15"/>
        <v>44197</v>
      </c>
      <c r="K85" s="49">
        <f t="shared" si="16"/>
        <v>0</v>
      </c>
      <c r="L85" s="59">
        <f t="shared" si="19"/>
        <v>0</v>
      </c>
      <c r="M85" s="50">
        <f t="shared" si="14"/>
        <v>0</v>
      </c>
      <c r="N85" s="46" t="str">
        <f t="shared" si="18"/>
        <v>+</v>
      </c>
      <c r="O85" s="85">
        <f t="shared" si="20"/>
        <v>0</v>
      </c>
      <c r="P85" s="53">
        <f>IF(G85=0,0,IF(AND(A85&lt;=A86,O85&gt;0,H85&lt;&gt;0),Get_KeyRate(H86),Get_KeyRate($N$1)))</f>
        <v>4.2500000000000003E-2</v>
      </c>
      <c r="Q85" s="54">
        <f t="shared" si="17"/>
        <v>0</v>
      </c>
      <c r="R85" s="20">
        <v>43996</v>
      </c>
      <c r="S85" s="91"/>
    </row>
    <row r="86" spans="1:19" x14ac:dyDescent="0.25">
      <c r="A86" s="26">
        <v>69</v>
      </c>
      <c r="B86" s="9">
        <v>34774</v>
      </c>
      <c r="C86" s="12"/>
      <c r="D86" s="2"/>
      <c r="E86" s="2"/>
      <c r="F86" s="9"/>
      <c r="G86" s="9">
        <f t="shared" si="13"/>
        <v>34774</v>
      </c>
      <c r="H86" s="8"/>
      <c r="I86" s="32">
        <v>44227</v>
      </c>
      <c r="J86" s="38">
        <f t="shared" si="15"/>
        <v>44228</v>
      </c>
      <c r="K86" s="49">
        <f t="shared" si="16"/>
        <v>0</v>
      </c>
      <c r="L86" s="59">
        <f t="shared" si="19"/>
        <v>0</v>
      </c>
      <c r="M86" s="50">
        <f t="shared" si="14"/>
        <v>0</v>
      </c>
      <c r="N86" s="46" t="str">
        <f t="shared" si="18"/>
        <v>+</v>
      </c>
      <c r="O86" s="85">
        <f t="shared" si="20"/>
        <v>0</v>
      </c>
      <c r="P86" s="53">
        <f>IF(G86=0,0,IF(AND(A86&lt;=A87,O86&gt;0,H86&lt;&gt;0),Get_KeyRate(H87),Get_KeyRate($N$1)))</f>
        <v>4.2500000000000003E-2</v>
      </c>
      <c r="Q86" s="54">
        <f t="shared" si="17"/>
        <v>0</v>
      </c>
      <c r="R86" s="23">
        <v>44006</v>
      </c>
      <c r="S86" s="24" t="s">
        <v>51</v>
      </c>
    </row>
    <row r="87" spans="1:19" x14ac:dyDescent="0.25">
      <c r="A87" s="26">
        <v>70</v>
      </c>
      <c r="B87" s="9">
        <v>226911</v>
      </c>
      <c r="C87" s="12"/>
      <c r="D87" s="2"/>
      <c r="E87" s="2"/>
      <c r="F87" s="9"/>
      <c r="G87" s="9">
        <f t="shared" si="13"/>
        <v>226911</v>
      </c>
      <c r="H87" s="8"/>
      <c r="I87" s="32">
        <v>44227</v>
      </c>
      <c r="J87" s="38">
        <f t="shared" si="15"/>
        <v>44228</v>
      </c>
      <c r="K87" s="49">
        <f t="shared" si="16"/>
        <v>0</v>
      </c>
      <c r="L87" s="59">
        <f t="shared" si="19"/>
        <v>0</v>
      </c>
      <c r="M87" s="50">
        <f t="shared" si="14"/>
        <v>0</v>
      </c>
      <c r="N87" s="46" t="str">
        <f t="shared" si="18"/>
        <v>+</v>
      </c>
      <c r="O87" s="85">
        <f t="shared" si="20"/>
        <v>0</v>
      </c>
      <c r="P87" s="53">
        <f>IF(G87=0,0,IF(AND(A87&lt;=A88,O87&gt;0,H87&lt;&gt;0),Get_KeyRate(H88),Get_KeyRate($N$1)))</f>
        <v>4.2500000000000003E-2</v>
      </c>
      <c r="Q87" s="54">
        <f t="shared" si="17"/>
        <v>0</v>
      </c>
      <c r="R87" s="20">
        <v>44139</v>
      </c>
      <c r="S87" t="s">
        <v>55</v>
      </c>
    </row>
    <row r="88" spans="1:19" x14ac:dyDescent="0.25">
      <c r="A88" s="26">
        <v>71</v>
      </c>
      <c r="B88" s="9">
        <v>67167</v>
      </c>
      <c r="C88" s="12"/>
      <c r="D88" s="2"/>
      <c r="E88" s="2"/>
      <c r="F88" s="9"/>
      <c r="G88" s="9">
        <f t="shared" si="13"/>
        <v>67167</v>
      </c>
      <c r="H88" s="8"/>
      <c r="I88" s="32">
        <v>44227</v>
      </c>
      <c r="J88" s="38">
        <f t="shared" si="15"/>
        <v>44228</v>
      </c>
      <c r="K88" s="49">
        <f t="shared" si="16"/>
        <v>0</v>
      </c>
      <c r="L88" s="59">
        <f t="shared" si="19"/>
        <v>0</v>
      </c>
      <c r="M88" s="50">
        <f t="shared" si="14"/>
        <v>0</v>
      </c>
      <c r="N88" s="46" t="str">
        <f t="shared" si="18"/>
        <v>+</v>
      </c>
      <c r="O88" s="85">
        <f t="shared" si="20"/>
        <v>0</v>
      </c>
      <c r="P88" s="53">
        <f>IF(G88=0,0,IF(AND(A88&lt;=A89,O88&gt;0,H88&lt;&gt;0),Get_KeyRate(H89),Get_KeyRate($N$1)))</f>
        <v>4.2500000000000003E-2</v>
      </c>
      <c r="Q88" s="54">
        <f t="shared" si="17"/>
        <v>0</v>
      </c>
      <c r="R88" s="25"/>
      <c r="S88" s="25"/>
    </row>
    <row r="89" spans="1:19" x14ac:dyDescent="0.25">
      <c r="A89" s="26">
        <v>72</v>
      </c>
      <c r="B89" s="9">
        <v>78575</v>
      </c>
      <c r="C89" s="12"/>
      <c r="D89" s="2"/>
      <c r="E89" s="2"/>
      <c r="F89" s="9"/>
      <c r="G89" s="9">
        <f t="shared" si="13"/>
        <v>78575</v>
      </c>
      <c r="H89" s="8"/>
      <c r="I89" s="32">
        <v>44227</v>
      </c>
      <c r="J89" s="38">
        <f t="shared" si="15"/>
        <v>44228</v>
      </c>
      <c r="K89" s="49">
        <f t="shared" si="16"/>
        <v>0</v>
      </c>
      <c r="L89" s="59">
        <f t="shared" si="19"/>
        <v>0</v>
      </c>
      <c r="M89" s="50">
        <f t="shared" si="14"/>
        <v>0</v>
      </c>
      <c r="N89" s="46" t="str">
        <f t="shared" si="18"/>
        <v>+</v>
      </c>
      <c r="O89" s="85">
        <f t="shared" si="20"/>
        <v>0</v>
      </c>
      <c r="P89" s="53">
        <f>IF(G89=0,0,IF(AND(A89&lt;=A90,O89&gt;0,H89&lt;&gt;0),Get_KeyRate(H90),Get_KeyRate($N$1)))</f>
        <v>4.2500000000000003E-2</v>
      </c>
      <c r="Q89" s="54">
        <f t="shared" si="17"/>
        <v>0</v>
      </c>
      <c r="R89" s="25"/>
      <c r="S89" s="25"/>
    </row>
    <row r="90" spans="1:19" x14ac:dyDescent="0.25">
      <c r="A90" s="26">
        <v>73</v>
      </c>
      <c r="B90" s="9">
        <v>160659</v>
      </c>
      <c r="C90" s="12"/>
      <c r="D90" s="2"/>
      <c r="E90" s="2"/>
      <c r="F90" s="9"/>
      <c r="G90" s="9">
        <f t="shared" si="13"/>
        <v>160659</v>
      </c>
      <c r="H90" s="8"/>
      <c r="I90" s="32">
        <v>44227</v>
      </c>
      <c r="J90" s="38">
        <f t="shared" si="15"/>
        <v>44228</v>
      </c>
      <c r="K90" s="49">
        <f t="shared" si="16"/>
        <v>0</v>
      </c>
      <c r="L90" s="59">
        <f t="shared" si="19"/>
        <v>0</v>
      </c>
      <c r="M90" s="50">
        <f t="shared" si="14"/>
        <v>0</v>
      </c>
      <c r="N90" s="46" t="str">
        <f t="shared" si="18"/>
        <v>+</v>
      </c>
      <c r="O90" s="85">
        <f t="shared" si="20"/>
        <v>0</v>
      </c>
      <c r="P90" s="53">
        <f>IF(G90=0,0,IF(AND(A90&lt;=A91,O90&gt;0,H90&lt;&gt;0),Get_KeyRate(H91),Get_KeyRate($N$1)))</f>
        <v>4.2500000000000003E-2</v>
      </c>
      <c r="Q90" s="54">
        <f t="shared" si="17"/>
        <v>0</v>
      </c>
      <c r="R90" s="25"/>
      <c r="S90" s="25"/>
    </row>
    <row r="91" spans="1:19" x14ac:dyDescent="0.25">
      <c r="A91" s="26">
        <v>74</v>
      </c>
      <c r="B91" s="9">
        <v>97763.000000000015</v>
      </c>
      <c r="C91" s="12"/>
      <c r="D91" s="2"/>
      <c r="E91" s="2"/>
      <c r="F91" s="9"/>
      <c r="G91" s="9">
        <f t="shared" si="13"/>
        <v>97763</v>
      </c>
      <c r="H91" s="8"/>
      <c r="I91" s="32">
        <v>44227</v>
      </c>
      <c r="J91" s="38">
        <f t="shared" si="15"/>
        <v>44228</v>
      </c>
      <c r="K91" s="49">
        <f t="shared" si="16"/>
        <v>0</v>
      </c>
      <c r="L91" s="59">
        <f t="shared" si="19"/>
        <v>0</v>
      </c>
      <c r="M91" s="50">
        <f t="shared" si="14"/>
        <v>0</v>
      </c>
      <c r="N91" s="46" t="str">
        <f t="shared" si="18"/>
        <v>+</v>
      </c>
      <c r="O91" s="85">
        <f t="shared" si="20"/>
        <v>0</v>
      </c>
      <c r="P91" s="53">
        <f>IF(G91=0,0,IF(AND(A91&lt;=A92,O91&gt;0,H91&lt;&gt;0),Get_KeyRate(H92),Get_KeyRate($N$1)))</f>
        <v>4.2500000000000003E-2</v>
      </c>
      <c r="Q91" s="54">
        <f t="shared" si="17"/>
        <v>0</v>
      </c>
      <c r="R91" s="25"/>
      <c r="S91" s="25"/>
    </row>
    <row r="92" spans="1:19" x14ac:dyDescent="0.25">
      <c r="A92" s="26">
        <v>75</v>
      </c>
      <c r="B92" s="9">
        <v>282390</v>
      </c>
      <c r="C92" s="12"/>
      <c r="D92" s="2"/>
      <c r="E92" s="2"/>
      <c r="F92" s="9"/>
      <c r="G92" s="9">
        <f t="shared" si="13"/>
        <v>282390</v>
      </c>
      <c r="H92" s="8"/>
      <c r="I92" s="32">
        <v>44227</v>
      </c>
      <c r="J92" s="38">
        <f t="shared" si="15"/>
        <v>44228</v>
      </c>
      <c r="K92" s="49">
        <f t="shared" si="16"/>
        <v>0</v>
      </c>
      <c r="L92" s="59">
        <f t="shared" si="19"/>
        <v>0</v>
      </c>
      <c r="M92" s="50">
        <f t="shared" si="14"/>
        <v>0</v>
      </c>
      <c r="N92" s="46" t="str">
        <f t="shared" si="18"/>
        <v>+</v>
      </c>
      <c r="O92" s="85">
        <f t="shared" si="20"/>
        <v>0</v>
      </c>
      <c r="P92" s="53">
        <f>IF(G92=0,0,IF(AND(A92&lt;=A93,O92&gt;0,H92&lt;&gt;0),Get_KeyRate(H93),Get_KeyRate($N$1)))</f>
        <v>4.2500000000000003E-2</v>
      </c>
      <c r="Q92" s="54">
        <f t="shared" si="17"/>
        <v>0</v>
      </c>
      <c r="R92" s="25"/>
      <c r="S92" s="25"/>
    </row>
    <row r="93" spans="1:19" x14ac:dyDescent="0.25">
      <c r="A93" s="26">
        <v>76</v>
      </c>
      <c r="B93" s="9">
        <v>369078</v>
      </c>
      <c r="C93" s="12"/>
      <c r="D93" s="2"/>
      <c r="E93" s="2"/>
      <c r="F93" s="9"/>
      <c r="G93" s="9">
        <f t="shared" si="13"/>
        <v>369078</v>
      </c>
      <c r="H93" s="8"/>
      <c r="I93" s="32">
        <v>44227</v>
      </c>
      <c r="J93" s="38">
        <f t="shared" si="15"/>
        <v>44228</v>
      </c>
      <c r="K93" s="49">
        <f t="shared" si="16"/>
        <v>0</v>
      </c>
      <c r="L93" s="59">
        <f t="shared" si="19"/>
        <v>0</v>
      </c>
      <c r="M93" s="50">
        <f t="shared" si="14"/>
        <v>0</v>
      </c>
      <c r="N93" s="46" t="str">
        <f t="shared" si="18"/>
        <v>+</v>
      </c>
      <c r="O93" s="85">
        <f t="shared" si="20"/>
        <v>0</v>
      </c>
      <c r="P93" s="53">
        <f>IF(G93=0,0,IF(AND(A93&lt;=A94,O93&gt;0,H93&lt;&gt;0),Get_KeyRate(H94),Get_KeyRate($N$1)))</f>
        <v>4.2500000000000003E-2</v>
      </c>
      <c r="Q93" s="54">
        <f t="shared" si="17"/>
        <v>0</v>
      </c>
      <c r="R93" s="25"/>
      <c r="S93" s="25"/>
    </row>
    <row r="94" spans="1:19" x14ac:dyDescent="0.25">
      <c r="A94" s="26">
        <v>77</v>
      </c>
      <c r="B94" s="9">
        <v>58822</v>
      </c>
      <c r="C94" s="12"/>
      <c r="D94" s="2"/>
      <c r="E94" s="2"/>
      <c r="F94" s="9"/>
      <c r="G94" s="9">
        <f t="shared" si="13"/>
        <v>58822</v>
      </c>
      <c r="H94" s="8"/>
      <c r="I94" s="32">
        <v>44227</v>
      </c>
      <c r="J94" s="38">
        <f t="shared" si="15"/>
        <v>44228</v>
      </c>
      <c r="K94" s="49">
        <f t="shared" si="16"/>
        <v>0</v>
      </c>
      <c r="L94" s="59">
        <f t="shared" si="19"/>
        <v>0</v>
      </c>
      <c r="M94" s="50">
        <f t="shared" si="14"/>
        <v>0</v>
      </c>
      <c r="N94" s="46" t="str">
        <f t="shared" si="18"/>
        <v>+</v>
      </c>
      <c r="O94" s="85">
        <f t="shared" si="20"/>
        <v>0</v>
      </c>
      <c r="P94" s="53">
        <f>IF(G94=0,0,IF(AND(A94&lt;=A95,O94&gt;0,H94&lt;&gt;0),Get_KeyRate(H95),Get_KeyRate($N$1)))</f>
        <v>4.2500000000000003E-2</v>
      </c>
      <c r="Q94" s="54">
        <f t="shared" si="17"/>
        <v>0</v>
      </c>
      <c r="R94" s="25"/>
      <c r="S94" s="25"/>
    </row>
    <row r="95" spans="1:19" x14ac:dyDescent="0.25">
      <c r="A95" s="26">
        <v>78</v>
      </c>
      <c r="B95" s="9">
        <v>1579821</v>
      </c>
      <c r="C95" s="12"/>
      <c r="D95" s="2"/>
      <c r="E95" s="2"/>
      <c r="F95" s="9"/>
      <c r="G95" s="9">
        <f t="shared" si="13"/>
        <v>1579821</v>
      </c>
      <c r="H95" s="8"/>
      <c r="I95" s="32">
        <v>44227</v>
      </c>
      <c r="J95" s="38">
        <f t="shared" si="15"/>
        <v>44228</v>
      </c>
      <c r="K95" s="49">
        <f t="shared" si="16"/>
        <v>0</v>
      </c>
      <c r="L95" s="59">
        <f t="shared" si="19"/>
        <v>0</v>
      </c>
      <c r="M95" s="50">
        <f t="shared" si="14"/>
        <v>0</v>
      </c>
      <c r="N95" s="46" t="str">
        <f t="shared" si="18"/>
        <v>+</v>
      </c>
      <c r="O95" s="85">
        <f t="shared" si="20"/>
        <v>0</v>
      </c>
      <c r="P95" s="53">
        <f>IF(G95=0,0,IF(AND(A95&lt;=A96,O95&gt;0,H95&lt;&gt;0),Get_KeyRate(H96),Get_KeyRate($N$1)))</f>
        <v>4.2500000000000003E-2</v>
      </c>
      <c r="Q95" s="54">
        <f t="shared" si="17"/>
        <v>0</v>
      </c>
      <c r="R95" s="25"/>
      <c r="S95" s="25"/>
    </row>
    <row r="96" spans="1:19" ht="15.75" thickBot="1" x14ac:dyDescent="0.3">
      <c r="A96" s="27">
        <v>79</v>
      </c>
      <c r="B96" s="28">
        <v>3461161</v>
      </c>
      <c r="C96" s="29" t="s">
        <v>37</v>
      </c>
      <c r="D96" s="4" t="s">
        <v>11</v>
      </c>
      <c r="E96" s="30">
        <v>43966</v>
      </c>
      <c r="F96" s="28">
        <v>2132190.8199999998</v>
      </c>
      <c r="G96" s="28">
        <f t="shared" si="13"/>
        <v>1328970.18</v>
      </c>
      <c r="H96" s="31">
        <v>43973</v>
      </c>
      <c r="I96" s="33">
        <v>44227</v>
      </c>
      <c r="J96" s="38">
        <f t="shared" si="15"/>
        <v>44228</v>
      </c>
      <c r="K96" s="49">
        <f t="shared" si="16"/>
        <v>0</v>
      </c>
      <c r="L96" s="59">
        <f t="shared" si="19"/>
        <v>0</v>
      </c>
      <c r="M96" s="57">
        <f t="shared" si="14"/>
        <v>0</v>
      </c>
      <c r="N96" s="46" t="str">
        <f t="shared" si="18"/>
        <v/>
      </c>
      <c r="O96" s="85" t="str">
        <f t="shared" si="20"/>
        <v>0</v>
      </c>
      <c r="P96" s="53">
        <f>IF(G96=0,0,IF(AND(A96&lt;=A97,O96&gt;0,H96&lt;&gt;0),Get_KeyRate(H97),Get_KeyRate($N$1)))</f>
        <v>0</v>
      </c>
      <c r="Q96" s="54">
        <f t="shared" si="17"/>
        <v>0</v>
      </c>
      <c r="R96" s="25"/>
      <c r="S96" s="25"/>
    </row>
    <row r="97" spans="1:17" x14ac:dyDescent="0.25">
      <c r="A97" s="10" t="s">
        <v>38</v>
      </c>
      <c r="B97" s="11">
        <f>_xlfn.AGGREGATE(9,5,B2:B96)</f>
        <v>88618104</v>
      </c>
      <c r="F97" s="11">
        <f>_xlfn.AGGREGATE(9,5,F2:F96)</f>
        <v>24278507.429999996</v>
      </c>
      <c r="Q97" s="55">
        <f>_xlfn.AGGREGATE(9,5,Q2:Q96)</f>
        <v>335443.48999999993</v>
      </c>
    </row>
  </sheetData>
  <autoFilter ref="A1:Q97" xr:uid="{00000000-0009-0000-0000-000000000000}"/>
  <mergeCells count="12">
    <mergeCell ref="S80:S82"/>
    <mergeCell ref="S83:S85"/>
    <mergeCell ref="R1:S1"/>
    <mergeCell ref="S2:S9"/>
    <mergeCell ref="S11:S13"/>
    <mergeCell ref="S14:S18"/>
    <mergeCell ref="S19:S22"/>
    <mergeCell ref="S24:S26"/>
    <mergeCell ref="S27:S34"/>
    <mergeCell ref="S35:S37"/>
    <mergeCell ref="S38:S40"/>
    <mergeCell ref="S75:S79"/>
  </mergeCells>
  <conditionalFormatting sqref="L2:L96">
    <cfRule type="cellIs" dxfId="7" priority="4" operator="equal">
      <formula>0</formula>
    </cfRule>
  </conditionalFormatting>
  <conditionalFormatting sqref="M2:M96">
    <cfRule type="cellIs" dxfId="6" priority="3" operator="equal">
      <formula>0</formula>
    </cfRule>
  </conditionalFormatting>
  <conditionalFormatting sqref="M2:M96">
    <cfRule type="cellIs" dxfId="5" priority="2" operator="equal">
      <formula>0</formula>
    </cfRule>
  </conditionalFormatting>
  <conditionalFormatting sqref="O2:O96">
    <cfRule type="cellIs" dxfId="4" priority="1" operator="equal">
      <formula>0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61D2-F691-406E-A220-453A9581DDAC}">
  <sheetPr codeName="Лист3">
    <tabColor rgb="FF00B050"/>
    <pageSetUpPr fitToPage="1"/>
  </sheetPr>
  <dimension ref="A1:T97"/>
  <sheetViews>
    <sheetView zoomScale="85" zoomScaleNormal="85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 x14ac:dyDescent="0.25"/>
  <cols>
    <col min="2" max="2" width="20.5703125" customWidth="1"/>
    <col min="3" max="3" width="10.28515625" customWidth="1"/>
    <col min="4" max="4" width="7.42578125" customWidth="1"/>
    <col min="5" max="5" width="18" customWidth="1"/>
    <col min="6" max="6" width="15.28515625" customWidth="1"/>
    <col min="7" max="7" width="15.7109375" customWidth="1"/>
    <col min="8" max="8" width="16.140625" customWidth="1"/>
    <col min="9" max="9" width="15.140625" customWidth="1"/>
    <col min="10" max="10" width="18.140625" customWidth="1"/>
    <col min="11" max="11" width="12.140625" style="51" customWidth="1"/>
    <col min="12" max="12" width="15.7109375" style="51" customWidth="1"/>
    <col min="13" max="13" width="12.7109375" style="51" customWidth="1"/>
    <col min="14" max="14" width="12.85546875" style="47" customWidth="1"/>
    <col min="15" max="15" width="18.85546875" style="51" customWidth="1"/>
    <col min="16" max="16" width="15.7109375" style="51" customWidth="1"/>
    <col min="17" max="17" width="12.140625" style="51" customWidth="1"/>
    <col min="18" max="18" width="12.28515625" customWidth="1"/>
    <col min="19" max="19" width="17.5703125" customWidth="1"/>
    <col min="20" max="20" width="26.28515625" customWidth="1"/>
  </cols>
  <sheetData>
    <row r="1" spans="1:20" ht="75" x14ac:dyDescent="0.25">
      <c r="A1" s="41" t="s">
        <v>0</v>
      </c>
      <c r="B1" s="42" t="s">
        <v>13</v>
      </c>
      <c r="C1" s="42" t="s">
        <v>1</v>
      </c>
      <c r="D1" s="42"/>
      <c r="E1" s="41" t="s">
        <v>59</v>
      </c>
      <c r="F1" s="41" t="s">
        <v>57</v>
      </c>
      <c r="G1" s="42" t="s">
        <v>12</v>
      </c>
      <c r="H1" s="64" t="s">
        <v>61</v>
      </c>
      <c r="I1" s="42" t="s">
        <v>2</v>
      </c>
      <c r="J1" s="42" t="s">
        <v>56</v>
      </c>
      <c r="K1" s="48" t="s">
        <v>14</v>
      </c>
      <c r="L1" s="58" t="s">
        <v>58</v>
      </c>
      <c r="M1" s="42" t="s">
        <v>15</v>
      </c>
      <c r="N1" s="45">
        <v>44151</v>
      </c>
      <c r="O1" s="56" t="s">
        <v>60</v>
      </c>
      <c r="P1" s="100" t="s">
        <v>63</v>
      </c>
      <c r="Q1" s="52" t="s">
        <v>16</v>
      </c>
      <c r="R1" s="92" t="s">
        <v>17</v>
      </c>
      <c r="S1" s="93"/>
      <c r="T1" s="101" t="s">
        <v>64</v>
      </c>
    </row>
    <row r="2" spans="1:20" x14ac:dyDescent="0.25">
      <c r="A2" s="39">
        <v>1</v>
      </c>
      <c r="B2" s="37">
        <v>53547</v>
      </c>
      <c r="C2" s="34" t="s">
        <v>18</v>
      </c>
      <c r="D2" s="40" t="s">
        <v>11</v>
      </c>
      <c r="E2" s="36">
        <v>43966</v>
      </c>
      <c r="F2" s="37">
        <v>53547</v>
      </c>
      <c r="G2" s="37">
        <f t="shared" ref="G2:G65" si="0">ROUND(IF(B2&gt;0,B2-F2,G1-F2),2)</f>
        <v>0</v>
      </c>
      <c r="H2" s="35">
        <v>43973</v>
      </c>
      <c r="I2" s="38">
        <v>43861</v>
      </c>
      <c r="J2" s="38">
        <f>WORKDAY.INTL(I2,1,1,$R$2:$R$87)</f>
        <v>43864</v>
      </c>
      <c r="K2" s="49">
        <f>IF(AND(H2&gt;J2,B2&gt;0),H2-J2+1,0)</f>
        <v>110</v>
      </c>
      <c r="L2" s="59">
        <f t="shared" ref="L2:L5" si="1">IF(B2&gt;0,ROUND((B2*K2*1/300*M2),2),0)</f>
        <v>1079.8599999999999</v>
      </c>
      <c r="M2" s="50">
        <f t="shared" ref="M2:M65" si="2">IF(K2=0,0,Get_KeyRate(H2))</f>
        <v>5.5E-2</v>
      </c>
      <c r="N2" s="46" t="str">
        <f t="shared" ref="N2:N4" si="3">IF(AND(E2=0,F2=0,H2=0),"+","")</f>
        <v/>
      </c>
      <c r="O2" s="85">
        <f t="shared" ref="O2:O65" si="4">IF(N2="+",IF(I2&gt;$N$1,"0",IF(N2="+",VALUE($N$1)-VALUE(J2),$N$1-H2))+IF(G2=0,0,IF(AND(A2&gt;=A3,H2&gt;0,H3-H2),H3-H2)),IF(I2&gt;$N$1,"0",IF(G2=0,0,IF(AND(A2&gt;=A3,H2&gt;0,H3-H2),H3-H2,IF(AND(A2&lt;&gt;A3,B2="",B3&lt;&gt;0),VALUE($N$1)-VALUE(H2),IF(A2&lt;&gt;A3,H2-J2,IF(N2="+",VALUE($N$1)-VALUE(J2),$N$1-H2)))))))</f>
        <v>0</v>
      </c>
      <c r="P2" s="53">
        <f>IF(G2=0,0,IF(AND(A2&lt;=A3,O2&gt;0),Get_KeyRate(H3),Get_KeyRate($N$1)))</f>
        <v>0</v>
      </c>
      <c r="Q2" s="54">
        <f>IF(G2=0,0,IF(O2&gt;0,ROUND((G2*O2*1/300*P2),2),0))</f>
        <v>0</v>
      </c>
      <c r="R2" s="5">
        <v>43466</v>
      </c>
      <c r="S2" s="94" t="s">
        <v>47</v>
      </c>
      <c r="T2" s="102">
        <f>'ЦАОП (итог)'!P2-'ЦАОП (0)'!P2</f>
        <v>0</v>
      </c>
    </row>
    <row r="3" spans="1:20" x14ac:dyDescent="0.25">
      <c r="A3" s="26">
        <v>2</v>
      </c>
      <c r="B3" s="9">
        <v>629125</v>
      </c>
      <c r="C3" s="12" t="s">
        <v>19</v>
      </c>
      <c r="D3" s="2" t="s">
        <v>11</v>
      </c>
      <c r="E3" s="6">
        <v>43966</v>
      </c>
      <c r="F3" s="9">
        <v>619378</v>
      </c>
      <c r="G3" s="9">
        <f t="shared" si="0"/>
        <v>9747</v>
      </c>
      <c r="H3" s="7">
        <v>43973</v>
      </c>
      <c r="I3" s="32">
        <v>43890</v>
      </c>
      <c r="J3" s="38">
        <f t="shared" ref="J3:J66" si="5">WORKDAY.INTL(I3,1,1,$R$2:$R$87)</f>
        <v>43892</v>
      </c>
      <c r="K3" s="49">
        <f t="shared" ref="K3:K66" si="6">IF(AND(H3&gt;J3,B3&gt;0),H3-J3+1,0)</f>
        <v>82</v>
      </c>
      <c r="L3" s="59">
        <f t="shared" si="1"/>
        <v>9457.85</v>
      </c>
      <c r="M3" s="50">
        <f t="shared" si="2"/>
        <v>5.5E-2</v>
      </c>
      <c r="N3" s="46" t="str">
        <f t="shared" si="3"/>
        <v/>
      </c>
      <c r="O3" s="85">
        <f t="shared" si="4"/>
        <v>81</v>
      </c>
      <c r="P3" s="53">
        <f>IF(G3=0,0,IF(AND(A3&lt;=A4,O3&gt;0),Get_KeyRate(H4),Get_KeyRate($N$1)))</f>
        <v>5.5E-2</v>
      </c>
      <c r="Q3" s="54">
        <f t="shared" ref="Q3:Q66" si="7">IF(G3=0,0,IF(O3&gt;0,ROUND((G3*O3*1/300*P3),2),0))</f>
        <v>144.74</v>
      </c>
      <c r="R3" s="5">
        <v>43467</v>
      </c>
      <c r="S3" s="94"/>
      <c r="T3" s="102">
        <f>'ЦАОП (итог)'!P3-'ЦАОП (0)'!P3</f>
        <v>0</v>
      </c>
    </row>
    <row r="4" spans="1:20" x14ac:dyDescent="0.25">
      <c r="A4" s="26">
        <v>3</v>
      </c>
      <c r="B4" s="9">
        <v>82910</v>
      </c>
      <c r="C4" s="12" t="s">
        <v>20</v>
      </c>
      <c r="D4" s="2" t="s">
        <v>11</v>
      </c>
      <c r="E4" s="6">
        <v>43966</v>
      </c>
      <c r="F4" s="9">
        <v>82907</v>
      </c>
      <c r="G4" s="9">
        <f t="shared" si="0"/>
        <v>3</v>
      </c>
      <c r="H4" s="7">
        <v>43973</v>
      </c>
      <c r="I4" s="32">
        <v>43890</v>
      </c>
      <c r="J4" s="38">
        <f t="shared" si="5"/>
        <v>43892</v>
      </c>
      <c r="K4" s="49">
        <f t="shared" si="6"/>
        <v>82</v>
      </c>
      <c r="L4" s="59">
        <f t="shared" si="1"/>
        <v>1246.4100000000001</v>
      </c>
      <c r="M4" s="50">
        <f t="shared" si="2"/>
        <v>5.5E-2</v>
      </c>
      <c r="N4" s="46" t="str">
        <f t="shared" si="3"/>
        <v/>
      </c>
      <c r="O4" s="85">
        <f t="shared" si="4"/>
        <v>81</v>
      </c>
      <c r="P4" s="53">
        <f>IF(G4=0,0,IF(AND(A4&lt;=A5,O4&gt;0),Get_KeyRate(H5),Get_KeyRate($N$1)))</f>
        <v>0</v>
      </c>
      <c r="Q4" s="54">
        <f t="shared" si="7"/>
        <v>0</v>
      </c>
      <c r="R4" s="5">
        <v>43468</v>
      </c>
      <c r="S4" s="94"/>
      <c r="T4" s="102">
        <f>'ЦАОП (итог)'!P4-'ЦАОП (0)'!P4</f>
        <v>0</v>
      </c>
    </row>
    <row r="5" spans="1:20" x14ac:dyDescent="0.25">
      <c r="A5" s="26">
        <v>4</v>
      </c>
      <c r="B5" s="9">
        <v>849598</v>
      </c>
      <c r="C5" s="60"/>
      <c r="D5" s="8"/>
      <c r="E5" s="8">
        <v>0</v>
      </c>
      <c r="F5" s="59">
        <v>0</v>
      </c>
      <c r="G5" s="59">
        <f t="shared" si="0"/>
        <v>849598</v>
      </c>
      <c r="H5" s="8">
        <v>0</v>
      </c>
      <c r="I5" s="61">
        <v>43890</v>
      </c>
      <c r="J5" s="62">
        <f t="shared" si="5"/>
        <v>43892</v>
      </c>
      <c r="K5" s="49">
        <f t="shared" si="6"/>
        <v>0</v>
      </c>
      <c r="L5" s="59">
        <f t="shared" si="1"/>
        <v>0</v>
      </c>
      <c r="M5" s="50">
        <f t="shared" si="2"/>
        <v>0</v>
      </c>
      <c r="N5" s="63" t="str">
        <f>IF(OR(E5=0,F5=0,H5=0),"+","")</f>
        <v>+</v>
      </c>
      <c r="O5" s="85">
        <f t="shared" si="4"/>
        <v>259</v>
      </c>
      <c r="P5" s="53">
        <f>IF(G5=0,0,IF(AND(A5&lt;=A6,O5&gt;0),Get_KeyRate(H6),Get_KeyRate($N$1)))</f>
        <v>5.5E-2</v>
      </c>
      <c r="Q5" s="54">
        <f t="shared" si="7"/>
        <v>40341.75</v>
      </c>
      <c r="R5" s="19">
        <v>43469</v>
      </c>
      <c r="S5" s="94"/>
      <c r="T5" s="102">
        <f>'ЦАОП (итог)'!P5-'ЦАОП (0)'!P5</f>
        <v>-1.2499999999999997E-2</v>
      </c>
    </row>
    <row r="6" spans="1:20" s="44" customFormat="1" ht="15.75" thickBot="1" x14ac:dyDescent="0.3">
      <c r="A6" s="66">
        <v>5</v>
      </c>
      <c r="B6" s="67">
        <v>2262215</v>
      </c>
      <c r="C6" s="68" t="s">
        <v>21</v>
      </c>
      <c r="D6" s="69" t="s">
        <v>11</v>
      </c>
      <c r="E6" s="70">
        <v>43966</v>
      </c>
      <c r="F6" s="67">
        <v>1543724</v>
      </c>
      <c r="G6" s="67">
        <f t="shared" si="0"/>
        <v>718491</v>
      </c>
      <c r="H6" s="70">
        <v>43973</v>
      </c>
      <c r="I6" s="71">
        <v>43921</v>
      </c>
      <c r="J6" s="72">
        <f t="shared" si="5"/>
        <v>43922</v>
      </c>
      <c r="K6" s="73">
        <f t="shared" si="6"/>
        <v>52</v>
      </c>
      <c r="L6" s="67">
        <f>IF(B6&gt;0,ROUND((B6*K6*1/300*M6),2),0)</f>
        <v>21566.45</v>
      </c>
      <c r="M6" s="74">
        <f t="shared" si="2"/>
        <v>5.5E-2</v>
      </c>
      <c r="N6" s="75" t="str">
        <f t="shared" ref="N6:N13" si="8">IF(OR(E6=0,F6=0,H6=0),"+","")</f>
        <v/>
      </c>
      <c r="O6" s="85">
        <f t="shared" si="4"/>
        <v>24</v>
      </c>
      <c r="P6" s="65">
        <f>IF(G6=0,0,IF(AND(A6&lt;=A7,O6&gt;0),Get_KeyRate(H7),Get_KeyRate($N$1)))</f>
        <v>5.5E-2</v>
      </c>
      <c r="Q6" s="54">
        <f t="shared" si="7"/>
        <v>3161.36</v>
      </c>
      <c r="R6" s="43">
        <v>43470</v>
      </c>
      <c r="S6" s="94"/>
      <c r="T6" s="102">
        <f>'ЦАОП (итог)'!P6-'ЦАОП (0)'!P6</f>
        <v>0</v>
      </c>
    </row>
    <row r="7" spans="1:20" s="44" customFormat="1" ht="15.75" thickBot="1" x14ac:dyDescent="0.3">
      <c r="A7" s="76">
        <v>5</v>
      </c>
      <c r="B7" s="77"/>
      <c r="C7" s="78" t="s">
        <v>22</v>
      </c>
      <c r="D7" s="79" t="s">
        <v>11</v>
      </c>
      <c r="E7" s="80">
        <v>43993</v>
      </c>
      <c r="F7" s="77">
        <v>358923.6</v>
      </c>
      <c r="G7" s="77">
        <f t="shared" si="0"/>
        <v>359567.4</v>
      </c>
      <c r="H7" s="80">
        <v>43997</v>
      </c>
      <c r="I7" s="81">
        <v>43921</v>
      </c>
      <c r="J7" s="82">
        <f t="shared" si="5"/>
        <v>43922</v>
      </c>
      <c r="K7" s="83">
        <f t="shared" si="6"/>
        <v>0</v>
      </c>
      <c r="L7" s="77">
        <f t="shared" ref="L7:L70" si="9">IF(B7&gt;0,ROUND((B7*K7*1/300*M7),2),0)</f>
        <v>0</v>
      </c>
      <c r="M7" s="84">
        <f t="shared" si="2"/>
        <v>0</v>
      </c>
      <c r="N7" s="87" t="str">
        <f t="shared" si="8"/>
        <v/>
      </c>
      <c r="O7" s="89">
        <f t="shared" si="4"/>
        <v>154</v>
      </c>
      <c r="P7" s="65">
        <f>IF(G7=0,0,IF(AND(A7&lt;=A8,O7&gt;0),Get_KeyRate(H8),Get_KeyRate($N$1)))</f>
        <v>5.5E-2</v>
      </c>
      <c r="Q7" s="54">
        <f t="shared" si="7"/>
        <v>10151.790000000001</v>
      </c>
      <c r="R7" s="43">
        <v>43471</v>
      </c>
      <c r="S7" s="94"/>
      <c r="T7" s="102">
        <f>'ЦАОП (итог)'!P7-'ЦАОП (0)'!P7</f>
        <v>0</v>
      </c>
    </row>
    <row r="8" spans="1:20" x14ac:dyDescent="0.25">
      <c r="A8" s="26">
        <v>6</v>
      </c>
      <c r="B8" s="9">
        <v>4264318</v>
      </c>
      <c r="C8" s="12" t="s">
        <v>23</v>
      </c>
      <c r="D8" s="2" t="s">
        <v>11</v>
      </c>
      <c r="E8" s="6">
        <v>43966</v>
      </c>
      <c r="F8" s="9">
        <v>4264318</v>
      </c>
      <c r="G8" s="9">
        <f t="shared" si="0"/>
        <v>0</v>
      </c>
      <c r="H8" s="7">
        <v>43973</v>
      </c>
      <c r="I8" s="32">
        <v>43921</v>
      </c>
      <c r="J8" s="38">
        <f t="shared" si="5"/>
        <v>43922</v>
      </c>
      <c r="K8" s="49">
        <f t="shared" si="6"/>
        <v>52</v>
      </c>
      <c r="L8" s="59">
        <f t="shared" si="9"/>
        <v>40653.160000000003</v>
      </c>
      <c r="M8" s="50">
        <f t="shared" si="2"/>
        <v>5.5E-2</v>
      </c>
      <c r="N8" s="46" t="str">
        <f t="shared" si="8"/>
        <v/>
      </c>
      <c r="O8" s="88">
        <f t="shared" si="4"/>
        <v>0</v>
      </c>
      <c r="P8" s="53">
        <f>IF(G8=0,0,IF(AND(A8&lt;=A9,O8&gt;0),Get_KeyRate(H9),Get_KeyRate($N$1)))</f>
        <v>0</v>
      </c>
      <c r="Q8" s="54">
        <f t="shared" si="7"/>
        <v>0</v>
      </c>
      <c r="R8" s="5">
        <v>43472</v>
      </c>
      <c r="S8" s="94"/>
      <c r="T8" s="102">
        <f>'ЦАОП (итог)'!P8-'ЦАОП (0)'!P8</f>
        <v>0</v>
      </c>
    </row>
    <row r="9" spans="1:20" x14ac:dyDescent="0.25">
      <c r="A9" s="26">
        <v>7</v>
      </c>
      <c r="B9" s="9">
        <v>447601</v>
      </c>
      <c r="C9" s="12" t="s">
        <v>39</v>
      </c>
      <c r="D9" s="2" t="s">
        <v>11</v>
      </c>
      <c r="E9" s="6">
        <v>44099</v>
      </c>
      <c r="F9" s="9">
        <v>175416</v>
      </c>
      <c r="G9" s="9">
        <f t="shared" si="0"/>
        <v>272185</v>
      </c>
      <c r="H9" s="7">
        <v>44099</v>
      </c>
      <c r="I9" s="32">
        <v>43951</v>
      </c>
      <c r="J9" s="38">
        <f t="shared" si="5"/>
        <v>43957</v>
      </c>
      <c r="K9" s="49">
        <f t="shared" si="6"/>
        <v>143</v>
      </c>
      <c r="L9" s="59">
        <f t="shared" si="9"/>
        <v>9067.65</v>
      </c>
      <c r="M9" s="50">
        <f t="shared" si="2"/>
        <v>4.2500000000000003E-2</v>
      </c>
      <c r="N9" s="46" t="str">
        <f t="shared" si="8"/>
        <v/>
      </c>
      <c r="O9" s="85">
        <f t="shared" si="4"/>
        <v>42</v>
      </c>
      <c r="P9" s="53">
        <f>IF(G9=0,0,IF(AND(A9&lt;=A10,O9&gt;0),Get_KeyRate(H10),Get_KeyRate($N$1)))</f>
        <v>4.2500000000000003E-2</v>
      </c>
      <c r="Q9" s="54">
        <f t="shared" si="7"/>
        <v>1619.5</v>
      </c>
      <c r="R9" s="5">
        <v>43473</v>
      </c>
      <c r="S9" s="94"/>
      <c r="T9" s="102">
        <f>'ЦАОП (итог)'!P9-'ЦАОП (0)'!P9</f>
        <v>0</v>
      </c>
    </row>
    <row r="10" spans="1:20" x14ac:dyDescent="0.25">
      <c r="A10" s="26">
        <v>7</v>
      </c>
      <c r="B10" s="9"/>
      <c r="C10" s="12" t="s">
        <v>44</v>
      </c>
      <c r="D10" s="2" t="s">
        <v>11</v>
      </c>
      <c r="E10" s="6">
        <v>44141</v>
      </c>
      <c r="F10" s="9">
        <v>224442.44</v>
      </c>
      <c r="G10" s="9">
        <f t="shared" si="0"/>
        <v>47742.559999999998</v>
      </c>
      <c r="H10" s="7">
        <v>44141</v>
      </c>
      <c r="I10" s="32">
        <v>43951</v>
      </c>
      <c r="J10" s="38">
        <f t="shared" si="5"/>
        <v>43957</v>
      </c>
      <c r="K10" s="49">
        <f t="shared" si="6"/>
        <v>0</v>
      </c>
      <c r="L10" s="59">
        <f t="shared" si="9"/>
        <v>0</v>
      </c>
      <c r="M10" s="50">
        <f t="shared" si="2"/>
        <v>0</v>
      </c>
      <c r="N10" s="46" t="str">
        <f t="shared" si="8"/>
        <v/>
      </c>
      <c r="O10" s="85">
        <f t="shared" si="4"/>
        <v>10</v>
      </c>
      <c r="P10" s="53">
        <f>IF(G10=0,0,IF(AND(A10&lt;=A11,O10&gt;0),Get_KeyRate(H11),Get_KeyRate($N$1)))</f>
        <v>0</v>
      </c>
      <c r="Q10" s="54">
        <f t="shared" si="7"/>
        <v>0</v>
      </c>
      <c r="R10" s="14">
        <v>43519</v>
      </c>
      <c r="S10" s="15" t="s">
        <v>50</v>
      </c>
      <c r="T10" s="102">
        <f>'ЦАОП (итог)'!P10-'ЦАОП (0)'!P10</f>
        <v>0</v>
      </c>
    </row>
    <row r="11" spans="1:20" x14ac:dyDescent="0.25">
      <c r="A11" s="26">
        <v>8</v>
      </c>
      <c r="B11" s="9">
        <v>9488.9999999999982</v>
      </c>
      <c r="C11" s="12"/>
      <c r="D11" s="2"/>
      <c r="E11" s="6"/>
      <c r="F11" s="9"/>
      <c r="G11" s="9">
        <f t="shared" si="0"/>
        <v>9489</v>
      </c>
      <c r="H11" s="7"/>
      <c r="I11" s="32">
        <v>43951</v>
      </c>
      <c r="J11" s="38">
        <f t="shared" si="5"/>
        <v>43957</v>
      </c>
      <c r="K11" s="49">
        <f t="shared" si="6"/>
        <v>0</v>
      </c>
      <c r="L11" s="59">
        <f t="shared" si="9"/>
        <v>0</v>
      </c>
      <c r="M11" s="50">
        <f t="shared" si="2"/>
        <v>0</v>
      </c>
      <c r="N11" s="46" t="str">
        <f t="shared" si="8"/>
        <v>+</v>
      </c>
      <c r="O11" s="85">
        <f t="shared" si="4"/>
        <v>194</v>
      </c>
      <c r="P11" s="53">
        <f>IF(G11=0,0,IF(AND(A11&lt;=A12,O11&gt;0),Get_KeyRate(H12),Get_KeyRate($N$1)))</f>
        <v>5.5E-2</v>
      </c>
      <c r="Q11" s="54">
        <f t="shared" si="7"/>
        <v>337.49</v>
      </c>
      <c r="R11" s="16">
        <v>43532</v>
      </c>
      <c r="S11" s="95" t="s">
        <v>48</v>
      </c>
      <c r="T11" s="102">
        <f>'ЦАОП (итог)'!P11-'ЦАОП (0)'!P11</f>
        <v>-1.2499999999999997E-2</v>
      </c>
    </row>
    <row r="12" spans="1:20" ht="15" customHeight="1" x14ac:dyDescent="0.25">
      <c r="A12" s="26">
        <v>9</v>
      </c>
      <c r="B12" s="9">
        <v>3399442</v>
      </c>
      <c r="C12" s="12" t="s">
        <v>24</v>
      </c>
      <c r="D12" s="2" t="s">
        <v>11</v>
      </c>
      <c r="E12" s="6">
        <v>43993</v>
      </c>
      <c r="F12" s="9">
        <v>1674162</v>
      </c>
      <c r="G12" s="9">
        <f t="shared" si="0"/>
        <v>1725280</v>
      </c>
      <c r="H12" s="7">
        <v>43997</v>
      </c>
      <c r="I12" s="32">
        <v>44012</v>
      </c>
      <c r="J12" s="38">
        <f t="shared" si="5"/>
        <v>44013</v>
      </c>
      <c r="K12" s="49">
        <f t="shared" si="6"/>
        <v>0</v>
      </c>
      <c r="L12" s="59">
        <f t="shared" si="9"/>
        <v>0</v>
      </c>
      <c r="M12" s="50">
        <f t="shared" si="2"/>
        <v>0</v>
      </c>
      <c r="N12" s="46" t="str">
        <f t="shared" si="8"/>
        <v/>
      </c>
      <c r="O12" s="85">
        <f t="shared" si="4"/>
        <v>42</v>
      </c>
      <c r="P12" s="53">
        <f>IF(G12=0,0,IF(AND(A12&lt;=A13,O12&gt;0),Get_KeyRate(H13),Get_KeyRate($N$1)))</f>
        <v>4.2500000000000003E-2</v>
      </c>
      <c r="Q12" s="54">
        <f t="shared" si="7"/>
        <v>10265.42</v>
      </c>
      <c r="R12" s="16">
        <v>43533</v>
      </c>
      <c r="S12" s="95"/>
      <c r="T12" s="102">
        <f>'ЦАОП (итог)'!P12-'ЦАОП (0)'!P12</f>
        <v>0</v>
      </c>
    </row>
    <row r="13" spans="1:20" x14ac:dyDescent="0.25">
      <c r="A13" s="26">
        <v>9</v>
      </c>
      <c r="B13" s="9"/>
      <c r="C13" s="12" t="s">
        <v>25</v>
      </c>
      <c r="D13" s="2" t="s">
        <v>11</v>
      </c>
      <c r="E13" s="6">
        <v>44039</v>
      </c>
      <c r="F13" s="9">
        <v>1222496.3999999999</v>
      </c>
      <c r="G13" s="9">
        <f t="shared" si="0"/>
        <v>502783.6</v>
      </c>
      <c r="H13" s="7">
        <v>44039</v>
      </c>
      <c r="I13" s="32">
        <v>44012</v>
      </c>
      <c r="J13" s="38">
        <f t="shared" si="5"/>
        <v>44013</v>
      </c>
      <c r="K13" s="49">
        <f t="shared" si="6"/>
        <v>0</v>
      </c>
      <c r="L13" s="59">
        <f t="shared" si="9"/>
        <v>0</v>
      </c>
      <c r="M13" s="50">
        <f t="shared" si="2"/>
        <v>0</v>
      </c>
      <c r="N13" s="46" t="str">
        <f t="shared" si="8"/>
        <v/>
      </c>
      <c r="O13" s="85">
        <f t="shared" si="4"/>
        <v>29</v>
      </c>
      <c r="P13" s="53">
        <f>IF(G13=0,0,IF(AND(A13&lt;=A14,O13&gt;0),Get_KeyRate(H14),Get_KeyRate($N$1)))</f>
        <v>4.2500000000000003E-2</v>
      </c>
      <c r="Q13" s="54">
        <f t="shared" si="7"/>
        <v>2065.6</v>
      </c>
      <c r="R13" s="16">
        <v>43534</v>
      </c>
      <c r="S13" s="95"/>
      <c r="T13" s="102">
        <f>'ЦАОП (итог)'!P13-'ЦАОП (0)'!P13</f>
        <v>0</v>
      </c>
    </row>
    <row r="14" spans="1:20" x14ac:dyDescent="0.25">
      <c r="A14" s="26">
        <v>9</v>
      </c>
      <c r="B14" s="9"/>
      <c r="C14" s="12" t="s">
        <v>26</v>
      </c>
      <c r="D14" s="2" t="s">
        <v>11</v>
      </c>
      <c r="E14" s="7">
        <v>44063</v>
      </c>
      <c r="F14" s="9">
        <v>75850.59</v>
      </c>
      <c r="G14" s="9">
        <f t="shared" si="0"/>
        <v>426933.01</v>
      </c>
      <c r="H14" s="7">
        <v>44068</v>
      </c>
      <c r="I14" s="32">
        <v>44012</v>
      </c>
      <c r="J14" s="38">
        <f t="shared" si="5"/>
        <v>44013</v>
      </c>
      <c r="K14" s="49">
        <f t="shared" si="6"/>
        <v>0</v>
      </c>
      <c r="L14" s="59">
        <f t="shared" si="9"/>
        <v>0</v>
      </c>
      <c r="M14" s="50">
        <f t="shared" si="2"/>
        <v>0</v>
      </c>
      <c r="N14" s="46" t="str">
        <f t="shared" ref="N14:N77" si="10">IF(AND(E14=0,F14=0,H14=0),"+","")</f>
        <v/>
      </c>
      <c r="O14" s="85">
        <f t="shared" si="4"/>
        <v>31</v>
      </c>
      <c r="P14" s="53">
        <f>IF(G14=0,0,IF(AND(A14&lt;=A15,O14&gt;0),Get_KeyRate(H15),Get_KeyRate($N$1)))</f>
        <v>4.2500000000000003E-2</v>
      </c>
      <c r="Q14" s="54">
        <f t="shared" si="7"/>
        <v>1874.95</v>
      </c>
      <c r="R14" s="17">
        <v>43586</v>
      </c>
      <c r="S14" s="96" t="s">
        <v>49</v>
      </c>
      <c r="T14" s="102">
        <f>'ЦАОП (итог)'!P14-'ЦАОП (0)'!P14</f>
        <v>0</v>
      </c>
    </row>
    <row r="15" spans="1:20" ht="15" customHeight="1" x14ac:dyDescent="0.25">
      <c r="A15" s="26">
        <v>9</v>
      </c>
      <c r="B15" s="9"/>
      <c r="C15" s="12" t="s">
        <v>41</v>
      </c>
      <c r="D15" s="2" t="s">
        <v>11</v>
      </c>
      <c r="E15" s="6">
        <v>44099</v>
      </c>
      <c r="F15" s="9">
        <v>257509.2</v>
      </c>
      <c r="G15" s="9">
        <f t="shared" si="0"/>
        <v>169423.81</v>
      </c>
      <c r="H15" s="6">
        <v>44099</v>
      </c>
      <c r="I15" s="32">
        <v>44012</v>
      </c>
      <c r="J15" s="38">
        <f t="shared" si="5"/>
        <v>44013</v>
      </c>
      <c r="K15" s="49">
        <f t="shared" si="6"/>
        <v>0</v>
      </c>
      <c r="L15" s="59">
        <f t="shared" si="9"/>
        <v>0</v>
      </c>
      <c r="M15" s="50">
        <f t="shared" si="2"/>
        <v>0</v>
      </c>
      <c r="N15" s="46" t="str">
        <f t="shared" si="10"/>
        <v/>
      </c>
      <c r="O15" s="85">
        <f t="shared" si="4"/>
        <v>52</v>
      </c>
      <c r="P15" s="53">
        <f>IF(G15=0,0,IF(AND(A15&lt;=A16,O15&gt;0),Get_KeyRate(H16),Get_KeyRate($N$1)))</f>
        <v>4.2500000000000003E-2</v>
      </c>
      <c r="Q15" s="54">
        <f t="shared" si="7"/>
        <v>1248.0899999999999</v>
      </c>
      <c r="R15" s="17">
        <v>43587</v>
      </c>
      <c r="S15" s="96"/>
      <c r="T15" s="102">
        <f>'ЦАОП (итог)'!P15-'ЦАОП (0)'!P15</f>
        <v>0</v>
      </c>
    </row>
    <row r="16" spans="1:20" x14ac:dyDescent="0.25">
      <c r="A16" s="26">
        <v>10</v>
      </c>
      <c r="B16" s="9">
        <v>1133000</v>
      </c>
      <c r="C16" s="12" t="s">
        <v>27</v>
      </c>
      <c r="D16" s="2" t="s">
        <v>11</v>
      </c>
      <c r="E16" s="7">
        <v>44039</v>
      </c>
      <c r="F16" s="9">
        <v>411991.2</v>
      </c>
      <c r="G16" s="9">
        <f t="shared" si="0"/>
        <v>721008.8</v>
      </c>
      <c r="H16" s="7">
        <v>44039</v>
      </c>
      <c r="I16" s="32">
        <v>44012</v>
      </c>
      <c r="J16" s="38">
        <f t="shared" si="5"/>
        <v>44013</v>
      </c>
      <c r="K16" s="49">
        <f t="shared" si="6"/>
        <v>27</v>
      </c>
      <c r="L16" s="59">
        <f t="shared" si="9"/>
        <v>4333.7299999999996</v>
      </c>
      <c r="M16" s="50">
        <f t="shared" si="2"/>
        <v>4.2500000000000003E-2</v>
      </c>
      <c r="N16" s="46" t="str">
        <f t="shared" si="10"/>
        <v/>
      </c>
      <c r="O16" s="85">
        <f t="shared" si="4"/>
        <v>29</v>
      </c>
      <c r="P16" s="53">
        <f>IF(G16=0,0,IF(AND(A16&lt;=A17,O16&gt;0),Get_KeyRate(H17),Get_KeyRate($N$1)))</f>
        <v>4.2500000000000003E-2</v>
      </c>
      <c r="Q16" s="54">
        <f t="shared" si="7"/>
        <v>2962.14</v>
      </c>
      <c r="R16" s="17">
        <v>43588</v>
      </c>
      <c r="S16" s="96"/>
      <c r="T16" s="102">
        <f>'ЦАОП (итог)'!P16-'ЦАОП (0)'!P16</f>
        <v>0</v>
      </c>
    </row>
    <row r="17" spans="1:20" x14ac:dyDescent="0.25">
      <c r="A17" s="26">
        <v>10</v>
      </c>
      <c r="B17" s="9"/>
      <c r="C17" s="12" t="s">
        <v>28</v>
      </c>
      <c r="D17" s="2" t="s">
        <v>11</v>
      </c>
      <c r="E17" s="7">
        <v>44063</v>
      </c>
      <c r="F17" s="9">
        <v>367264.8</v>
      </c>
      <c r="G17" s="9">
        <f t="shared" si="0"/>
        <v>353744</v>
      </c>
      <c r="H17" s="7">
        <v>44068</v>
      </c>
      <c r="I17" s="32">
        <v>44012</v>
      </c>
      <c r="J17" s="38">
        <f t="shared" si="5"/>
        <v>44013</v>
      </c>
      <c r="K17" s="49">
        <f t="shared" si="6"/>
        <v>0</v>
      </c>
      <c r="L17" s="59">
        <f t="shared" si="9"/>
        <v>0</v>
      </c>
      <c r="M17" s="50">
        <f t="shared" si="2"/>
        <v>0</v>
      </c>
      <c r="N17" s="46" t="str">
        <f t="shared" si="10"/>
        <v/>
      </c>
      <c r="O17" s="85">
        <f t="shared" si="4"/>
        <v>31</v>
      </c>
      <c r="P17" s="53">
        <f>IF(G17=0,0,IF(AND(A17&lt;=A18,O17&gt;0),Get_KeyRate(H18),Get_KeyRate($N$1)))</f>
        <v>4.2500000000000003E-2</v>
      </c>
      <c r="Q17" s="54">
        <f t="shared" si="7"/>
        <v>1553.53</v>
      </c>
      <c r="R17" s="17">
        <v>43589</v>
      </c>
      <c r="S17" s="96"/>
      <c r="T17" s="102">
        <f>'ЦАОП (итог)'!P17-'ЦАОП (0)'!P17</f>
        <v>0</v>
      </c>
    </row>
    <row r="18" spans="1:20" x14ac:dyDescent="0.25">
      <c r="A18" s="26">
        <v>10</v>
      </c>
      <c r="B18" s="9"/>
      <c r="C18" s="12" t="s">
        <v>42</v>
      </c>
      <c r="D18" s="2" t="s">
        <v>11</v>
      </c>
      <c r="E18" s="6">
        <v>44099</v>
      </c>
      <c r="F18" s="9">
        <v>353744</v>
      </c>
      <c r="G18" s="9">
        <f t="shared" si="0"/>
        <v>0</v>
      </c>
      <c r="H18" s="6">
        <v>44099</v>
      </c>
      <c r="I18" s="32">
        <v>44012</v>
      </c>
      <c r="J18" s="38">
        <f t="shared" si="5"/>
        <v>44013</v>
      </c>
      <c r="K18" s="49">
        <f t="shared" si="6"/>
        <v>0</v>
      </c>
      <c r="L18" s="59">
        <f t="shared" si="9"/>
        <v>0</v>
      </c>
      <c r="M18" s="50">
        <f t="shared" si="2"/>
        <v>0</v>
      </c>
      <c r="N18" s="46" t="str">
        <f t="shared" si="10"/>
        <v/>
      </c>
      <c r="O18" s="85">
        <f t="shared" si="4"/>
        <v>0</v>
      </c>
      <c r="P18" s="53">
        <f>IF(G18=0,0,IF(AND(A18&lt;=A19,O18&gt;0),Get_KeyRate(H19),Get_KeyRate($N$1)))</f>
        <v>0</v>
      </c>
      <c r="Q18" s="54">
        <f t="shared" si="7"/>
        <v>0</v>
      </c>
      <c r="R18" s="17">
        <v>43590</v>
      </c>
      <c r="S18" s="96"/>
      <c r="T18" s="102">
        <f>'ЦАОП (итог)'!P18-'ЦАОП (0)'!P18</f>
        <v>0</v>
      </c>
    </row>
    <row r="19" spans="1:20" x14ac:dyDescent="0.25">
      <c r="A19" s="26">
        <v>11</v>
      </c>
      <c r="B19" s="9">
        <v>3004223</v>
      </c>
      <c r="C19" s="12" t="s">
        <v>29</v>
      </c>
      <c r="D19" s="2" t="s">
        <v>11</v>
      </c>
      <c r="E19" s="7">
        <v>43966</v>
      </c>
      <c r="F19" s="9">
        <v>842136</v>
      </c>
      <c r="G19" s="9">
        <f t="shared" si="0"/>
        <v>2162087</v>
      </c>
      <c r="H19" s="7">
        <v>43973</v>
      </c>
      <c r="I19" s="32">
        <v>44012</v>
      </c>
      <c r="J19" s="38">
        <f t="shared" si="5"/>
        <v>44013</v>
      </c>
      <c r="K19" s="49">
        <f t="shared" si="6"/>
        <v>0</v>
      </c>
      <c r="L19" s="59">
        <f t="shared" si="9"/>
        <v>0</v>
      </c>
      <c r="M19" s="50">
        <f t="shared" si="2"/>
        <v>0</v>
      </c>
      <c r="N19" s="46" t="str">
        <f t="shared" si="10"/>
        <v/>
      </c>
      <c r="O19" s="85">
        <f t="shared" si="4"/>
        <v>24</v>
      </c>
      <c r="P19" s="53">
        <f>IF(G19=0,0,IF(AND(A19&lt;=A20,O19&gt;0),Get_KeyRate(H20),Get_KeyRate($N$1)))</f>
        <v>5.5E-2</v>
      </c>
      <c r="Q19" s="54">
        <f t="shared" si="7"/>
        <v>9513.18</v>
      </c>
      <c r="R19" s="19">
        <v>43594</v>
      </c>
      <c r="S19" s="90" t="s">
        <v>51</v>
      </c>
      <c r="T19" s="102">
        <f>'ЦАОП (итог)'!P19-'ЦАОП (0)'!P19</f>
        <v>0</v>
      </c>
    </row>
    <row r="20" spans="1:20" x14ac:dyDescent="0.25">
      <c r="A20" s="26">
        <v>11</v>
      </c>
      <c r="B20" s="9"/>
      <c r="C20" s="12" t="s">
        <v>30</v>
      </c>
      <c r="D20" s="2" t="s">
        <v>11</v>
      </c>
      <c r="E20" s="7">
        <v>43993</v>
      </c>
      <c r="F20" s="9">
        <v>663872.4</v>
      </c>
      <c r="G20" s="9">
        <f t="shared" si="0"/>
        <v>1498214.6</v>
      </c>
      <c r="H20" s="7">
        <v>43997</v>
      </c>
      <c r="I20" s="32">
        <v>44012</v>
      </c>
      <c r="J20" s="38">
        <f t="shared" si="5"/>
        <v>44013</v>
      </c>
      <c r="K20" s="49">
        <f t="shared" si="6"/>
        <v>0</v>
      </c>
      <c r="L20" s="59">
        <f t="shared" si="9"/>
        <v>0</v>
      </c>
      <c r="M20" s="50">
        <f t="shared" si="2"/>
        <v>0</v>
      </c>
      <c r="N20" s="46" t="str">
        <f t="shared" si="10"/>
        <v/>
      </c>
      <c r="O20" s="85">
        <f t="shared" si="4"/>
        <v>42</v>
      </c>
      <c r="P20" s="53">
        <f>IF(G20=0,0,IF(AND(A20&lt;=A21,O20&gt;0),Get_KeyRate(H21),Get_KeyRate($N$1)))</f>
        <v>4.2500000000000003E-2</v>
      </c>
      <c r="Q20" s="54">
        <f t="shared" si="7"/>
        <v>8914.3799999999992</v>
      </c>
      <c r="R20" s="19">
        <v>43595</v>
      </c>
      <c r="S20" s="90"/>
      <c r="T20" s="102">
        <f>'ЦАОП (итог)'!P20-'ЦАОП (0)'!P20</f>
        <v>0</v>
      </c>
    </row>
    <row r="21" spans="1:20" x14ac:dyDescent="0.25">
      <c r="A21" s="26">
        <v>11</v>
      </c>
      <c r="B21" s="9"/>
      <c r="C21" s="12" t="s">
        <v>31</v>
      </c>
      <c r="D21" s="2" t="s">
        <v>11</v>
      </c>
      <c r="E21" s="7">
        <v>44039</v>
      </c>
      <c r="F21" s="9">
        <v>1112151.6000000001</v>
      </c>
      <c r="G21" s="9">
        <f t="shared" si="0"/>
        <v>386063</v>
      </c>
      <c r="H21" s="7">
        <v>44039</v>
      </c>
      <c r="I21" s="32">
        <v>44012</v>
      </c>
      <c r="J21" s="38">
        <f t="shared" si="5"/>
        <v>44013</v>
      </c>
      <c r="K21" s="49">
        <f t="shared" si="6"/>
        <v>0</v>
      </c>
      <c r="L21" s="59">
        <f t="shared" si="9"/>
        <v>0</v>
      </c>
      <c r="M21" s="50">
        <f t="shared" si="2"/>
        <v>0</v>
      </c>
      <c r="N21" s="46" t="str">
        <f t="shared" si="10"/>
        <v/>
      </c>
      <c r="O21" s="85">
        <f t="shared" si="4"/>
        <v>29</v>
      </c>
      <c r="P21" s="53">
        <f>IF(G21=0,0,IF(AND(A21&lt;=A22,O21&gt;0),Get_KeyRate(H22),Get_KeyRate($N$1)))</f>
        <v>4.2500000000000003E-2</v>
      </c>
      <c r="Q21" s="54">
        <f t="shared" si="7"/>
        <v>1586.08</v>
      </c>
      <c r="R21" s="19">
        <v>43596</v>
      </c>
      <c r="S21" s="90"/>
      <c r="T21" s="102">
        <f>'ЦАОП (итог)'!P21-'ЦАОП (0)'!P21</f>
        <v>0</v>
      </c>
    </row>
    <row r="22" spans="1:20" x14ac:dyDescent="0.25">
      <c r="A22" s="26">
        <v>11</v>
      </c>
      <c r="B22" s="9"/>
      <c r="C22" s="13" t="s">
        <v>32</v>
      </c>
      <c r="D22" s="2" t="s">
        <v>11</v>
      </c>
      <c r="E22" s="7">
        <v>44063</v>
      </c>
      <c r="F22" s="9">
        <v>308734.8</v>
      </c>
      <c r="G22" s="9">
        <f t="shared" si="0"/>
        <v>77328.2</v>
      </c>
      <c r="H22" s="7">
        <v>44068</v>
      </c>
      <c r="I22" s="32">
        <v>44012</v>
      </c>
      <c r="J22" s="38">
        <f t="shared" si="5"/>
        <v>44013</v>
      </c>
      <c r="K22" s="49">
        <f t="shared" si="6"/>
        <v>0</v>
      </c>
      <c r="L22" s="59">
        <f t="shared" si="9"/>
        <v>0</v>
      </c>
      <c r="M22" s="50">
        <f t="shared" si="2"/>
        <v>0</v>
      </c>
      <c r="N22" s="46" t="str">
        <f t="shared" si="10"/>
        <v/>
      </c>
      <c r="O22" s="85">
        <f t="shared" si="4"/>
        <v>31</v>
      </c>
      <c r="P22" s="53">
        <f>IF(G22=0,0,IF(AND(A22&lt;=A23,O22&gt;0),Get_KeyRate(H23),Get_KeyRate($N$1)))</f>
        <v>4.2500000000000003E-2</v>
      </c>
      <c r="Q22" s="54">
        <f t="shared" si="7"/>
        <v>339.6</v>
      </c>
      <c r="R22" s="19">
        <v>43597</v>
      </c>
      <c r="S22" s="90"/>
      <c r="T22" s="102">
        <f>'ЦАОП (итог)'!P22-'ЦАОП (0)'!P22</f>
        <v>0</v>
      </c>
    </row>
    <row r="23" spans="1:20" x14ac:dyDescent="0.25">
      <c r="A23" s="26">
        <v>11</v>
      </c>
      <c r="B23" s="9"/>
      <c r="C23" s="13" t="s">
        <v>32</v>
      </c>
      <c r="D23" s="2" t="s">
        <v>11</v>
      </c>
      <c r="E23" s="6">
        <v>44099</v>
      </c>
      <c r="F23" s="9">
        <v>75927.600000000006</v>
      </c>
      <c r="G23" s="9">
        <f t="shared" si="0"/>
        <v>1400.6</v>
      </c>
      <c r="H23" s="6">
        <v>44099</v>
      </c>
      <c r="I23" s="32">
        <v>44012</v>
      </c>
      <c r="J23" s="38">
        <f t="shared" si="5"/>
        <v>44013</v>
      </c>
      <c r="K23" s="49">
        <f t="shared" si="6"/>
        <v>0</v>
      </c>
      <c r="L23" s="59">
        <f t="shared" si="9"/>
        <v>0</v>
      </c>
      <c r="M23" s="50">
        <f t="shared" si="2"/>
        <v>0</v>
      </c>
      <c r="N23" s="46" t="str">
        <f t="shared" si="10"/>
        <v/>
      </c>
      <c r="O23" s="85">
        <f t="shared" si="4"/>
        <v>52</v>
      </c>
      <c r="P23" s="53">
        <f>IF(G23=0,0,IF(AND(A23&lt;=A24,O23&gt;0),Get_KeyRate(H24),Get_KeyRate($N$1)))</f>
        <v>4.2500000000000003E-2</v>
      </c>
      <c r="Q23" s="54">
        <f t="shared" si="7"/>
        <v>10.32</v>
      </c>
      <c r="R23" s="20">
        <v>43628</v>
      </c>
      <c r="S23" s="86" t="s">
        <v>54</v>
      </c>
      <c r="T23" s="102">
        <f>'ЦАОП (итог)'!P23-'ЦАОП (0)'!P23</f>
        <v>0</v>
      </c>
    </row>
    <row r="24" spans="1:20" x14ac:dyDescent="0.25">
      <c r="A24" s="26">
        <v>12</v>
      </c>
      <c r="B24" s="9">
        <v>428264.00000000006</v>
      </c>
      <c r="C24" s="12" t="s">
        <v>33</v>
      </c>
      <c r="D24" s="2" t="s">
        <v>11</v>
      </c>
      <c r="E24" s="7">
        <v>44063</v>
      </c>
      <c r="F24" s="9">
        <v>78234</v>
      </c>
      <c r="G24" s="9">
        <f t="shared" si="0"/>
        <v>350030</v>
      </c>
      <c r="H24" s="7">
        <v>44068</v>
      </c>
      <c r="I24" s="32">
        <v>44012</v>
      </c>
      <c r="J24" s="38">
        <f t="shared" si="5"/>
        <v>44013</v>
      </c>
      <c r="K24" s="49">
        <f t="shared" si="6"/>
        <v>56</v>
      </c>
      <c r="L24" s="59">
        <f t="shared" si="9"/>
        <v>3397.56</v>
      </c>
      <c r="M24" s="50">
        <f t="shared" si="2"/>
        <v>4.2500000000000003E-2</v>
      </c>
      <c r="N24" s="46" t="str">
        <f t="shared" si="10"/>
        <v/>
      </c>
      <c r="O24" s="85">
        <f t="shared" si="4"/>
        <v>31</v>
      </c>
      <c r="P24" s="53">
        <f>IF(G24=0,0,IF(AND(A24&lt;=A25,O24&gt;0),Get_KeyRate(H25),Get_KeyRate($N$1)))</f>
        <v>4.2500000000000003E-2</v>
      </c>
      <c r="Q24" s="54">
        <f t="shared" si="7"/>
        <v>1537.22</v>
      </c>
      <c r="R24" s="21">
        <v>43771</v>
      </c>
      <c r="S24" s="97" t="s">
        <v>52</v>
      </c>
      <c r="T24" s="102">
        <f>'ЦАОП (итог)'!P24-'ЦАОП (0)'!P24</f>
        <v>0</v>
      </c>
    </row>
    <row r="25" spans="1:20" ht="15" customHeight="1" x14ac:dyDescent="0.25">
      <c r="A25" s="26">
        <v>12</v>
      </c>
      <c r="B25" s="9"/>
      <c r="C25" s="12" t="s">
        <v>43</v>
      </c>
      <c r="D25" s="2" t="s">
        <v>11</v>
      </c>
      <c r="E25" s="6">
        <v>44099</v>
      </c>
      <c r="F25" s="9">
        <v>350030</v>
      </c>
      <c r="G25" s="9">
        <f t="shared" si="0"/>
        <v>0</v>
      </c>
      <c r="H25" s="6">
        <v>44099</v>
      </c>
      <c r="I25" s="32">
        <v>44012</v>
      </c>
      <c r="J25" s="38">
        <f t="shared" si="5"/>
        <v>44013</v>
      </c>
      <c r="K25" s="49">
        <f t="shared" si="6"/>
        <v>0</v>
      </c>
      <c r="L25" s="59">
        <f t="shared" si="9"/>
        <v>0</v>
      </c>
      <c r="M25" s="50">
        <f t="shared" si="2"/>
        <v>0</v>
      </c>
      <c r="N25" s="46" t="str">
        <f t="shared" si="10"/>
        <v/>
      </c>
      <c r="O25" s="85">
        <f t="shared" si="4"/>
        <v>0</v>
      </c>
      <c r="P25" s="53">
        <f>IF(G25=0,0,IF(AND(A25&lt;=A26,O25&gt;0),Get_KeyRate(H26),Get_KeyRate($N$1)))</f>
        <v>0</v>
      </c>
      <c r="Q25" s="54">
        <f t="shared" si="7"/>
        <v>0</v>
      </c>
      <c r="R25" s="21">
        <v>43772</v>
      </c>
      <c r="S25" s="97"/>
      <c r="T25" s="102">
        <f>'ЦАОП (итог)'!P25-'ЦАОП (0)'!P25</f>
        <v>0</v>
      </c>
    </row>
    <row r="26" spans="1:20" s="116" customFormat="1" x14ac:dyDescent="0.25">
      <c r="A26" s="103">
        <v>13</v>
      </c>
      <c r="B26" s="104">
        <v>728400</v>
      </c>
      <c r="C26" s="105"/>
      <c r="D26" s="106"/>
      <c r="E26" s="106"/>
      <c r="F26" s="104"/>
      <c r="G26" s="104">
        <f t="shared" si="0"/>
        <v>728400</v>
      </c>
      <c r="H26" s="106"/>
      <c r="I26" s="107">
        <v>44012</v>
      </c>
      <c r="J26" s="108">
        <f t="shared" si="5"/>
        <v>44013</v>
      </c>
      <c r="K26" s="109">
        <f t="shared" si="6"/>
        <v>0</v>
      </c>
      <c r="L26" s="104">
        <f t="shared" si="9"/>
        <v>0</v>
      </c>
      <c r="M26" s="110">
        <f t="shared" si="2"/>
        <v>0</v>
      </c>
      <c r="N26" s="111" t="str">
        <f t="shared" si="10"/>
        <v>+</v>
      </c>
      <c r="O26" s="112">
        <f t="shared" si="4"/>
        <v>138</v>
      </c>
      <c r="P26" s="113">
        <f>IF(G26=0,0,IF(AND(A26&lt;=A27,O26&gt;0),Get_KeyRate(H27),Get_KeyRate($N$1)))</f>
        <v>0</v>
      </c>
      <c r="Q26" s="114">
        <f t="shared" si="7"/>
        <v>0</v>
      </c>
      <c r="R26" s="115">
        <v>43773</v>
      </c>
      <c r="S26" s="97"/>
      <c r="T26" s="117">
        <f>'ЦАОП (итог)'!P26-'ЦАОП (0)'!P26</f>
        <v>4.2500000000000003E-2</v>
      </c>
    </row>
    <row r="27" spans="1:20" s="116" customFormat="1" x14ac:dyDescent="0.25">
      <c r="A27" s="103">
        <v>14</v>
      </c>
      <c r="B27" s="104">
        <v>278614</v>
      </c>
      <c r="C27" s="105"/>
      <c r="D27" s="106"/>
      <c r="E27" s="106"/>
      <c r="F27" s="104"/>
      <c r="G27" s="104">
        <f t="shared" si="0"/>
        <v>278614</v>
      </c>
      <c r="H27" s="106"/>
      <c r="I27" s="107">
        <v>44012</v>
      </c>
      <c r="J27" s="108">
        <f t="shared" si="5"/>
        <v>44013</v>
      </c>
      <c r="K27" s="109">
        <f t="shared" si="6"/>
        <v>0</v>
      </c>
      <c r="L27" s="104">
        <f t="shared" si="9"/>
        <v>0</v>
      </c>
      <c r="M27" s="110">
        <f t="shared" si="2"/>
        <v>0</v>
      </c>
      <c r="N27" s="111" t="str">
        <f t="shared" si="10"/>
        <v>+</v>
      </c>
      <c r="O27" s="112">
        <f t="shared" si="4"/>
        <v>138</v>
      </c>
      <c r="P27" s="113">
        <f>IF(G27=0,0,IF(AND(A27&lt;=A28,O27&gt;0),Get_KeyRate(H28),Get_KeyRate($N$1)))</f>
        <v>5.5E-2</v>
      </c>
      <c r="Q27" s="114">
        <f t="shared" si="7"/>
        <v>7048.93</v>
      </c>
      <c r="R27" s="115">
        <v>43831</v>
      </c>
      <c r="S27" s="94" t="s">
        <v>47</v>
      </c>
      <c r="T27" s="117">
        <f>'ЦАОП (итог)'!P27-'ЦАОП (0)'!P27</f>
        <v>-1.2499999999999997E-2</v>
      </c>
    </row>
    <row r="28" spans="1:20" x14ac:dyDescent="0.25">
      <c r="A28" s="26">
        <v>15</v>
      </c>
      <c r="B28" s="9">
        <v>1158016.9999999998</v>
      </c>
      <c r="C28" s="12" t="s">
        <v>34</v>
      </c>
      <c r="D28" s="2" t="s">
        <v>11</v>
      </c>
      <c r="E28" s="6">
        <v>43993</v>
      </c>
      <c r="F28" s="9">
        <v>172428</v>
      </c>
      <c r="G28" s="9">
        <f t="shared" si="0"/>
        <v>985589</v>
      </c>
      <c r="H28" s="7">
        <v>43997</v>
      </c>
      <c r="I28" s="32">
        <v>44012</v>
      </c>
      <c r="J28" s="38">
        <f t="shared" si="5"/>
        <v>44013</v>
      </c>
      <c r="K28" s="49">
        <f t="shared" si="6"/>
        <v>0</v>
      </c>
      <c r="L28" s="59">
        <f t="shared" si="9"/>
        <v>0</v>
      </c>
      <c r="M28" s="50">
        <f t="shared" si="2"/>
        <v>0</v>
      </c>
      <c r="N28" s="46" t="str">
        <f t="shared" si="10"/>
        <v/>
      </c>
      <c r="O28" s="85">
        <f t="shared" si="4"/>
        <v>144</v>
      </c>
      <c r="P28" s="53">
        <f>IF(G28=0,0,IF(AND(A28&lt;=A29,O28&gt;0),Get_KeyRate(H29),Get_KeyRate($N$1)))</f>
        <v>4.2500000000000003E-2</v>
      </c>
      <c r="Q28" s="54">
        <f t="shared" si="7"/>
        <v>20106.02</v>
      </c>
      <c r="R28" s="5">
        <v>43832</v>
      </c>
      <c r="S28" s="94"/>
      <c r="T28" s="102">
        <f>'ЦАОП (итог)'!P28-'ЦАОП (0)'!P28</f>
        <v>0</v>
      </c>
    </row>
    <row r="29" spans="1:20" x14ac:dyDescent="0.25">
      <c r="A29" s="26">
        <v>15</v>
      </c>
      <c r="B29" s="9"/>
      <c r="C29" s="12" t="s">
        <v>45</v>
      </c>
      <c r="D29" s="2" t="s">
        <v>11</v>
      </c>
      <c r="E29" s="6">
        <v>44141</v>
      </c>
      <c r="F29" s="9">
        <v>829850.76</v>
      </c>
      <c r="G29" s="9">
        <f t="shared" si="0"/>
        <v>155738.23999999999</v>
      </c>
      <c r="H29" s="6">
        <v>44141</v>
      </c>
      <c r="I29" s="32">
        <v>44012</v>
      </c>
      <c r="J29" s="38">
        <f t="shared" si="5"/>
        <v>44013</v>
      </c>
      <c r="K29" s="49">
        <f t="shared" si="6"/>
        <v>0</v>
      </c>
      <c r="L29" s="59">
        <f t="shared" si="9"/>
        <v>0</v>
      </c>
      <c r="M29" s="50">
        <f t="shared" si="2"/>
        <v>0</v>
      </c>
      <c r="N29" s="46" t="str">
        <f t="shared" si="10"/>
        <v/>
      </c>
      <c r="O29" s="85">
        <f t="shared" si="4"/>
        <v>10</v>
      </c>
      <c r="P29" s="53">
        <f>IF(G29=0,0,IF(AND(A29&lt;=A30,O29&gt;0),Get_KeyRate(H30),Get_KeyRate($N$1)))</f>
        <v>4.2500000000000003E-2</v>
      </c>
      <c r="Q29" s="54">
        <f t="shared" si="7"/>
        <v>220.63</v>
      </c>
      <c r="R29" s="5">
        <v>43833</v>
      </c>
      <c r="S29" s="94"/>
      <c r="T29" s="102">
        <f>'ЦАОП (итог)'!P29-'ЦАОП (0)'!P29</f>
        <v>0</v>
      </c>
    </row>
    <row r="30" spans="1:20" x14ac:dyDescent="0.25">
      <c r="A30" s="26">
        <v>16</v>
      </c>
      <c r="B30" s="9">
        <v>732344</v>
      </c>
      <c r="C30" s="12" t="s">
        <v>40</v>
      </c>
      <c r="D30" s="2" t="s">
        <v>11</v>
      </c>
      <c r="E30" s="6">
        <v>44099</v>
      </c>
      <c r="F30" s="9">
        <v>657691.19999999995</v>
      </c>
      <c r="G30" s="9">
        <f t="shared" si="0"/>
        <v>74652.800000000003</v>
      </c>
      <c r="H30" s="6">
        <v>44099</v>
      </c>
      <c r="I30" s="32">
        <v>44012</v>
      </c>
      <c r="J30" s="38">
        <f t="shared" si="5"/>
        <v>44013</v>
      </c>
      <c r="K30" s="49">
        <f t="shared" si="6"/>
        <v>87</v>
      </c>
      <c r="L30" s="59">
        <f t="shared" si="9"/>
        <v>9026.14</v>
      </c>
      <c r="M30" s="50">
        <f t="shared" si="2"/>
        <v>4.2500000000000003E-2</v>
      </c>
      <c r="N30" s="46" t="str">
        <f t="shared" si="10"/>
        <v/>
      </c>
      <c r="O30" s="85">
        <f t="shared" si="4"/>
        <v>86</v>
      </c>
      <c r="P30" s="53">
        <f>IF(G30=0,0,IF(AND(A30&lt;=A31,O30&gt;0),Get_KeyRate(H31),Get_KeyRate($N$1)))</f>
        <v>0</v>
      </c>
      <c r="Q30" s="54">
        <f t="shared" si="7"/>
        <v>0</v>
      </c>
      <c r="R30" s="5">
        <v>43834</v>
      </c>
      <c r="S30" s="94"/>
      <c r="T30" s="102">
        <f>'ЦАОП (итог)'!P30-'ЦАОП (0)'!P30</f>
        <v>0</v>
      </c>
    </row>
    <row r="31" spans="1:20" x14ac:dyDescent="0.25">
      <c r="A31" s="26">
        <v>17</v>
      </c>
      <c r="B31" s="9">
        <v>321117</v>
      </c>
      <c r="C31" s="12"/>
      <c r="D31" s="2"/>
      <c r="E31" s="2"/>
      <c r="F31" s="9"/>
      <c r="G31" s="9">
        <f t="shared" si="0"/>
        <v>321117</v>
      </c>
      <c r="H31" s="8"/>
      <c r="I31" s="32">
        <v>44012</v>
      </c>
      <c r="J31" s="38">
        <f t="shared" si="5"/>
        <v>44013</v>
      </c>
      <c r="K31" s="49">
        <f t="shared" si="6"/>
        <v>0</v>
      </c>
      <c r="L31" s="59">
        <f t="shared" si="9"/>
        <v>0</v>
      </c>
      <c r="M31" s="50">
        <f t="shared" si="2"/>
        <v>0</v>
      </c>
      <c r="N31" s="46" t="str">
        <f t="shared" si="10"/>
        <v>+</v>
      </c>
      <c r="O31" s="85">
        <f t="shared" si="4"/>
        <v>138</v>
      </c>
      <c r="P31" s="53">
        <f>IF(G31=0,0,IF(AND(A31&lt;=A32,O31&gt;0),Get_KeyRate(H32),Get_KeyRate($N$1)))</f>
        <v>4.2500000000000003E-2</v>
      </c>
      <c r="Q31" s="54">
        <f t="shared" si="7"/>
        <v>6277.84</v>
      </c>
      <c r="R31" s="5">
        <v>43835</v>
      </c>
      <c r="S31" s="94"/>
      <c r="T31" s="102">
        <f>'ЦАОП (итог)'!P31-'ЦАОП (0)'!P31</f>
        <v>0</v>
      </c>
    </row>
    <row r="32" spans="1:20" x14ac:dyDescent="0.25">
      <c r="A32" s="26">
        <v>18</v>
      </c>
      <c r="B32" s="9">
        <v>3575511</v>
      </c>
      <c r="C32" s="12" t="s">
        <v>3</v>
      </c>
      <c r="D32" s="2" t="s">
        <v>11</v>
      </c>
      <c r="E32" s="6">
        <v>44099</v>
      </c>
      <c r="F32" s="9">
        <v>25263.599999999999</v>
      </c>
      <c r="G32" s="9">
        <f t="shared" si="0"/>
        <v>3550247.4</v>
      </c>
      <c r="H32" s="6">
        <v>44099</v>
      </c>
      <c r="I32" s="32">
        <v>44043</v>
      </c>
      <c r="J32" s="38">
        <f t="shared" si="5"/>
        <v>44046</v>
      </c>
      <c r="K32" s="49">
        <f t="shared" si="6"/>
        <v>54</v>
      </c>
      <c r="L32" s="59">
        <f t="shared" si="9"/>
        <v>27352.66</v>
      </c>
      <c r="M32" s="50">
        <f t="shared" si="2"/>
        <v>4.2500000000000003E-2</v>
      </c>
      <c r="N32" s="46" t="str">
        <f t="shared" si="10"/>
        <v/>
      </c>
      <c r="O32" s="85">
        <f t="shared" si="4"/>
        <v>53</v>
      </c>
      <c r="P32" s="53">
        <f>IF(G32=0,0,IF(AND(A32&lt;=A33,O32&gt;0),Get_KeyRate(H33),Get_KeyRate($N$1)))</f>
        <v>0</v>
      </c>
      <c r="Q32" s="54">
        <f t="shared" si="7"/>
        <v>0</v>
      </c>
      <c r="R32" s="5">
        <v>43836</v>
      </c>
      <c r="S32" s="94"/>
      <c r="T32" s="102">
        <f>'ЦАОП (итог)'!P32-'ЦАОП (0)'!P32</f>
        <v>0</v>
      </c>
    </row>
    <row r="33" spans="1:20" x14ac:dyDescent="0.25">
      <c r="A33" s="26">
        <v>19</v>
      </c>
      <c r="B33" s="9">
        <v>1939736</v>
      </c>
      <c r="C33" s="12"/>
      <c r="D33" s="2"/>
      <c r="E33" s="2"/>
      <c r="F33" s="9"/>
      <c r="G33" s="9">
        <f t="shared" si="0"/>
        <v>1939736</v>
      </c>
      <c r="H33" s="8"/>
      <c r="I33" s="32">
        <v>44043</v>
      </c>
      <c r="J33" s="38">
        <f t="shared" si="5"/>
        <v>44046</v>
      </c>
      <c r="K33" s="49">
        <f t="shared" si="6"/>
        <v>0</v>
      </c>
      <c r="L33" s="59">
        <f t="shared" si="9"/>
        <v>0</v>
      </c>
      <c r="M33" s="50">
        <f t="shared" si="2"/>
        <v>0</v>
      </c>
      <c r="N33" s="46" t="str">
        <f t="shared" si="10"/>
        <v>+</v>
      </c>
      <c r="O33" s="85">
        <f t="shared" si="4"/>
        <v>105</v>
      </c>
      <c r="P33" s="53">
        <f>IF(G33=0,0,IF(AND(A33&lt;=A34,O33&gt;0),Get_KeyRate(H34),Get_KeyRate($N$1)))</f>
        <v>0</v>
      </c>
      <c r="Q33" s="54">
        <f t="shared" si="7"/>
        <v>0</v>
      </c>
      <c r="R33" s="5">
        <v>43837</v>
      </c>
      <c r="S33" s="94"/>
      <c r="T33" s="102">
        <f>'ЦАОП (итог)'!P33-'ЦАОП (0)'!P33</f>
        <v>4.2500000000000003E-2</v>
      </c>
    </row>
    <row r="34" spans="1:20" x14ac:dyDescent="0.25">
      <c r="A34" s="26">
        <v>20</v>
      </c>
      <c r="B34" s="9">
        <v>53707.000000000007</v>
      </c>
      <c r="C34" s="12"/>
      <c r="D34" s="2"/>
      <c r="E34" s="2"/>
      <c r="F34" s="9"/>
      <c r="G34" s="9">
        <f t="shared" si="0"/>
        <v>53707</v>
      </c>
      <c r="H34" s="8"/>
      <c r="I34" s="32">
        <v>44043</v>
      </c>
      <c r="J34" s="38">
        <f t="shared" si="5"/>
        <v>44046</v>
      </c>
      <c r="K34" s="49">
        <f t="shared" si="6"/>
        <v>0</v>
      </c>
      <c r="L34" s="59">
        <f t="shared" si="9"/>
        <v>0</v>
      </c>
      <c r="M34" s="50">
        <f t="shared" si="2"/>
        <v>0</v>
      </c>
      <c r="N34" s="46" t="str">
        <f t="shared" si="10"/>
        <v>+</v>
      </c>
      <c r="O34" s="85">
        <f t="shared" si="4"/>
        <v>105</v>
      </c>
      <c r="P34" s="53">
        <f>IF(G34=0,0,IF(AND(A34&lt;=A35,O34&gt;0),Get_KeyRate(H35),Get_KeyRate($N$1)))</f>
        <v>0</v>
      </c>
      <c r="Q34" s="54">
        <f t="shared" si="7"/>
        <v>0</v>
      </c>
      <c r="R34" s="5">
        <v>43838</v>
      </c>
      <c r="S34" s="94"/>
      <c r="T34" s="102">
        <f>'ЦАОП (итог)'!P34-'ЦАОП (0)'!P34</f>
        <v>4.2500000000000003E-2</v>
      </c>
    </row>
    <row r="35" spans="1:20" x14ac:dyDescent="0.25">
      <c r="A35" s="26">
        <v>21</v>
      </c>
      <c r="B35" s="9">
        <v>1089795</v>
      </c>
      <c r="C35" s="12"/>
      <c r="D35" s="2"/>
      <c r="E35" s="2"/>
      <c r="F35" s="9"/>
      <c r="G35" s="9">
        <f t="shared" si="0"/>
        <v>1089795</v>
      </c>
      <c r="H35" s="8"/>
      <c r="I35" s="32">
        <v>44074</v>
      </c>
      <c r="J35" s="38">
        <f t="shared" si="5"/>
        <v>44075</v>
      </c>
      <c r="K35" s="49">
        <f t="shared" si="6"/>
        <v>0</v>
      </c>
      <c r="L35" s="59">
        <f t="shared" si="9"/>
        <v>0</v>
      </c>
      <c r="M35" s="50">
        <f t="shared" si="2"/>
        <v>0</v>
      </c>
      <c r="N35" s="46" t="str">
        <f t="shared" si="10"/>
        <v>+</v>
      </c>
      <c r="O35" s="85">
        <f t="shared" si="4"/>
        <v>76</v>
      </c>
      <c r="P35" s="53">
        <f>IF(G35=0,0,IF(AND(A35&lt;=A36,O35&gt;0),Get_KeyRate(H36),Get_KeyRate($N$1)))</f>
        <v>0</v>
      </c>
      <c r="Q35" s="54">
        <f t="shared" si="7"/>
        <v>0</v>
      </c>
      <c r="R35" s="22">
        <v>43883</v>
      </c>
      <c r="S35" s="98" t="s">
        <v>50</v>
      </c>
      <c r="T35" s="102">
        <f>'ЦАОП (итог)'!P35-'ЦАОП (0)'!P35</f>
        <v>4.2500000000000003E-2</v>
      </c>
    </row>
    <row r="36" spans="1:20" x14ac:dyDescent="0.25">
      <c r="A36" s="26">
        <v>22</v>
      </c>
      <c r="B36" s="9">
        <v>726119</v>
      </c>
      <c r="C36" s="12"/>
      <c r="D36" s="2"/>
      <c r="E36" s="2"/>
      <c r="F36" s="9"/>
      <c r="G36" s="9">
        <f t="shared" si="0"/>
        <v>726119</v>
      </c>
      <c r="H36" s="8"/>
      <c r="I36" s="32">
        <v>44074</v>
      </c>
      <c r="J36" s="38">
        <f t="shared" si="5"/>
        <v>44075</v>
      </c>
      <c r="K36" s="49">
        <f t="shared" si="6"/>
        <v>0</v>
      </c>
      <c r="L36" s="59">
        <f t="shared" si="9"/>
        <v>0</v>
      </c>
      <c r="M36" s="50">
        <f t="shared" si="2"/>
        <v>0</v>
      </c>
      <c r="N36" s="46" t="str">
        <f t="shared" si="10"/>
        <v>+</v>
      </c>
      <c r="O36" s="85">
        <f t="shared" si="4"/>
        <v>76</v>
      </c>
      <c r="P36" s="53">
        <f>IF(G36=0,0,IF(AND(A36&lt;=A37,O36&gt;0),Get_KeyRate(H37),Get_KeyRate($N$1)))</f>
        <v>0</v>
      </c>
      <c r="Q36" s="54">
        <f t="shared" si="7"/>
        <v>0</v>
      </c>
      <c r="R36" s="22">
        <v>43884</v>
      </c>
      <c r="S36" s="98"/>
      <c r="T36" s="102">
        <f>'ЦАОП (итог)'!P36-'ЦАОП (0)'!P36</f>
        <v>4.2500000000000003E-2</v>
      </c>
    </row>
    <row r="37" spans="1:20" x14ac:dyDescent="0.25">
      <c r="A37" s="26">
        <v>23</v>
      </c>
      <c r="B37" s="9">
        <v>1386200</v>
      </c>
      <c r="C37" s="12"/>
      <c r="D37" s="2"/>
      <c r="E37" s="2"/>
      <c r="F37" s="9"/>
      <c r="G37" s="9">
        <f t="shared" si="0"/>
        <v>1386200</v>
      </c>
      <c r="H37" s="8"/>
      <c r="I37" s="32">
        <v>44074</v>
      </c>
      <c r="J37" s="38">
        <f t="shared" si="5"/>
        <v>44075</v>
      </c>
      <c r="K37" s="49">
        <f t="shared" si="6"/>
        <v>0</v>
      </c>
      <c r="L37" s="59">
        <f t="shared" si="9"/>
        <v>0</v>
      </c>
      <c r="M37" s="50">
        <f t="shared" si="2"/>
        <v>0</v>
      </c>
      <c r="N37" s="46" t="str">
        <f t="shared" si="10"/>
        <v>+</v>
      </c>
      <c r="O37" s="85">
        <f t="shared" si="4"/>
        <v>76</v>
      </c>
      <c r="P37" s="53">
        <f>IF(G37=0,0,IF(AND(A37&lt;=A38,O37&gt;0),Get_KeyRate(H38),Get_KeyRate($N$1)))</f>
        <v>4.2500000000000003E-2</v>
      </c>
      <c r="Q37" s="54">
        <f t="shared" si="7"/>
        <v>14924.75</v>
      </c>
      <c r="R37" s="22">
        <v>43885</v>
      </c>
      <c r="S37" s="98"/>
      <c r="T37" s="102">
        <f>'ЦАОП (итог)'!P37-'ЦАОП (0)'!P37</f>
        <v>0</v>
      </c>
    </row>
    <row r="38" spans="1:20" x14ac:dyDescent="0.25">
      <c r="A38" s="26">
        <v>24</v>
      </c>
      <c r="B38" s="9">
        <v>961895.00000000012</v>
      </c>
      <c r="C38" s="12" t="s">
        <v>5</v>
      </c>
      <c r="D38" s="2" t="s">
        <v>11</v>
      </c>
      <c r="E38" s="7">
        <v>44063</v>
      </c>
      <c r="F38" s="9">
        <v>163862.39999999999</v>
      </c>
      <c r="G38" s="9">
        <f t="shared" si="0"/>
        <v>798032.6</v>
      </c>
      <c r="H38" s="7">
        <v>44068</v>
      </c>
      <c r="I38" s="32">
        <v>44074</v>
      </c>
      <c r="J38" s="38">
        <f t="shared" si="5"/>
        <v>44075</v>
      </c>
      <c r="K38" s="49">
        <f t="shared" si="6"/>
        <v>0</v>
      </c>
      <c r="L38" s="59">
        <f t="shared" si="9"/>
        <v>0</v>
      </c>
      <c r="M38" s="50">
        <f t="shared" si="2"/>
        <v>0</v>
      </c>
      <c r="N38" s="46" t="str">
        <f t="shared" si="10"/>
        <v/>
      </c>
      <c r="O38" s="85">
        <f t="shared" si="4"/>
        <v>31</v>
      </c>
      <c r="P38" s="53">
        <f>IF(G38=0,0,IF(AND(A38&lt;=A39,O38&gt;0),Get_KeyRate(H39),Get_KeyRate($N$1)))</f>
        <v>4.2500000000000003E-2</v>
      </c>
      <c r="Q38" s="54">
        <f t="shared" si="7"/>
        <v>3504.69</v>
      </c>
      <c r="R38" s="16">
        <v>43897</v>
      </c>
      <c r="S38" s="95" t="s">
        <v>48</v>
      </c>
      <c r="T38" s="102">
        <f>'ЦАОП (итог)'!P38-'ЦАОП (0)'!P38</f>
        <v>0</v>
      </c>
    </row>
    <row r="39" spans="1:20" ht="15" customHeight="1" x14ac:dyDescent="0.25">
      <c r="A39" s="26">
        <v>24</v>
      </c>
      <c r="B39" s="9"/>
      <c r="C39" s="12" t="s">
        <v>4</v>
      </c>
      <c r="D39" s="2" t="s">
        <v>11</v>
      </c>
      <c r="E39" s="7">
        <v>44099</v>
      </c>
      <c r="F39" s="9">
        <v>94658.4</v>
      </c>
      <c r="G39" s="9">
        <f t="shared" si="0"/>
        <v>703374.2</v>
      </c>
      <c r="H39" s="7">
        <v>44099</v>
      </c>
      <c r="I39" s="32">
        <v>44074</v>
      </c>
      <c r="J39" s="38">
        <f t="shared" si="5"/>
        <v>44075</v>
      </c>
      <c r="K39" s="49">
        <f t="shared" si="6"/>
        <v>0</v>
      </c>
      <c r="L39" s="59">
        <f t="shared" si="9"/>
        <v>0</v>
      </c>
      <c r="M39" s="50">
        <f t="shared" si="2"/>
        <v>0</v>
      </c>
      <c r="N39" s="46" t="str">
        <f t="shared" si="10"/>
        <v/>
      </c>
      <c r="O39" s="85">
        <f t="shared" si="4"/>
        <v>52</v>
      </c>
      <c r="P39" s="53">
        <f>IF(G39=0,0,IF(AND(A39&lt;=A40,O39&gt;0),Get_KeyRate(H40),Get_KeyRate($N$1)))</f>
        <v>4.2500000000000003E-2</v>
      </c>
      <c r="Q39" s="54">
        <f t="shared" si="7"/>
        <v>5181.5200000000004</v>
      </c>
      <c r="R39" s="16">
        <v>43898</v>
      </c>
      <c r="S39" s="95"/>
      <c r="T39" s="102">
        <f>'ЦАОП (итог)'!P39-'ЦАОП (0)'!P39</f>
        <v>0</v>
      </c>
    </row>
    <row r="40" spans="1:20" x14ac:dyDescent="0.25">
      <c r="A40" s="26">
        <v>25</v>
      </c>
      <c r="B40" s="9">
        <v>2863205</v>
      </c>
      <c r="C40" s="12" t="s">
        <v>6</v>
      </c>
      <c r="D40" s="2" t="s">
        <v>11</v>
      </c>
      <c r="E40" s="7">
        <v>44099</v>
      </c>
      <c r="F40" s="9">
        <v>2751631.2</v>
      </c>
      <c r="G40" s="9">
        <f t="shared" si="0"/>
        <v>111573.8</v>
      </c>
      <c r="H40" s="7">
        <v>44099</v>
      </c>
      <c r="I40" s="32">
        <v>44074</v>
      </c>
      <c r="J40" s="38">
        <f t="shared" si="5"/>
        <v>44075</v>
      </c>
      <c r="K40" s="49">
        <f t="shared" si="6"/>
        <v>25</v>
      </c>
      <c r="L40" s="59">
        <f t="shared" si="9"/>
        <v>10140.52</v>
      </c>
      <c r="M40" s="50">
        <f t="shared" si="2"/>
        <v>4.2500000000000003E-2</v>
      </c>
      <c r="N40" s="46" t="str">
        <f t="shared" si="10"/>
        <v/>
      </c>
      <c r="O40" s="85">
        <f t="shared" si="4"/>
        <v>24</v>
      </c>
      <c r="P40" s="53">
        <f>IF(G40=0,0,IF(AND(A40&lt;=A41,O40&gt;0),Get_KeyRate(H41),Get_KeyRate($N$1)))</f>
        <v>0</v>
      </c>
      <c r="Q40" s="54">
        <f t="shared" si="7"/>
        <v>0</v>
      </c>
      <c r="R40" s="16">
        <v>43899</v>
      </c>
      <c r="S40" s="95"/>
      <c r="T40" s="102">
        <f>'ЦАОП (итог)'!P40-'ЦАОП (0)'!P40</f>
        <v>0</v>
      </c>
    </row>
    <row r="41" spans="1:20" x14ac:dyDescent="0.25">
      <c r="A41" s="26">
        <v>26</v>
      </c>
      <c r="B41" s="9">
        <v>132598</v>
      </c>
      <c r="C41" s="12"/>
      <c r="D41" s="2"/>
      <c r="E41" s="8"/>
      <c r="F41" s="9"/>
      <c r="G41" s="9">
        <f t="shared" si="0"/>
        <v>132598</v>
      </c>
      <c r="H41" s="8"/>
      <c r="I41" s="32">
        <v>44074</v>
      </c>
      <c r="J41" s="38">
        <f t="shared" si="5"/>
        <v>44075</v>
      </c>
      <c r="K41" s="49">
        <f t="shared" si="6"/>
        <v>0</v>
      </c>
      <c r="L41" s="59">
        <f t="shared" si="9"/>
        <v>0</v>
      </c>
      <c r="M41" s="50">
        <f t="shared" si="2"/>
        <v>0</v>
      </c>
      <c r="N41" s="46" t="str">
        <f t="shared" si="10"/>
        <v>+</v>
      </c>
      <c r="O41" s="85">
        <f t="shared" si="4"/>
        <v>76</v>
      </c>
      <c r="P41" s="53">
        <f>IF(G41=0,0,IF(AND(A41&lt;=A42,O41&gt;0),Get_KeyRate(H42),Get_KeyRate($N$1)))</f>
        <v>0</v>
      </c>
      <c r="Q41" s="54">
        <f t="shared" si="7"/>
        <v>0</v>
      </c>
      <c r="S41" s="18">
        <v>43918</v>
      </c>
      <c r="T41" s="102">
        <f>'ЦАОП (итог)'!P41-'ЦАОП (0)'!P41</f>
        <v>4.2500000000000003E-2</v>
      </c>
    </row>
    <row r="42" spans="1:20" x14ac:dyDescent="0.25">
      <c r="A42" s="26">
        <v>27</v>
      </c>
      <c r="B42" s="9">
        <v>520685.99999999994</v>
      </c>
      <c r="C42" s="12"/>
      <c r="D42" s="2"/>
      <c r="E42" s="8"/>
      <c r="F42" s="9"/>
      <c r="G42" s="9">
        <f t="shared" si="0"/>
        <v>520686</v>
      </c>
      <c r="H42" s="8"/>
      <c r="I42" s="32">
        <v>44074</v>
      </c>
      <c r="J42" s="38">
        <f t="shared" si="5"/>
        <v>44075</v>
      </c>
      <c r="K42" s="49">
        <f t="shared" si="6"/>
        <v>0</v>
      </c>
      <c r="L42" s="59">
        <f t="shared" si="9"/>
        <v>0</v>
      </c>
      <c r="M42" s="50">
        <f t="shared" si="2"/>
        <v>0</v>
      </c>
      <c r="N42" s="46" t="str">
        <f t="shared" si="10"/>
        <v>+</v>
      </c>
      <c r="O42" s="85">
        <f t="shared" si="4"/>
        <v>76</v>
      </c>
      <c r="P42" s="53">
        <f>IF(G42=0,0,IF(AND(A42&lt;=A43,O42&gt;0),Get_KeyRate(H43),Get_KeyRate($N$1)))</f>
        <v>0</v>
      </c>
      <c r="Q42" s="54">
        <f t="shared" si="7"/>
        <v>0</v>
      </c>
      <c r="S42" s="18">
        <v>43919</v>
      </c>
      <c r="T42" s="102">
        <f>'ЦАОП (итог)'!P42-'ЦАОП (0)'!P42</f>
        <v>4.2500000000000003E-2</v>
      </c>
    </row>
    <row r="43" spans="1:20" x14ac:dyDescent="0.25">
      <c r="A43" s="26">
        <v>28</v>
      </c>
      <c r="B43" s="9">
        <v>488182.00000000006</v>
      </c>
      <c r="C43" s="12"/>
      <c r="D43" s="2"/>
      <c r="E43" s="8"/>
      <c r="F43" s="9"/>
      <c r="G43" s="9">
        <f t="shared" si="0"/>
        <v>488182</v>
      </c>
      <c r="H43" s="8"/>
      <c r="I43" s="32">
        <v>44074</v>
      </c>
      <c r="J43" s="38">
        <f t="shared" si="5"/>
        <v>44075</v>
      </c>
      <c r="K43" s="49">
        <f t="shared" si="6"/>
        <v>0</v>
      </c>
      <c r="L43" s="59">
        <f t="shared" si="9"/>
        <v>0</v>
      </c>
      <c r="M43" s="50">
        <f t="shared" si="2"/>
        <v>0</v>
      </c>
      <c r="N43" s="46" t="str">
        <f t="shared" si="10"/>
        <v>+</v>
      </c>
      <c r="O43" s="85">
        <f t="shared" si="4"/>
        <v>76</v>
      </c>
      <c r="P43" s="53">
        <f>IF(G43=0,0,IF(AND(A43&lt;=A44,O43&gt;0),Get_KeyRate(H44),Get_KeyRate($N$1)))</f>
        <v>4.2500000000000003E-2</v>
      </c>
      <c r="Q43" s="54">
        <f t="shared" si="7"/>
        <v>5256.09</v>
      </c>
      <c r="S43" s="18">
        <v>43920</v>
      </c>
      <c r="T43" s="102">
        <f>'ЦАОП (итог)'!P43-'ЦАОП (0)'!P43</f>
        <v>0</v>
      </c>
    </row>
    <row r="44" spans="1:20" x14ac:dyDescent="0.25">
      <c r="A44" s="26">
        <v>29</v>
      </c>
      <c r="B44" s="9">
        <v>249138</v>
      </c>
      <c r="C44" s="12" t="s">
        <v>35</v>
      </c>
      <c r="D44" s="2" t="s">
        <v>11</v>
      </c>
      <c r="E44" s="7">
        <v>44063</v>
      </c>
      <c r="F44" s="9">
        <v>227139.6</v>
      </c>
      <c r="G44" s="9">
        <f t="shared" si="0"/>
        <v>21998.400000000001</v>
      </c>
      <c r="H44" s="7">
        <v>44068</v>
      </c>
      <c r="I44" s="32">
        <v>44074</v>
      </c>
      <c r="J44" s="38">
        <f t="shared" si="5"/>
        <v>44075</v>
      </c>
      <c r="K44" s="49">
        <f t="shared" si="6"/>
        <v>0</v>
      </c>
      <c r="L44" s="59">
        <f t="shared" si="9"/>
        <v>0</v>
      </c>
      <c r="M44" s="50">
        <f t="shared" si="2"/>
        <v>0</v>
      </c>
      <c r="N44" s="46" t="str">
        <f t="shared" si="10"/>
        <v/>
      </c>
      <c r="O44" s="85">
        <f t="shared" si="4"/>
        <v>73</v>
      </c>
      <c r="P44" s="53">
        <f>IF(G44=0,0,IF(AND(A44&lt;=A45,O44&gt;0),Get_KeyRate(H45),Get_KeyRate($N$1)))</f>
        <v>4.2500000000000003E-2</v>
      </c>
      <c r="Q44" s="54">
        <f t="shared" si="7"/>
        <v>227.5</v>
      </c>
      <c r="S44" s="18">
        <v>43921</v>
      </c>
      <c r="T44" s="102">
        <f>'ЦАОП (итог)'!P44-'ЦАОП (0)'!P44</f>
        <v>0</v>
      </c>
    </row>
    <row r="45" spans="1:20" x14ac:dyDescent="0.25">
      <c r="A45" s="26">
        <v>29</v>
      </c>
      <c r="B45" s="9"/>
      <c r="C45" s="12" t="s">
        <v>7</v>
      </c>
      <c r="D45" s="2" t="s">
        <v>11</v>
      </c>
      <c r="E45" s="7">
        <v>44141</v>
      </c>
      <c r="F45" s="9">
        <v>17653.5</v>
      </c>
      <c r="G45" s="9">
        <f t="shared" si="0"/>
        <v>4344.8999999999996</v>
      </c>
      <c r="H45" s="7">
        <v>44141</v>
      </c>
      <c r="I45" s="32">
        <v>44074</v>
      </c>
      <c r="J45" s="38">
        <f t="shared" si="5"/>
        <v>44075</v>
      </c>
      <c r="K45" s="49">
        <f t="shared" si="6"/>
        <v>0</v>
      </c>
      <c r="L45" s="59">
        <f t="shared" si="9"/>
        <v>0</v>
      </c>
      <c r="M45" s="50">
        <f t="shared" si="2"/>
        <v>0</v>
      </c>
      <c r="N45" s="46" t="str">
        <f t="shared" si="10"/>
        <v/>
      </c>
      <c r="O45" s="85">
        <f t="shared" si="4"/>
        <v>10</v>
      </c>
      <c r="P45" s="53">
        <f>IF(G45=0,0,IF(AND(A45&lt;=A46,O45&gt;0),Get_KeyRate(H46),Get_KeyRate($N$1)))</f>
        <v>0</v>
      </c>
      <c r="Q45" s="54">
        <f t="shared" si="7"/>
        <v>0</v>
      </c>
      <c r="S45" s="18">
        <v>43922</v>
      </c>
      <c r="T45" s="102">
        <f>'ЦАОП (итог)'!P45-'ЦАОП (0)'!P45</f>
        <v>0</v>
      </c>
    </row>
    <row r="46" spans="1:20" x14ac:dyDescent="0.25">
      <c r="A46" s="26">
        <v>30</v>
      </c>
      <c r="B46" s="9">
        <v>46809</v>
      </c>
      <c r="C46" s="12"/>
      <c r="D46" s="2"/>
      <c r="E46" s="8"/>
      <c r="F46" s="9"/>
      <c r="G46" s="9">
        <f t="shared" si="0"/>
        <v>46809</v>
      </c>
      <c r="H46" s="8"/>
      <c r="I46" s="32">
        <v>44074</v>
      </c>
      <c r="J46" s="38">
        <f t="shared" si="5"/>
        <v>44075</v>
      </c>
      <c r="K46" s="49">
        <f t="shared" si="6"/>
        <v>0</v>
      </c>
      <c r="L46" s="59">
        <f t="shared" si="9"/>
        <v>0</v>
      </c>
      <c r="M46" s="50">
        <f t="shared" si="2"/>
        <v>0</v>
      </c>
      <c r="N46" s="46" t="str">
        <f t="shared" si="10"/>
        <v>+</v>
      </c>
      <c r="O46" s="85">
        <f t="shared" si="4"/>
        <v>76</v>
      </c>
      <c r="P46" s="53">
        <f>IF(G46=0,0,IF(AND(A46&lt;=A47,O46&gt;0),Get_KeyRate(H47),Get_KeyRate($N$1)))</f>
        <v>0</v>
      </c>
      <c r="Q46" s="54">
        <f t="shared" si="7"/>
        <v>0</v>
      </c>
      <c r="S46" s="18">
        <v>43923</v>
      </c>
      <c r="T46" s="102">
        <f>'ЦАОП (итог)'!P46-'ЦАОП (0)'!P46</f>
        <v>4.2500000000000003E-2</v>
      </c>
    </row>
    <row r="47" spans="1:20" x14ac:dyDescent="0.25">
      <c r="A47" s="26">
        <v>31</v>
      </c>
      <c r="B47" s="9">
        <v>3905532</v>
      </c>
      <c r="C47" s="12"/>
      <c r="D47" s="2"/>
      <c r="E47" s="8"/>
      <c r="F47" s="9"/>
      <c r="G47" s="9">
        <f t="shared" si="0"/>
        <v>3905532</v>
      </c>
      <c r="H47" s="8"/>
      <c r="I47" s="32">
        <v>44104</v>
      </c>
      <c r="J47" s="38">
        <f t="shared" si="5"/>
        <v>44105</v>
      </c>
      <c r="K47" s="49">
        <f t="shared" si="6"/>
        <v>0</v>
      </c>
      <c r="L47" s="59">
        <f t="shared" si="9"/>
        <v>0</v>
      </c>
      <c r="M47" s="50">
        <f t="shared" si="2"/>
        <v>0</v>
      </c>
      <c r="N47" s="46" t="str">
        <f t="shared" si="10"/>
        <v>+</v>
      </c>
      <c r="O47" s="85">
        <f t="shared" si="4"/>
        <v>46</v>
      </c>
      <c r="P47" s="53">
        <f>IF(G47=0,0,IF(AND(A47&lt;=A48,O47&gt;0),Get_KeyRate(H48),Get_KeyRate($N$1)))</f>
        <v>0</v>
      </c>
      <c r="Q47" s="54">
        <f t="shared" si="7"/>
        <v>0</v>
      </c>
      <c r="S47" s="18">
        <v>43924</v>
      </c>
      <c r="T47" s="102">
        <f>'ЦАОП (итог)'!P47-'ЦАОП (0)'!P47</f>
        <v>4.2500000000000003E-2</v>
      </c>
    </row>
    <row r="48" spans="1:20" x14ac:dyDescent="0.25">
      <c r="A48" s="26">
        <v>32</v>
      </c>
      <c r="B48" s="9">
        <v>2742453.9999999995</v>
      </c>
      <c r="C48" s="12"/>
      <c r="D48" s="2"/>
      <c r="E48" s="8"/>
      <c r="F48" s="9"/>
      <c r="G48" s="9">
        <f t="shared" si="0"/>
        <v>2742454</v>
      </c>
      <c r="H48" s="8"/>
      <c r="I48" s="32">
        <v>44104</v>
      </c>
      <c r="J48" s="38">
        <f t="shared" si="5"/>
        <v>44105</v>
      </c>
      <c r="K48" s="49">
        <f t="shared" si="6"/>
        <v>0</v>
      </c>
      <c r="L48" s="59">
        <f t="shared" si="9"/>
        <v>0</v>
      </c>
      <c r="M48" s="50">
        <f t="shared" si="2"/>
        <v>0</v>
      </c>
      <c r="N48" s="46" t="str">
        <f t="shared" si="10"/>
        <v>+</v>
      </c>
      <c r="O48" s="85">
        <f t="shared" si="4"/>
        <v>46</v>
      </c>
      <c r="P48" s="53">
        <f>IF(G48=0,0,IF(AND(A48&lt;=A49,O48&gt;0),Get_KeyRate(H49),Get_KeyRate($N$1)))</f>
        <v>4.2500000000000003E-2</v>
      </c>
      <c r="Q48" s="54">
        <f t="shared" si="7"/>
        <v>17871.66</v>
      </c>
      <c r="S48" s="18">
        <v>43925</v>
      </c>
      <c r="T48" s="102">
        <f>'ЦАОП (итог)'!P48-'ЦАОП (0)'!P48</f>
        <v>0</v>
      </c>
    </row>
    <row r="49" spans="1:20" x14ac:dyDescent="0.25">
      <c r="A49" s="26">
        <v>33</v>
      </c>
      <c r="B49" s="9">
        <v>92166</v>
      </c>
      <c r="C49" s="12" t="s">
        <v>8</v>
      </c>
      <c r="D49" s="2" t="s">
        <v>11</v>
      </c>
      <c r="E49" s="7">
        <v>44141</v>
      </c>
      <c r="F49" s="9">
        <v>92166</v>
      </c>
      <c r="G49" s="9">
        <f t="shared" si="0"/>
        <v>0</v>
      </c>
      <c r="H49" s="7">
        <v>44141</v>
      </c>
      <c r="I49" s="32">
        <v>44104</v>
      </c>
      <c r="J49" s="38">
        <f t="shared" si="5"/>
        <v>44105</v>
      </c>
      <c r="K49" s="49">
        <f t="shared" si="6"/>
        <v>37</v>
      </c>
      <c r="L49" s="59">
        <f t="shared" si="9"/>
        <v>483.1</v>
      </c>
      <c r="M49" s="50">
        <f t="shared" si="2"/>
        <v>4.2500000000000003E-2</v>
      </c>
      <c r="N49" s="46" t="str">
        <f t="shared" si="10"/>
        <v/>
      </c>
      <c r="O49" s="85">
        <f t="shared" si="4"/>
        <v>0</v>
      </c>
      <c r="P49" s="53">
        <f>IF(G49=0,0,IF(AND(A49&lt;=A50,O49&gt;0),Get_KeyRate(H50),Get_KeyRate($N$1)))</f>
        <v>0</v>
      </c>
      <c r="Q49" s="54">
        <f t="shared" si="7"/>
        <v>0</v>
      </c>
      <c r="S49" s="18">
        <v>43926</v>
      </c>
      <c r="T49" s="102">
        <f>'ЦАОП (итог)'!P49-'ЦАОП (0)'!P49</f>
        <v>0</v>
      </c>
    </row>
    <row r="50" spans="1:20" x14ac:dyDescent="0.25">
      <c r="A50" s="26">
        <v>34</v>
      </c>
      <c r="B50" s="9">
        <v>1239826.9999999998</v>
      </c>
      <c r="C50" s="12" t="s">
        <v>9</v>
      </c>
      <c r="D50" s="2" t="s">
        <v>11</v>
      </c>
      <c r="E50" s="7">
        <v>44141</v>
      </c>
      <c r="F50" s="9">
        <v>918350.84</v>
      </c>
      <c r="G50" s="9">
        <f t="shared" si="0"/>
        <v>321476.15999999997</v>
      </c>
      <c r="H50" s="7">
        <v>44141</v>
      </c>
      <c r="I50" s="32">
        <v>44104</v>
      </c>
      <c r="J50" s="38">
        <f t="shared" si="5"/>
        <v>44105</v>
      </c>
      <c r="K50" s="49">
        <f t="shared" si="6"/>
        <v>37</v>
      </c>
      <c r="L50" s="59">
        <f t="shared" si="9"/>
        <v>6498.76</v>
      </c>
      <c r="M50" s="50">
        <f t="shared" si="2"/>
        <v>4.2500000000000003E-2</v>
      </c>
      <c r="N50" s="46" t="str">
        <f t="shared" si="10"/>
        <v/>
      </c>
      <c r="O50" s="85">
        <f t="shared" si="4"/>
        <v>36</v>
      </c>
      <c r="P50" s="53">
        <f>IF(G50=0,0,IF(AND(A50&lt;=A51,O50&gt;0),Get_KeyRate(H51),Get_KeyRate($N$1)))</f>
        <v>0</v>
      </c>
      <c r="Q50" s="54">
        <f t="shared" si="7"/>
        <v>0</v>
      </c>
      <c r="S50" s="18">
        <v>43927</v>
      </c>
      <c r="T50" s="102">
        <f>'ЦАОП (итог)'!P50-'ЦАОП (0)'!P50</f>
        <v>0</v>
      </c>
    </row>
    <row r="51" spans="1:20" x14ac:dyDescent="0.25">
      <c r="A51" s="26">
        <v>35</v>
      </c>
      <c r="B51" s="9">
        <v>1268541</v>
      </c>
      <c r="C51" s="12"/>
      <c r="D51" s="2"/>
      <c r="E51" s="8"/>
      <c r="F51" s="9"/>
      <c r="G51" s="9">
        <f t="shared" si="0"/>
        <v>1268541</v>
      </c>
      <c r="H51" s="8"/>
      <c r="I51" s="32">
        <v>44104</v>
      </c>
      <c r="J51" s="38">
        <f t="shared" si="5"/>
        <v>44105</v>
      </c>
      <c r="K51" s="49">
        <f t="shared" si="6"/>
        <v>0</v>
      </c>
      <c r="L51" s="59">
        <f t="shared" si="9"/>
        <v>0</v>
      </c>
      <c r="M51" s="50">
        <f t="shared" si="2"/>
        <v>0</v>
      </c>
      <c r="N51" s="46" t="str">
        <f t="shared" si="10"/>
        <v>+</v>
      </c>
      <c r="O51" s="85">
        <f t="shared" si="4"/>
        <v>46</v>
      </c>
      <c r="P51" s="53">
        <f>IF(G51=0,0,IF(AND(A51&lt;=A52,O51&gt;0),Get_KeyRate(H52),Get_KeyRate($N$1)))</f>
        <v>4.2500000000000003E-2</v>
      </c>
      <c r="Q51" s="54">
        <f t="shared" si="7"/>
        <v>8266.66</v>
      </c>
      <c r="S51" s="18">
        <v>43928</v>
      </c>
      <c r="T51" s="102">
        <f>'ЦАОП (итог)'!P51-'ЦАОП (0)'!P51</f>
        <v>0</v>
      </c>
    </row>
    <row r="52" spans="1:20" x14ac:dyDescent="0.25">
      <c r="A52" s="26">
        <v>36</v>
      </c>
      <c r="B52" s="9">
        <v>565450</v>
      </c>
      <c r="C52" s="12" t="s">
        <v>36</v>
      </c>
      <c r="D52" s="2" t="s">
        <v>11</v>
      </c>
      <c r="E52" s="7">
        <v>44063</v>
      </c>
      <c r="F52" s="9">
        <v>248911.2</v>
      </c>
      <c r="G52" s="9">
        <f t="shared" si="0"/>
        <v>316538.8</v>
      </c>
      <c r="H52" s="7">
        <v>44068</v>
      </c>
      <c r="I52" s="32">
        <v>44104</v>
      </c>
      <c r="J52" s="38">
        <f t="shared" si="5"/>
        <v>44105</v>
      </c>
      <c r="K52" s="49">
        <f t="shared" si="6"/>
        <v>0</v>
      </c>
      <c r="L52" s="59">
        <f t="shared" si="9"/>
        <v>0</v>
      </c>
      <c r="M52" s="50">
        <f t="shared" si="2"/>
        <v>0</v>
      </c>
      <c r="N52" s="46" t="str">
        <f t="shared" si="10"/>
        <v/>
      </c>
      <c r="O52" s="85">
        <f t="shared" si="4"/>
        <v>73</v>
      </c>
      <c r="P52" s="53">
        <f>IF(G52=0,0,IF(AND(A52&lt;=A53,O52&gt;0),Get_KeyRate(H53),Get_KeyRate($N$1)))</f>
        <v>4.2500000000000003E-2</v>
      </c>
      <c r="Q52" s="54">
        <f t="shared" si="7"/>
        <v>3273.54</v>
      </c>
      <c r="S52" s="18">
        <v>43929</v>
      </c>
      <c r="T52" s="102">
        <f>'ЦАОП (итог)'!P52-'ЦАОП (0)'!P52</f>
        <v>0</v>
      </c>
    </row>
    <row r="53" spans="1:20" x14ac:dyDescent="0.25">
      <c r="A53" s="26">
        <v>36</v>
      </c>
      <c r="B53" s="9"/>
      <c r="C53" s="12" t="s">
        <v>46</v>
      </c>
      <c r="D53" s="2" t="s">
        <v>11</v>
      </c>
      <c r="E53" s="7">
        <v>44141</v>
      </c>
      <c r="F53" s="9">
        <v>314161.68</v>
      </c>
      <c r="G53" s="9">
        <f t="shared" si="0"/>
        <v>2377.12</v>
      </c>
      <c r="H53" s="7">
        <v>44141</v>
      </c>
      <c r="I53" s="32">
        <v>44104</v>
      </c>
      <c r="J53" s="38">
        <f t="shared" si="5"/>
        <v>44105</v>
      </c>
      <c r="K53" s="49">
        <f t="shared" si="6"/>
        <v>0</v>
      </c>
      <c r="L53" s="59">
        <f t="shared" si="9"/>
        <v>0</v>
      </c>
      <c r="M53" s="50">
        <f t="shared" si="2"/>
        <v>0</v>
      </c>
      <c r="N53" s="46" t="str">
        <f t="shared" si="10"/>
        <v/>
      </c>
      <c r="O53" s="85">
        <f t="shared" si="4"/>
        <v>10</v>
      </c>
      <c r="P53" s="53">
        <f>IF(G53=0,0,IF(AND(A53&lt;=A54,O53&gt;0),Get_KeyRate(H54),Get_KeyRate($N$1)))</f>
        <v>0</v>
      </c>
      <c r="Q53" s="54">
        <f t="shared" si="7"/>
        <v>0</v>
      </c>
      <c r="S53" s="18">
        <v>43930</v>
      </c>
      <c r="T53" s="102">
        <f>'ЦАОП (итог)'!P53-'ЦАОП (0)'!P53</f>
        <v>0</v>
      </c>
    </row>
    <row r="54" spans="1:20" x14ac:dyDescent="0.25">
      <c r="A54" s="26">
        <v>37</v>
      </c>
      <c r="B54" s="9">
        <v>2349763</v>
      </c>
      <c r="C54" s="12"/>
      <c r="D54" s="2"/>
      <c r="E54" s="2"/>
      <c r="F54" s="9"/>
      <c r="G54" s="9">
        <f t="shared" si="0"/>
        <v>2349763</v>
      </c>
      <c r="H54" s="8"/>
      <c r="I54" s="32">
        <v>44104</v>
      </c>
      <c r="J54" s="38">
        <f t="shared" si="5"/>
        <v>44105</v>
      </c>
      <c r="K54" s="49">
        <f t="shared" si="6"/>
        <v>0</v>
      </c>
      <c r="L54" s="59">
        <f t="shared" si="9"/>
        <v>0</v>
      </c>
      <c r="M54" s="50">
        <f t="shared" si="2"/>
        <v>0</v>
      </c>
      <c r="N54" s="46" t="str">
        <f t="shared" si="10"/>
        <v>+</v>
      </c>
      <c r="O54" s="85">
        <f t="shared" si="4"/>
        <v>46</v>
      </c>
      <c r="P54" s="53">
        <f>IF(G54=0,0,IF(AND(A54&lt;=A55,O54&gt;0),Get_KeyRate(H55),Get_KeyRate($N$1)))</f>
        <v>0</v>
      </c>
      <c r="Q54" s="54">
        <f t="shared" si="7"/>
        <v>0</v>
      </c>
      <c r="S54" s="18">
        <v>43931</v>
      </c>
      <c r="T54" s="102">
        <f>'ЦАОП (итог)'!P54-'ЦАОП (0)'!P54</f>
        <v>4.2500000000000003E-2</v>
      </c>
    </row>
    <row r="55" spans="1:20" x14ac:dyDescent="0.25">
      <c r="A55" s="26">
        <v>38</v>
      </c>
      <c r="B55" s="9">
        <v>249273.99999999997</v>
      </c>
      <c r="C55" s="12"/>
      <c r="D55" s="2"/>
      <c r="E55" s="2"/>
      <c r="F55" s="9"/>
      <c r="G55" s="9">
        <f t="shared" si="0"/>
        <v>249274</v>
      </c>
      <c r="H55" s="8"/>
      <c r="I55" s="32">
        <v>44104</v>
      </c>
      <c r="J55" s="38">
        <f t="shared" si="5"/>
        <v>44105</v>
      </c>
      <c r="K55" s="49">
        <f t="shared" si="6"/>
        <v>0</v>
      </c>
      <c r="L55" s="59">
        <f t="shared" si="9"/>
        <v>0</v>
      </c>
      <c r="M55" s="50">
        <f t="shared" si="2"/>
        <v>0</v>
      </c>
      <c r="N55" s="46" t="str">
        <f t="shared" si="10"/>
        <v>+</v>
      </c>
      <c r="O55" s="85">
        <f t="shared" si="4"/>
        <v>46</v>
      </c>
      <c r="P55" s="53">
        <f>IF(G55=0,0,IF(AND(A55&lt;=A56,O55&gt;0),Get_KeyRate(H56),Get_KeyRate($N$1)))</f>
        <v>0</v>
      </c>
      <c r="Q55" s="54">
        <f t="shared" si="7"/>
        <v>0</v>
      </c>
      <c r="S55" s="18">
        <v>43932</v>
      </c>
      <c r="T55" s="102">
        <f>'ЦАОП (итог)'!P55-'ЦАОП (0)'!P55</f>
        <v>4.2500000000000003E-2</v>
      </c>
    </row>
    <row r="56" spans="1:20" x14ac:dyDescent="0.25">
      <c r="A56" s="26">
        <v>39</v>
      </c>
      <c r="B56" s="9">
        <v>220754</v>
      </c>
      <c r="C56" s="12"/>
      <c r="D56" s="2"/>
      <c r="E56" s="2"/>
      <c r="F56" s="9"/>
      <c r="G56" s="9">
        <f t="shared" si="0"/>
        <v>220754</v>
      </c>
      <c r="H56" s="8"/>
      <c r="I56" s="32">
        <v>44104</v>
      </c>
      <c r="J56" s="38">
        <f t="shared" si="5"/>
        <v>44105</v>
      </c>
      <c r="K56" s="49">
        <f t="shared" si="6"/>
        <v>0</v>
      </c>
      <c r="L56" s="59">
        <f t="shared" si="9"/>
        <v>0</v>
      </c>
      <c r="M56" s="50">
        <f t="shared" si="2"/>
        <v>0</v>
      </c>
      <c r="N56" s="46" t="str">
        <f t="shared" si="10"/>
        <v>+</v>
      </c>
      <c r="O56" s="85">
        <f t="shared" si="4"/>
        <v>46</v>
      </c>
      <c r="P56" s="53">
        <f>IF(G56=0,0,IF(AND(A56&lt;=A57,O56&gt;0),Get_KeyRate(H57),Get_KeyRate($N$1)))</f>
        <v>0</v>
      </c>
      <c r="Q56" s="54">
        <f t="shared" si="7"/>
        <v>0</v>
      </c>
      <c r="S56" s="18">
        <v>43933</v>
      </c>
      <c r="T56" s="102">
        <f>'ЦАОП (итог)'!P56-'ЦАОП (0)'!P56</f>
        <v>4.2500000000000003E-2</v>
      </c>
    </row>
    <row r="57" spans="1:20" x14ac:dyDescent="0.25">
      <c r="A57" s="26">
        <v>40</v>
      </c>
      <c r="B57" s="9">
        <v>130039.00000000001</v>
      </c>
      <c r="C57" s="12"/>
      <c r="D57" s="2"/>
      <c r="E57" s="2"/>
      <c r="F57" s="9"/>
      <c r="G57" s="9">
        <f t="shared" si="0"/>
        <v>130039</v>
      </c>
      <c r="H57" s="8"/>
      <c r="I57" s="32">
        <v>44104</v>
      </c>
      <c r="J57" s="38">
        <f t="shared" si="5"/>
        <v>44105</v>
      </c>
      <c r="K57" s="49">
        <f t="shared" si="6"/>
        <v>0</v>
      </c>
      <c r="L57" s="59">
        <f t="shared" si="9"/>
        <v>0</v>
      </c>
      <c r="M57" s="50">
        <f t="shared" si="2"/>
        <v>0</v>
      </c>
      <c r="N57" s="46" t="str">
        <f t="shared" si="10"/>
        <v>+</v>
      </c>
      <c r="O57" s="85">
        <f t="shared" si="4"/>
        <v>46</v>
      </c>
      <c r="P57" s="53">
        <f>IF(G57=0,0,IF(AND(A57&lt;=A58,O57&gt;0),Get_KeyRate(H58),Get_KeyRate($N$1)))</f>
        <v>0</v>
      </c>
      <c r="Q57" s="54">
        <f t="shared" si="7"/>
        <v>0</v>
      </c>
      <c r="S57" s="18">
        <v>43934</v>
      </c>
      <c r="T57" s="102">
        <f>'ЦАОП (итог)'!P57-'ЦАОП (0)'!P57</f>
        <v>4.2500000000000003E-2</v>
      </c>
    </row>
    <row r="58" spans="1:20" x14ac:dyDescent="0.25">
      <c r="A58" s="26">
        <v>41</v>
      </c>
      <c r="B58" s="9">
        <v>2692844</v>
      </c>
      <c r="C58" s="12"/>
      <c r="D58" s="2"/>
      <c r="E58" s="2"/>
      <c r="F58" s="9"/>
      <c r="G58" s="9">
        <f t="shared" si="0"/>
        <v>2692844</v>
      </c>
      <c r="H58" s="8"/>
      <c r="I58" s="32">
        <v>44104</v>
      </c>
      <c r="J58" s="38">
        <f t="shared" si="5"/>
        <v>44105</v>
      </c>
      <c r="K58" s="49">
        <f t="shared" si="6"/>
        <v>0</v>
      </c>
      <c r="L58" s="59">
        <f t="shared" si="9"/>
        <v>0</v>
      </c>
      <c r="M58" s="50">
        <f t="shared" si="2"/>
        <v>0</v>
      </c>
      <c r="N58" s="46" t="str">
        <f t="shared" si="10"/>
        <v>+</v>
      </c>
      <c r="O58" s="85">
        <f t="shared" si="4"/>
        <v>46</v>
      </c>
      <c r="P58" s="53">
        <f>IF(G58=0,0,IF(AND(A58&lt;=A59,O58&gt;0),Get_KeyRate(H59),Get_KeyRate($N$1)))</f>
        <v>0</v>
      </c>
      <c r="Q58" s="54">
        <f t="shared" si="7"/>
        <v>0</v>
      </c>
      <c r="S58" s="18">
        <v>43935</v>
      </c>
      <c r="T58" s="102">
        <f>'ЦАОП (итог)'!P58-'ЦАОП (0)'!P58</f>
        <v>4.2500000000000003E-2</v>
      </c>
    </row>
    <row r="59" spans="1:20" x14ac:dyDescent="0.25">
      <c r="A59" s="26">
        <v>42</v>
      </c>
      <c r="B59" s="9">
        <v>2947091.0000000005</v>
      </c>
      <c r="C59" s="12"/>
      <c r="D59" s="2"/>
      <c r="E59" s="2"/>
      <c r="F59" s="9"/>
      <c r="G59" s="9">
        <f t="shared" si="0"/>
        <v>2947091</v>
      </c>
      <c r="H59" s="8"/>
      <c r="I59" s="32">
        <v>44135</v>
      </c>
      <c r="J59" s="38">
        <f t="shared" si="5"/>
        <v>44137</v>
      </c>
      <c r="K59" s="49">
        <f t="shared" si="6"/>
        <v>0</v>
      </c>
      <c r="L59" s="59">
        <f t="shared" si="9"/>
        <v>0</v>
      </c>
      <c r="M59" s="50">
        <f t="shared" si="2"/>
        <v>0</v>
      </c>
      <c r="N59" s="46" t="str">
        <f t="shared" si="10"/>
        <v>+</v>
      </c>
      <c r="O59" s="85">
        <f t="shared" si="4"/>
        <v>14</v>
      </c>
      <c r="P59" s="53">
        <f>IF(G59=0,0,IF(AND(A59&lt;=A60,O59&gt;0),Get_KeyRate(H60),Get_KeyRate($N$1)))</f>
        <v>0</v>
      </c>
      <c r="Q59" s="54">
        <f t="shared" si="7"/>
        <v>0</v>
      </c>
      <c r="S59" s="18">
        <v>43936</v>
      </c>
      <c r="T59" s="102">
        <f>'ЦАОП (итог)'!P59-'ЦАОП (0)'!P59</f>
        <v>4.2500000000000003E-2</v>
      </c>
    </row>
    <row r="60" spans="1:20" x14ac:dyDescent="0.25">
      <c r="A60" s="26">
        <v>43</v>
      </c>
      <c r="B60" s="9">
        <v>151713</v>
      </c>
      <c r="C60" s="12"/>
      <c r="D60" s="2"/>
      <c r="E60" s="2"/>
      <c r="F60" s="9"/>
      <c r="G60" s="9">
        <f t="shared" si="0"/>
        <v>151713</v>
      </c>
      <c r="H60" s="8"/>
      <c r="I60" s="32">
        <v>44135</v>
      </c>
      <c r="J60" s="38">
        <f t="shared" si="5"/>
        <v>44137</v>
      </c>
      <c r="K60" s="49">
        <f t="shared" si="6"/>
        <v>0</v>
      </c>
      <c r="L60" s="59">
        <f t="shared" si="9"/>
        <v>0</v>
      </c>
      <c r="M60" s="50">
        <f t="shared" si="2"/>
        <v>0</v>
      </c>
      <c r="N60" s="46" t="str">
        <f t="shared" si="10"/>
        <v>+</v>
      </c>
      <c r="O60" s="85">
        <f t="shared" si="4"/>
        <v>14</v>
      </c>
      <c r="P60" s="53">
        <f>IF(G60=0,0,IF(AND(A60&lt;=A61,O60&gt;0),Get_KeyRate(H61),Get_KeyRate($N$1)))</f>
        <v>0</v>
      </c>
      <c r="Q60" s="54">
        <f t="shared" si="7"/>
        <v>0</v>
      </c>
      <c r="S60" s="18">
        <v>43937</v>
      </c>
      <c r="T60" s="102">
        <f>'ЦАОП (итог)'!P60-'ЦАОП (0)'!P60</f>
        <v>4.2500000000000003E-2</v>
      </c>
    </row>
    <row r="61" spans="1:20" x14ac:dyDescent="0.25">
      <c r="A61" s="26">
        <v>44</v>
      </c>
      <c r="B61" s="9">
        <v>709075.99999999988</v>
      </c>
      <c r="C61" s="12"/>
      <c r="D61" s="2"/>
      <c r="E61" s="2"/>
      <c r="F61" s="9"/>
      <c r="G61" s="9">
        <f t="shared" si="0"/>
        <v>709076</v>
      </c>
      <c r="H61" s="8"/>
      <c r="I61" s="32">
        <v>44135</v>
      </c>
      <c r="J61" s="38">
        <f t="shared" si="5"/>
        <v>44137</v>
      </c>
      <c r="K61" s="49">
        <f t="shared" si="6"/>
        <v>0</v>
      </c>
      <c r="L61" s="59">
        <f t="shared" si="9"/>
        <v>0</v>
      </c>
      <c r="M61" s="50">
        <f t="shared" si="2"/>
        <v>0</v>
      </c>
      <c r="N61" s="46" t="str">
        <f t="shared" si="10"/>
        <v>+</v>
      </c>
      <c r="O61" s="85">
        <f t="shared" si="4"/>
        <v>14</v>
      </c>
      <c r="P61" s="53">
        <f>IF(G61=0,0,IF(AND(A61&lt;=A62,O61&gt;0),Get_KeyRate(H62),Get_KeyRate($N$1)))</f>
        <v>0</v>
      </c>
      <c r="Q61" s="54">
        <f t="shared" si="7"/>
        <v>0</v>
      </c>
      <c r="S61" s="18">
        <v>43938</v>
      </c>
      <c r="T61" s="102">
        <f>'ЦАОП (итог)'!P61-'ЦАОП (0)'!P61</f>
        <v>4.2500000000000003E-2</v>
      </c>
    </row>
    <row r="62" spans="1:20" x14ac:dyDescent="0.25">
      <c r="A62" s="26">
        <v>45</v>
      </c>
      <c r="B62" s="9">
        <v>2642410</v>
      </c>
      <c r="C62" s="12"/>
      <c r="D62" s="2"/>
      <c r="E62" s="2"/>
      <c r="F62" s="9"/>
      <c r="G62" s="9">
        <f t="shared" si="0"/>
        <v>2642410</v>
      </c>
      <c r="H62" s="8"/>
      <c r="I62" s="32">
        <v>44135</v>
      </c>
      <c r="J62" s="38">
        <f t="shared" si="5"/>
        <v>44137</v>
      </c>
      <c r="K62" s="49">
        <f t="shared" si="6"/>
        <v>0</v>
      </c>
      <c r="L62" s="59">
        <f t="shared" si="9"/>
        <v>0</v>
      </c>
      <c r="M62" s="50">
        <f t="shared" si="2"/>
        <v>0</v>
      </c>
      <c r="N62" s="46" t="str">
        <f t="shared" si="10"/>
        <v>+</v>
      </c>
      <c r="O62" s="85">
        <f t="shared" si="4"/>
        <v>14</v>
      </c>
      <c r="P62" s="53">
        <f>IF(G62=0,0,IF(AND(A62&lt;=A63,O62&gt;0),Get_KeyRate(H63),Get_KeyRate($N$1)))</f>
        <v>0</v>
      </c>
      <c r="Q62" s="54">
        <f t="shared" si="7"/>
        <v>0</v>
      </c>
      <c r="S62" s="18">
        <v>43939</v>
      </c>
      <c r="T62" s="102">
        <f>'ЦАОП (итог)'!P62-'ЦАОП (0)'!P62</f>
        <v>4.2500000000000003E-2</v>
      </c>
    </row>
    <row r="63" spans="1:20" x14ac:dyDescent="0.25">
      <c r="A63" s="26">
        <v>46</v>
      </c>
      <c r="B63" s="9">
        <v>151661</v>
      </c>
      <c r="C63" s="12"/>
      <c r="D63" s="2"/>
      <c r="E63" s="2"/>
      <c r="F63" s="9"/>
      <c r="G63" s="9">
        <f t="shared" si="0"/>
        <v>151661</v>
      </c>
      <c r="H63" s="8"/>
      <c r="I63" s="32">
        <v>44135</v>
      </c>
      <c r="J63" s="38">
        <f t="shared" si="5"/>
        <v>44137</v>
      </c>
      <c r="K63" s="49">
        <f t="shared" si="6"/>
        <v>0</v>
      </c>
      <c r="L63" s="59">
        <f t="shared" si="9"/>
        <v>0</v>
      </c>
      <c r="M63" s="50">
        <f t="shared" si="2"/>
        <v>0</v>
      </c>
      <c r="N63" s="46" t="str">
        <f t="shared" si="10"/>
        <v>+</v>
      </c>
      <c r="O63" s="85">
        <f t="shared" si="4"/>
        <v>14</v>
      </c>
      <c r="P63" s="53">
        <f>IF(G63=0,0,IF(AND(A63&lt;=A64,O63&gt;0),Get_KeyRate(H64),Get_KeyRate($N$1)))</f>
        <v>0</v>
      </c>
      <c r="Q63" s="54">
        <f t="shared" si="7"/>
        <v>0</v>
      </c>
      <c r="S63" s="18">
        <v>43940</v>
      </c>
      <c r="T63" s="102">
        <f>'ЦАОП (итог)'!P63-'ЦАОП (0)'!P63</f>
        <v>4.2500000000000003E-2</v>
      </c>
    </row>
    <row r="64" spans="1:20" x14ac:dyDescent="0.25">
      <c r="A64" s="26">
        <v>47</v>
      </c>
      <c r="B64" s="9">
        <v>77993</v>
      </c>
      <c r="C64" s="12"/>
      <c r="D64" s="2"/>
      <c r="E64" s="2"/>
      <c r="F64" s="9"/>
      <c r="G64" s="9">
        <f t="shared" si="0"/>
        <v>77993</v>
      </c>
      <c r="H64" s="8"/>
      <c r="I64" s="32">
        <v>44135</v>
      </c>
      <c r="J64" s="38">
        <f t="shared" si="5"/>
        <v>44137</v>
      </c>
      <c r="K64" s="49">
        <f t="shared" si="6"/>
        <v>0</v>
      </c>
      <c r="L64" s="59">
        <f t="shared" si="9"/>
        <v>0</v>
      </c>
      <c r="M64" s="50">
        <f t="shared" si="2"/>
        <v>0</v>
      </c>
      <c r="N64" s="46" t="str">
        <f t="shared" si="10"/>
        <v>+</v>
      </c>
      <c r="O64" s="85">
        <f t="shared" si="4"/>
        <v>14</v>
      </c>
      <c r="P64" s="53">
        <f>IF(G64=0,0,IF(AND(A64&lt;=A65,O64&gt;0),Get_KeyRate(H65),Get_KeyRate($N$1)))</f>
        <v>0</v>
      </c>
      <c r="Q64" s="54">
        <f t="shared" si="7"/>
        <v>0</v>
      </c>
      <c r="S64" s="18">
        <v>43941</v>
      </c>
      <c r="T64" s="102">
        <f>'ЦАОП (итог)'!P64-'ЦАОП (0)'!P64</f>
        <v>4.2500000000000003E-2</v>
      </c>
    </row>
    <row r="65" spans="1:20" x14ac:dyDescent="0.25">
      <c r="A65" s="26">
        <v>48</v>
      </c>
      <c r="B65" s="9">
        <v>1290301.9999999998</v>
      </c>
      <c r="C65" s="12"/>
      <c r="D65" s="2"/>
      <c r="E65" s="2"/>
      <c r="F65" s="9"/>
      <c r="G65" s="9">
        <f t="shared" si="0"/>
        <v>1290302</v>
      </c>
      <c r="H65" s="8"/>
      <c r="I65" s="32">
        <v>44135</v>
      </c>
      <c r="J65" s="38">
        <f t="shared" si="5"/>
        <v>44137</v>
      </c>
      <c r="K65" s="49">
        <f t="shared" si="6"/>
        <v>0</v>
      </c>
      <c r="L65" s="59">
        <f t="shared" si="9"/>
        <v>0</v>
      </c>
      <c r="M65" s="50">
        <f t="shared" si="2"/>
        <v>0</v>
      </c>
      <c r="N65" s="46" t="str">
        <f t="shared" si="10"/>
        <v>+</v>
      </c>
      <c r="O65" s="85">
        <f t="shared" si="4"/>
        <v>14</v>
      </c>
      <c r="P65" s="53">
        <f>IF(G65=0,0,IF(AND(A65&lt;=A66,O65&gt;0),Get_KeyRate(H66),Get_KeyRate($N$1)))</f>
        <v>0</v>
      </c>
      <c r="Q65" s="54">
        <f t="shared" si="7"/>
        <v>0</v>
      </c>
      <c r="S65" s="18">
        <v>43942</v>
      </c>
      <c r="T65" s="102">
        <f>'ЦАОП (итог)'!P65-'ЦАОП (0)'!P65</f>
        <v>4.2500000000000003E-2</v>
      </c>
    </row>
    <row r="66" spans="1:20" x14ac:dyDescent="0.25">
      <c r="A66" s="26">
        <v>49</v>
      </c>
      <c r="B66" s="9">
        <v>613132.00000000012</v>
      </c>
      <c r="C66" s="12"/>
      <c r="D66" s="2"/>
      <c r="E66" s="2"/>
      <c r="F66" s="9"/>
      <c r="G66" s="9">
        <f t="shared" ref="G66:G96" si="11">ROUND(IF(B66&gt;0,B66-F66,G65-F66),2)</f>
        <v>613132</v>
      </c>
      <c r="H66" s="8"/>
      <c r="I66" s="32">
        <v>44135</v>
      </c>
      <c r="J66" s="38">
        <f t="shared" si="5"/>
        <v>44137</v>
      </c>
      <c r="K66" s="49">
        <f t="shared" si="6"/>
        <v>0</v>
      </c>
      <c r="L66" s="59">
        <f t="shared" si="9"/>
        <v>0</v>
      </c>
      <c r="M66" s="50">
        <f t="shared" ref="M66:M96" si="12">IF(K66=0,0,Get_KeyRate(H66))</f>
        <v>0</v>
      </c>
      <c r="N66" s="46" t="str">
        <f t="shared" si="10"/>
        <v>+</v>
      </c>
      <c r="O66" s="85">
        <f t="shared" ref="O66:O129" si="13">IF(N66="+",IF(I66&gt;$N$1,"0",IF(N66="+",VALUE($N$1)-VALUE(J66),$N$1-H66))+IF(G66=0,0,IF(AND(A66&gt;=A67,H66&gt;0,H67-H66),H67-H66)),IF(I66&gt;$N$1,"0",IF(G66=0,0,IF(AND(A66&gt;=A67,H66&gt;0,H67-H66),H67-H66,IF(AND(A66&lt;&gt;A67,B66="",B67&lt;&gt;0),VALUE($N$1)-VALUE(H66),IF(A66&lt;&gt;A67,H66-J66,IF(N66="+",VALUE($N$1)-VALUE(J66),$N$1-H66)))))))</f>
        <v>14</v>
      </c>
      <c r="P66" s="53">
        <f>IF(G66=0,0,IF(AND(A66&lt;=A67,O66&gt;0),Get_KeyRate(H67),Get_KeyRate($N$1)))</f>
        <v>0</v>
      </c>
      <c r="Q66" s="54">
        <f t="shared" si="7"/>
        <v>0</v>
      </c>
      <c r="S66" s="18">
        <v>43943</v>
      </c>
      <c r="T66" s="102">
        <f>'ЦАОП (итог)'!P66-'ЦАОП (0)'!P66</f>
        <v>4.2500000000000003E-2</v>
      </c>
    </row>
    <row r="67" spans="1:20" x14ac:dyDescent="0.25">
      <c r="A67" s="26">
        <v>50</v>
      </c>
      <c r="B67" s="9">
        <v>304143</v>
      </c>
      <c r="C67" s="12"/>
      <c r="D67" s="2"/>
      <c r="E67" s="2"/>
      <c r="F67" s="9"/>
      <c r="G67" s="9">
        <f t="shared" si="11"/>
        <v>304143</v>
      </c>
      <c r="H67" s="8"/>
      <c r="I67" s="32">
        <v>44135</v>
      </c>
      <c r="J67" s="38">
        <f t="shared" ref="J67:J96" si="14">WORKDAY.INTL(I67,1,1,$R$2:$R$87)</f>
        <v>44137</v>
      </c>
      <c r="K67" s="49">
        <f t="shared" ref="K67:K96" si="15">IF(AND(H67&gt;J67,B67&gt;0),H67-J67+1,0)</f>
        <v>0</v>
      </c>
      <c r="L67" s="59">
        <f t="shared" si="9"/>
        <v>0</v>
      </c>
      <c r="M67" s="50">
        <f t="shared" si="12"/>
        <v>0</v>
      </c>
      <c r="N67" s="46" t="str">
        <f t="shared" si="10"/>
        <v>+</v>
      </c>
      <c r="O67" s="85">
        <f t="shared" si="13"/>
        <v>14</v>
      </c>
      <c r="P67" s="53">
        <f>IF(G67=0,0,IF(AND(A67&lt;=A68,O67&gt;0),Get_KeyRate(H68),Get_KeyRate($N$1)))</f>
        <v>0</v>
      </c>
      <c r="Q67" s="54">
        <f t="shared" ref="Q67:Q96" si="16">IF(G67=0,0,IF(O67&gt;0,ROUND((G67*O67*1/300*P67),2),0))</f>
        <v>0</v>
      </c>
      <c r="S67" s="18">
        <v>43944</v>
      </c>
      <c r="T67" s="102">
        <f>'ЦАОП (итог)'!P67-'ЦАОП (0)'!P67</f>
        <v>4.2500000000000003E-2</v>
      </c>
    </row>
    <row r="68" spans="1:20" x14ac:dyDescent="0.25">
      <c r="A68" s="26">
        <v>51</v>
      </c>
      <c r="B68" s="9">
        <v>733234</v>
      </c>
      <c r="C68" s="12"/>
      <c r="D68" s="2"/>
      <c r="E68" s="2"/>
      <c r="F68" s="9"/>
      <c r="G68" s="9">
        <f t="shared" si="11"/>
        <v>733234</v>
      </c>
      <c r="H68" s="8"/>
      <c r="I68" s="32">
        <v>44135</v>
      </c>
      <c r="J68" s="38">
        <f t="shared" si="14"/>
        <v>44137</v>
      </c>
      <c r="K68" s="49">
        <f t="shared" si="15"/>
        <v>0</v>
      </c>
      <c r="L68" s="59">
        <f t="shared" si="9"/>
        <v>0</v>
      </c>
      <c r="M68" s="50">
        <f t="shared" si="12"/>
        <v>0</v>
      </c>
      <c r="N68" s="46" t="str">
        <f t="shared" si="10"/>
        <v>+</v>
      </c>
      <c r="O68" s="85">
        <f t="shared" si="13"/>
        <v>14</v>
      </c>
      <c r="P68" s="53">
        <f>IF(G68=0,0,IF(AND(A68&lt;=A69,O68&gt;0),Get_KeyRate(H69),Get_KeyRate($N$1)))</f>
        <v>0</v>
      </c>
      <c r="Q68" s="54">
        <f t="shared" si="16"/>
        <v>0</v>
      </c>
      <c r="S68" s="18">
        <v>43945</v>
      </c>
      <c r="T68" s="102">
        <f>'ЦАОП (итог)'!P68-'ЦАОП (0)'!P68</f>
        <v>4.2500000000000003E-2</v>
      </c>
    </row>
    <row r="69" spans="1:20" x14ac:dyDescent="0.25">
      <c r="A69" s="26">
        <v>52</v>
      </c>
      <c r="B69" s="9">
        <v>2126970</v>
      </c>
      <c r="C69" s="12"/>
      <c r="D69" s="2"/>
      <c r="E69" s="2"/>
      <c r="F69" s="9"/>
      <c r="G69" s="9">
        <f t="shared" si="11"/>
        <v>2126970</v>
      </c>
      <c r="H69" s="8"/>
      <c r="I69" s="32">
        <v>44135</v>
      </c>
      <c r="J69" s="38">
        <f t="shared" si="14"/>
        <v>44137</v>
      </c>
      <c r="K69" s="49">
        <f t="shared" si="15"/>
        <v>0</v>
      </c>
      <c r="L69" s="59">
        <f t="shared" si="9"/>
        <v>0</v>
      </c>
      <c r="M69" s="50">
        <f t="shared" si="12"/>
        <v>0</v>
      </c>
      <c r="N69" s="46" t="str">
        <f t="shared" si="10"/>
        <v>+</v>
      </c>
      <c r="O69" s="85">
        <f t="shared" si="13"/>
        <v>14</v>
      </c>
      <c r="P69" s="53">
        <f>IF(G69=0,0,IF(AND(A69&lt;=A70,O69&gt;0),Get_KeyRate(H70),Get_KeyRate($N$1)))</f>
        <v>0</v>
      </c>
      <c r="Q69" s="54">
        <f t="shared" si="16"/>
        <v>0</v>
      </c>
      <c r="S69" s="18">
        <v>43946</v>
      </c>
      <c r="T69" s="102">
        <f>'ЦАОП (итог)'!P69-'ЦАОП (0)'!P69</f>
        <v>4.2500000000000003E-2</v>
      </c>
    </row>
    <row r="70" spans="1:20" x14ac:dyDescent="0.25">
      <c r="A70" s="26">
        <v>53</v>
      </c>
      <c r="B70" s="9">
        <v>1067534</v>
      </c>
      <c r="C70" s="12"/>
      <c r="D70" s="2"/>
      <c r="E70" s="2"/>
      <c r="F70" s="9"/>
      <c r="G70" s="9">
        <f t="shared" si="11"/>
        <v>1067534</v>
      </c>
      <c r="H70" s="8"/>
      <c r="I70" s="32">
        <v>44165</v>
      </c>
      <c r="J70" s="38">
        <f t="shared" si="14"/>
        <v>44166</v>
      </c>
      <c r="K70" s="49">
        <f t="shared" si="15"/>
        <v>0</v>
      </c>
      <c r="L70" s="59">
        <f t="shared" si="9"/>
        <v>0</v>
      </c>
      <c r="M70" s="50">
        <f t="shared" si="12"/>
        <v>0</v>
      </c>
      <c r="N70" s="46" t="str">
        <f t="shared" si="10"/>
        <v>+</v>
      </c>
      <c r="O70" s="85">
        <f t="shared" si="13"/>
        <v>0</v>
      </c>
      <c r="P70" s="53">
        <f>IF(G70=0,0,IF(AND(A70&lt;=A71,O70&gt;0),Get_KeyRate(H71),Get_KeyRate($N$1)))</f>
        <v>4.2500000000000003E-2</v>
      </c>
      <c r="Q70" s="54">
        <f t="shared" si="16"/>
        <v>0</v>
      </c>
      <c r="S70" s="18">
        <v>43947</v>
      </c>
      <c r="T70" s="102">
        <f>'ЦАОП (итог)'!P70-'ЦАОП (0)'!P70</f>
        <v>0</v>
      </c>
    </row>
    <row r="71" spans="1:20" x14ac:dyDescent="0.25">
      <c r="A71" s="26">
        <v>54</v>
      </c>
      <c r="B71" s="9">
        <v>5044770</v>
      </c>
      <c r="C71" s="12"/>
      <c r="D71" s="2"/>
      <c r="E71" s="2"/>
      <c r="F71" s="9"/>
      <c r="G71" s="9">
        <f t="shared" si="11"/>
        <v>5044770</v>
      </c>
      <c r="H71" s="8"/>
      <c r="I71" s="32">
        <v>44165</v>
      </c>
      <c r="J71" s="38">
        <f t="shared" si="14"/>
        <v>44166</v>
      </c>
      <c r="K71" s="49">
        <f t="shared" si="15"/>
        <v>0</v>
      </c>
      <c r="L71" s="59">
        <f t="shared" ref="L71:L96" si="17">IF(B71&gt;0,ROUND((B71*K71*1/300*M71),2),0)</f>
        <v>0</v>
      </c>
      <c r="M71" s="50">
        <f t="shared" si="12"/>
        <v>0</v>
      </c>
      <c r="N71" s="46" t="str">
        <f t="shared" si="10"/>
        <v>+</v>
      </c>
      <c r="O71" s="85">
        <f t="shared" si="13"/>
        <v>0</v>
      </c>
      <c r="P71" s="53">
        <f>IF(G71=0,0,IF(AND(A71&lt;=A72,O71&gt;0),Get_KeyRate(H72),Get_KeyRate($N$1)))</f>
        <v>4.2500000000000003E-2</v>
      </c>
      <c r="Q71" s="54">
        <f t="shared" si="16"/>
        <v>0</v>
      </c>
      <c r="S71" s="18">
        <v>43948</v>
      </c>
      <c r="T71" s="102">
        <f>'ЦАОП (итог)'!P71-'ЦАОП (0)'!P71</f>
        <v>0</v>
      </c>
    </row>
    <row r="72" spans="1:20" x14ac:dyDescent="0.25">
      <c r="A72" s="26">
        <v>55</v>
      </c>
      <c r="B72" s="9">
        <v>427621</v>
      </c>
      <c r="C72" s="12"/>
      <c r="D72" s="2"/>
      <c r="E72" s="2"/>
      <c r="F72" s="9"/>
      <c r="G72" s="9">
        <f t="shared" si="11"/>
        <v>427621</v>
      </c>
      <c r="H72" s="8"/>
      <c r="I72" s="32">
        <v>44165</v>
      </c>
      <c r="J72" s="38">
        <f t="shared" si="14"/>
        <v>44166</v>
      </c>
      <c r="K72" s="49">
        <f t="shared" si="15"/>
        <v>0</v>
      </c>
      <c r="L72" s="59">
        <f t="shared" si="17"/>
        <v>0</v>
      </c>
      <c r="M72" s="50">
        <f t="shared" si="12"/>
        <v>0</v>
      </c>
      <c r="N72" s="46" t="str">
        <f t="shared" si="10"/>
        <v>+</v>
      </c>
      <c r="O72" s="85">
        <f t="shared" si="13"/>
        <v>0</v>
      </c>
      <c r="P72" s="53">
        <f>IF(G72=0,0,IF(AND(A72&lt;=A73,O72&gt;0),Get_KeyRate(H73),Get_KeyRate($N$1)))</f>
        <v>4.2500000000000003E-2</v>
      </c>
      <c r="Q72" s="54">
        <f t="shared" si="16"/>
        <v>0</v>
      </c>
      <c r="S72" s="18">
        <v>43949</v>
      </c>
      <c r="T72" s="102">
        <f>'ЦАОП (итог)'!P72-'ЦАОП (0)'!P72</f>
        <v>0</v>
      </c>
    </row>
    <row r="73" spans="1:20" x14ac:dyDescent="0.25">
      <c r="A73" s="26">
        <v>56</v>
      </c>
      <c r="B73" s="9">
        <v>134723</v>
      </c>
      <c r="C73" s="12"/>
      <c r="D73" s="2"/>
      <c r="E73" s="2"/>
      <c r="F73" s="9"/>
      <c r="G73" s="9">
        <f t="shared" si="11"/>
        <v>134723</v>
      </c>
      <c r="H73" s="8"/>
      <c r="I73" s="32">
        <v>44165</v>
      </c>
      <c r="J73" s="38">
        <f t="shared" si="14"/>
        <v>44166</v>
      </c>
      <c r="K73" s="49">
        <f t="shared" si="15"/>
        <v>0</v>
      </c>
      <c r="L73" s="59">
        <f t="shared" si="17"/>
        <v>0</v>
      </c>
      <c r="M73" s="50">
        <f t="shared" si="12"/>
        <v>0</v>
      </c>
      <c r="N73" s="46" t="str">
        <f t="shared" si="10"/>
        <v>+</v>
      </c>
      <c r="O73" s="85">
        <f t="shared" si="13"/>
        <v>0</v>
      </c>
      <c r="P73" s="53">
        <f>IF(G73=0,0,IF(AND(A73&lt;=A74,O73&gt;0),Get_KeyRate(H74),Get_KeyRate($N$1)))</f>
        <v>4.2500000000000003E-2</v>
      </c>
      <c r="Q73" s="54">
        <f t="shared" si="16"/>
        <v>0</v>
      </c>
      <c r="S73" s="18">
        <v>43950</v>
      </c>
      <c r="T73" s="102">
        <f>'ЦАОП (итог)'!P73-'ЦАОП (0)'!P73</f>
        <v>0</v>
      </c>
    </row>
    <row r="74" spans="1:20" x14ac:dyDescent="0.25">
      <c r="A74" s="26">
        <v>57</v>
      </c>
      <c r="B74" s="9">
        <v>23508</v>
      </c>
      <c r="C74" s="12"/>
      <c r="D74" s="2"/>
      <c r="E74" s="2"/>
      <c r="F74" s="9"/>
      <c r="G74" s="9">
        <f t="shared" si="11"/>
        <v>23508</v>
      </c>
      <c r="H74" s="8"/>
      <c r="I74" s="32">
        <v>44165</v>
      </c>
      <c r="J74" s="38">
        <f t="shared" si="14"/>
        <v>44166</v>
      </c>
      <c r="K74" s="49">
        <f t="shared" si="15"/>
        <v>0</v>
      </c>
      <c r="L74" s="59">
        <f t="shared" si="17"/>
        <v>0</v>
      </c>
      <c r="M74" s="50">
        <f t="shared" si="12"/>
        <v>0</v>
      </c>
      <c r="N74" s="46" t="str">
        <f t="shared" si="10"/>
        <v>+</v>
      </c>
      <c r="O74" s="85">
        <f t="shared" si="13"/>
        <v>0</v>
      </c>
      <c r="P74" s="53">
        <f>IF(G74=0,0,IF(AND(A74&lt;=A75,O74&gt;0),Get_KeyRate(H75),Get_KeyRate($N$1)))</f>
        <v>4.2500000000000003E-2</v>
      </c>
      <c r="Q74" s="54">
        <f t="shared" si="16"/>
        <v>0</v>
      </c>
      <c r="S74" s="18">
        <v>43951</v>
      </c>
      <c r="T74" s="102">
        <f>'ЦАОП (итог)'!P74-'ЦАОП (0)'!P74</f>
        <v>0</v>
      </c>
    </row>
    <row r="75" spans="1:20" x14ac:dyDescent="0.25">
      <c r="A75" s="26">
        <v>58</v>
      </c>
      <c r="B75" s="9">
        <v>1563550</v>
      </c>
      <c r="C75" s="12" t="s">
        <v>10</v>
      </c>
      <c r="D75" s="2" t="s">
        <v>11</v>
      </c>
      <c r="E75" s="6">
        <v>43993</v>
      </c>
      <c r="F75" s="9">
        <v>515787.6</v>
      </c>
      <c r="G75" s="9">
        <f t="shared" si="11"/>
        <v>1047762.4</v>
      </c>
      <c r="H75" s="7">
        <v>43997</v>
      </c>
      <c r="I75" s="32">
        <v>44165</v>
      </c>
      <c r="J75" s="38">
        <f t="shared" si="14"/>
        <v>44166</v>
      </c>
      <c r="K75" s="49">
        <f t="shared" si="15"/>
        <v>0</v>
      </c>
      <c r="L75" s="59">
        <f t="shared" si="17"/>
        <v>0</v>
      </c>
      <c r="M75" s="50">
        <f t="shared" si="12"/>
        <v>0</v>
      </c>
      <c r="N75" s="46" t="str">
        <f t="shared" si="10"/>
        <v/>
      </c>
      <c r="O75" s="85" t="str">
        <f t="shared" si="13"/>
        <v>0</v>
      </c>
      <c r="P75" s="53">
        <f>IF(G75=0,0,IF(AND(A75&lt;=A76,O75&gt;0),Get_KeyRate(H76),Get_KeyRate($N$1)))</f>
        <v>0</v>
      </c>
      <c r="Q75" s="54">
        <f t="shared" si="16"/>
        <v>0</v>
      </c>
      <c r="R75" s="17">
        <v>43952</v>
      </c>
      <c r="S75" s="99" t="s">
        <v>53</v>
      </c>
      <c r="T75" s="102">
        <f>'ЦАОП (итог)'!P75-'ЦАОП (0)'!P75</f>
        <v>0</v>
      </c>
    </row>
    <row r="76" spans="1:20" x14ac:dyDescent="0.25">
      <c r="A76" s="26">
        <v>59</v>
      </c>
      <c r="B76" s="9">
        <v>422081.00000000006</v>
      </c>
      <c r="C76" s="12"/>
      <c r="D76" s="2"/>
      <c r="E76" s="2"/>
      <c r="F76" s="9"/>
      <c r="G76" s="9">
        <f t="shared" si="11"/>
        <v>422081</v>
      </c>
      <c r="H76" s="8"/>
      <c r="I76" s="32">
        <v>44165</v>
      </c>
      <c r="J76" s="38">
        <f t="shared" si="14"/>
        <v>44166</v>
      </c>
      <c r="K76" s="49">
        <f t="shared" si="15"/>
        <v>0</v>
      </c>
      <c r="L76" s="59">
        <f t="shared" si="17"/>
        <v>0</v>
      </c>
      <c r="M76" s="50">
        <f t="shared" si="12"/>
        <v>0</v>
      </c>
      <c r="N76" s="46" t="str">
        <f t="shared" si="10"/>
        <v>+</v>
      </c>
      <c r="O76" s="85">
        <f t="shared" si="13"/>
        <v>0</v>
      </c>
      <c r="P76" s="53">
        <f>IF(G76=0,0,IF(AND(A76&lt;=A77,O76&gt;0),Get_KeyRate(H77),Get_KeyRate($N$1)))</f>
        <v>4.2500000000000003E-2</v>
      </c>
      <c r="Q76" s="54">
        <f t="shared" si="16"/>
        <v>0</v>
      </c>
      <c r="R76" s="17">
        <v>43953</v>
      </c>
      <c r="S76" s="99"/>
      <c r="T76" s="102">
        <f>'ЦАОП (итог)'!P76-'ЦАОП (0)'!P76</f>
        <v>0</v>
      </c>
    </row>
    <row r="77" spans="1:20" x14ac:dyDescent="0.25">
      <c r="A77" s="26">
        <v>60</v>
      </c>
      <c r="B77" s="9">
        <v>137670</v>
      </c>
      <c r="C77" s="12"/>
      <c r="D77" s="2"/>
      <c r="E77" s="2"/>
      <c r="F77" s="9"/>
      <c r="G77" s="9">
        <f t="shared" si="11"/>
        <v>137670</v>
      </c>
      <c r="H77" s="8"/>
      <c r="I77" s="32">
        <v>44165</v>
      </c>
      <c r="J77" s="38">
        <f t="shared" si="14"/>
        <v>44166</v>
      </c>
      <c r="K77" s="49">
        <f t="shared" si="15"/>
        <v>0</v>
      </c>
      <c r="L77" s="59">
        <f t="shared" si="17"/>
        <v>0</v>
      </c>
      <c r="M77" s="50">
        <f t="shared" si="12"/>
        <v>0</v>
      </c>
      <c r="N77" s="46" t="str">
        <f t="shared" si="10"/>
        <v>+</v>
      </c>
      <c r="O77" s="85">
        <f t="shared" si="13"/>
        <v>0</v>
      </c>
      <c r="P77" s="53">
        <f>IF(G77=0,0,IF(AND(A77&lt;=A78,O77&gt;0),Get_KeyRate(H78),Get_KeyRate($N$1)))</f>
        <v>4.2500000000000003E-2</v>
      </c>
      <c r="Q77" s="54">
        <f t="shared" si="16"/>
        <v>0</v>
      </c>
      <c r="R77" s="17">
        <v>43954</v>
      </c>
      <c r="S77" s="99"/>
      <c r="T77" s="102">
        <f>'ЦАОП (итог)'!P77-'ЦАОП (0)'!P77</f>
        <v>0</v>
      </c>
    </row>
    <row r="78" spans="1:20" x14ac:dyDescent="0.25">
      <c r="A78" s="26">
        <v>61</v>
      </c>
      <c r="B78" s="9">
        <v>1834890.0000000002</v>
      </c>
      <c r="C78" s="12"/>
      <c r="D78" s="2"/>
      <c r="E78" s="2"/>
      <c r="F78" s="9"/>
      <c r="G78" s="9">
        <f t="shared" si="11"/>
        <v>1834890</v>
      </c>
      <c r="H78" s="8"/>
      <c r="I78" s="32">
        <v>44196</v>
      </c>
      <c r="J78" s="38">
        <f t="shared" si="14"/>
        <v>44197</v>
      </c>
      <c r="K78" s="49">
        <f t="shared" si="15"/>
        <v>0</v>
      </c>
      <c r="L78" s="59">
        <f t="shared" si="17"/>
        <v>0</v>
      </c>
      <c r="M78" s="50">
        <f t="shared" si="12"/>
        <v>0</v>
      </c>
      <c r="N78" s="46" t="str">
        <f t="shared" ref="N78:N104" si="18">IF(AND(E78=0,F78=0,H78=0),"+","")</f>
        <v>+</v>
      </c>
      <c r="O78" s="85">
        <f t="shared" si="13"/>
        <v>0</v>
      </c>
      <c r="P78" s="53">
        <f>IF(G78=0,0,IF(AND(A78&lt;=A79,O78&gt;0),Get_KeyRate(H79),Get_KeyRate($N$1)))</f>
        <v>4.2500000000000003E-2</v>
      </c>
      <c r="Q78" s="54">
        <f t="shared" si="16"/>
        <v>0</v>
      </c>
      <c r="R78" s="17">
        <v>43955</v>
      </c>
      <c r="S78" s="99"/>
      <c r="T78" s="102">
        <f>'ЦАОП (итог)'!P78-'ЦАОП (0)'!P78</f>
        <v>0</v>
      </c>
    </row>
    <row r="79" spans="1:20" x14ac:dyDescent="0.25">
      <c r="A79" s="26">
        <v>62</v>
      </c>
      <c r="B79" s="9">
        <v>1470679</v>
      </c>
      <c r="C79" s="12"/>
      <c r="D79" s="2"/>
      <c r="E79" s="2"/>
      <c r="F79" s="9"/>
      <c r="G79" s="9">
        <f t="shared" si="11"/>
        <v>1470679</v>
      </c>
      <c r="H79" s="8"/>
      <c r="I79" s="32">
        <v>44196</v>
      </c>
      <c r="J79" s="38">
        <f t="shared" si="14"/>
        <v>44197</v>
      </c>
      <c r="K79" s="49">
        <f t="shared" si="15"/>
        <v>0</v>
      </c>
      <c r="L79" s="59">
        <f t="shared" si="17"/>
        <v>0</v>
      </c>
      <c r="M79" s="50">
        <f t="shared" si="12"/>
        <v>0</v>
      </c>
      <c r="N79" s="46" t="str">
        <f t="shared" si="18"/>
        <v>+</v>
      </c>
      <c r="O79" s="85">
        <f t="shared" si="13"/>
        <v>0</v>
      </c>
      <c r="P79" s="53">
        <f>IF(G79=0,0,IF(AND(A79&lt;=A80,O79&gt;0),Get_KeyRate(H80),Get_KeyRate($N$1)))</f>
        <v>4.2500000000000003E-2</v>
      </c>
      <c r="Q79" s="54">
        <f t="shared" si="16"/>
        <v>0</v>
      </c>
      <c r="R79" s="17">
        <v>43956</v>
      </c>
      <c r="S79" s="99"/>
      <c r="T79" s="102">
        <f>'ЦАОП (итог)'!P79-'ЦАОП (0)'!P79</f>
        <v>0</v>
      </c>
    </row>
    <row r="80" spans="1:20" x14ac:dyDescent="0.25">
      <c r="A80" s="26">
        <v>63</v>
      </c>
      <c r="B80" s="9">
        <v>723560</v>
      </c>
      <c r="C80" s="12"/>
      <c r="D80" s="2"/>
      <c r="E80" s="2"/>
      <c r="F80" s="9"/>
      <c r="G80" s="9">
        <f t="shared" si="11"/>
        <v>723560</v>
      </c>
      <c r="H80" s="8"/>
      <c r="I80" s="32">
        <v>44196</v>
      </c>
      <c r="J80" s="38">
        <f t="shared" si="14"/>
        <v>44197</v>
      </c>
      <c r="K80" s="49">
        <f t="shared" si="15"/>
        <v>0</v>
      </c>
      <c r="L80" s="59">
        <f t="shared" si="17"/>
        <v>0</v>
      </c>
      <c r="M80" s="50">
        <f t="shared" si="12"/>
        <v>0</v>
      </c>
      <c r="N80" s="46" t="str">
        <f t="shared" si="18"/>
        <v>+</v>
      </c>
      <c r="O80" s="85">
        <f t="shared" si="13"/>
        <v>0</v>
      </c>
      <c r="P80" s="53">
        <f>IF(G80=0,0,IF(AND(A80&lt;=A81,O80&gt;0),Get_KeyRate(H81),Get_KeyRate($N$1)))</f>
        <v>4.2500000000000003E-2</v>
      </c>
      <c r="Q80" s="54">
        <f t="shared" si="16"/>
        <v>0</v>
      </c>
      <c r="R80" s="19">
        <v>43960</v>
      </c>
      <c r="S80" s="90" t="s">
        <v>51</v>
      </c>
      <c r="T80" s="102">
        <f>'ЦАОП (итог)'!P80-'ЦАОП (0)'!P80</f>
        <v>0</v>
      </c>
    </row>
    <row r="81" spans="1:20" x14ac:dyDescent="0.25">
      <c r="A81" s="26">
        <v>64</v>
      </c>
      <c r="B81" s="9">
        <v>1527208.0000000002</v>
      </c>
      <c r="C81" s="12"/>
      <c r="D81" s="2"/>
      <c r="E81" s="2"/>
      <c r="F81" s="9"/>
      <c r="G81" s="9">
        <f t="shared" si="11"/>
        <v>1527208</v>
      </c>
      <c r="H81" s="8"/>
      <c r="I81" s="32">
        <v>44196</v>
      </c>
      <c r="J81" s="38">
        <f t="shared" si="14"/>
        <v>44197</v>
      </c>
      <c r="K81" s="49">
        <f t="shared" si="15"/>
        <v>0</v>
      </c>
      <c r="L81" s="59">
        <f t="shared" si="17"/>
        <v>0</v>
      </c>
      <c r="M81" s="50">
        <f t="shared" si="12"/>
        <v>0</v>
      </c>
      <c r="N81" s="46" t="str">
        <f t="shared" si="18"/>
        <v>+</v>
      </c>
      <c r="O81" s="85">
        <f t="shared" si="13"/>
        <v>0</v>
      </c>
      <c r="P81" s="53">
        <f>IF(G81=0,0,IF(AND(A81&lt;=A82,O81&gt;0),Get_KeyRate(H82),Get_KeyRate($N$1)))</f>
        <v>4.2500000000000003E-2</v>
      </c>
      <c r="Q81" s="54">
        <f t="shared" si="16"/>
        <v>0</v>
      </c>
      <c r="R81" s="19">
        <v>43961</v>
      </c>
      <c r="S81" s="90"/>
      <c r="T81" s="102">
        <f>'ЦАОП (итог)'!P81-'ЦАОП (0)'!P81</f>
        <v>0</v>
      </c>
    </row>
    <row r="82" spans="1:20" x14ac:dyDescent="0.25">
      <c r="A82" s="26">
        <v>65</v>
      </c>
      <c r="B82" s="9">
        <v>192440</v>
      </c>
      <c r="C82" s="12"/>
      <c r="D82" s="2"/>
      <c r="E82" s="2"/>
      <c r="F82" s="9"/>
      <c r="G82" s="9">
        <f t="shared" si="11"/>
        <v>192440</v>
      </c>
      <c r="H82" s="8"/>
      <c r="I82" s="32">
        <v>44196</v>
      </c>
      <c r="J82" s="38">
        <f t="shared" si="14"/>
        <v>44197</v>
      </c>
      <c r="K82" s="49">
        <f t="shared" si="15"/>
        <v>0</v>
      </c>
      <c r="L82" s="59">
        <f t="shared" si="17"/>
        <v>0</v>
      </c>
      <c r="M82" s="50">
        <f t="shared" si="12"/>
        <v>0</v>
      </c>
      <c r="N82" s="46" t="str">
        <f t="shared" si="18"/>
        <v>+</v>
      </c>
      <c r="O82" s="85">
        <f t="shared" si="13"/>
        <v>0</v>
      </c>
      <c r="P82" s="53">
        <f>IF(G82=0,0,IF(AND(A82&lt;=A83,O82&gt;0),Get_KeyRate(H83),Get_KeyRate($N$1)))</f>
        <v>4.2500000000000003E-2</v>
      </c>
      <c r="Q82" s="54">
        <f t="shared" si="16"/>
        <v>0</v>
      </c>
      <c r="R82" s="19">
        <v>43962</v>
      </c>
      <c r="S82" s="90"/>
      <c r="T82" s="102">
        <f>'ЦАОП (итог)'!P82-'ЦАОП (0)'!P82</f>
        <v>0</v>
      </c>
    </row>
    <row r="83" spans="1:20" x14ac:dyDescent="0.25">
      <c r="A83" s="26">
        <v>66</v>
      </c>
      <c r="B83" s="9">
        <v>6497143.9999999991</v>
      </c>
      <c r="C83" s="12"/>
      <c r="D83" s="2"/>
      <c r="E83" s="2"/>
      <c r="F83" s="9"/>
      <c r="G83" s="9">
        <f t="shared" si="11"/>
        <v>6497144</v>
      </c>
      <c r="H83" s="8"/>
      <c r="I83" s="32">
        <v>44196</v>
      </c>
      <c r="J83" s="38">
        <f t="shared" si="14"/>
        <v>44197</v>
      </c>
      <c r="K83" s="49">
        <f t="shared" si="15"/>
        <v>0</v>
      </c>
      <c r="L83" s="59">
        <f t="shared" si="17"/>
        <v>0</v>
      </c>
      <c r="M83" s="50">
        <f t="shared" si="12"/>
        <v>0</v>
      </c>
      <c r="N83" s="46" t="str">
        <f t="shared" si="18"/>
        <v>+</v>
      </c>
      <c r="O83" s="85">
        <f t="shared" si="13"/>
        <v>0</v>
      </c>
      <c r="P83" s="53">
        <f>IF(G83=0,0,IF(AND(A83&lt;=A84,O83&gt;0),Get_KeyRate(H84),Get_KeyRate($N$1)))</f>
        <v>4.2500000000000003E-2</v>
      </c>
      <c r="Q83" s="54">
        <f t="shared" si="16"/>
        <v>0</v>
      </c>
      <c r="R83" s="20">
        <v>43994</v>
      </c>
      <c r="S83" s="91" t="s">
        <v>54</v>
      </c>
      <c r="T83" s="102">
        <f>'ЦАОП (итог)'!P83-'ЦАОП (0)'!P83</f>
        <v>0</v>
      </c>
    </row>
    <row r="84" spans="1:20" x14ac:dyDescent="0.25">
      <c r="A84" s="26">
        <v>67</v>
      </c>
      <c r="B84" s="9">
        <v>52577</v>
      </c>
      <c r="C84" s="12"/>
      <c r="D84" s="2"/>
      <c r="E84" s="2"/>
      <c r="F84" s="9"/>
      <c r="G84" s="9">
        <f t="shared" si="11"/>
        <v>52577</v>
      </c>
      <c r="H84" s="8"/>
      <c r="I84" s="32">
        <v>44196</v>
      </c>
      <c r="J84" s="38">
        <f t="shared" si="14"/>
        <v>44197</v>
      </c>
      <c r="K84" s="49">
        <f t="shared" si="15"/>
        <v>0</v>
      </c>
      <c r="L84" s="59">
        <f t="shared" si="17"/>
        <v>0</v>
      </c>
      <c r="M84" s="50">
        <f t="shared" si="12"/>
        <v>0</v>
      </c>
      <c r="N84" s="46" t="str">
        <f t="shared" si="18"/>
        <v>+</v>
      </c>
      <c r="O84" s="85">
        <f t="shared" si="13"/>
        <v>0</v>
      </c>
      <c r="P84" s="53">
        <f>IF(G84=0,0,IF(AND(A84&lt;=A85,O84&gt;0),Get_KeyRate(H85),Get_KeyRate($N$1)))</f>
        <v>4.2500000000000003E-2</v>
      </c>
      <c r="Q84" s="54">
        <f t="shared" si="16"/>
        <v>0</v>
      </c>
      <c r="R84" s="20">
        <v>43995</v>
      </c>
      <c r="S84" s="91"/>
      <c r="T84" s="102">
        <f>'ЦАОП (итог)'!P84-'ЦАОП (0)'!P84</f>
        <v>0</v>
      </c>
    </row>
    <row r="85" spans="1:20" x14ac:dyDescent="0.25">
      <c r="A85" s="26">
        <v>68</v>
      </c>
      <c r="B85" s="9">
        <v>60854.000000000007</v>
      </c>
      <c r="C85" s="12"/>
      <c r="D85" s="2"/>
      <c r="E85" s="2"/>
      <c r="F85" s="9"/>
      <c r="G85" s="9">
        <f t="shared" si="11"/>
        <v>60854</v>
      </c>
      <c r="H85" s="8"/>
      <c r="I85" s="32">
        <v>44196</v>
      </c>
      <c r="J85" s="38">
        <f t="shared" si="14"/>
        <v>44197</v>
      </c>
      <c r="K85" s="49">
        <f t="shared" si="15"/>
        <v>0</v>
      </c>
      <c r="L85" s="59">
        <f t="shared" si="17"/>
        <v>0</v>
      </c>
      <c r="M85" s="50">
        <f t="shared" si="12"/>
        <v>0</v>
      </c>
      <c r="N85" s="46" t="str">
        <f t="shared" si="18"/>
        <v>+</v>
      </c>
      <c r="O85" s="85">
        <f t="shared" si="13"/>
        <v>0</v>
      </c>
      <c r="P85" s="53">
        <f>IF(G85=0,0,IF(AND(A85&lt;=A86,O85&gt;0),Get_KeyRate(H86),Get_KeyRate($N$1)))</f>
        <v>4.2500000000000003E-2</v>
      </c>
      <c r="Q85" s="54">
        <f t="shared" si="16"/>
        <v>0</v>
      </c>
      <c r="R85" s="20">
        <v>43996</v>
      </c>
      <c r="S85" s="91"/>
      <c r="T85" s="102">
        <f>'ЦАОП (итог)'!P85-'ЦАОП (0)'!P85</f>
        <v>0</v>
      </c>
    </row>
    <row r="86" spans="1:20" x14ac:dyDescent="0.25">
      <c r="A86" s="26">
        <v>69</v>
      </c>
      <c r="B86" s="9">
        <v>34774</v>
      </c>
      <c r="C86" s="12"/>
      <c r="D86" s="2"/>
      <c r="E86" s="2"/>
      <c r="F86" s="9"/>
      <c r="G86" s="9">
        <f t="shared" si="11"/>
        <v>34774</v>
      </c>
      <c r="H86" s="8"/>
      <c r="I86" s="32">
        <v>44227</v>
      </c>
      <c r="J86" s="38">
        <f t="shared" si="14"/>
        <v>44228</v>
      </c>
      <c r="K86" s="49">
        <f t="shared" si="15"/>
        <v>0</v>
      </c>
      <c r="L86" s="59">
        <f t="shared" si="17"/>
        <v>0</v>
      </c>
      <c r="M86" s="50">
        <f t="shared" si="12"/>
        <v>0</v>
      </c>
      <c r="N86" s="46" t="str">
        <f t="shared" si="18"/>
        <v>+</v>
      </c>
      <c r="O86" s="85">
        <f t="shared" si="13"/>
        <v>0</v>
      </c>
      <c r="P86" s="53">
        <f>IF(G86=0,0,IF(AND(A86&lt;=A87,O86&gt;0),Get_KeyRate(H87),Get_KeyRate($N$1)))</f>
        <v>4.2500000000000003E-2</v>
      </c>
      <c r="Q86" s="54">
        <f t="shared" si="16"/>
        <v>0</v>
      </c>
      <c r="R86" s="23">
        <v>44006</v>
      </c>
      <c r="S86" s="24" t="s">
        <v>51</v>
      </c>
      <c r="T86" s="102">
        <f>'ЦАОП (итог)'!P86-'ЦАОП (0)'!P86</f>
        <v>0</v>
      </c>
    </row>
    <row r="87" spans="1:20" x14ac:dyDescent="0.25">
      <c r="A87" s="26">
        <v>70</v>
      </c>
      <c r="B87" s="9">
        <v>226911</v>
      </c>
      <c r="C87" s="12"/>
      <c r="D87" s="2"/>
      <c r="E87" s="2"/>
      <c r="F87" s="9"/>
      <c r="G87" s="9">
        <f t="shared" si="11"/>
        <v>226911</v>
      </c>
      <c r="H87" s="8"/>
      <c r="I87" s="32">
        <v>44227</v>
      </c>
      <c r="J87" s="38">
        <f t="shared" si="14"/>
        <v>44228</v>
      </c>
      <c r="K87" s="49">
        <f t="shared" si="15"/>
        <v>0</v>
      </c>
      <c r="L87" s="59">
        <f t="shared" si="17"/>
        <v>0</v>
      </c>
      <c r="M87" s="50">
        <f t="shared" si="12"/>
        <v>0</v>
      </c>
      <c r="N87" s="46" t="str">
        <f t="shared" si="18"/>
        <v>+</v>
      </c>
      <c r="O87" s="85">
        <f t="shared" si="13"/>
        <v>0</v>
      </c>
      <c r="P87" s="53">
        <f>IF(G87=0,0,IF(AND(A87&lt;=A88,O87&gt;0),Get_KeyRate(H88),Get_KeyRate($N$1)))</f>
        <v>4.2500000000000003E-2</v>
      </c>
      <c r="Q87" s="54">
        <f t="shared" si="16"/>
        <v>0</v>
      </c>
      <c r="R87" s="20">
        <v>44139</v>
      </c>
      <c r="S87" t="s">
        <v>55</v>
      </c>
      <c r="T87" s="102">
        <f>'ЦАОП (итог)'!P87-'ЦАОП (0)'!P87</f>
        <v>0</v>
      </c>
    </row>
    <row r="88" spans="1:20" x14ac:dyDescent="0.25">
      <c r="A88" s="26">
        <v>71</v>
      </c>
      <c r="B88" s="9">
        <v>67167</v>
      </c>
      <c r="C88" s="12"/>
      <c r="D88" s="2"/>
      <c r="E88" s="2"/>
      <c r="F88" s="9"/>
      <c r="G88" s="9">
        <f t="shared" si="11"/>
        <v>67167</v>
      </c>
      <c r="H88" s="8"/>
      <c r="I88" s="32">
        <v>44227</v>
      </c>
      <c r="J88" s="38">
        <f t="shared" si="14"/>
        <v>44228</v>
      </c>
      <c r="K88" s="49">
        <f t="shared" si="15"/>
        <v>0</v>
      </c>
      <c r="L88" s="59">
        <f t="shared" si="17"/>
        <v>0</v>
      </c>
      <c r="M88" s="50">
        <f t="shared" si="12"/>
        <v>0</v>
      </c>
      <c r="N88" s="46" t="str">
        <f t="shared" si="18"/>
        <v>+</v>
      </c>
      <c r="O88" s="85">
        <f t="shared" si="13"/>
        <v>0</v>
      </c>
      <c r="P88" s="53">
        <f>IF(G88=0,0,IF(AND(A88&lt;=A89,O88&gt;0),Get_KeyRate(H89),Get_KeyRate($N$1)))</f>
        <v>4.2500000000000003E-2</v>
      </c>
      <c r="Q88" s="54">
        <f t="shared" si="16"/>
        <v>0</v>
      </c>
      <c r="R88" s="25"/>
      <c r="S88" s="25"/>
      <c r="T88" s="102">
        <f>'ЦАОП (итог)'!P88-'ЦАОП (0)'!P88</f>
        <v>0</v>
      </c>
    </row>
    <row r="89" spans="1:20" x14ac:dyDescent="0.25">
      <c r="A89" s="26">
        <v>72</v>
      </c>
      <c r="B89" s="9">
        <v>78575</v>
      </c>
      <c r="C89" s="12"/>
      <c r="D89" s="2"/>
      <c r="E89" s="2"/>
      <c r="F89" s="9"/>
      <c r="G89" s="9">
        <f t="shared" si="11"/>
        <v>78575</v>
      </c>
      <c r="H89" s="8"/>
      <c r="I89" s="32">
        <v>44227</v>
      </c>
      <c r="J89" s="38">
        <f t="shared" si="14"/>
        <v>44228</v>
      </c>
      <c r="K89" s="49">
        <f t="shared" si="15"/>
        <v>0</v>
      </c>
      <c r="L89" s="59">
        <f t="shared" si="17"/>
        <v>0</v>
      </c>
      <c r="M89" s="50">
        <f t="shared" si="12"/>
        <v>0</v>
      </c>
      <c r="N89" s="46" t="str">
        <f t="shared" si="18"/>
        <v>+</v>
      </c>
      <c r="O89" s="85">
        <f t="shared" si="13"/>
        <v>0</v>
      </c>
      <c r="P89" s="53">
        <f>IF(G89=0,0,IF(AND(A89&lt;=A90,O89&gt;0),Get_KeyRate(H90),Get_KeyRate($N$1)))</f>
        <v>4.2500000000000003E-2</v>
      </c>
      <c r="Q89" s="54">
        <f t="shared" si="16"/>
        <v>0</v>
      </c>
      <c r="R89" s="25"/>
      <c r="S89" s="25"/>
      <c r="T89" s="102">
        <f>'ЦАОП (итог)'!P89-'ЦАОП (0)'!P89</f>
        <v>0</v>
      </c>
    </row>
    <row r="90" spans="1:20" x14ac:dyDescent="0.25">
      <c r="A90" s="26">
        <v>73</v>
      </c>
      <c r="B90" s="9">
        <v>160659</v>
      </c>
      <c r="C90" s="12"/>
      <c r="D90" s="2"/>
      <c r="E90" s="2"/>
      <c r="F90" s="9"/>
      <c r="G90" s="9">
        <f t="shared" si="11"/>
        <v>160659</v>
      </c>
      <c r="H90" s="8"/>
      <c r="I90" s="32">
        <v>44227</v>
      </c>
      <c r="J90" s="38">
        <f t="shared" si="14"/>
        <v>44228</v>
      </c>
      <c r="K90" s="49">
        <f t="shared" si="15"/>
        <v>0</v>
      </c>
      <c r="L90" s="59">
        <f t="shared" si="17"/>
        <v>0</v>
      </c>
      <c r="M90" s="50">
        <f t="shared" si="12"/>
        <v>0</v>
      </c>
      <c r="N90" s="46" t="str">
        <f t="shared" si="18"/>
        <v>+</v>
      </c>
      <c r="O90" s="85">
        <f t="shared" si="13"/>
        <v>0</v>
      </c>
      <c r="P90" s="53">
        <f>IF(G90=0,0,IF(AND(A90&lt;=A91,O90&gt;0),Get_KeyRate(H91),Get_KeyRate($N$1)))</f>
        <v>4.2500000000000003E-2</v>
      </c>
      <c r="Q90" s="54">
        <f t="shared" si="16"/>
        <v>0</v>
      </c>
      <c r="R90" s="25"/>
      <c r="S90" s="25"/>
      <c r="T90" s="102">
        <f>'ЦАОП (итог)'!P90-'ЦАОП (0)'!P90</f>
        <v>0</v>
      </c>
    </row>
    <row r="91" spans="1:20" x14ac:dyDescent="0.25">
      <c r="A91" s="26">
        <v>74</v>
      </c>
      <c r="B91" s="9">
        <v>97763.000000000015</v>
      </c>
      <c r="C91" s="12"/>
      <c r="D91" s="2"/>
      <c r="E91" s="2"/>
      <c r="F91" s="9"/>
      <c r="G91" s="9">
        <f t="shared" si="11"/>
        <v>97763</v>
      </c>
      <c r="H91" s="8"/>
      <c r="I91" s="32">
        <v>44227</v>
      </c>
      <c r="J91" s="38">
        <f t="shared" si="14"/>
        <v>44228</v>
      </c>
      <c r="K91" s="49">
        <f t="shared" si="15"/>
        <v>0</v>
      </c>
      <c r="L91" s="59">
        <f t="shared" si="17"/>
        <v>0</v>
      </c>
      <c r="M91" s="50">
        <f t="shared" si="12"/>
        <v>0</v>
      </c>
      <c r="N91" s="46" t="str">
        <f t="shared" si="18"/>
        <v>+</v>
      </c>
      <c r="O91" s="85">
        <f t="shared" si="13"/>
        <v>0</v>
      </c>
      <c r="P91" s="53">
        <f>IF(G91=0,0,IF(AND(A91&lt;=A92,O91&gt;0),Get_KeyRate(H92),Get_KeyRate($N$1)))</f>
        <v>4.2500000000000003E-2</v>
      </c>
      <c r="Q91" s="54">
        <f t="shared" si="16"/>
        <v>0</v>
      </c>
      <c r="R91" s="25"/>
      <c r="S91" s="25"/>
      <c r="T91" s="102">
        <f>'ЦАОП (итог)'!P91-'ЦАОП (0)'!P91</f>
        <v>0</v>
      </c>
    </row>
    <row r="92" spans="1:20" x14ac:dyDescent="0.25">
      <c r="A92" s="26">
        <v>75</v>
      </c>
      <c r="B92" s="9">
        <v>282390</v>
      </c>
      <c r="C92" s="12"/>
      <c r="D92" s="2"/>
      <c r="E92" s="2"/>
      <c r="F92" s="9"/>
      <c r="G92" s="9">
        <f t="shared" si="11"/>
        <v>282390</v>
      </c>
      <c r="H92" s="8"/>
      <c r="I92" s="32">
        <v>44227</v>
      </c>
      <c r="J92" s="38">
        <f t="shared" si="14"/>
        <v>44228</v>
      </c>
      <c r="K92" s="49">
        <f t="shared" si="15"/>
        <v>0</v>
      </c>
      <c r="L92" s="59">
        <f t="shared" si="17"/>
        <v>0</v>
      </c>
      <c r="M92" s="50">
        <f t="shared" si="12"/>
        <v>0</v>
      </c>
      <c r="N92" s="46" t="str">
        <f t="shared" si="18"/>
        <v>+</v>
      </c>
      <c r="O92" s="85">
        <f t="shared" si="13"/>
        <v>0</v>
      </c>
      <c r="P92" s="53">
        <f>IF(G92=0,0,IF(AND(A92&lt;=A93,O92&gt;0),Get_KeyRate(H93),Get_KeyRate($N$1)))</f>
        <v>4.2500000000000003E-2</v>
      </c>
      <c r="Q92" s="54">
        <f t="shared" si="16"/>
        <v>0</v>
      </c>
      <c r="R92" s="25"/>
      <c r="S92" s="25"/>
      <c r="T92" s="102">
        <f>'ЦАОП (итог)'!P92-'ЦАОП (0)'!P92</f>
        <v>0</v>
      </c>
    </row>
    <row r="93" spans="1:20" x14ac:dyDescent="0.25">
      <c r="A93" s="26">
        <v>76</v>
      </c>
      <c r="B93" s="9">
        <v>369078</v>
      </c>
      <c r="C93" s="12"/>
      <c r="D93" s="2"/>
      <c r="E93" s="2"/>
      <c r="F93" s="9"/>
      <c r="G93" s="9">
        <f t="shared" si="11"/>
        <v>369078</v>
      </c>
      <c r="H93" s="8"/>
      <c r="I93" s="32">
        <v>44227</v>
      </c>
      <c r="J93" s="38">
        <f t="shared" si="14"/>
        <v>44228</v>
      </c>
      <c r="K93" s="49">
        <f t="shared" si="15"/>
        <v>0</v>
      </c>
      <c r="L93" s="59">
        <f t="shared" si="17"/>
        <v>0</v>
      </c>
      <c r="M93" s="50">
        <f t="shared" si="12"/>
        <v>0</v>
      </c>
      <c r="N93" s="46" t="str">
        <f t="shared" si="18"/>
        <v>+</v>
      </c>
      <c r="O93" s="85">
        <f t="shared" si="13"/>
        <v>0</v>
      </c>
      <c r="P93" s="53">
        <f>IF(G93=0,0,IF(AND(A93&lt;=A94,O93&gt;0),Get_KeyRate(H94),Get_KeyRate($N$1)))</f>
        <v>4.2500000000000003E-2</v>
      </c>
      <c r="Q93" s="54">
        <f t="shared" si="16"/>
        <v>0</v>
      </c>
      <c r="R93" s="25"/>
      <c r="S93" s="25"/>
      <c r="T93" s="102">
        <f>'ЦАОП (итог)'!P93-'ЦАОП (0)'!P93</f>
        <v>0</v>
      </c>
    </row>
    <row r="94" spans="1:20" x14ac:dyDescent="0.25">
      <c r="A94" s="26">
        <v>77</v>
      </c>
      <c r="B94" s="9">
        <v>58822</v>
      </c>
      <c r="C94" s="12"/>
      <c r="D94" s="2"/>
      <c r="E94" s="2"/>
      <c r="F94" s="9"/>
      <c r="G94" s="9">
        <f t="shared" si="11"/>
        <v>58822</v>
      </c>
      <c r="H94" s="8"/>
      <c r="I94" s="32">
        <v>44227</v>
      </c>
      <c r="J94" s="38">
        <f t="shared" si="14"/>
        <v>44228</v>
      </c>
      <c r="K94" s="49">
        <f t="shared" si="15"/>
        <v>0</v>
      </c>
      <c r="L94" s="59">
        <f t="shared" si="17"/>
        <v>0</v>
      </c>
      <c r="M94" s="50">
        <f t="shared" si="12"/>
        <v>0</v>
      </c>
      <c r="N94" s="46" t="str">
        <f t="shared" si="18"/>
        <v>+</v>
      </c>
      <c r="O94" s="85">
        <f t="shared" si="13"/>
        <v>0</v>
      </c>
      <c r="P94" s="53">
        <f>IF(G94=0,0,IF(AND(A94&lt;=A95,O94&gt;0),Get_KeyRate(H95),Get_KeyRate($N$1)))</f>
        <v>4.2500000000000003E-2</v>
      </c>
      <c r="Q94" s="54">
        <f t="shared" si="16"/>
        <v>0</v>
      </c>
      <c r="R94" s="25"/>
      <c r="S94" s="25"/>
      <c r="T94" s="102">
        <f>'ЦАОП (итог)'!P94-'ЦАОП (0)'!P94</f>
        <v>0</v>
      </c>
    </row>
    <row r="95" spans="1:20" x14ac:dyDescent="0.25">
      <c r="A95" s="26">
        <v>78</v>
      </c>
      <c r="B95" s="9">
        <v>1579821</v>
      </c>
      <c r="C95" s="12"/>
      <c r="D95" s="2"/>
      <c r="E95" s="2"/>
      <c r="F95" s="9"/>
      <c r="G95" s="9">
        <f t="shared" si="11"/>
        <v>1579821</v>
      </c>
      <c r="H95" s="8"/>
      <c r="I95" s="32">
        <v>44227</v>
      </c>
      <c r="J95" s="38">
        <f t="shared" si="14"/>
        <v>44228</v>
      </c>
      <c r="K95" s="49">
        <f t="shared" si="15"/>
        <v>0</v>
      </c>
      <c r="L95" s="59">
        <f t="shared" si="17"/>
        <v>0</v>
      </c>
      <c r="M95" s="50">
        <f t="shared" si="12"/>
        <v>0</v>
      </c>
      <c r="N95" s="46" t="str">
        <f t="shared" si="18"/>
        <v>+</v>
      </c>
      <c r="O95" s="85">
        <f t="shared" si="13"/>
        <v>0</v>
      </c>
      <c r="P95" s="53">
        <f>IF(G95=0,0,IF(AND(A95&lt;=A96,O95&gt;0),Get_KeyRate(H96),Get_KeyRate($N$1)))</f>
        <v>4.2500000000000003E-2</v>
      </c>
      <c r="Q95" s="54">
        <f t="shared" si="16"/>
        <v>0</v>
      </c>
      <c r="R95" s="25"/>
      <c r="S95" s="25"/>
      <c r="T95" s="102">
        <f>'ЦАОП (итог)'!P95-'ЦАОП (0)'!P95</f>
        <v>0</v>
      </c>
    </row>
    <row r="96" spans="1:20" ht="15.75" thickBot="1" x14ac:dyDescent="0.3">
      <c r="A96" s="27">
        <v>79</v>
      </c>
      <c r="B96" s="28">
        <v>3461161</v>
      </c>
      <c r="C96" s="29" t="s">
        <v>37</v>
      </c>
      <c r="D96" s="4" t="s">
        <v>11</v>
      </c>
      <c r="E96" s="30">
        <v>43966</v>
      </c>
      <c r="F96" s="28">
        <v>2132190.8199999998</v>
      </c>
      <c r="G96" s="28">
        <f t="shared" si="11"/>
        <v>1328970.18</v>
      </c>
      <c r="H96" s="31">
        <v>43973</v>
      </c>
      <c r="I96" s="33">
        <v>44227</v>
      </c>
      <c r="J96" s="38">
        <f t="shared" si="14"/>
        <v>44228</v>
      </c>
      <c r="K96" s="49">
        <f t="shared" si="15"/>
        <v>0</v>
      </c>
      <c r="L96" s="59">
        <f t="shared" si="17"/>
        <v>0</v>
      </c>
      <c r="M96" s="57">
        <f t="shared" si="12"/>
        <v>0</v>
      </c>
      <c r="N96" s="46" t="str">
        <f t="shared" si="18"/>
        <v/>
      </c>
      <c r="O96" s="85" t="str">
        <f t="shared" si="13"/>
        <v>0</v>
      </c>
      <c r="P96" s="53">
        <f>IF(G96=0,0,IF(AND(A96&lt;=A97,O96&gt;0),Get_KeyRate(H97),Get_KeyRate($N$1)))</f>
        <v>0</v>
      </c>
      <c r="Q96" s="54">
        <f t="shared" si="16"/>
        <v>0</v>
      </c>
      <c r="R96" s="25"/>
      <c r="S96" s="25"/>
      <c r="T96" s="102">
        <f>'ЦАОП (итог)'!P96-'ЦАОП (0)'!P96</f>
        <v>0</v>
      </c>
    </row>
    <row r="97" spans="1:17" x14ac:dyDescent="0.25">
      <c r="A97" s="10" t="s">
        <v>38</v>
      </c>
      <c r="B97" s="11">
        <f>_xlfn.AGGREGATE(9,5,B2:B96)</f>
        <v>88618104</v>
      </c>
      <c r="F97" s="11">
        <f>_xlfn.AGGREGATE(9,5,F2:F96)</f>
        <v>24278507.429999996</v>
      </c>
      <c r="Q97" s="55">
        <f>_xlfn.AGGREGATE(9,5,Q2:Q96)</f>
        <v>189786.97000000006</v>
      </c>
    </row>
  </sheetData>
  <autoFilter ref="A1:Q97" xr:uid="{00000000-0009-0000-0000-000000000000}"/>
  <mergeCells count="12">
    <mergeCell ref="S27:S34"/>
    <mergeCell ref="S35:S37"/>
    <mergeCell ref="S38:S40"/>
    <mergeCell ref="S75:S79"/>
    <mergeCell ref="S80:S82"/>
    <mergeCell ref="S83:S85"/>
    <mergeCell ref="R1:S1"/>
    <mergeCell ref="S2:S9"/>
    <mergeCell ref="S11:S13"/>
    <mergeCell ref="S14:S18"/>
    <mergeCell ref="S19:S22"/>
    <mergeCell ref="S24:S26"/>
  </mergeCells>
  <conditionalFormatting sqref="L2:L96">
    <cfRule type="cellIs" dxfId="3" priority="4" operator="equal">
      <formula>0</formula>
    </cfRule>
  </conditionalFormatting>
  <conditionalFormatting sqref="M2:M96">
    <cfRule type="cellIs" dxfId="2" priority="3" operator="equal">
      <formula>0</formula>
    </cfRule>
  </conditionalFormatting>
  <conditionalFormatting sqref="M2:M96">
    <cfRule type="cellIs" dxfId="1" priority="2" operator="equal">
      <formula>0</formula>
    </cfRule>
  </conditionalFormatting>
  <conditionalFormatting sqref="O2:O96">
    <cfRule type="cellIs" dxfId="0" priority="1" operator="equal">
      <formula>0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"/>
  <sheetViews>
    <sheetView topLeftCell="A105" workbookViewId="0">
      <selection activeCell="A41" sqref="A4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ЦАОП (итог)</vt:lpstr>
      <vt:lpstr>ЦАОП (0)</vt:lpstr>
      <vt:lpstr>Вопрос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Nikita Dvorets</cp:lastModifiedBy>
  <cp:lastPrinted>2020-11-16T12:29:03Z</cp:lastPrinted>
  <dcterms:created xsi:type="dcterms:W3CDTF">2020-09-30T08:56:59Z</dcterms:created>
  <dcterms:modified xsi:type="dcterms:W3CDTF">2020-11-29T15:14:40Z</dcterms:modified>
</cp:coreProperties>
</file>