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8550" windowWidth="19200" windowHeight="10905"/>
  </bookViews>
  <sheets>
    <sheet name="ЦАОП" sheetId="2" r:id="rId1"/>
  </sheets>
  <functionGroups builtInGroupCount="18"/>
  <externalReferences>
    <externalReference r:id="rId2"/>
  </externalReferences>
  <definedNames>
    <definedName name="_xlnm._FilterDatabase" localSheetId="0" hidden="1">ЦАОП!$A$1:$R$9</definedName>
    <definedName name="Праздники">OFFSET([1]календарь!$A$3,,,COUNTA([1]календарь!$A$3:$A$31))</definedName>
    <definedName name="Рабочие_дни">OFFSET([1]календарь!$D$3,,,COUNTA([1]календарь!$D$3:$D$31))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2" l="1"/>
  <c r="P3" i="2"/>
  <c r="P4" i="2"/>
  <c r="P5" i="2"/>
  <c r="P6" i="2"/>
  <c r="P7" i="2"/>
  <c r="P8" i="2"/>
  <c r="P9" i="2"/>
  <c r="K6" i="2" l="1"/>
  <c r="K7" i="2"/>
  <c r="G6" i="2" l="1"/>
  <c r="G7" i="2"/>
  <c r="M8" i="2" l="1"/>
  <c r="O8" i="2"/>
  <c r="K8" i="2"/>
  <c r="L8" i="2" s="1"/>
  <c r="N8" i="2" s="1"/>
  <c r="K3" i="2" l="1"/>
  <c r="L3" i="2" s="1"/>
  <c r="K4" i="2"/>
  <c r="L4" i="2" s="1"/>
  <c r="K5" i="2"/>
  <c r="K9" i="2"/>
  <c r="L9" i="2" s="1"/>
  <c r="K2" i="2"/>
  <c r="L2" i="2" s="1"/>
  <c r="O3" i="2"/>
  <c r="O4" i="2"/>
  <c r="L5" i="2"/>
  <c r="N5" i="2" s="1"/>
  <c r="O5" i="2"/>
  <c r="O6" i="2"/>
  <c r="M7" i="2"/>
  <c r="O7" i="2"/>
  <c r="O9" i="2"/>
  <c r="O2" i="2"/>
  <c r="M5" i="2" l="1"/>
  <c r="L7" i="2"/>
  <c r="N7" i="2" s="1"/>
  <c r="L6" i="2"/>
  <c r="N9" i="2"/>
  <c r="N2" i="2"/>
  <c r="N3" i="2"/>
  <c r="N4" i="2"/>
  <c r="M9" i="2" l="1"/>
  <c r="M4" i="2"/>
  <c r="M3" i="2"/>
  <c r="M2" i="2"/>
  <c r="N6" i="2"/>
  <c r="M6" i="2" l="1"/>
  <c r="G3" i="2" l="1"/>
  <c r="G4" i="2"/>
  <c r="G5" i="2"/>
  <c r="G9" i="2"/>
  <c r="Q9" i="2" s="1"/>
  <c r="G2" i="2"/>
  <c r="Q2" i="2" l="1"/>
  <c r="R9" i="2"/>
  <c r="R2" i="2"/>
  <c r="Q4" i="2"/>
  <c r="Q6" i="2"/>
  <c r="Q3" i="2"/>
  <c r="Q5" i="2"/>
  <c r="G8" i="2" l="1"/>
  <c r="R3" i="2"/>
  <c r="R5" i="2"/>
  <c r="R4" i="2"/>
  <c r="R6" i="2"/>
  <c r="Q7" i="2"/>
  <c r="R7" i="2" l="1"/>
  <c r="Q8" i="2"/>
  <c r="R8" i="2" l="1"/>
</calcChain>
</file>

<file path=xl/sharedStrings.xml><?xml version="1.0" encoding="utf-8"?>
<sst xmlns="http://schemas.openxmlformats.org/spreadsheetml/2006/main" count="31" uniqueCount="25">
  <si>
    <t>№ этапа</t>
  </si>
  <si>
    <t>№
акта</t>
  </si>
  <si>
    <t>Сумма акта</t>
  </si>
  <si>
    <t>Дата акта</t>
  </si>
  <si>
    <t>Дата вх.</t>
  </si>
  <si>
    <t>Срок по контракту</t>
  </si>
  <si>
    <t>от</t>
  </si>
  <si>
    <t>Остаток 
по этапу</t>
  </si>
  <si>
    <t>Цена этапа</t>
  </si>
  <si>
    <t>Просрочено дней</t>
  </si>
  <si>
    <t>Ставка
по актам</t>
  </si>
  <si>
    <t>Ставка по просрочке</t>
  </si>
  <si>
    <t>Сумма</t>
  </si>
  <si>
    <t>Праздники</t>
  </si>
  <si>
    <t>1</t>
  </si>
  <si>
    <t>2/1</t>
  </si>
  <si>
    <t>3</t>
  </si>
  <si>
    <t>5/1</t>
  </si>
  <si>
    <t>5/2</t>
  </si>
  <si>
    <t>6</t>
  </si>
  <si>
    <t>каникулы</t>
  </si>
  <si>
    <t>Рабочий
+1</t>
  </si>
  <si>
    <t>На остаток</t>
  </si>
  <si>
    <t>По 1му акту</t>
  </si>
  <si>
    <t>5/3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</si>
</sst>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6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4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/>
    <xf numFmtId="4" fontId="1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0" fontId="1" fillId="0" borderId="3" xfId="0" applyNumberFormat="1" applyFont="1" applyFill="1" applyBorder="1"/>
    <xf numFmtId="10" fontId="2" fillId="0" borderId="4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/>
    <xf numFmtId="4" fontId="1" fillId="0" borderId="3" xfId="0" applyNumberFormat="1" applyFont="1" applyBorder="1"/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Border="1"/>
    <xf numFmtId="0" fontId="1" fillId="0" borderId="2" xfId="0" applyFont="1" applyFill="1" applyBorder="1"/>
    <xf numFmtId="0" fontId="1" fillId="6" borderId="1" xfId="0" applyNumberFormat="1" applyFont="1" applyFill="1" applyBorder="1" applyAlignment="1">
      <alignment horizontal="center"/>
    </xf>
    <xf numFmtId="4" fontId="1" fillId="0" borderId="7" xfId="0" applyNumberFormat="1" applyFont="1" applyFill="1" applyBorder="1"/>
    <xf numFmtId="14" fontId="1" fillId="2" borderId="0" xfId="0" applyNumberFormat="1" applyFont="1" applyFill="1"/>
    <xf numFmtId="0" fontId="1" fillId="0" borderId="6" xfId="0" applyFont="1" applyBorder="1"/>
    <xf numFmtId="4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/>
    <xf numFmtId="4" fontId="1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3">
    <cellStyle name="Обычный" xfId="0" builtinId="0"/>
    <cellStyle name="Финансовый 2" xfId="1"/>
    <cellStyle name="Финансовый 3" xfId="2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</dxf>
    <dxf>
      <font>
        <b val="0"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_blizhayshiy_rabochiy_den_s_uchetom_prazdnikov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р"/>
      <sheetName val="EXCEL2.RU (2)"/>
      <sheetName val="календарь"/>
      <sheetName val="EXCEL2.RU"/>
    </sheetNames>
    <sheetDataSet>
      <sheetData sheetId="0" refreshError="1"/>
      <sheetData sheetId="1" refreshError="1"/>
      <sheetData sheetId="2">
        <row r="3">
          <cell r="A3">
            <v>40546</v>
          </cell>
          <cell r="D3">
            <v>40607</v>
          </cell>
        </row>
        <row r="4">
          <cell r="A4">
            <v>40547</v>
          </cell>
        </row>
        <row r="5">
          <cell r="A5">
            <v>40548</v>
          </cell>
        </row>
        <row r="6">
          <cell r="A6">
            <v>40549</v>
          </cell>
        </row>
        <row r="7">
          <cell r="A7">
            <v>40550</v>
          </cell>
        </row>
        <row r="8">
          <cell r="A8">
            <v>40553</v>
          </cell>
        </row>
        <row r="9">
          <cell r="A9">
            <v>40597</v>
          </cell>
        </row>
        <row r="10">
          <cell r="A10">
            <v>40610</v>
          </cell>
        </row>
        <row r="11">
          <cell r="A11">
            <v>40665</v>
          </cell>
        </row>
        <row r="12">
          <cell r="A12">
            <v>40672</v>
          </cell>
        </row>
        <row r="13">
          <cell r="A13">
            <v>40707</v>
          </cell>
        </row>
        <row r="14">
          <cell r="A14">
            <v>40910</v>
          </cell>
        </row>
        <row r="15">
          <cell r="A15">
            <v>40911</v>
          </cell>
        </row>
        <row r="16">
          <cell r="A16">
            <v>40912</v>
          </cell>
        </row>
        <row r="17">
          <cell r="A17">
            <v>40913</v>
          </cell>
        </row>
        <row r="18">
          <cell r="A18">
            <v>40914</v>
          </cell>
        </row>
        <row r="19">
          <cell r="A19">
            <v>40917</v>
          </cell>
        </row>
        <row r="20">
          <cell r="A20">
            <v>40962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  <pageSetUpPr fitToPage="1"/>
  </sheetPr>
  <dimension ref="A1:V10"/>
  <sheetViews>
    <sheetView tabSelected="1" zoomScale="85" zoomScaleNormal="85" workbookViewId="0">
      <pane ySplit="1" topLeftCell="A2" activePane="bottomLeft" state="frozen"/>
      <selection pane="bottomLeft" activeCell="P3" sqref="P3"/>
    </sheetView>
  </sheetViews>
  <sheetFormatPr defaultRowHeight="15" x14ac:dyDescent="0.25"/>
  <cols>
    <col min="1" max="1" width="9.140625" style="14"/>
    <col min="2" max="2" width="15" style="14" bestFit="1" customWidth="1"/>
    <col min="3" max="3" width="7.28515625" style="14" customWidth="1"/>
    <col min="4" max="4" width="3.5703125" style="14" customWidth="1"/>
    <col min="5" max="5" width="11.28515625" style="14" bestFit="1" customWidth="1"/>
    <col min="6" max="6" width="15.28515625" style="14" customWidth="1"/>
    <col min="7" max="7" width="15.7109375" style="14" customWidth="1"/>
    <col min="8" max="9" width="12.28515625" style="14" customWidth="1"/>
    <col min="10" max="11" width="12.5703125" style="14" customWidth="1"/>
    <col min="12" max="12" width="12.140625" style="1" customWidth="1"/>
    <col min="13" max="13" width="12.7109375" style="14" bestFit="1" customWidth="1"/>
    <col min="14" max="14" width="9.140625" style="14"/>
    <col min="15" max="16" width="12.85546875" style="14" customWidth="1"/>
    <col min="17" max="17" width="10.5703125" style="1" customWidth="1"/>
    <col min="18" max="18" width="12.140625" style="14" customWidth="1"/>
    <col min="19" max="19" width="12.28515625" style="14" customWidth="1"/>
    <col min="20" max="20" width="17.5703125" style="14" customWidth="1"/>
    <col min="21" max="16384" width="9.140625" style="14"/>
  </cols>
  <sheetData>
    <row r="1" spans="1:22" ht="30" x14ac:dyDescent="0.25">
      <c r="A1" s="3" t="s">
        <v>0</v>
      </c>
      <c r="B1" s="4" t="s">
        <v>8</v>
      </c>
      <c r="C1" s="4" t="s">
        <v>1</v>
      </c>
      <c r="D1" s="4"/>
      <c r="E1" s="3" t="s">
        <v>3</v>
      </c>
      <c r="F1" s="3" t="s">
        <v>2</v>
      </c>
      <c r="G1" s="4" t="s">
        <v>7</v>
      </c>
      <c r="H1" s="3" t="s">
        <v>4</v>
      </c>
      <c r="I1" s="3"/>
      <c r="J1" s="4" t="s">
        <v>5</v>
      </c>
      <c r="K1" s="4" t="s">
        <v>21</v>
      </c>
      <c r="L1" s="8" t="s">
        <v>9</v>
      </c>
      <c r="M1" s="9" t="s">
        <v>23</v>
      </c>
      <c r="N1" s="4" t="s">
        <v>10</v>
      </c>
      <c r="O1" s="10">
        <v>44160</v>
      </c>
      <c r="P1" s="11" t="s">
        <v>22</v>
      </c>
      <c r="Q1" s="12" t="s">
        <v>11</v>
      </c>
      <c r="R1" s="13" t="s">
        <v>12</v>
      </c>
      <c r="S1" s="37" t="s">
        <v>13</v>
      </c>
      <c r="T1" s="38"/>
    </row>
    <row r="2" spans="1:22" x14ac:dyDescent="0.25">
      <c r="A2" s="15">
        <v>1</v>
      </c>
      <c r="B2" s="16">
        <v>53547</v>
      </c>
      <c r="C2" s="17" t="s">
        <v>14</v>
      </c>
      <c r="D2" s="18" t="s">
        <v>6</v>
      </c>
      <c r="E2" s="19">
        <v>43966</v>
      </c>
      <c r="F2" s="16">
        <v>53547</v>
      </c>
      <c r="G2" s="16">
        <f t="shared" ref="G2:G8" si="0">ROUND(IF(B2&gt;0,B2-F2,G1-F2),2)</f>
        <v>0</v>
      </c>
      <c r="H2" s="20">
        <v>43973</v>
      </c>
      <c r="I2" s="20"/>
      <c r="J2" s="21">
        <v>43861</v>
      </c>
      <c r="K2" s="21">
        <f t="shared" ref="K2:K9" si="1">WORKDAY.INTL(J2,1,1,$S$2:$S$10)</f>
        <v>43864</v>
      </c>
      <c r="L2" s="22">
        <f>IF(AND(H2&gt;K2,B2&gt;0),H2-K2+1,0)</f>
        <v>110</v>
      </c>
      <c r="M2" s="2">
        <f t="shared" ref="M2" si="2">IF(B2&gt;0,ROUND((B2*L2*1/300*N2),2),0)</f>
        <v>1079.8599999999999</v>
      </c>
      <c r="N2" s="6">
        <f t="shared" ref="N2" si="3">IF(L2=0,0,Get_KeyRate(H2))</f>
        <v>5.5E-2</v>
      </c>
      <c r="O2" s="23" t="str">
        <f t="shared" ref="O2" si="4">IF(AND(E2=0,F2=0,H2=0),"+","")</f>
        <v/>
      </c>
      <c r="P2" s="7">
        <f t="shared" ref="P2:P8" si="5">IF(O2="+",IF(J2&gt;$O$1,"0",IF(O2="+",VALUE($O$1)-VALUE(K2),$O$1-H2))+IF(G2=0,0,IF(AND(A2&gt;=A3,H2&gt;0,H3-H2),H3-H2)),IF(J2&gt;$O$1,"0",IF(G2=0,0,IF(AND(A2&gt;=A3,H2&gt;0,H3-H2),H3-H2,IF(AND(A2&lt;&gt;A3,B2="",B3&lt;&gt;0),VALUE($O$1)-VALUE(H2),IF(A2&lt;&gt;A3,H2-K2,IF(O2="+",VALUE($O$1)-VALUE(K2),$O$1-H2)))))))</f>
        <v>0</v>
      </c>
      <c r="Q2" s="5">
        <f>IF(G2=0,0,IF(AND(A2&lt;=A3,P2&gt;0,H2&lt;&gt;0),Get_KeyRate(H3),Get_KeyRate($O$1)))</f>
        <v>0</v>
      </c>
      <c r="R2" s="24">
        <f>IF(G2=0,0,IF(P2&gt;0,ROUND((G2*P2*1/300*Q2),2),0))</f>
        <v>0</v>
      </c>
      <c r="S2" s="25">
        <v>43466</v>
      </c>
      <c r="T2" s="39" t="s">
        <v>20</v>
      </c>
    </row>
    <row r="3" spans="1:22" x14ac:dyDescent="0.25">
      <c r="A3" s="26">
        <v>2</v>
      </c>
      <c r="B3" s="27">
        <v>629125</v>
      </c>
      <c r="C3" s="28" t="s">
        <v>15</v>
      </c>
      <c r="D3" s="29" t="s">
        <v>6</v>
      </c>
      <c r="E3" s="30">
        <v>43966</v>
      </c>
      <c r="F3" s="27">
        <v>619378</v>
      </c>
      <c r="G3" s="27">
        <f t="shared" si="0"/>
        <v>9747</v>
      </c>
      <c r="H3" s="31">
        <v>43973</v>
      </c>
      <c r="I3" s="31"/>
      <c r="J3" s="32">
        <v>43890</v>
      </c>
      <c r="K3" s="21">
        <f t="shared" si="1"/>
        <v>43892</v>
      </c>
      <c r="L3" s="22">
        <f t="shared" ref="L3:L9" si="6">IF(AND(H3&gt;K3,B3&gt;0),H3-K3+1,0)</f>
        <v>82</v>
      </c>
      <c r="M3" s="2">
        <f t="shared" ref="M3:M9" si="7">IF(B3&gt;0,ROUND((B3*L3*1/300*N3),2),0)</f>
        <v>9457.85</v>
      </c>
      <c r="N3" s="6">
        <f t="shared" ref="N3:N9" si="8">IF(L3=0,0,Get_KeyRate(H3))</f>
        <v>5.5E-2</v>
      </c>
      <c r="O3" s="23" t="str">
        <f t="shared" ref="O3:O9" si="9">IF(AND(E3=0,F3=0,H3=0),"+","")</f>
        <v/>
      </c>
      <c r="P3" s="7">
        <f t="shared" si="5"/>
        <v>81</v>
      </c>
      <c r="Q3" s="5">
        <f>IF(G3=0,0,IF(AND(A3&lt;=A4,P3&gt;0,H3&lt;&gt;0),Get_KeyRate(H4),Get_KeyRate($O$1)))</f>
        <v>5.5E-2</v>
      </c>
      <c r="R3" s="24">
        <f t="shared" ref="R3:R9" si="10">IF(G3=0,0,IF(P3&gt;0,ROUND((G3*P3*1/300*Q3),2),0))</f>
        <v>144.74</v>
      </c>
      <c r="S3" s="25">
        <v>43467</v>
      </c>
      <c r="T3" s="39"/>
    </row>
    <row r="4" spans="1:22" x14ac:dyDescent="0.25">
      <c r="A4" s="26">
        <v>3</v>
      </c>
      <c r="B4" s="27">
        <v>82910</v>
      </c>
      <c r="C4" s="28" t="s">
        <v>16</v>
      </c>
      <c r="D4" s="29" t="s">
        <v>6</v>
      </c>
      <c r="E4" s="30">
        <v>43966</v>
      </c>
      <c r="F4" s="27">
        <v>82907</v>
      </c>
      <c r="G4" s="27">
        <f t="shared" si="0"/>
        <v>3</v>
      </c>
      <c r="H4" s="31">
        <v>43973</v>
      </c>
      <c r="I4" s="31"/>
      <c r="J4" s="32">
        <v>43890</v>
      </c>
      <c r="K4" s="21">
        <f t="shared" si="1"/>
        <v>43892</v>
      </c>
      <c r="L4" s="22">
        <f t="shared" si="6"/>
        <v>82</v>
      </c>
      <c r="M4" s="2">
        <f t="shared" si="7"/>
        <v>1246.4100000000001</v>
      </c>
      <c r="N4" s="6">
        <f t="shared" si="8"/>
        <v>5.5E-2</v>
      </c>
      <c r="O4" s="23" t="str">
        <f t="shared" si="9"/>
        <v/>
      </c>
      <c r="P4" s="7">
        <f t="shared" si="5"/>
        <v>81</v>
      </c>
      <c r="Q4" s="5">
        <f>IF(G4=0,0,IF(AND(A4&lt;=A5,P4&gt;0,H4&lt;&gt;0),Get_KeyRate(H5),Get_KeyRate($O$1)))</f>
        <v>4.2500000000000003E-2</v>
      </c>
      <c r="R4" s="24">
        <f t="shared" si="10"/>
        <v>0.03</v>
      </c>
      <c r="S4" s="25">
        <v>43468</v>
      </c>
      <c r="T4" s="39"/>
      <c r="V4" s="33"/>
    </row>
    <row r="5" spans="1:22" x14ac:dyDescent="0.25">
      <c r="A5" s="26">
        <v>4</v>
      </c>
      <c r="B5" s="27">
        <v>849598</v>
      </c>
      <c r="C5" s="28"/>
      <c r="D5" s="29"/>
      <c r="E5" s="29"/>
      <c r="F5" s="27"/>
      <c r="G5" s="27">
        <f t="shared" si="0"/>
        <v>849598</v>
      </c>
      <c r="H5" s="34"/>
      <c r="I5" s="34"/>
      <c r="J5" s="32">
        <v>43890</v>
      </c>
      <c r="K5" s="21">
        <f t="shared" si="1"/>
        <v>43892</v>
      </c>
      <c r="L5" s="22">
        <f t="shared" si="6"/>
        <v>0</v>
      </c>
      <c r="M5" s="2">
        <f t="shared" si="7"/>
        <v>0</v>
      </c>
      <c r="N5" s="6">
        <f t="shared" si="8"/>
        <v>0</v>
      </c>
      <c r="O5" s="23" t="str">
        <f t="shared" si="9"/>
        <v>+</v>
      </c>
      <c r="P5" s="7">
        <f t="shared" si="5"/>
        <v>268</v>
      </c>
      <c r="Q5" s="5">
        <f>IF(G5=0,0,IF(AND(A5&lt;=A6,P5&gt;0,H5&lt;&gt;0),Get_KeyRate(H6),Get_KeyRate($O$1)))</f>
        <v>4.2500000000000003E-2</v>
      </c>
      <c r="R5" s="24">
        <f t="shared" si="10"/>
        <v>32256.400000000001</v>
      </c>
      <c r="S5" s="25">
        <v>43469</v>
      </c>
      <c r="T5" s="39"/>
    </row>
    <row r="6" spans="1:22" x14ac:dyDescent="0.25">
      <c r="A6" s="26">
        <v>5</v>
      </c>
      <c r="B6" s="27">
        <v>2262215</v>
      </c>
      <c r="C6" s="28" t="s">
        <v>17</v>
      </c>
      <c r="D6" s="29" t="s">
        <v>6</v>
      </c>
      <c r="E6" s="30">
        <v>43966</v>
      </c>
      <c r="F6" s="27">
        <v>1543724</v>
      </c>
      <c r="G6" s="27">
        <f t="shared" si="0"/>
        <v>718491</v>
      </c>
      <c r="H6" s="31">
        <v>43973</v>
      </c>
      <c r="I6" s="31"/>
      <c r="J6" s="32">
        <v>43921</v>
      </c>
      <c r="K6" s="21">
        <f t="shared" si="1"/>
        <v>43922</v>
      </c>
      <c r="L6" s="22">
        <f t="shared" si="6"/>
        <v>52</v>
      </c>
      <c r="M6" s="2">
        <f t="shared" si="7"/>
        <v>21566.45</v>
      </c>
      <c r="N6" s="6">
        <f t="shared" si="8"/>
        <v>5.5E-2</v>
      </c>
      <c r="O6" s="23" t="str">
        <f t="shared" si="9"/>
        <v/>
      </c>
      <c r="P6" s="36">
        <f t="shared" si="5"/>
        <v>24</v>
      </c>
      <c r="Q6" s="5">
        <f>IF(G6=0,0,IF(AND(A6&lt;=A7,P6&gt;0,H6&lt;&gt;0),Get_KeyRate(H7),Get_KeyRate($O$1)))</f>
        <v>5.5E-2</v>
      </c>
      <c r="R6" s="24">
        <f t="shared" si="10"/>
        <v>3161.36</v>
      </c>
      <c r="S6" s="25">
        <v>43470</v>
      </c>
      <c r="T6" s="39"/>
    </row>
    <row r="7" spans="1:22" x14ac:dyDescent="0.25">
      <c r="A7" s="26">
        <v>5</v>
      </c>
      <c r="B7" s="27"/>
      <c r="C7" s="28" t="s">
        <v>18</v>
      </c>
      <c r="D7" s="29" t="s">
        <v>6</v>
      </c>
      <c r="E7" s="30">
        <v>43993</v>
      </c>
      <c r="F7" s="27">
        <v>358923.6</v>
      </c>
      <c r="G7" s="27">
        <f t="shared" si="0"/>
        <v>359567.4</v>
      </c>
      <c r="H7" s="31">
        <v>43997</v>
      </c>
      <c r="I7" s="31"/>
      <c r="J7" s="32">
        <v>43921</v>
      </c>
      <c r="K7" s="21">
        <f t="shared" si="1"/>
        <v>43922</v>
      </c>
      <c r="L7" s="22">
        <f t="shared" si="6"/>
        <v>0</v>
      </c>
      <c r="M7" s="2">
        <f t="shared" si="7"/>
        <v>0</v>
      </c>
      <c r="N7" s="6">
        <f t="shared" si="8"/>
        <v>0</v>
      </c>
      <c r="O7" s="23" t="str">
        <f t="shared" si="9"/>
        <v/>
      </c>
      <c r="P7" s="36">
        <f t="shared" si="5"/>
        <v>151</v>
      </c>
      <c r="Q7" s="5">
        <f>IF(G7=0,0,IF(AND(A7&lt;=A8,P7&gt;0,H7&lt;&gt;0),Get_KeyRate(H8),Get_KeyRate($O$1)))</f>
        <v>4.2500000000000003E-2</v>
      </c>
      <c r="R7" s="24">
        <f t="shared" si="10"/>
        <v>7691.75</v>
      </c>
      <c r="S7" s="25">
        <v>43471</v>
      </c>
      <c r="T7" s="39"/>
    </row>
    <row r="8" spans="1:22" x14ac:dyDescent="0.25">
      <c r="A8" s="26">
        <v>5</v>
      </c>
      <c r="B8" s="27"/>
      <c r="C8" s="28" t="s">
        <v>24</v>
      </c>
      <c r="D8" s="29" t="s">
        <v>6</v>
      </c>
      <c r="E8" s="30">
        <v>44148</v>
      </c>
      <c r="F8" s="27">
        <v>194773.98</v>
      </c>
      <c r="G8" s="27">
        <f t="shared" si="0"/>
        <v>164793.42000000001</v>
      </c>
      <c r="H8" s="31">
        <v>44148</v>
      </c>
      <c r="I8" s="31"/>
      <c r="J8" s="32">
        <v>43921</v>
      </c>
      <c r="K8" s="21">
        <f t="shared" si="1"/>
        <v>43922</v>
      </c>
      <c r="L8" s="22">
        <f t="shared" si="6"/>
        <v>0</v>
      </c>
      <c r="M8" s="2">
        <f t="shared" ref="M8" si="11">IF(B8&gt;0,ROUND((B8*L8*1/300*N8),2),0)</f>
        <v>0</v>
      </c>
      <c r="N8" s="6">
        <f t="shared" ref="N8" si="12">IF(L8=0,0,Get_KeyRate(H8))</f>
        <v>0</v>
      </c>
      <c r="O8" s="23" t="str">
        <f t="shared" ref="O8" si="13">IF(AND(E8=0,F8=0,H8=0),"+","")</f>
        <v/>
      </c>
      <c r="P8" s="7">
        <f t="shared" si="5"/>
        <v>12</v>
      </c>
      <c r="Q8" s="5">
        <f>IF(G8=0,0,IF(AND(A8&lt;=A9,P8&gt;0,H8&lt;&gt;0),Get_KeyRate(H9),Get_KeyRate($O$1)))</f>
        <v>5.5E-2</v>
      </c>
      <c r="R8" s="24">
        <f t="shared" si="10"/>
        <v>362.55</v>
      </c>
      <c r="S8" s="25"/>
      <c r="T8" s="39"/>
    </row>
    <row r="9" spans="1:22" x14ac:dyDescent="0.25">
      <c r="A9" s="26">
        <v>6</v>
      </c>
      <c r="B9" s="27">
        <v>4264318</v>
      </c>
      <c r="C9" s="28" t="s">
        <v>19</v>
      </c>
      <c r="D9" s="29" t="s">
        <v>6</v>
      </c>
      <c r="E9" s="30">
        <v>43966</v>
      </c>
      <c r="F9" s="27">
        <v>4264318</v>
      </c>
      <c r="G9" s="27">
        <f>ROUND(IF(B9&gt;0,B9-F9,G7-F9),2)</f>
        <v>0</v>
      </c>
      <c r="H9" s="31">
        <v>43973</v>
      </c>
      <c r="I9" s="31"/>
      <c r="J9" s="32">
        <v>43921</v>
      </c>
      <c r="K9" s="21">
        <f t="shared" si="1"/>
        <v>43922</v>
      </c>
      <c r="L9" s="22">
        <f t="shared" si="6"/>
        <v>52</v>
      </c>
      <c r="M9" s="2">
        <f t="shared" si="7"/>
        <v>40653.160000000003</v>
      </c>
      <c r="N9" s="6">
        <f t="shared" si="8"/>
        <v>5.5E-2</v>
      </c>
      <c r="O9" s="23" t="str">
        <f t="shared" si="9"/>
        <v/>
      </c>
      <c r="P9" s="7">
        <f>IF(O9="+",IF(J9&gt;$O$1,"0",IF(O9="+",VALUE($O$1)-VALUE(K9),$O$1-H9))+IF(G9=0,0,IF(AND(A9&gt;=#REF!,H9&gt;0,#REF!-H9),#REF!-H9)),IF(J9&gt;$O$1,"0",IF(G9=0,0,IF(AND(A9&gt;=#REF!,H9&gt;0,#REF!-H9),#REF!-H9,IF(AND(A9&lt;&gt;#REF!,B9="",#REF!&lt;&gt;0),VALUE($O$1)-VALUE(H9),IF(A9&lt;&gt;#REF!,H9-K9,IF(O9="+",VALUE($O$1)-VALUE(K9),$O$1-H9)))))))</f>
        <v>0</v>
      </c>
      <c r="Q9" s="5">
        <f>IF(G9=0,0,IF(AND(A9&lt;=#REF!,P9&gt;0,H9&lt;&gt;0),Get_KeyRate(#REF!),Get_KeyRate($O$1)))</f>
        <v>0</v>
      </c>
      <c r="R9" s="24">
        <f t="shared" si="10"/>
        <v>0</v>
      </c>
      <c r="S9" s="25">
        <v>43472</v>
      </c>
      <c r="T9" s="39"/>
    </row>
    <row r="10" spans="1:22" x14ac:dyDescent="0.25">
      <c r="S10" s="25">
        <v>44204</v>
      </c>
      <c r="T10" s="35"/>
    </row>
  </sheetData>
  <autoFilter ref="A1:R9"/>
  <mergeCells count="2">
    <mergeCell ref="S1:T1"/>
    <mergeCell ref="T2:T9"/>
  </mergeCells>
  <conditionalFormatting sqref="M2:M9">
    <cfRule type="cellIs" dxfId="5" priority="10" operator="equal">
      <formula>0</formula>
    </cfRule>
  </conditionalFormatting>
  <conditionalFormatting sqref="N2:N9">
    <cfRule type="cellIs" dxfId="4" priority="9" operator="equal">
      <formula>0</formula>
    </cfRule>
  </conditionalFormatting>
  <conditionalFormatting sqref="N2:N9">
    <cfRule type="cellIs" dxfId="3" priority="8" operator="equal">
      <formula>0</formula>
    </cfRule>
  </conditionalFormatting>
  <conditionalFormatting sqref="P4:P9">
    <cfRule type="cellIs" dxfId="2" priority="4" operator="equal">
      <formula>0</formula>
    </cfRule>
  </conditionalFormatting>
  <conditionalFormatting sqref="P3">
    <cfRule type="cellIs" dxfId="1" priority="2" operator="equal">
      <formula>0</formula>
    </cfRule>
  </conditionalFormatting>
  <conditionalFormatting sqref="P2">
    <cfRule type="cellIs" dxfId="0" priority="1" operator="equal">
      <formula>0</formula>
    </cfRule>
  </conditionalFormatting>
  <pageMargins left="0.7" right="0.7" top="0.75" bottom="0.75" header="0.3" footer="0.3"/>
  <pageSetup paperSize="9" scale="5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ЦАОП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2020-12-01T13:17:06Z</cp:lastPrinted>
  <dcterms:created xsi:type="dcterms:W3CDTF">2020-09-30T08:56:59Z</dcterms:created>
  <dcterms:modified xsi:type="dcterms:W3CDTF">2020-12-02T10:49:57Z</dcterms:modified>
</cp:coreProperties>
</file>