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Артур\Downloads\"/>
    </mc:Choice>
  </mc:AlternateContent>
  <xr:revisionPtr revIDLastSave="0" documentId="13_ncr:1_{F4A28D27-EA1C-43F4-9D9F-7CBDA3CFA617}" xr6:coauthVersionLast="40" xr6:coauthVersionMax="40" xr10:uidLastSave="{00000000-0000-0000-0000-000000000000}"/>
  <bookViews>
    <workbookView xWindow="4350" yWindow="720" windowWidth="22830" windowHeight="14880" tabRatio="732" xr2:uid="{00000000-000D-0000-FFFF-FFFF00000000}"/>
  </bookViews>
  <sheets>
    <sheet name="РР " sheetId="8" r:id="rId1"/>
    <sheet name="ГрафикЖД" sheetId="11" r:id="rId2"/>
  </sheets>
  <definedNames>
    <definedName name="_xlnm._FilterDatabase" localSheetId="0" hidden="1">'РР '!$A$31:$Y$872</definedName>
  </definedNames>
  <calcPr calcId="191029"/>
</workbook>
</file>

<file path=xl/calcChain.xml><?xml version="1.0" encoding="utf-8"?>
<calcChain xmlns="http://schemas.openxmlformats.org/spreadsheetml/2006/main">
  <c r="J73" i="8" l="1"/>
  <c r="K83" i="8"/>
  <c r="K84" i="8" s="1"/>
  <c r="R84" i="8" s="1"/>
  <c r="E84" i="8" s="1"/>
  <c r="K82" i="8"/>
  <c r="K81" i="8"/>
  <c r="K78" i="8" s="1"/>
  <c r="J83" i="8"/>
  <c r="J82" i="8"/>
  <c r="J81" i="8"/>
  <c r="J78" i="8" s="1"/>
  <c r="K73" i="8"/>
  <c r="L73" i="8"/>
  <c r="M73" i="8"/>
  <c r="N73" i="8"/>
  <c r="O73" i="8"/>
  <c r="P73" i="8"/>
  <c r="Q73" i="8"/>
  <c r="C72" i="8"/>
  <c r="G72" i="8"/>
  <c r="B73" i="8"/>
  <c r="B74" i="8" s="1"/>
  <c r="C73" i="8"/>
  <c r="R73" i="8"/>
  <c r="J71" i="8" s="1"/>
  <c r="C74" i="8"/>
  <c r="J84" i="8"/>
  <c r="L75" i="8"/>
  <c r="M75" i="8"/>
  <c r="N75" i="8"/>
  <c r="O75" i="8"/>
  <c r="P75" i="8"/>
  <c r="Q75" i="8"/>
  <c r="G76" i="8"/>
  <c r="F81" i="8"/>
  <c r="R81" i="8"/>
  <c r="E81" i="8" s="1"/>
  <c r="F82" i="8"/>
  <c r="R82" i="8"/>
  <c r="E82" i="8" s="1"/>
  <c r="F83" i="8"/>
  <c r="G83" i="8" s="1"/>
  <c r="R83" i="8"/>
  <c r="E83" i="8"/>
  <c r="I83" i="8" s="1"/>
  <c r="F84" i="8"/>
  <c r="K90" i="8"/>
  <c r="L90" i="8"/>
  <c r="R90" i="8" s="1"/>
  <c r="M90" i="8"/>
  <c r="N90" i="8"/>
  <c r="O90" i="8"/>
  <c r="P90" i="8"/>
  <c r="Q90" i="8"/>
  <c r="J90" i="8"/>
  <c r="J130" i="8"/>
  <c r="J107" i="8"/>
  <c r="R107" i="8" s="1"/>
  <c r="J115" i="8"/>
  <c r="J87" i="8"/>
  <c r="R87" i="8" s="1"/>
  <c r="E90" i="8"/>
  <c r="G91" i="8"/>
  <c r="F96" i="8"/>
  <c r="F97" i="8"/>
  <c r="F98" i="8"/>
  <c r="E99" i="8"/>
  <c r="J99" i="8"/>
  <c r="R99" i="8" s="1"/>
  <c r="K99" i="8"/>
  <c r="L99" i="8"/>
  <c r="M99" i="8"/>
  <c r="N99" i="8"/>
  <c r="O99" i="8"/>
  <c r="P99" i="8"/>
  <c r="Q99" i="8"/>
  <c r="G100" i="8"/>
  <c r="F105" i="8"/>
  <c r="J105" i="8"/>
  <c r="J106" i="8"/>
  <c r="R106" i="8" s="1"/>
  <c r="E106" i="8" s="1"/>
  <c r="F106" i="8"/>
  <c r="E107" i="8"/>
  <c r="K107" i="8"/>
  <c r="L107" i="8"/>
  <c r="M107" i="8"/>
  <c r="N107" i="8"/>
  <c r="O107" i="8"/>
  <c r="P107" i="8"/>
  <c r="Q107" i="8"/>
  <c r="G108" i="8"/>
  <c r="F113" i="8"/>
  <c r="J113" i="8"/>
  <c r="K113" i="8"/>
  <c r="F114" i="8"/>
  <c r="J114" i="8"/>
  <c r="K114" i="8"/>
  <c r="R114" i="8"/>
  <c r="E114" i="8" s="1"/>
  <c r="E115" i="8"/>
  <c r="K115" i="8"/>
  <c r="L115" i="8"/>
  <c r="M115" i="8"/>
  <c r="N115" i="8"/>
  <c r="O115" i="8"/>
  <c r="P115" i="8"/>
  <c r="Q115" i="8"/>
  <c r="G116" i="8"/>
  <c r="R105" i="8"/>
  <c r="E105" i="8" s="1"/>
  <c r="R113" i="8"/>
  <c r="E113" i="8" s="1"/>
  <c r="R115" i="8"/>
  <c r="J524" i="8"/>
  <c r="K137" i="8"/>
  <c r="J137" i="8"/>
  <c r="J412" i="8"/>
  <c r="J374" i="8"/>
  <c r="J190" i="8"/>
  <c r="R190" i="8" s="1"/>
  <c r="Q190" i="8"/>
  <c r="P190" i="8"/>
  <c r="O190" i="8"/>
  <c r="N190" i="8"/>
  <c r="M190" i="8"/>
  <c r="L190" i="8"/>
  <c r="K190" i="8"/>
  <c r="C525" i="8"/>
  <c r="C524" i="8"/>
  <c r="C523" i="8"/>
  <c r="B523" i="8"/>
  <c r="B524" i="8" s="1"/>
  <c r="B525" i="8" s="1"/>
  <c r="E130" i="8"/>
  <c r="B87" i="8"/>
  <c r="B88" i="8" s="1"/>
  <c r="B89" i="8" s="1"/>
  <c r="C390" i="8"/>
  <c r="C392" i="8"/>
  <c r="C380" i="8"/>
  <c r="C382" i="8"/>
  <c r="F40" i="8"/>
  <c r="G40" i="8" s="1"/>
  <c r="C412" i="8"/>
  <c r="C419" i="8"/>
  <c r="C435" i="8" s="1"/>
  <c r="F434" i="8"/>
  <c r="F426" i="8"/>
  <c r="C400" i="8"/>
  <c r="C402" i="8" s="1"/>
  <c r="F411" i="8"/>
  <c r="F389" i="8"/>
  <c r="C374" i="8"/>
  <c r="J379" i="8"/>
  <c r="R379" i="8" s="1"/>
  <c r="E379" i="8" s="1"/>
  <c r="C182" i="8"/>
  <c r="J185" i="8"/>
  <c r="J159" i="8"/>
  <c r="F147" i="8"/>
  <c r="F148" i="8"/>
  <c r="J161" i="8"/>
  <c r="R161" i="8" s="1"/>
  <c r="E161" i="8" s="1"/>
  <c r="C31" i="11"/>
  <c r="F161" i="8" s="1"/>
  <c r="E31" i="11"/>
  <c r="J160" i="8"/>
  <c r="R160" i="8" s="1"/>
  <c r="E160" i="8" s="1"/>
  <c r="J158" i="8"/>
  <c r="R158" i="8"/>
  <c r="E158" i="8" s="1"/>
  <c r="I158" i="8" s="1"/>
  <c r="J155" i="8"/>
  <c r="F160" i="8"/>
  <c r="F159" i="8"/>
  <c r="F158" i="8"/>
  <c r="F155" i="8"/>
  <c r="G153" i="8"/>
  <c r="Q152" i="8"/>
  <c r="P152" i="8"/>
  <c r="O152" i="8"/>
  <c r="N152" i="8"/>
  <c r="M152" i="8"/>
  <c r="L152" i="8"/>
  <c r="K152" i="8"/>
  <c r="F170" i="8"/>
  <c r="F139" i="8"/>
  <c r="F138" i="8"/>
  <c r="C142" i="8"/>
  <c r="G142" i="8" s="1"/>
  <c r="G141" i="8" s="1"/>
  <c r="J122" i="8"/>
  <c r="R122" i="8" s="1"/>
  <c r="E122" i="8" s="1"/>
  <c r="J121" i="8"/>
  <c r="R121" i="8"/>
  <c r="E121" i="8"/>
  <c r="J129" i="8"/>
  <c r="R129" i="8" s="1"/>
  <c r="E129" i="8"/>
  <c r="J126" i="8"/>
  <c r="R126" i="8"/>
  <c r="E126" i="8" s="1"/>
  <c r="F126" i="8"/>
  <c r="F129" i="8"/>
  <c r="G124" i="8"/>
  <c r="Q123" i="8"/>
  <c r="P123" i="8"/>
  <c r="O123" i="8"/>
  <c r="N123" i="8"/>
  <c r="M123" i="8"/>
  <c r="L123" i="8"/>
  <c r="K123" i="8"/>
  <c r="F122" i="8"/>
  <c r="F121" i="8"/>
  <c r="C90" i="8"/>
  <c r="F185" i="8"/>
  <c r="F181" i="8"/>
  <c r="C30" i="11"/>
  <c r="E30" i="11"/>
  <c r="F178" i="8"/>
  <c r="F179" i="8"/>
  <c r="C835" i="8"/>
  <c r="G835" i="8"/>
  <c r="G834" i="8" s="1"/>
  <c r="R840" i="8"/>
  <c r="E840" i="8" s="1"/>
  <c r="F840" i="8"/>
  <c r="R837" i="8"/>
  <c r="E837" i="8" s="1"/>
  <c r="G183" i="8"/>
  <c r="Q182" i="8"/>
  <c r="P182" i="8"/>
  <c r="O182" i="8"/>
  <c r="N182" i="8"/>
  <c r="M182" i="8"/>
  <c r="L182" i="8"/>
  <c r="K182" i="8"/>
  <c r="C171" i="8"/>
  <c r="J174" i="8" s="1"/>
  <c r="R174" i="8"/>
  <c r="E174" i="8" s="1"/>
  <c r="F180" i="8"/>
  <c r="F177" i="8"/>
  <c r="G172" i="8"/>
  <c r="Q171" i="8"/>
  <c r="P171" i="8"/>
  <c r="O171" i="8"/>
  <c r="N171" i="8"/>
  <c r="M171" i="8"/>
  <c r="L171" i="8"/>
  <c r="K171" i="8"/>
  <c r="C163" i="8"/>
  <c r="F169" i="8"/>
  <c r="G164" i="8"/>
  <c r="Q163" i="8"/>
  <c r="P163" i="8"/>
  <c r="O163" i="8"/>
  <c r="N163" i="8"/>
  <c r="M163" i="8"/>
  <c r="L163" i="8"/>
  <c r="K163" i="8"/>
  <c r="C826" i="8"/>
  <c r="C733" i="8"/>
  <c r="G783" i="8"/>
  <c r="C781" i="8"/>
  <c r="G781" i="8" s="1"/>
  <c r="C740" i="8"/>
  <c r="C704" i="8"/>
  <c r="C256" i="8"/>
  <c r="C259" i="8"/>
  <c r="C232" i="8"/>
  <c r="C238" i="8" s="1"/>
  <c r="G238" i="8" s="1"/>
  <c r="C216" i="8"/>
  <c r="C222" i="8" s="1"/>
  <c r="G222" i="8" s="1"/>
  <c r="F151" i="8"/>
  <c r="F150" i="8"/>
  <c r="F149" i="8"/>
  <c r="J144" i="8"/>
  <c r="R144" i="8" s="1"/>
  <c r="E144" i="8" s="1"/>
  <c r="Q140" i="8"/>
  <c r="P140" i="8"/>
  <c r="O140" i="8"/>
  <c r="N140" i="8"/>
  <c r="M140" i="8"/>
  <c r="L140" i="8"/>
  <c r="K140" i="8"/>
  <c r="C132" i="8"/>
  <c r="J138" i="8" s="1"/>
  <c r="C304" i="8"/>
  <c r="J320" i="8"/>
  <c r="C248" i="8"/>
  <c r="J252" i="8" s="1"/>
  <c r="R255" i="8"/>
  <c r="E255" i="8"/>
  <c r="F255" i="8"/>
  <c r="P42" i="8"/>
  <c r="O42" i="8"/>
  <c r="N42" i="8"/>
  <c r="M42" i="8"/>
  <c r="L42" i="8"/>
  <c r="K42" i="8"/>
  <c r="K872" i="8"/>
  <c r="B189" i="8"/>
  <c r="B190" i="8" s="1"/>
  <c r="B191" i="8"/>
  <c r="Q130" i="8"/>
  <c r="P130" i="8"/>
  <c r="O130" i="8"/>
  <c r="N130" i="8"/>
  <c r="M130" i="8"/>
  <c r="L130" i="8"/>
  <c r="K130" i="8"/>
  <c r="D20" i="11"/>
  <c r="D19" i="11"/>
  <c r="D26" i="11"/>
  <c r="D24" i="11"/>
  <c r="D23" i="11"/>
  <c r="D22" i="11"/>
  <c r="D18" i="11"/>
  <c r="C488" i="8"/>
  <c r="G488" i="8"/>
  <c r="C487" i="8"/>
  <c r="G487" i="8"/>
  <c r="C486" i="8"/>
  <c r="G486" i="8"/>
  <c r="C485" i="8"/>
  <c r="G485" i="8" s="1"/>
  <c r="C484" i="8"/>
  <c r="G484" i="8"/>
  <c r="C482" i="8"/>
  <c r="J493" i="8"/>
  <c r="R493" i="8" s="1"/>
  <c r="E493" i="8"/>
  <c r="C449" i="8"/>
  <c r="C451" i="8" s="1"/>
  <c r="G451" i="8" s="1"/>
  <c r="C442" i="8"/>
  <c r="J448" i="8" s="1"/>
  <c r="R448" i="8" s="1"/>
  <c r="E448" i="8" s="1"/>
  <c r="J445" i="8"/>
  <c r="C427" i="8"/>
  <c r="J410" i="8"/>
  <c r="R410" i="8" s="1"/>
  <c r="E410" i="8"/>
  <c r="J409" i="8"/>
  <c r="R409" i="8"/>
  <c r="E409" i="8" s="1"/>
  <c r="J408" i="8"/>
  <c r="R408" i="8" s="1"/>
  <c r="E408" i="8" s="1"/>
  <c r="J407" i="8"/>
  <c r="R407" i="8"/>
  <c r="E407" i="8" s="1"/>
  <c r="J404" i="8"/>
  <c r="C351" i="8"/>
  <c r="C354" i="8"/>
  <c r="G354" i="8" s="1"/>
  <c r="C326" i="8"/>
  <c r="C328" i="8"/>
  <c r="G328" i="8" s="1"/>
  <c r="C281" i="8"/>
  <c r="C284" i="8" s="1"/>
  <c r="C286" i="8"/>
  <c r="G286" i="8"/>
  <c r="C192" i="8"/>
  <c r="C205" i="8" s="1"/>
  <c r="G205" i="8"/>
  <c r="R521" i="8"/>
  <c r="E521" i="8"/>
  <c r="I521" i="8" s="1"/>
  <c r="F521" i="8"/>
  <c r="R520" i="8"/>
  <c r="E520" i="8"/>
  <c r="F520" i="8"/>
  <c r="R517" i="8"/>
  <c r="E517" i="8" s="1"/>
  <c r="F515" i="8"/>
  <c r="J513" i="8"/>
  <c r="R513" i="8"/>
  <c r="E513" i="8" s="1"/>
  <c r="I513" i="8" s="1"/>
  <c r="J512" i="8"/>
  <c r="R512" i="8"/>
  <c r="E512" i="8" s="1"/>
  <c r="I512" i="8" s="1"/>
  <c r="J511" i="8"/>
  <c r="R511" i="8"/>
  <c r="E511" i="8"/>
  <c r="J508" i="8"/>
  <c r="F513" i="8"/>
  <c r="F512" i="8"/>
  <c r="F511" i="8"/>
  <c r="F506" i="8"/>
  <c r="J504" i="8"/>
  <c r="R504" i="8"/>
  <c r="E504" i="8"/>
  <c r="I504" i="8"/>
  <c r="J503" i="8"/>
  <c r="R503" i="8"/>
  <c r="E503" i="8" s="1"/>
  <c r="I503" i="8" s="1"/>
  <c r="J502" i="8"/>
  <c r="R502" i="8"/>
  <c r="E502" i="8" s="1"/>
  <c r="I502" i="8" s="1"/>
  <c r="J499" i="8"/>
  <c r="F504" i="8"/>
  <c r="F503" i="8"/>
  <c r="F502" i="8"/>
  <c r="F495" i="8"/>
  <c r="F494" i="8"/>
  <c r="F493" i="8"/>
  <c r="G474" i="8"/>
  <c r="G466" i="8"/>
  <c r="G467" i="8"/>
  <c r="G468" i="8"/>
  <c r="G469" i="8"/>
  <c r="G470" i="8"/>
  <c r="G471" i="8"/>
  <c r="G472" i="8"/>
  <c r="G473" i="8"/>
  <c r="F497" i="8"/>
  <c r="G465" i="8"/>
  <c r="G464" i="8"/>
  <c r="G463" i="8"/>
  <c r="J479" i="8"/>
  <c r="R479" i="8"/>
  <c r="E479" i="8" s="1"/>
  <c r="J481" i="8"/>
  <c r="R481" i="8"/>
  <c r="E481" i="8" s="1"/>
  <c r="I481" i="8" s="1"/>
  <c r="F481" i="8"/>
  <c r="J480" i="8"/>
  <c r="R480" i="8"/>
  <c r="E480" i="8"/>
  <c r="J476" i="8"/>
  <c r="F480" i="8"/>
  <c r="F479" i="8"/>
  <c r="G462" i="8"/>
  <c r="G461" i="8"/>
  <c r="R458" i="8"/>
  <c r="E458" i="8"/>
  <c r="F458" i="8"/>
  <c r="R457" i="8"/>
  <c r="E457" i="8"/>
  <c r="F457" i="8"/>
  <c r="R454" i="8"/>
  <c r="E454" i="8" s="1"/>
  <c r="F448" i="8"/>
  <c r="F441" i="8"/>
  <c r="D25" i="11"/>
  <c r="D27" i="11"/>
  <c r="F433" i="8"/>
  <c r="F425" i="8"/>
  <c r="F410" i="8"/>
  <c r="F407" i="8"/>
  <c r="F418" i="8"/>
  <c r="F417" i="8"/>
  <c r="F409" i="8"/>
  <c r="F408" i="8"/>
  <c r="F399" i="8"/>
  <c r="F398" i="8"/>
  <c r="F397" i="8"/>
  <c r="F388" i="8"/>
  <c r="F379" i="8"/>
  <c r="F387" i="8"/>
  <c r="F373" i="8"/>
  <c r="F372" i="8"/>
  <c r="F371" i="8"/>
  <c r="F350" i="8"/>
  <c r="F349" i="8"/>
  <c r="F348" i="8"/>
  <c r="F325" i="8"/>
  <c r="F324" i="8"/>
  <c r="F323" i="8"/>
  <c r="F305" i="8"/>
  <c r="F303" i="8"/>
  <c r="F302" i="8"/>
  <c r="F301" i="8"/>
  <c r="F282" i="8"/>
  <c r="F280" i="8"/>
  <c r="F279" i="8"/>
  <c r="F278" i="8"/>
  <c r="F247" i="8"/>
  <c r="F246" i="8"/>
  <c r="F245" i="8"/>
  <c r="G236" i="8"/>
  <c r="F231" i="8"/>
  <c r="F230" i="8"/>
  <c r="F229" i="8"/>
  <c r="G220" i="8"/>
  <c r="G218" i="8"/>
  <c r="F215" i="8"/>
  <c r="F214" i="8"/>
  <c r="F213" i="8"/>
  <c r="G196" i="8"/>
  <c r="F137" i="8"/>
  <c r="G780" i="8"/>
  <c r="G779" i="8"/>
  <c r="G857" i="8"/>
  <c r="G778" i="8"/>
  <c r="G782" i="8"/>
  <c r="G591" i="8"/>
  <c r="C866" i="8"/>
  <c r="G866" i="8"/>
  <c r="R871" i="8"/>
  <c r="E871" i="8" s="1"/>
  <c r="F871" i="8"/>
  <c r="R868" i="8"/>
  <c r="E868" i="8" s="1"/>
  <c r="E863" i="8" s="1"/>
  <c r="G865" i="8"/>
  <c r="R862" i="8"/>
  <c r="E862" i="8"/>
  <c r="F862" i="8"/>
  <c r="R859" i="8"/>
  <c r="E859" i="8"/>
  <c r="E854" i="8" s="1"/>
  <c r="G856" i="8"/>
  <c r="C853" i="8"/>
  <c r="C852" i="8"/>
  <c r="C851" i="8"/>
  <c r="B851" i="8"/>
  <c r="B852" i="8" s="1"/>
  <c r="B853" i="8" s="1"/>
  <c r="R849" i="8"/>
  <c r="E849" i="8"/>
  <c r="F849" i="8"/>
  <c r="R846" i="8"/>
  <c r="E846" i="8" s="1"/>
  <c r="G844" i="8"/>
  <c r="G843" i="8"/>
  <c r="R832" i="8"/>
  <c r="E832" i="8" s="1"/>
  <c r="G832" i="8" s="1"/>
  <c r="G831" i="8" s="1"/>
  <c r="F832" i="8"/>
  <c r="R829" i="8"/>
  <c r="E829" i="8"/>
  <c r="G827" i="8"/>
  <c r="C825" i="8"/>
  <c r="C824" i="8"/>
  <c r="C823" i="8"/>
  <c r="B823" i="8"/>
  <c r="B824" i="8"/>
  <c r="B825" i="8" s="1"/>
  <c r="C816" i="8"/>
  <c r="G816" i="8" s="1"/>
  <c r="G815" i="8" s="1"/>
  <c r="R821" i="8"/>
  <c r="E821" i="8"/>
  <c r="F821" i="8"/>
  <c r="R818" i="8"/>
  <c r="E818" i="8" s="1"/>
  <c r="C808" i="8"/>
  <c r="G808" i="8" s="1"/>
  <c r="G807" i="8"/>
  <c r="R813" i="8"/>
  <c r="E813" i="8"/>
  <c r="F813" i="8"/>
  <c r="R810" i="8"/>
  <c r="E810" i="8"/>
  <c r="C800" i="8"/>
  <c r="G800" i="8" s="1"/>
  <c r="G799" i="8" s="1"/>
  <c r="R805" i="8"/>
  <c r="E805" i="8"/>
  <c r="F805" i="8"/>
  <c r="R802" i="8"/>
  <c r="E802" i="8"/>
  <c r="R756" i="8"/>
  <c r="E756" i="8" s="1"/>
  <c r="F756" i="8"/>
  <c r="R753" i="8"/>
  <c r="E753" i="8"/>
  <c r="E748" i="8" s="1"/>
  <c r="G751" i="8"/>
  <c r="G750" i="8"/>
  <c r="G742" i="8"/>
  <c r="G741" i="8" s="1"/>
  <c r="R747" i="8"/>
  <c r="E747" i="8" s="1"/>
  <c r="G747" i="8" s="1"/>
  <c r="G746" i="8" s="1"/>
  <c r="F747" i="8"/>
  <c r="R744" i="8"/>
  <c r="E744" i="8"/>
  <c r="R739" i="8"/>
  <c r="E739" i="8"/>
  <c r="F739" i="8"/>
  <c r="R736" i="8"/>
  <c r="E736" i="8" s="1"/>
  <c r="G734" i="8"/>
  <c r="C732" i="8"/>
  <c r="C731" i="8"/>
  <c r="C730" i="8"/>
  <c r="B730" i="8"/>
  <c r="B731" i="8" s="1"/>
  <c r="B732" i="8" s="1"/>
  <c r="G722" i="8"/>
  <c r="G695" i="8"/>
  <c r="G694" i="8"/>
  <c r="G686" i="8"/>
  <c r="G684" i="8"/>
  <c r="G669" i="8"/>
  <c r="G668" i="8"/>
  <c r="G667" i="8"/>
  <c r="G660" i="8"/>
  <c r="G659" i="8"/>
  <c r="G658" i="8"/>
  <c r="G650" i="8"/>
  <c r="G649" i="8"/>
  <c r="G648" i="8"/>
  <c r="G647" i="8"/>
  <c r="G613" i="8"/>
  <c r="G612" i="8"/>
  <c r="G604" i="8"/>
  <c r="G602" i="8"/>
  <c r="G601" i="8" s="1"/>
  <c r="G587" i="8"/>
  <c r="G586" i="8"/>
  <c r="G585" i="8"/>
  <c r="G578" i="8"/>
  <c r="G577" i="8"/>
  <c r="G568" i="8"/>
  <c r="G567" i="8"/>
  <c r="G566" i="8"/>
  <c r="G565" i="8"/>
  <c r="G564" i="8"/>
  <c r="G563" i="8"/>
  <c r="G562" i="8"/>
  <c r="G561" i="8"/>
  <c r="G560" i="8"/>
  <c r="G559" i="8"/>
  <c r="G558" i="8"/>
  <c r="G557" i="8"/>
  <c r="G556" i="8"/>
  <c r="G555" i="8"/>
  <c r="R797" i="8"/>
  <c r="E797" i="8"/>
  <c r="F797" i="8"/>
  <c r="C792" i="8"/>
  <c r="R794" i="8"/>
  <c r="E794" i="8"/>
  <c r="G776" i="8"/>
  <c r="G777" i="8"/>
  <c r="G775" i="8"/>
  <c r="G773" i="8"/>
  <c r="G772" i="8"/>
  <c r="G774" i="8"/>
  <c r="G771" i="8"/>
  <c r="G770" i="8" s="1"/>
  <c r="R768" i="8"/>
  <c r="E768" i="8" s="1"/>
  <c r="F768" i="8"/>
  <c r="R767" i="8"/>
  <c r="E767" i="8"/>
  <c r="F767" i="8"/>
  <c r="R764" i="8"/>
  <c r="E764" i="8"/>
  <c r="G762" i="8"/>
  <c r="C760" i="8"/>
  <c r="C759" i="8"/>
  <c r="C758" i="8"/>
  <c r="B758" i="8"/>
  <c r="B759" i="8" s="1"/>
  <c r="B760" i="8" s="1"/>
  <c r="R789" i="8"/>
  <c r="E789" i="8"/>
  <c r="F789" i="8"/>
  <c r="G789" i="8"/>
  <c r="R788" i="8"/>
  <c r="E788" i="8"/>
  <c r="I788" i="8" s="1"/>
  <c r="F788" i="8"/>
  <c r="R785" i="8"/>
  <c r="E785" i="8" s="1"/>
  <c r="G785" i="8" s="1"/>
  <c r="G786" i="8" s="1"/>
  <c r="C723" i="8"/>
  <c r="G723" i="8"/>
  <c r="R728" i="8"/>
  <c r="E728" i="8"/>
  <c r="I728" i="8" s="1"/>
  <c r="F728" i="8"/>
  <c r="R725" i="8"/>
  <c r="E725" i="8" s="1"/>
  <c r="F725" i="8"/>
  <c r="C714" i="8"/>
  <c r="G714" i="8"/>
  <c r="G713" i="8" s="1"/>
  <c r="R719" i="8"/>
  <c r="E719" i="8" s="1"/>
  <c r="F719" i="8"/>
  <c r="R716" i="8"/>
  <c r="E716" i="8"/>
  <c r="E712" i="8" s="1"/>
  <c r="C603" i="8"/>
  <c r="G603" i="8" s="1"/>
  <c r="C685" i="8"/>
  <c r="G685" i="8" s="1"/>
  <c r="G683" i="8" s="1"/>
  <c r="R697" i="8"/>
  <c r="E697" i="8" s="1"/>
  <c r="E692" i="8" s="1"/>
  <c r="R691" i="8"/>
  <c r="E691" i="8"/>
  <c r="F691" i="8"/>
  <c r="R688" i="8"/>
  <c r="E688" i="8" s="1"/>
  <c r="R552" i="8"/>
  <c r="E552" i="8" s="1"/>
  <c r="F552" i="8"/>
  <c r="R549" i="8"/>
  <c r="E549" i="8"/>
  <c r="R644" i="8"/>
  <c r="E644" i="8" s="1"/>
  <c r="F644" i="8"/>
  <c r="R641" i="8"/>
  <c r="E641" i="8"/>
  <c r="C665" i="8"/>
  <c r="C583" i="8"/>
  <c r="R681" i="8"/>
  <c r="E681" i="8"/>
  <c r="F681" i="8"/>
  <c r="R678" i="8"/>
  <c r="E678" i="8" s="1"/>
  <c r="C676" i="8"/>
  <c r="G676" i="8" s="1"/>
  <c r="G675" i="8"/>
  <c r="R671" i="8"/>
  <c r="E671" i="8" s="1"/>
  <c r="F671" i="8"/>
  <c r="R662" i="8"/>
  <c r="E662" i="8" s="1"/>
  <c r="R655" i="8"/>
  <c r="E655" i="8" s="1"/>
  <c r="F655" i="8"/>
  <c r="R652" i="8"/>
  <c r="E652" i="8"/>
  <c r="C632" i="8"/>
  <c r="G632" i="8"/>
  <c r="G631" i="8" s="1"/>
  <c r="R637" i="8"/>
  <c r="E637" i="8" s="1"/>
  <c r="F637" i="8"/>
  <c r="R634" i="8"/>
  <c r="E634" i="8" s="1"/>
  <c r="R629" i="8"/>
  <c r="E629" i="8"/>
  <c r="F629" i="8"/>
  <c r="R628" i="8"/>
  <c r="E628" i="8" s="1"/>
  <c r="I628" i="8" s="1"/>
  <c r="F628" i="8"/>
  <c r="R625" i="8"/>
  <c r="E625" i="8" s="1"/>
  <c r="E622" i="8" s="1"/>
  <c r="G623" i="8"/>
  <c r="C621" i="8"/>
  <c r="C620" i="8"/>
  <c r="C619" i="8"/>
  <c r="B619" i="8"/>
  <c r="B620" i="8"/>
  <c r="B621" i="8" s="1"/>
  <c r="R615" i="8"/>
  <c r="E615" i="8" s="1"/>
  <c r="C594" i="8"/>
  <c r="G594" i="8" s="1"/>
  <c r="G593" i="8" s="1"/>
  <c r="R609" i="8"/>
  <c r="E609" i="8"/>
  <c r="F609" i="8"/>
  <c r="R606" i="8"/>
  <c r="E606" i="8" s="1"/>
  <c r="R599" i="8"/>
  <c r="E599" i="8" s="1"/>
  <c r="F599" i="8"/>
  <c r="R596" i="8"/>
  <c r="E596" i="8" s="1"/>
  <c r="R589" i="8"/>
  <c r="E589" i="8"/>
  <c r="C576" i="8"/>
  <c r="G576" i="8"/>
  <c r="G575" i="8" s="1"/>
  <c r="R580" i="8"/>
  <c r="E580" i="8" s="1"/>
  <c r="R573" i="8"/>
  <c r="E573" i="8" s="1"/>
  <c r="F573" i="8"/>
  <c r="R570" i="8"/>
  <c r="E570" i="8"/>
  <c r="E553" i="8" s="1"/>
  <c r="C540" i="8"/>
  <c r="G540" i="8" s="1"/>
  <c r="G539" i="8" s="1"/>
  <c r="R545" i="8"/>
  <c r="E545" i="8"/>
  <c r="F545" i="8"/>
  <c r="R542" i="8"/>
  <c r="E542" i="8" s="1"/>
  <c r="R537" i="8"/>
  <c r="E537" i="8" s="1"/>
  <c r="F537" i="8"/>
  <c r="R536" i="8"/>
  <c r="E536" i="8"/>
  <c r="I536" i="8" s="1"/>
  <c r="F536" i="8"/>
  <c r="R533" i="8"/>
  <c r="E533" i="8"/>
  <c r="G531" i="8"/>
  <c r="C529" i="8"/>
  <c r="C528" i="8"/>
  <c r="C527" i="8"/>
  <c r="B527" i="8"/>
  <c r="B528" i="8"/>
  <c r="B529" i="8" s="1"/>
  <c r="G916" i="8"/>
  <c r="D916" i="8"/>
  <c r="F925" i="8"/>
  <c r="D917" i="8"/>
  <c r="H917" i="8" s="1"/>
  <c r="H8" i="11"/>
  <c r="H9" i="11"/>
  <c r="H10" i="11"/>
  <c r="H11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F711" i="8"/>
  <c r="F710" i="8"/>
  <c r="F67" i="8"/>
  <c r="F68" i="8"/>
  <c r="F69" i="8"/>
  <c r="F70" i="8"/>
  <c r="F66" i="8"/>
  <c r="C5" i="11"/>
  <c r="F78" i="8" s="1"/>
  <c r="F79" i="8" s="1"/>
  <c r="F837" i="8"/>
  <c r="N888" i="8"/>
  <c r="O888" i="8"/>
  <c r="P888" i="8"/>
  <c r="Q888" i="8"/>
  <c r="R711" i="8"/>
  <c r="E711" i="8" s="1"/>
  <c r="R710" i="8"/>
  <c r="E710" i="8"/>
  <c r="R707" i="8"/>
  <c r="E707" i="8" s="1"/>
  <c r="G705" i="8"/>
  <c r="C703" i="8"/>
  <c r="C702" i="8"/>
  <c r="C701" i="8"/>
  <c r="B701" i="8"/>
  <c r="B702" i="8" s="1"/>
  <c r="B703" i="8" s="1"/>
  <c r="E926" i="8"/>
  <c r="E952" i="8"/>
  <c r="J901" i="8"/>
  <c r="K901" i="8"/>
  <c r="L901" i="8"/>
  <c r="M901" i="8"/>
  <c r="N901" i="8"/>
  <c r="O901" i="8"/>
  <c r="P901" i="8"/>
  <c r="Q901" i="8"/>
  <c r="J902" i="8"/>
  <c r="K902" i="8"/>
  <c r="L902" i="8"/>
  <c r="M902" i="8"/>
  <c r="N902" i="8"/>
  <c r="O902" i="8"/>
  <c r="P902" i="8"/>
  <c r="Q902" i="8"/>
  <c r="J903" i="8"/>
  <c r="K903" i="8"/>
  <c r="L903" i="8"/>
  <c r="M903" i="8"/>
  <c r="N903" i="8"/>
  <c r="O903" i="8"/>
  <c r="P903" i="8"/>
  <c r="Q903" i="8"/>
  <c r="G911" i="8"/>
  <c r="D911" i="8" s="1"/>
  <c r="H911" i="8" s="1"/>
  <c r="E897" i="8"/>
  <c r="R70" i="8"/>
  <c r="E70" i="8" s="1"/>
  <c r="R69" i="8"/>
  <c r="E69" i="8"/>
  <c r="R68" i="8"/>
  <c r="E68" i="8"/>
  <c r="R67" i="8"/>
  <c r="E67" i="8" s="1"/>
  <c r="R66" i="8"/>
  <c r="E66" i="8" s="1"/>
  <c r="R63" i="8"/>
  <c r="E63" i="8"/>
  <c r="O896" i="8"/>
  <c r="J888" i="8"/>
  <c r="J889" i="8"/>
  <c r="M880" i="8"/>
  <c r="P878" i="8"/>
  <c r="Q878" i="8"/>
  <c r="J879" i="8"/>
  <c r="K879" i="8"/>
  <c r="P879" i="8"/>
  <c r="Q879" i="8"/>
  <c r="N880" i="8"/>
  <c r="O880" i="8"/>
  <c r="P880" i="8"/>
  <c r="Q880" i="8"/>
  <c r="N881" i="8"/>
  <c r="O881" i="8"/>
  <c r="P881" i="8"/>
  <c r="Q881" i="8"/>
  <c r="N882" i="8"/>
  <c r="O882" i="8"/>
  <c r="P882" i="8"/>
  <c r="Q882" i="8"/>
  <c r="O883" i="8"/>
  <c r="P883" i="8"/>
  <c r="Q883" i="8"/>
  <c r="O884" i="8"/>
  <c r="P884" i="8"/>
  <c r="Q884" i="8"/>
  <c r="O885" i="8"/>
  <c r="P885" i="8"/>
  <c r="Q885" i="8"/>
  <c r="O886" i="8"/>
  <c r="P886" i="8"/>
  <c r="Q886" i="8"/>
  <c r="N887" i="8"/>
  <c r="O887" i="8"/>
  <c r="P887" i="8"/>
  <c r="Q887" i="8"/>
  <c r="N889" i="8"/>
  <c r="O889" i="8"/>
  <c r="P889" i="8"/>
  <c r="Q889" i="8"/>
  <c r="J890" i="8"/>
  <c r="O890" i="8"/>
  <c r="P890" i="8"/>
  <c r="Q890" i="8"/>
  <c r="J891" i="8"/>
  <c r="O891" i="8"/>
  <c r="P891" i="8"/>
  <c r="Q891" i="8"/>
  <c r="J892" i="8"/>
  <c r="O892" i="8"/>
  <c r="P892" i="8"/>
  <c r="Q892" i="8"/>
  <c r="J893" i="8"/>
  <c r="O893" i="8"/>
  <c r="P893" i="8"/>
  <c r="Q893" i="8"/>
  <c r="J894" i="8"/>
  <c r="O894" i="8"/>
  <c r="P894" i="8"/>
  <c r="Q894" i="8"/>
  <c r="J895" i="8"/>
  <c r="J896" i="8"/>
  <c r="J897" i="8"/>
  <c r="K897" i="8"/>
  <c r="L897" i="8"/>
  <c r="M897" i="8"/>
  <c r="N897" i="8"/>
  <c r="O897" i="8"/>
  <c r="P897" i="8"/>
  <c r="Q897" i="8"/>
  <c r="J898" i="8"/>
  <c r="K898" i="8"/>
  <c r="L898" i="8"/>
  <c r="M898" i="8"/>
  <c r="N898" i="8"/>
  <c r="O898" i="8"/>
  <c r="P898" i="8"/>
  <c r="Q898" i="8"/>
  <c r="J899" i="8"/>
  <c r="K899" i="8"/>
  <c r="L899" i="8"/>
  <c r="M899" i="8"/>
  <c r="N899" i="8"/>
  <c r="O899" i="8"/>
  <c r="P899" i="8"/>
  <c r="Q899" i="8"/>
  <c r="J900" i="8"/>
  <c r="R900" i="8" s="1"/>
  <c r="K900" i="8"/>
  <c r="L900" i="8"/>
  <c r="M900" i="8"/>
  <c r="N900" i="8"/>
  <c r="O900" i="8"/>
  <c r="P900" i="8"/>
  <c r="Q900" i="8"/>
  <c r="M877" i="8"/>
  <c r="N877" i="8"/>
  <c r="O877" i="8"/>
  <c r="P877" i="8"/>
  <c r="Q877" i="8"/>
  <c r="M886" i="8"/>
  <c r="E891" i="8"/>
  <c r="K882" i="8"/>
  <c r="J886" i="8"/>
  <c r="H906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M931" i="8"/>
  <c r="B36" i="8"/>
  <c r="B37" i="8"/>
  <c r="B38" i="8" s="1"/>
  <c r="D906" i="8"/>
  <c r="G906" i="8"/>
  <c r="J887" i="8"/>
  <c r="R887" i="8" s="1"/>
  <c r="J881" i="8"/>
  <c r="M882" i="8"/>
  <c r="O879" i="8"/>
  <c r="N879" i="8"/>
  <c r="O878" i="8"/>
  <c r="N878" i="8"/>
  <c r="L889" i="8"/>
  <c r="M889" i="8"/>
  <c r="K889" i="8"/>
  <c r="E889" i="8"/>
  <c r="E903" i="8"/>
  <c r="E899" i="8"/>
  <c r="E902" i="8"/>
  <c r="E900" i="8"/>
  <c r="E901" i="8"/>
  <c r="E898" i="8"/>
  <c r="M879" i="8"/>
  <c r="L879" i="8"/>
  <c r="E879" i="8"/>
  <c r="L893" i="8"/>
  <c r="N890" i="8"/>
  <c r="L892" i="8"/>
  <c r="M893" i="8"/>
  <c r="L890" i="8"/>
  <c r="M890" i="8"/>
  <c r="M891" i="8"/>
  <c r="L891" i="8"/>
  <c r="N892" i="8"/>
  <c r="M896" i="8"/>
  <c r="N885" i="8"/>
  <c r="N893" i="8"/>
  <c r="Q895" i="8"/>
  <c r="N886" i="8"/>
  <c r="Q896" i="8"/>
  <c r="O895" i="8"/>
  <c r="L880" i="8"/>
  <c r="N896" i="8"/>
  <c r="N891" i="8"/>
  <c r="M892" i="8"/>
  <c r="L895" i="8"/>
  <c r="N895" i="8"/>
  <c r="L896" i="8"/>
  <c r="M895" i="8"/>
  <c r="L882" i="8"/>
  <c r="L877" i="8"/>
  <c r="K877" i="8"/>
  <c r="J878" i="8"/>
  <c r="R878" i="8" s="1"/>
  <c r="J880" i="8"/>
  <c r="M887" i="8"/>
  <c r="M881" i="8"/>
  <c r="L881" i="8"/>
  <c r="M878" i="8"/>
  <c r="N883" i="8"/>
  <c r="L887" i="8"/>
  <c r="L878" i="8"/>
  <c r="M894" i="8"/>
  <c r="L888" i="8"/>
  <c r="N884" i="8"/>
  <c r="N894" i="8"/>
  <c r="L894" i="8"/>
  <c r="M888" i="8"/>
  <c r="F744" i="8"/>
  <c r="F846" i="8"/>
  <c r="F589" i="8"/>
  <c r="F490" i="8"/>
  <c r="F430" i="8"/>
  <c r="F404" i="8"/>
  <c r="F445" i="8"/>
  <c r="F422" i="8"/>
  <c r="F454" i="8"/>
  <c r="F320" i="8"/>
  <c r="F384" i="8"/>
  <c r="F652" i="8"/>
  <c r="F697" i="8"/>
  <c r="F785" i="8"/>
  <c r="F226" i="8"/>
  <c r="F298" i="8"/>
  <c r="F625" i="8"/>
  <c r="F810" i="8"/>
  <c r="G810" i="8"/>
  <c r="G811" i="8"/>
  <c r="G809" i="8"/>
  <c r="F662" i="8"/>
  <c r="F252" i="8"/>
  <c r="F570" i="8"/>
  <c r="F716" i="8"/>
  <c r="F736" i="8"/>
  <c r="F707" i="8"/>
  <c r="F549" i="8"/>
  <c r="L886" i="8"/>
  <c r="K886" i="8"/>
  <c r="J885" i="8"/>
  <c r="M884" i="8"/>
  <c r="L883" i="8"/>
  <c r="J884" i="8"/>
  <c r="K895" i="8"/>
  <c r="L885" i="8"/>
  <c r="M883" i="8"/>
  <c r="J298" i="8"/>
  <c r="K885" i="8"/>
  <c r="K891" i="8"/>
  <c r="K878" i="8"/>
  <c r="M885" i="8"/>
  <c r="K894" i="8"/>
  <c r="C294" i="8"/>
  <c r="G294" i="8"/>
  <c r="C283" i="8"/>
  <c r="G283" i="8" s="1"/>
  <c r="L884" i="8"/>
  <c r="C273" i="8"/>
  <c r="G273" i="8" s="1"/>
  <c r="C296" i="8"/>
  <c r="G296" i="8"/>
  <c r="C258" i="8"/>
  <c r="G258" i="8" s="1"/>
  <c r="C270" i="8"/>
  <c r="G270" i="8"/>
  <c r="J278" i="8"/>
  <c r="R278" i="8" s="1"/>
  <c r="E278" i="8" s="1"/>
  <c r="I278" i="8" s="1"/>
  <c r="J279" i="8"/>
  <c r="R279" i="8" s="1"/>
  <c r="E279" i="8" s="1"/>
  <c r="C271" i="8"/>
  <c r="G271" i="8" s="1"/>
  <c r="H56" i="11"/>
  <c r="K880" i="8"/>
  <c r="E880" i="8"/>
  <c r="E885" i="8"/>
  <c r="K896" i="8"/>
  <c r="K883" i="8"/>
  <c r="E886" i="8"/>
  <c r="K887" i="8"/>
  <c r="K888" i="8"/>
  <c r="K884" i="8"/>
  <c r="J877" i="8"/>
  <c r="K890" i="8"/>
  <c r="E887" i="8"/>
  <c r="E878" i="8"/>
  <c r="P895" i="8"/>
  <c r="K881" i="8"/>
  <c r="K893" i="8"/>
  <c r="K892" i="8"/>
  <c r="E894" i="8"/>
  <c r="J883" i="8"/>
  <c r="J882" i="8"/>
  <c r="P896" i="8"/>
  <c r="E882" i="8"/>
  <c r="E893" i="8"/>
  <c r="E884" i="8"/>
  <c r="E890" i="8"/>
  <c r="E877" i="8"/>
  <c r="E888" i="8"/>
  <c r="E883" i="8"/>
  <c r="E892" i="8"/>
  <c r="E881" i="8"/>
  <c r="E895" i="8"/>
  <c r="E896" i="8"/>
  <c r="O1" i="11"/>
  <c r="N1" i="11"/>
  <c r="S1" i="11"/>
  <c r="P1" i="11"/>
  <c r="R1" i="11"/>
  <c r="Q1" i="11"/>
  <c r="M1" i="11"/>
  <c r="J373" i="8"/>
  <c r="R373" i="8"/>
  <c r="E373" i="8"/>
  <c r="J371" i="8"/>
  <c r="R371" i="8" s="1"/>
  <c r="E371" i="8" s="1"/>
  <c r="F377" i="8"/>
  <c r="C366" i="8"/>
  <c r="G366" i="8" s="1"/>
  <c r="C365" i="8"/>
  <c r="G365" i="8"/>
  <c r="C353" i="8"/>
  <c r="G353" i="8" s="1"/>
  <c r="C364" i="8"/>
  <c r="G364" i="8"/>
  <c r="J368" i="8"/>
  <c r="R368" i="8" s="1"/>
  <c r="E368" i="8" s="1"/>
  <c r="J372" i="8"/>
  <c r="R372" i="8"/>
  <c r="E372" i="8" s="1"/>
  <c r="J214" i="8"/>
  <c r="R214" i="8"/>
  <c r="E214" i="8" s="1"/>
  <c r="C194" i="8"/>
  <c r="G194" i="8"/>
  <c r="C198" i="8"/>
  <c r="G198" i="8"/>
  <c r="C206" i="8"/>
  <c r="G206" i="8" s="1"/>
  <c r="C199" i="8"/>
  <c r="G199" i="8" s="1"/>
  <c r="C340" i="8"/>
  <c r="G340" i="8"/>
  <c r="J349" i="8"/>
  <c r="R349" i="8"/>
  <c r="E349" i="8" s="1"/>
  <c r="J275" i="8"/>
  <c r="R275" i="8"/>
  <c r="E275" i="8" s="1"/>
  <c r="J345" i="8"/>
  <c r="R345" i="8" s="1"/>
  <c r="E345" i="8" s="1"/>
  <c r="C342" i="8"/>
  <c r="G342" i="8"/>
  <c r="J348" i="8"/>
  <c r="R348" i="8" s="1"/>
  <c r="E348" i="8" s="1"/>
  <c r="I348" i="8" s="1"/>
  <c r="J350" i="8"/>
  <c r="R350" i="8"/>
  <c r="E350" i="8"/>
  <c r="C343" i="8"/>
  <c r="G343" i="8" s="1"/>
  <c r="C414" i="8"/>
  <c r="G414" i="8"/>
  <c r="G413" i="8" s="1"/>
  <c r="F413" i="8" s="1"/>
  <c r="C200" i="8"/>
  <c r="G200" i="8"/>
  <c r="J215" i="8"/>
  <c r="R215" i="8" s="1"/>
  <c r="E215" i="8" s="1"/>
  <c r="C341" i="8"/>
  <c r="G341" i="8" s="1"/>
  <c r="F818" i="8"/>
  <c r="F688" i="8"/>
  <c r="G688" i="8"/>
  <c r="G689" i="8"/>
  <c r="G687" i="8"/>
  <c r="F438" i="8"/>
  <c r="F794" i="8"/>
  <c r="F166" i="8"/>
  <c r="F678" i="8"/>
  <c r="F174" i="8"/>
  <c r="F210" i="8"/>
  <c r="F596" i="8"/>
  <c r="F517" i="8"/>
  <c r="F615" i="8"/>
  <c r="F634" i="8"/>
  <c r="F829" i="8"/>
  <c r="G829" i="8"/>
  <c r="F542" i="8"/>
  <c r="F508" i="8"/>
  <c r="F533" i="8"/>
  <c r="F580" i="8"/>
  <c r="F606" i="8"/>
  <c r="F368" i="8"/>
  <c r="F499" i="8"/>
  <c r="F144" i="8"/>
  <c r="G144" i="8"/>
  <c r="G145" i="8"/>
  <c r="F345" i="8"/>
  <c r="F63" i="8"/>
  <c r="G63" i="8"/>
  <c r="G64" i="8" s="1"/>
  <c r="F242" i="8"/>
  <c r="F394" i="8"/>
  <c r="F802" i="8"/>
  <c r="F275" i="8"/>
  <c r="F753" i="8"/>
  <c r="G753" i="8" s="1"/>
  <c r="F868" i="8"/>
  <c r="F641" i="8"/>
  <c r="F476" i="8"/>
  <c r="F764" i="8"/>
  <c r="F859" i="8"/>
  <c r="G859" i="8"/>
  <c r="R476" i="8"/>
  <c r="E476" i="8" s="1"/>
  <c r="I476" i="8" s="1"/>
  <c r="J459" i="8" s="1"/>
  <c r="C195" i="8"/>
  <c r="G195" i="8"/>
  <c r="C207" i="8"/>
  <c r="G207" i="8"/>
  <c r="J210" i="8"/>
  <c r="R210" i="8" s="1"/>
  <c r="E210" i="8" s="1"/>
  <c r="C204" i="8"/>
  <c r="G204" i="8" s="1"/>
  <c r="F415" i="8"/>
  <c r="C272" i="8"/>
  <c r="G272" i="8"/>
  <c r="J166" i="8"/>
  <c r="R166" i="8" s="1"/>
  <c r="E166" i="8" s="1"/>
  <c r="I166" i="8" s="1"/>
  <c r="C314" i="8"/>
  <c r="G314" i="8"/>
  <c r="C224" i="8"/>
  <c r="G224" i="8"/>
  <c r="G842" i="8"/>
  <c r="C197" i="8"/>
  <c r="G197" i="8"/>
  <c r="G693" i="8"/>
  <c r="I599" i="8"/>
  <c r="J213" i="8"/>
  <c r="R213" i="8"/>
  <c r="E213" i="8"/>
  <c r="I789" i="8"/>
  <c r="I747" i="8"/>
  <c r="J323" i="8"/>
  <c r="R323" i="8" s="1"/>
  <c r="E323" i="8" s="1"/>
  <c r="C309" i="8"/>
  <c r="G309" i="8"/>
  <c r="C285" i="8"/>
  <c r="G285" i="8" s="1"/>
  <c r="J302" i="8"/>
  <c r="R302" i="8"/>
  <c r="E302" i="8" s="1"/>
  <c r="C293" i="8"/>
  <c r="G293" i="8"/>
  <c r="J303" i="8"/>
  <c r="R303" i="8"/>
  <c r="E303" i="8" s="1"/>
  <c r="J301" i="8"/>
  <c r="R301" i="8"/>
  <c r="E301" i="8" s="1"/>
  <c r="C295" i="8"/>
  <c r="G295" i="8"/>
  <c r="C250" i="8"/>
  <c r="G250" i="8" s="1"/>
  <c r="G249" i="8" s="1"/>
  <c r="F249" i="8" s="1"/>
  <c r="J430" i="8"/>
  <c r="R430" i="8" s="1"/>
  <c r="E430" i="8" s="1"/>
  <c r="E427" i="8" s="1"/>
  <c r="J434" i="8"/>
  <c r="R434" i="8" s="1"/>
  <c r="E434" i="8" s="1"/>
  <c r="J433" i="8"/>
  <c r="R433" i="8" s="1"/>
  <c r="E433" i="8" s="1"/>
  <c r="G433" i="8" s="1"/>
  <c r="C315" i="8"/>
  <c r="G315" i="8"/>
  <c r="J325" i="8"/>
  <c r="R325" i="8" s="1"/>
  <c r="E325" i="8" s="1"/>
  <c r="I325" i="8" s="1"/>
  <c r="C307" i="8"/>
  <c r="G307" i="8"/>
  <c r="C313" i="8"/>
  <c r="G313" i="8"/>
  <c r="G521" i="8"/>
  <c r="J426" i="8"/>
  <c r="R426" i="8"/>
  <c r="E426" i="8" s="1"/>
  <c r="C317" i="8"/>
  <c r="G317" i="8"/>
  <c r="C312" i="8"/>
  <c r="G312" i="8"/>
  <c r="C306" i="8"/>
  <c r="G306" i="8" s="1"/>
  <c r="C308" i="8"/>
  <c r="G308" i="8" s="1"/>
  <c r="C316" i="8"/>
  <c r="G316" i="8"/>
  <c r="C311" i="8"/>
  <c r="G311" i="8"/>
  <c r="C318" i="8"/>
  <c r="G318" i="8" s="1"/>
  <c r="J324" i="8"/>
  <c r="R324" i="8" s="1"/>
  <c r="E324" i="8" s="1"/>
  <c r="C310" i="8"/>
  <c r="G310" i="8"/>
  <c r="J280" i="8"/>
  <c r="R280" i="8" s="1"/>
  <c r="E280" i="8" s="1"/>
  <c r="I280" i="8" s="1"/>
  <c r="G855" i="8"/>
  <c r="F855" i="8" s="1"/>
  <c r="J425" i="8"/>
  <c r="R425" i="8"/>
  <c r="E425" i="8"/>
  <c r="C363" i="8"/>
  <c r="G363" i="8" s="1"/>
  <c r="C360" i="8"/>
  <c r="G360" i="8"/>
  <c r="C358" i="8"/>
  <c r="G358" i="8" s="1"/>
  <c r="C357" i="8"/>
  <c r="G357" i="8"/>
  <c r="C356" i="8"/>
  <c r="G356" i="8" s="1"/>
  <c r="C359" i="8"/>
  <c r="G359" i="8"/>
  <c r="C355" i="8"/>
  <c r="G355" i="8" s="1"/>
  <c r="C362" i="8"/>
  <c r="G362" i="8"/>
  <c r="C361" i="8"/>
  <c r="G361" i="8" s="1"/>
  <c r="G259" i="8"/>
  <c r="C264" i="8"/>
  <c r="G264" i="8" s="1"/>
  <c r="C267" i="8"/>
  <c r="G267" i="8"/>
  <c r="C266" i="8"/>
  <c r="G266" i="8"/>
  <c r="G503" i="8"/>
  <c r="G536" i="8"/>
  <c r="J147" i="8"/>
  <c r="J148" i="8" s="1"/>
  <c r="R148" i="8" s="1"/>
  <c r="E148" i="8" s="1"/>
  <c r="R147" i="8"/>
  <c r="E147" i="8"/>
  <c r="C376" i="8"/>
  <c r="G376" i="8" s="1"/>
  <c r="G375" i="8" s="1"/>
  <c r="G584" i="8"/>
  <c r="G666" i="8"/>
  <c r="J149" i="8"/>
  <c r="R149" i="8"/>
  <c r="E149" i="8"/>
  <c r="I149" i="8" s="1"/>
  <c r="J150" i="8"/>
  <c r="J151" i="8"/>
  <c r="R151" i="8" s="1"/>
  <c r="E151" i="8" s="1"/>
  <c r="C329" i="8"/>
  <c r="C337" i="8"/>
  <c r="G337" i="8"/>
  <c r="J169" i="8"/>
  <c r="J170" i="8" s="1"/>
  <c r="R170" i="8" s="1"/>
  <c r="E170" i="8" s="1"/>
  <c r="J178" i="8"/>
  <c r="R178" i="8"/>
  <c r="E178" i="8"/>
  <c r="G178" i="8"/>
  <c r="G255" i="8"/>
  <c r="G254" i="8" s="1"/>
  <c r="F254" i="8" s="1"/>
  <c r="J411" i="8"/>
  <c r="R411" i="8" s="1"/>
  <c r="E411" i="8" s="1"/>
  <c r="R159" i="8"/>
  <c r="E159" i="8"/>
  <c r="I159" i="8" s="1"/>
  <c r="C269" i="8"/>
  <c r="G269" i="8"/>
  <c r="G749" i="8"/>
  <c r="G730" i="8" s="1"/>
  <c r="F730" i="8" s="1"/>
  <c r="C162" i="8"/>
  <c r="G162" i="8"/>
  <c r="J494" i="8"/>
  <c r="R494" i="8" s="1"/>
  <c r="E494" i="8" s="1"/>
  <c r="C261" i="8"/>
  <c r="G261" i="8" s="1"/>
  <c r="C265" i="8"/>
  <c r="G265" i="8"/>
  <c r="C262" i="8"/>
  <c r="G262" i="8" s="1"/>
  <c r="C268" i="8"/>
  <c r="G268" i="8"/>
  <c r="J490" i="8"/>
  <c r="R490" i="8" s="1"/>
  <c r="E490" i="8" s="1"/>
  <c r="J495" i="8"/>
  <c r="R495" i="8"/>
  <c r="E495" i="8" s="1"/>
  <c r="G402" i="8"/>
  <c r="G401" i="8"/>
  <c r="F401" i="8"/>
  <c r="C260" i="8"/>
  <c r="G260" i="8" s="1"/>
  <c r="C263" i="8"/>
  <c r="G263" i="8" s="1"/>
  <c r="R130" i="8"/>
  <c r="G599" i="8"/>
  <c r="G598" i="8"/>
  <c r="J180" i="8"/>
  <c r="R180" i="8" s="1"/>
  <c r="E180" i="8" s="1"/>
  <c r="J177" i="8"/>
  <c r="R177" i="8" s="1"/>
  <c r="E177" i="8" s="1"/>
  <c r="J179" i="8"/>
  <c r="J181" i="8"/>
  <c r="R181" i="8" s="1"/>
  <c r="E181" i="8" s="1"/>
  <c r="I181" i="8" s="1"/>
  <c r="J422" i="8"/>
  <c r="R422" i="8" s="1"/>
  <c r="E422" i="8" s="1"/>
  <c r="J229" i="8"/>
  <c r="R229" i="8"/>
  <c r="E229" i="8" s="1"/>
  <c r="C223" i="8"/>
  <c r="G223" i="8"/>
  <c r="J226" i="8"/>
  <c r="R226" i="8" s="1"/>
  <c r="E226" i="8" s="1"/>
  <c r="J230" i="8"/>
  <c r="R230" i="8"/>
  <c r="E230" i="8" s="1"/>
  <c r="C188" i="8"/>
  <c r="C35" i="8"/>
  <c r="C219" i="8"/>
  <c r="G219" i="8" s="1"/>
  <c r="J231" i="8"/>
  <c r="R231" i="8"/>
  <c r="E231" i="8"/>
  <c r="C239" i="8"/>
  <c r="G239" i="8" s="1"/>
  <c r="C234" i="8"/>
  <c r="G234" i="8" s="1"/>
  <c r="C240" i="8"/>
  <c r="G240" i="8"/>
  <c r="J245" i="8"/>
  <c r="R245" i="8"/>
  <c r="E245" i="8" s="1"/>
  <c r="J247" i="8"/>
  <c r="R247" i="8"/>
  <c r="E247" i="8" s="1"/>
  <c r="J242" i="8"/>
  <c r="R242" i="8"/>
  <c r="E242" i="8"/>
  <c r="E232" i="8"/>
  <c r="C235" i="8"/>
  <c r="G235" i="8" s="1"/>
  <c r="J246" i="8"/>
  <c r="R246" i="8" s="1"/>
  <c r="E246" i="8" s="1"/>
  <c r="G792" i="8"/>
  <c r="G791" i="8"/>
  <c r="C288" i="8"/>
  <c r="G288" i="8" s="1"/>
  <c r="C289" i="8"/>
  <c r="G289" i="8"/>
  <c r="G284" i="8"/>
  <c r="C290" i="8"/>
  <c r="G290" i="8"/>
  <c r="C287" i="8"/>
  <c r="G287" i="8"/>
  <c r="C292" i="8"/>
  <c r="G292" i="8" s="1"/>
  <c r="C291" i="8"/>
  <c r="G291" i="8" s="1"/>
  <c r="I570" i="8"/>
  <c r="O553" i="8"/>
  <c r="I122" i="8"/>
  <c r="C203" i="8"/>
  <c r="G203" i="8"/>
  <c r="C208" i="8"/>
  <c r="G208" i="8" s="1"/>
  <c r="C201" i="8"/>
  <c r="G201" i="8"/>
  <c r="C202" i="8"/>
  <c r="G202" i="8" s="1"/>
  <c r="H916" i="8"/>
  <c r="R404" i="8"/>
  <c r="E404" i="8" s="1"/>
  <c r="R252" i="8"/>
  <c r="E252" i="8"/>
  <c r="I252" i="8"/>
  <c r="J248" i="8"/>
  <c r="R499" i="8"/>
  <c r="E499" i="8" s="1"/>
  <c r="E496" i="8" s="1"/>
  <c r="R445" i="8"/>
  <c r="E445" i="8" s="1"/>
  <c r="R298" i="8"/>
  <c r="E298" i="8"/>
  <c r="E281" i="8"/>
  <c r="G721" i="8"/>
  <c r="G701" i="8" s="1"/>
  <c r="F701" i="8" s="1"/>
  <c r="R508" i="8"/>
  <c r="E508" i="8" s="1"/>
  <c r="I508" i="8" s="1"/>
  <c r="J505" i="8" s="1"/>
  <c r="G629" i="8"/>
  <c r="I629" i="8"/>
  <c r="I716" i="8"/>
  <c r="P712" i="8"/>
  <c r="G611" i="8"/>
  <c r="I655" i="8"/>
  <c r="G655" i="8"/>
  <c r="G654" i="8"/>
  <c r="R150" i="8"/>
  <c r="E150" i="8" s="1"/>
  <c r="I129" i="8"/>
  <c r="G129" i="8"/>
  <c r="G128" i="8" s="1"/>
  <c r="F128" i="8" s="1"/>
  <c r="G864" i="8"/>
  <c r="I832" i="8"/>
  <c r="I457" i="8"/>
  <c r="E583" i="8"/>
  <c r="I589" i="8"/>
  <c r="N583" i="8" s="1"/>
  <c r="E761" i="8"/>
  <c r="I764" i="8"/>
  <c r="L761" i="8"/>
  <c r="E600" i="8"/>
  <c r="I606" i="8"/>
  <c r="J600" i="8" s="1"/>
  <c r="G821" i="8"/>
  <c r="G820" i="8"/>
  <c r="F820" i="8"/>
  <c r="I821" i="8"/>
  <c r="G160" i="8"/>
  <c r="I160" i="8"/>
  <c r="I545" i="8"/>
  <c r="G410" i="8"/>
  <c r="I410" i="8"/>
  <c r="I63" i="8"/>
  <c r="Q42" i="8"/>
  <c r="E42" i="8"/>
  <c r="I681" i="8"/>
  <c r="G681" i="8"/>
  <c r="G680" i="8"/>
  <c r="I805" i="8"/>
  <c r="E140" i="8"/>
  <c r="I573" i="8"/>
  <c r="G589" i="8"/>
  <c r="G588" i="8" s="1"/>
  <c r="G590" i="8"/>
  <c r="I625" i="8"/>
  <c r="Q622" i="8"/>
  <c r="C88" i="8"/>
  <c r="G912" i="8"/>
  <c r="D912" i="8"/>
  <c r="C221" i="8"/>
  <c r="G221" i="8"/>
  <c r="C87" i="8"/>
  <c r="C237" i="8"/>
  <c r="G237" i="8"/>
  <c r="I829" i="8"/>
  <c r="M826" i="8"/>
  <c r="E826" i="8"/>
  <c r="C452" i="8"/>
  <c r="G452" i="8"/>
  <c r="I859" i="8"/>
  <c r="K854" i="8"/>
  <c r="E656" i="8"/>
  <c r="I662" i="8"/>
  <c r="O656" i="8"/>
  <c r="G657" i="8"/>
  <c r="I753" i="8"/>
  <c r="P748" i="8"/>
  <c r="G460" i="8"/>
  <c r="F460" i="8"/>
  <c r="C86" i="8"/>
  <c r="C85" i="8" s="1"/>
  <c r="G646" i="8"/>
  <c r="G662" i="8"/>
  <c r="G663" i="8"/>
  <c r="G554" i="8"/>
  <c r="I68" i="8"/>
  <c r="I69" i="8"/>
  <c r="I691" i="8"/>
  <c r="G697" i="8"/>
  <c r="G698" i="8" s="1"/>
  <c r="I697" i="8"/>
  <c r="Q692" i="8" s="1"/>
  <c r="F713" i="8"/>
  <c r="M30" i="11" a="1"/>
  <c r="M20" i="11" a="1"/>
  <c r="M8" i="11" a="1"/>
  <c r="M12" i="11" a="1"/>
  <c r="M15" i="11" a="1"/>
  <c r="M29" i="11" a="1"/>
  <c r="M16" i="11" a="1"/>
  <c r="M13" i="11" a="1"/>
  <c r="M17" i="11" a="1"/>
  <c r="M24" i="11" a="1"/>
  <c r="M24" i="11" s="1"/>
  <c r="L24" i="11" s="1"/>
  <c r="M5" i="11" a="1"/>
  <c r="M26" i="11" a="1"/>
  <c r="M27" i="11" a="1"/>
  <c r="M23" i="11" a="1"/>
  <c r="M11" i="11" a="1"/>
  <c r="M28" i="11" a="1"/>
  <c r="M18" i="11" a="1"/>
  <c r="M18" i="11" s="1"/>
  <c r="L18" i="11" s="1"/>
  <c r="M31" i="11" a="1"/>
  <c r="M31" i="11" s="1"/>
  <c r="L31" i="11" s="1"/>
  <c r="K31" i="11" s="1"/>
  <c r="M22" i="11" a="1"/>
  <c r="M19" i="11" a="1"/>
  <c r="M25" i="11" a="1"/>
  <c r="M14" i="11" a="1"/>
  <c r="M21" i="11" a="1"/>
  <c r="M10" i="11" a="1"/>
  <c r="M10" i="11" s="1"/>
  <c r="M9" i="11" a="1"/>
  <c r="M9" i="11" s="1"/>
  <c r="L9" i="11" s="1"/>
  <c r="K9" i="11" s="1"/>
  <c r="G9" i="11" s="1"/>
  <c r="R524" i="8"/>
  <c r="G434" i="8"/>
  <c r="G279" i="8"/>
  <c r="J441" i="8"/>
  <c r="R441" i="8"/>
  <c r="E441" i="8" s="1"/>
  <c r="G441" i="8" s="1"/>
  <c r="G440" i="8" s="1"/>
  <c r="F440" i="8"/>
  <c r="J438" i="8"/>
  <c r="R438" i="8" s="1"/>
  <c r="E438" i="8" s="1"/>
  <c r="I615" i="8"/>
  <c r="K610" i="8"/>
  <c r="E610" i="8"/>
  <c r="E645" i="8"/>
  <c r="I652" i="8"/>
  <c r="N645" i="8" s="1"/>
  <c r="G382" i="8"/>
  <c r="G381" i="8" s="1"/>
  <c r="F381" i="8" s="1"/>
  <c r="J388" i="8"/>
  <c r="R388" i="8" s="1"/>
  <c r="E388" i="8" s="1"/>
  <c r="G388" i="8" s="1"/>
  <c r="J389" i="8"/>
  <c r="R389" i="8"/>
  <c r="E389" i="8" s="1"/>
  <c r="I389" i="8" s="1"/>
  <c r="J384" i="8"/>
  <c r="R384" i="8" s="1"/>
  <c r="E384" i="8" s="1"/>
  <c r="G384" i="8" s="1"/>
  <c r="J398" i="8"/>
  <c r="R398" i="8" s="1"/>
  <c r="E398" i="8" s="1"/>
  <c r="I398" i="8" s="1"/>
  <c r="J399" i="8"/>
  <c r="J397" i="8" s="1"/>
  <c r="R397" i="8" s="1"/>
  <c r="E397" i="8" s="1"/>
  <c r="R399" i="8"/>
  <c r="E399" i="8" s="1"/>
  <c r="J394" i="8"/>
  <c r="R394" i="8"/>
  <c r="E394" i="8"/>
  <c r="G392" i="8"/>
  <c r="G391" i="8" s="1"/>
  <c r="E530" i="8"/>
  <c r="I533" i="8"/>
  <c r="G483" i="8"/>
  <c r="F483" i="8"/>
  <c r="J42" i="8"/>
  <c r="G652" i="8"/>
  <c r="G653" i="8" s="1"/>
  <c r="L97" i="8"/>
  <c r="R97" i="8" s="1"/>
  <c r="E97" i="8" s="1"/>
  <c r="L98" i="8"/>
  <c r="R98" i="8" s="1"/>
  <c r="E98" i="8" s="1"/>
  <c r="I98" i="8" s="1"/>
  <c r="J96" i="8"/>
  <c r="J97" i="8"/>
  <c r="K97" i="8"/>
  <c r="K98" i="8"/>
  <c r="L96" i="8"/>
  <c r="K96" i="8"/>
  <c r="G615" i="8"/>
  <c r="G614" i="8" s="1"/>
  <c r="G610" i="8" s="1"/>
  <c r="F610" i="8" s="1"/>
  <c r="G616" i="8"/>
  <c r="G691" i="8"/>
  <c r="G690" i="8" s="1"/>
  <c r="G682" i="8" s="1"/>
  <c r="F682" i="8" s="1"/>
  <c r="L692" i="8"/>
  <c r="N748" i="8"/>
  <c r="J418" i="8"/>
  <c r="R418" i="8"/>
  <c r="E418" i="8"/>
  <c r="I739" i="8"/>
  <c r="P854" i="8"/>
  <c r="G533" i="8"/>
  <c r="M25" i="11"/>
  <c r="L25" i="11" s="1"/>
  <c r="M19" i="11"/>
  <c r="L19" i="11"/>
  <c r="I19" i="11" s="1"/>
  <c r="M15" i="11"/>
  <c r="L15" i="11" s="1"/>
  <c r="M22" i="11"/>
  <c r="L22" i="11" s="1"/>
  <c r="M16" i="11"/>
  <c r="L16" i="11"/>
  <c r="M29" i="11"/>
  <c r="L29" i="11" s="1"/>
  <c r="M8" i="11"/>
  <c r="L8" i="11" s="1"/>
  <c r="M12" i="11"/>
  <c r="L12" i="11"/>
  <c r="M28" i="11"/>
  <c r="L28" i="11" s="1"/>
  <c r="M20" i="11"/>
  <c r="L20" i="11"/>
  <c r="I20" i="11" s="1"/>
  <c r="M11" i="11"/>
  <c r="L11" i="11" s="1"/>
  <c r="M30" i="11"/>
  <c r="L30" i="11" s="1"/>
  <c r="K30" i="11" s="1"/>
  <c r="M23" i="11"/>
  <c r="L23" i="11" s="1"/>
  <c r="M27" i="11"/>
  <c r="L27" i="11" s="1"/>
  <c r="M5" i="11"/>
  <c r="M26" i="11"/>
  <c r="L26" i="11"/>
  <c r="L10" i="11"/>
  <c r="M21" i="11"/>
  <c r="L21" i="11" s="1"/>
  <c r="M17" i="11"/>
  <c r="L17" i="11" s="1"/>
  <c r="M14" i="11"/>
  <c r="L14" i="11"/>
  <c r="K14" i="11" s="1"/>
  <c r="G14" i="11" s="1"/>
  <c r="M13" i="11"/>
  <c r="L13" i="11"/>
  <c r="I66" i="8"/>
  <c r="G66" i="8"/>
  <c r="E538" i="8"/>
  <c r="I542" i="8"/>
  <c r="G756" i="8"/>
  <c r="G755" i="8" s="1"/>
  <c r="I756" i="8"/>
  <c r="I678" i="8"/>
  <c r="N674" i="8" s="1"/>
  <c r="E674" i="8"/>
  <c r="E740" i="8"/>
  <c r="E729" i="8" s="1"/>
  <c r="G744" i="8"/>
  <c r="I744" i="8"/>
  <c r="M740" i="8" s="1"/>
  <c r="I520" i="8"/>
  <c r="G520" i="8"/>
  <c r="G710" i="8"/>
  <c r="I710" i="8"/>
  <c r="E592" i="8"/>
  <c r="I549" i="8"/>
  <c r="K546" i="8" s="1"/>
  <c r="E546" i="8"/>
  <c r="E790" i="8"/>
  <c r="I794" i="8"/>
  <c r="N790" i="8"/>
  <c r="G794" i="8"/>
  <c r="N712" i="8"/>
  <c r="G542" i="8"/>
  <c r="G549" i="8"/>
  <c r="J854" i="8"/>
  <c r="G823" i="8"/>
  <c r="F823" i="8" s="1"/>
  <c r="L583" i="8"/>
  <c r="M692" i="8"/>
  <c r="L600" i="8"/>
  <c r="P600" i="8"/>
  <c r="I409" i="8"/>
  <c r="Q748" i="8"/>
  <c r="K600" i="8"/>
  <c r="M600" i="8"/>
  <c r="O600" i="8"/>
  <c r="G678" i="8"/>
  <c r="G679" i="8" s="1"/>
  <c r="M748" i="8"/>
  <c r="N600" i="8"/>
  <c r="I719" i="8"/>
  <c r="G719" i="8"/>
  <c r="G718" i="8"/>
  <c r="F718" i="8" s="1"/>
  <c r="G280" i="8"/>
  <c r="I552" i="8"/>
  <c r="G552" i="8"/>
  <c r="G551" i="8"/>
  <c r="I458" i="8"/>
  <c r="G458" i="8"/>
  <c r="I147" i="8"/>
  <c r="G147" i="8"/>
  <c r="I840" i="8"/>
  <c r="G840" i="8"/>
  <c r="G839" i="8" s="1"/>
  <c r="G825" i="8" s="1"/>
  <c r="F825" i="8" s="1"/>
  <c r="I67" i="8"/>
  <c r="G67" i="8"/>
  <c r="I511" i="8"/>
  <c r="G511" i="8"/>
  <c r="M712" i="8"/>
  <c r="P692" i="8"/>
  <c r="P583" i="8"/>
  <c r="L712" i="8"/>
  <c r="G851" i="8"/>
  <c r="C331" i="8"/>
  <c r="G331" i="8" s="1"/>
  <c r="G573" i="8"/>
  <c r="G572" i="8"/>
  <c r="L826" i="8"/>
  <c r="G499" i="8"/>
  <c r="G498" i="8" s="1"/>
  <c r="G500" i="8"/>
  <c r="G132" i="8"/>
  <c r="G131" i="8" s="1"/>
  <c r="G86" i="8" s="1"/>
  <c r="O826" i="8"/>
  <c r="J826" i="8"/>
  <c r="J712" i="8"/>
  <c r="C339" i="8"/>
  <c r="G339" i="8" s="1"/>
  <c r="N826" i="8"/>
  <c r="G158" i="8"/>
  <c r="G157" i="8" s="1"/>
  <c r="Q712" i="8"/>
  <c r="G352" i="8"/>
  <c r="F352" i="8"/>
  <c r="O712" i="8"/>
  <c r="K712" i="8"/>
  <c r="K761" i="8"/>
  <c r="G278" i="8"/>
  <c r="G277" i="8"/>
  <c r="F277" i="8" s="1"/>
  <c r="G583" i="8"/>
  <c r="F583" i="8"/>
  <c r="I609" i="8"/>
  <c r="G609" i="8"/>
  <c r="G608" i="8" s="1"/>
  <c r="G813" i="8"/>
  <c r="G812" i="8"/>
  <c r="F812" i="8" s="1"/>
  <c r="I813" i="8"/>
  <c r="I637" i="8"/>
  <c r="G637" i="8"/>
  <c r="G636" i="8" s="1"/>
  <c r="I126" i="8"/>
  <c r="E123" i="8"/>
  <c r="G126" i="8"/>
  <c r="G127" i="8" s="1"/>
  <c r="I580" i="8"/>
  <c r="E574" i="8"/>
  <c r="G767" i="8"/>
  <c r="G766" i="8" s="1"/>
  <c r="I767" i="8"/>
  <c r="I862" i="8"/>
  <c r="G862" i="8"/>
  <c r="G861" i="8"/>
  <c r="F861" i="8" s="1"/>
  <c r="I797" i="8"/>
  <c r="G797" i="8"/>
  <c r="G796" i="8" s="1"/>
  <c r="I448" i="8"/>
  <c r="G448" i="8"/>
  <c r="G447" i="8" s="1"/>
  <c r="F447" i="8" s="1"/>
  <c r="G161" i="8"/>
  <c r="I161" i="8"/>
  <c r="I768" i="8"/>
  <c r="G768" i="8"/>
  <c r="I846" i="8"/>
  <c r="P841" i="8" s="1"/>
  <c r="E841" i="8"/>
  <c r="I517" i="8"/>
  <c r="J514" i="8" s="1"/>
  <c r="G517" i="8"/>
  <c r="G518" i="8" s="1"/>
  <c r="E514" i="8"/>
  <c r="E638" i="8"/>
  <c r="I641" i="8"/>
  <c r="K638" i="8" s="1"/>
  <c r="I802" i="8"/>
  <c r="J798" i="8" s="1"/>
  <c r="E798" i="8"/>
  <c r="I849" i="8"/>
  <c r="G849" i="8"/>
  <c r="G848" i="8"/>
  <c r="G372" i="8"/>
  <c r="I372" i="8"/>
  <c r="G217" i="8"/>
  <c r="F217" i="8" s="1"/>
  <c r="I480" i="8"/>
  <c r="G480" i="8"/>
  <c r="G324" i="8"/>
  <c r="I324" i="8"/>
  <c r="G493" i="8"/>
  <c r="I493" i="8"/>
  <c r="I174" i="8"/>
  <c r="J171" i="8" s="1"/>
  <c r="R171" i="8" s="1"/>
  <c r="E171" i="8"/>
  <c r="G837" i="8"/>
  <c r="G838" i="8"/>
  <c r="I837" i="8"/>
  <c r="P833" i="8" s="1"/>
  <c r="R833" i="8" s="1"/>
  <c r="E833" i="8"/>
  <c r="E822" i="8" s="1"/>
  <c r="G247" i="8"/>
  <c r="G244" i="8" s="1"/>
  <c r="F244" i="8" s="1"/>
  <c r="I247" i="8"/>
  <c r="I148" i="8"/>
  <c r="G148" i="8"/>
  <c r="I323" i="8"/>
  <c r="G323" i="8"/>
  <c r="G322" i="8" s="1"/>
  <c r="F322" i="8"/>
  <c r="E665" i="8"/>
  <c r="G671" i="8"/>
  <c r="G672" i="8" s="1"/>
  <c r="I671" i="8"/>
  <c r="K665" i="8"/>
  <c r="E419" i="8"/>
  <c r="I422" i="8"/>
  <c r="J419" i="8" s="1"/>
  <c r="I454" i="8"/>
  <c r="J449" i="8" s="1"/>
  <c r="E449" i="8"/>
  <c r="G454" i="8"/>
  <c r="G455" i="8" s="1"/>
  <c r="G407" i="8"/>
  <c r="I407" i="8"/>
  <c r="I379" i="8"/>
  <c r="G379" i="8"/>
  <c r="G378" i="8" s="1"/>
  <c r="F378" i="8" s="1"/>
  <c r="P656" i="8"/>
  <c r="G174" i="8"/>
  <c r="G175" i="8" s="1"/>
  <c r="G173" i="8"/>
  <c r="M656" i="8"/>
  <c r="C330" i="8"/>
  <c r="G330" i="8"/>
  <c r="G846" i="8"/>
  <c r="Q656" i="8"/>
  <c r="C335" i="8"/>
  <c r="G335" i="8" s="1"/>
  <c r="P826" i="8"/>
  <c r="K656" i="8"/>
  <c r="C338" i="8"/>
  <c r="G338" i="8" s="1"/>
  <c r="G457" i="8"/>
  <c r="G456" i="8" s="1"/>
  <c r="F456" i="8" s="1"/>
  <c r="I144" i="8"/>
  <c r="J140" i="8" s="1"/>
  <c r="R140" i="8" s="1"/>
  <c r="J692" i="8"/>
  <c r="K826" i="8"/>
  <c r="J656" i="8"/>
  <c r="J761" i="8"/>
  <c r="G159" i="8"/>
  <c r="I255" i="8"/>
  <c r="F721" i="8"/>
  <c r="G580" i="8"/>
  <c r="G581" i="8"/>
  <c r="N656" i="8"/>
  <c r="C333" i="8"/>
  <c r="G333" i="8"/>
  <c r="G641" i="8"/>
  <c r="K692" i="8"/>
  <c r="M854" i="8"/>
  <c r="K583" i="8"/>
  <c r="C334" i="8"/>
  <c r="G334" i="8" s="1"/>
  <c r="G628" i="8"/>
  <c r="G627" i="8" s="1"/>
  <c r="G805" i="8"/>
  <c r="G804" i="8" s="1"/>
  <c r="F804" i="8" s="1"/>
  <c r="J139" i="8"/>
  <c r="R139" i="8" s="1"/>
  <c r="E139" i="8" s="1"/>
  <c r="O854" i="8"/>
  <c r="G619" i="8"/>
  <c r="G450" i="8"/>
  <c r="F450" i="8"/>
  <c r="I434" i="8"/>
  <c r="E850" i="8"/>
  <c r="R137" i="8"/>
  <c r="E137" i="8"/>
  <c r="O692" i="8"/>
  <c r="Q546" i="8"/>
  <c r="L854" i="8"/>
  <c r="R42" i="8"/>
  <c r="C336" i="8"/>
  <c r="G336" i="8" s="1"/>
  <c r="G802" i="8"/>
  <c r="G803" i="8" s="1"/>
  <c r="K138" i="8"/>
  <c r="R138" i="8" s="1"/>
  <c r="E138" i="8" s="1"/>
  <c r="O748" i="8"/>
  <c r="M546" i="8"/>
  <c r="N854" i="8"/>
  <c r="J387" i="8"/>
  <c r="R387" i="8" s="1"/>
  <c r="E387" i="8" s="1"/>
  <c r="R169" i="8"/>
  <c r="E169" i="8" s="1"/>
  <c r="L748" i="8"/>
  <c r="P546" i="8"/>
  <c r="Q854" i="8"/>
  <c r="I499" i="8"/>
  <c r="J496" i="8"/>
  <c r="G89" i="8"/>
  <c r="G41" i="8"/>
  <c r="G913" i="8" s="1"/>
  <c r="H913" i="8" s="1"/>
  <c r="J748" i="8"/>
  <c r="J546" i="8"/>
  <c r="R546" i="8" s="1"/>
  <c r="P553" i="8"/>
  <c r="G121" i="8"/>
  <c r="I121" i="8"/>
  <c r="E351" i="8"/>
  <c r="I368" i="8"/>
  <c r="J351" i="8" s="1"/>
  <c r="G230" i="8"/>
  <c r="I230" i="8"/>
  <c r="I349" i="8"/>
  <c r="G349" i="8"/>
  <c r="G257" i="8"/>
  <c r="F257" i="8" s="1"/>
  <c r="I301" i="8"/>
  <c r="G301" i="8"/>
  <c r="G389" i="8"/>
  <c r="E256" i="8"/>
  <c r="I275" i="8"/>
  <c r="J256" i="8"/>
  <c r="I411" i="8"/>
  <c r="G411" i="8"/>
  <c r="I229" i="8"/>
  <c r="G229" i="8"/>
  <c r="G228" i="8" s="1"/>
  <c r="F228" i="8" s="1"/>
  <c r="G425" i="8"/>
  <c r="G424" i="8" s="1"/>
  <c r="I425" i="8"/>
  <c r="G302" i="8"/>
  <c r="I302" i="8"/>
  <c r="G371" i="8"/>
  <c r="I371" i="8"/>
  <c r="I151" i="8"/>
  <c r="G151" i="8"/>
  <c r="G245" i="8"/>
  <c r="I245" i="8"/>
  <c r="I150" i="8"/>
  <c r="G150" i="8"/>
  <c r="G233" i="8"/>
  <c r="F233" i="8"/>
  <c r="G398" i="8"/>
  <c r="I494" i="8"/>
  <c r="G494" i="8"/>
  <c r="G432" i="8"/>
  <c r="F432" i="8" s="1"/>
  <c r="I373" i="8"/>
  <c r="G373" i="8"/>
  <c r="G226" i="8"/>
  <c r="I226" i="8"/>
  <c r="J216" i="8" s="1"/>
  <c r="E216" i="8"/>
  <c r="I394" i="8"/>
  <c r="J390" i="8" s="1"/>
  <c r="E390" i="8"/>
  <c r="I231" i="8"/>
  <c r="G231" i="8"/>
  <c r="G177" i="8"/>
  <c r="I177" i="8"/>
  <c r="I495" i="8"/>
  <c r="G495" i="8"/>
  <c r="G305" i="8"/>
  <c r="G350" i="8"/>
  <c r="I350" i="8"/>
  <c r="G246" i="8"/>
  <c r="I246" i="8"/>
  <c r="E442" i="8"/>
  <c r="I445" i="8"/>
  <c r="J442" i="8"/>
  <c r="I170" i="8"/>
  <c r="G170" i="8"/>
  <c r="I438" i="8"/>
  <c r="J435" i="8" s="1"/>
  <c r="E326" i="8"/>
  <c r="I345" i="8"/>
  <c r="J326" i="8" s="1"/>
  <c r="E400" i="8"/>
  <c r="I404" i="8"/>
  <c r="J400" i="8" s="1"/>
  <c r="G404" i="8"/>
  <c r="G403" i="8" s="1"/>
  <c r="G523" i="8"/>
  <c r="F523" i="8" s="1"/>
  <c r="G758" i="8"/>
  <c r="F758" i="8" s="1"/>
  <c r="I180" i="8"/>
  <c r="G180" i="8"/>
  <c r="E482" i="8"/>
  <c r="G490" i="8"/>
  <c r="I490" i="8"/>
  <c r="J482" i="8" s="1"/>
  <c r="G426" i="8"/>
  <c r="F424" i="8"/>
  <c r="I426" i="8"/>
  <c r="I178" i="8"/>
  <c r="G527" i="8"/>
  <c r="F527" i="8" s="1"/>
  <c r="N692" i="8"/>
  <c r="Q826" i="8"/>
  <c r="R826" i="8" s="1"/>
  <c r="O583" i="8"/>
  <c r="G504" i="8"/>
  <c r="O740" i="8"/>
  <c r="R179" i="8"/>
  <c r="E179" i="8" s="1"/>
  <c r="G179" i="8" s="1"/>
  <c r="K841" i="8"/>
  <c r="E459" i="8"/>
  <c r="G345" i="8"/>
  <c r="G344" i="8" s="1"/>
  <c r="E806" i="8"/>
  <c r="I810" i="8"/>
  <c r="G282" i="8"/>
  <c r="I785" i="8"/>
  <c r="E769" i="8"/>
  <c r="I871" i="8"/>
  <c r="G871" i="8"/>
  <c r="G870" i="8" s="1"/>
  <c r="F870" i="8" s="1"/>
  <c r="N610" i="8"/>
  <c r="L622" i="8"/>
  <c r="J583" i="8"/>
  <c r="G181" i="8"/>
  <c r="G176" i="8" s="1"/>
  <c r="Q553" i="8"/>
  <c r="K553" i="8"/>
  <c r="Q610" i="8"/>
  <c r="M622" i="8"/>
  <c r="N553" i="8"/>
  <c r="L553" i="8"/>
  <c r="G368" i="8"/>
  <c r="G166" i="8"/>
  <c r="G165" i="8" s="1"/>
  <c r="J610" i="8"/>
  <c r="N622" i="8"/>
  <c r="P761" i="8"/>
  <c r="M761" i="8"/>
  <c r="G728" i="8"/>
  <c r="G727" i="8" s="1"/>
  <c r="P610" i="8"/>
  <c r="O622" i="8"/>
  <c r="C190" i="8"/>
  <c r="I433" i="8"/>
  <c r="J790" i="8"/>
  <c r="C332" i="8"/>
  <c r="G332" i="8" s="1"/>
  <c r="G327" i="8" s="1"/>
  <c r="G329" i="8"/>
  <c r="J163" i="8"/>
  <c r="R163" i="8" s="1"/>
  <c r="M610" i="8"/>
  <c r="O546" i="8"/>
  <c r="L656" i="8"/>
  <c r="J622" i="8"/>
  <c r="Q600" i="8"/>
  <c r="G252" i="8"/>
  <c r="G253" i="8" s="1"/>
  <c r="E163" i="8"/>
  <c r="J553" i="8"/>
  <c r="R553" i="8" s="1"/>
  <c r="M553" i="8"/>
  <c r="C89" i="8"/>
  <c r="E733" i="8"/>
  <c r="I736" i="8"/>
  <c r="O610" i="8"/>
  <c r="K622" i="8"/>
  <c r="Q761" i="8"/>
  <c r="I298" i="8"/>
  <c r="J281" i="8" s="1"/>
  <c r="E505" i="8"/>
  <c r="Q790" i="8"/>
  <c r="G868" i="8"/>
  <c r="G869" i="8" s="1"/>
  <c r="G508" i="8"/>
  <c r="G509" i="8" s="1"/>
  <c r="J123" i="8"/>
  <c r="R123" i="8"/>
  <c r="K748" i="8"/>
  <c r="R748" i="8" s="1"/>
  <c r="L610" i="8"/>
  <c r="P622" i="8"/>
  <c r="N761" i="8"/>
  <c r="C189" i="8"/>
  <c r="H912" i="8"/>
  <c r="M790" i="8"/>
  <c r="I242" i="8"/>
  <c r="J232" i="8"/>
  <c r="I868" i="8"/>
  <c r="E248" i="8"/>
  <c r="G275" i="8"/>
  <c r="I279" i="8"/>
  <c r="E682" i="8"/>
  <c r="I688" i="8"/>
  <c r="G430" i="8"/>
  <c r="G431" i="8" s="1"/>
  <c r="I430" i="8"/>
  <c r="J427" i="8" s="1"/>
  <c r="L530" i="8"/>
  <c r="O761" i="8"/>
  <c r="Q583" i="8"/>
  <c r="G394" i="8"/>
  <c r="G395" i="8"/>
  <c r="G408" i="8"/>
  <c r="G406" i="8" s="1"/>
  <c r="F406" i="8" s="1"/>
  <c r="I408" i="8"/>
  <c r="M583" i="8"/>
  <c r="G242" i="8"/>
  <c r="G298" i="8"/>
  <c r="G297" i="8" s="1"/>
  <c r="G299" i="8"/>
  <c r="G502" i="8"/>
  <c r="G764" i="8"/>
  <c r="G763" i="8" s="1"/>
  <c r="G761" i="8" s="1"/>
  <c r="G765" i="8"/>
  <c r="G606" i="8"/>
  <c r="G607" i="8" s="1"/>
  <c r="G476" i="8"/>
  <c r="G477" i="8" s="1"/>
  <c r="R903" i="8"/>
  <c r="K139" i="8"/>
  <c r="G69" i="8"/>
  <c r="G545" i="8"/>
  <c r="G544" i="8"/>
  <c r="G325" i="8"/>
  <c r="G409" i="8"/>
  <c r="G481" i="8"/>
  <c r="G512" i="8"/>
  <c r="G122" i="8"/>
  <c r="G68" i="8"/>
  <c r="G788" i="8"/>
  <c r="G787" i="8" s="1"/>
  <c r="G739" i="8"/>
  <c r="G738" i="8" s="1"/>
  <c r="G732" i="8" s="1"/>
  <c r="F732" i="8" s="1"/>
  <c r="G348" i="8"/>
  <c r="G347" i="8" s="1"/>
  <c r="F347" i="8" s="1"/>
  <c r="G513" i="8"/>
  <c r="G510" i="8" s="1"/>
  <c r="F510" i="8" s="1"/>
  <c r="G149" i="8"/>
  <c r="R155" i="8"/>
  <c r="E155" i="8"/>
  <c r="I155" i="8" s="1"/>
  <c r="J152" i="8" s="1"/>
  <c r="R152" i="8" s="1"/>
  <c r="G155" i="8"/>
  <c r="G707" i="8"/>
  <c r="G706" i="8" s="1"/>
  <c r="G708" i="8"/>
  <c r="G736" i="8"/>
  <c r="G716" i="8"/>
  <c r="G717" i="8"/>
  <c r="G422" i="8"/>
  <c r="G423" i="8" s="1"/>
  <c r="G421" i="8"/>
  <c r="F421" i="8" s="1"/>
  <c r="G570" i="8"/>
  <c r="G445" i="8"/>
  <c r="G446" i="8"/>
  <c r="G444" i="8"/>
  <c r="F444" i="8" s="1"/>
  <c r="R185" i="8"/>
  <c r="E185" i="8"/>
  <c r="G625" i="8"/>
  <c r="G626" i="8" s="1"/>
  <c r="E192" i="8"/>
  <c r="I210" i="8"/>
  <c r="I214" i="8"/>
  <c r="G214" i="8"/>
  <c r="G193" i="8"/>
  <c r="G215" i="8"/>
  <c r="I215" i="8"/>
  <c r="G213" i="8"/>
  <c r="G212" i="8" s="1"/>
  <c r="F212" i="8" s="1"/>
  <c r="I213" i="8"/>
  <c r="C37" i="8"/>
  <c r="C38" i="8"/>
  <c r="C36" i="8"/>
  <c r="C191" i="8"/>
  <c r="J188" i="8"/>
  <c r="R188" i="8"/>
  <c r="G210" i="8"/>
  <c r="G211" i="8" s="1"/>
  <c r="R902" i="8"/>
  <c r="R901" i="8"/>
  <c r="G860" i="8"/>
  <c r="G858" i="8"/>
  <c r="J872" i="8"/>
  <c r="G784" i="8"/>
  <c r="G519" i="8"/>
  <c r="F519" i="8" s="1"/>
  <c r="G43" i="8"/>
  <c r="R897" i="8"/>
  <c r="R882" i="8"/>
  <c r="G534" i="8"/>
  <c r="G532" i="8"/>
  <c r="G754" i="8"/>
  <c r="G752" i="8"/>
  <c r="G543" i="8"/>
  <c r="G541" i="8"/>
  <c r="G538" i="8"/>
  <c r="F538" i="8" s="1"/>
  <c r="G830" i="8"/>
  <c r="G828" i="8"/>
  <c r="F809" i="8"/>
  <c r="G696" i="8"/>
  <c r="G692" i="8" s="1"/>
  <c r="F692" i="8" s="1"/>
  <c r="G143" i="8"/>
  <c r="G62" i="8"/>
  <c r="R888" i="8"/>
  <c r="G661" i="8"/>
  <c r="G656" i="8" s="1"/>
  <c r="F656" i="8" s="1"/>
  <c r="G677" i="8"/>
  <c r="G674" i="8" s="1"/>
  <c r="F674" i="8" s="1"/>
  <c r="G453" i="8"/>
  <c r="F453" i="8" s="1"/>
  <c r="R890" i="8"/>
  <c r="R891" i="8"/>
  <c r="R899" i="8"/>
  <c r="R894" i="8"/>
  <c r="R886" i="8"/>
  <c r="R896" i="8"/>
  <c r="R880" i="8"/>
  <c r="R893" i="8"/>
  <c r="R877" i="8"/>
  <c r="R884" i="8"/>
  <c r="R885" i="8"/>
  <c r="R892" i="8"/>
  <c r="R881" i="8"/>
  <c r="R883" i="8"/>
  <c r="R895" i="8"/>
  <c r="R879" i="8"/>
  <c r="R889" i="8"/>
  <c r="R898" i="8"/>
  <c r="C8" i="8"/>
  <c r="D8" i="8" s="1"/>
  <c r="J35" i="8"/>
  <c r="R35" i="8" s="1"/>
  <c r="K35" i="8"/>
  <c r="G120" i="8"/>
  <c r="G801" i="8"/>
  <c r="G836" i="8"/>
  <c r="G833" i="8"/>
  <c r="F833" i="8" s="1"/>
  <c r="G748" i="8"/>
  <c r="F748" i="8" s="1"/>
  <c r="L790" i="8"/>
  <c r="J417" i="8"/>
  <c r="R417" i="8" s="1"/>
  <c r="E417" i="8" s="1"/>
  <c r="G417" i="8" s="1"/>
  <c r="R96" i="8"/>
  <c r="E96" i="8" s="1"/>
  <c r="P790" i="8"/>
  <c r="J674" i="8"/>
  <c r="G651" i="8"/>
  <c r="G645" i="8" s="1"/>
  <c r="F645" i="8" s="1"/>
  <c r="M674" i="8"/>
  <c r="P740" i="8"/>
  <c r="P824" i="8" s="1" a="1"/>
  <c r="P824" i="8" s="1"/>
  <c r="G492" i="8"/>
  <c r="F492" i="8" s="1"/>
  <c r="O674" i="8"/>
  <c r="G146" i="8"/>
  <c r="F146" i="8" s="1"/>
  <c r="F344" i="8"/>
  <c r="K740" i="8"/>
  <c r="J740" i="8"/>
  <c r="K790" i="8"/>
  <c r="K759" i="8" s="1" a="1"/>
  <c r="K759" i="8" s="1"/>
  <c r="O790" i="8"/>
  <c r="J98" i="8"/>
  <c r="G370" i="8"/>
  <c r="F370" i="8" s="1"/>
  <c r="G501" i="8"/>
  <c r="F501" i="8" s="1"/>
  <c r="R656" i="8"/>
  <c r="K674" i="8"/>
  <c r="P674" i="8"/>
  <c r="L674" i="8"/>
  <c r="N546" i="8"/>
  <c r="L546" i="8"/>
  <c r="F403" i="8"/>
  <c r="Q665" i="8"/>
  <c r="R600" i="8"/>
  <c r="G624" i="8"/>
  <c r="J638" i="8"/>
  <c r="L740" i="8"/>
  <c r="G516" i="8"/>
  <c r="F516" i="8" s="1"/>
  <c r="N740" i="8"/>
  <c r="Q740" i="8"/>
  <c r="Q674" i="8"/>
  <c r="R854" i="8"/>
  <c r="R712" i="8"/>
  <c r="G251" i="8"/>
  <c r="G248" i="8" s="1"/>
  <c r="F248" i="8" s="1"/>
  <c r="G806" i="8"/>
  <c r="F806" i="8" s="1"/>
  <c r="G393" i="8"/>
  <c r="M665" i="8"/>
  <c r="G853" i="8"/>
  <c r="G507" i="8"/>
  <c r="F507" i="8" s="1"/>
  <c r="L841" i="8"/>
  <c r="Q841" i="8"/>
  <c r="N841" i="8"/>
  <c r="J841" i="8"/>
  <c r="M841" i="8"/>
  <c r="P574" i="8"/>
  <c r="J574" i="8"/>
  <c r="N574" i="8"/>
  <c r="G475" i="8"/>
  <c r="G579" i="8"/>
  <c r="G574" i="8"/>
  <c r="F574" i="8"/>
  <c r="O841" i="8"/>
  <c r="K833" i="8"/>
  <c r="J833" i="8"/>
  <c r="J824" i="8" a="1"/>
  <c r="J824" i="8"/>
  <c r="M833" i="8"/>
  <c r="N833" i="8"/>
  <c r="O833" i="8"/>
  <c r="Q833" i="8"/>
  <c r="L833" i="8"/>
  <c r="G715" i="8"/>
  <c r="O665" i="8"/>
  <c r="J665" i="8"/>
  <c r="R665" i="8" s="1"/>
  <c r="N665" i="8"/>
  <c r="P665" i="8"/>
  <c r="L665" i="8"/>
  <c r="M638" i="8"/>
  <c r="Q638" i="8"/>
  <c r="L638" i="8"/>
  <c r="N638" i="8"/>
  <c r="P638" i="8"/>
  <c r="R638" i="8" s="1"/>
  <c r="O638" i="8"/>
  <c r="R692" i="8"/>
  <c r="F120" i="8"/>
  <c r="G115" i="8"/>
  <c r="R610" i="8"/>
  <c r="M806" i="8"/>
  <c r="Q806" i="8"/>
  <c r="K806" i="8"/>
  <c r="P806" i="8"/>
  <c r="L806" i="8"/>
  <c r="O806" i="8"/>
  <c r="J806" i="8"/>
  <c r="N806" i="8"/>
  <c r="J863" i="8"/>
  <c r="O863" i="8"/>
  <c r="O852" i="8" s="1" a="1"/>
  <c r="O852" i="8"/>
  <c r="M863" i="8"/>
  <c r="M852" i="8" s="1" a="1"/>
  <c r="M852" i="8" s="1"/>
  <c r="Q863" i="8"/>
  <c r="Q852" i="8" s="1" a="1"/>
  <c r="Q852" i="8" s="1"/>
  <c r="L863" i="8"/>
  <c r="L852" i="8" a="1"/>
  <c r="L852" i="8" s="1"/>
  <c r="K863" i="8"/>
  <c r="K852" i="8" s="1" a="1"/>
  <c r="K852" i="8" s="1"/>
  <c r="P863" i="8"/>
  <c r="P852" i="8" a="1"/>
  <c r="P852" i="8" s="1"/>
  <c r="N863" i="8"/>
  <c r="N852" i="8" a="1"/>
  <c r="N852" i="8"/>
  <c r="E152" i="8"/>
  <c r="E85" i="8" s="1"/>
  <c r="J769" i="8"/>
  <c r="R769" i="8" s="1"/>
  <c r="P769" i="8"/>
  <c r="P759" i="8" s="1" a="1"/>
  <c r="P759" i="8" s="1"/>
  <c r="L769" i="8"/>
  <c r="N769" i="8"/>
  <c r="N759" i="8" a="1"/>
  <c r="N759" i="8" s="1"/>
  <c r="O769" i="8"/>
  <c r="K769" i="8"/>
  <c r="M769" i="8"/>
  <c r="M759" i="8" s="1" a="1"/>
  <c r="M759" i="8" s="1"/>
  <c r="Q769" i="8"/>
  <c r="Q759" i="8" a="1"/>
  <c r="Q759" i="8" s="1"/>
  <c r="I179" i="8"/>
  <c r="I185" i="8"/>
  <c r="J182" i="8" s="1"/>
  <c r="R182" i="8" s="1"/>
  <c r="E182" i="8"/>
  <c r="G185" i="8"/>
  <c r="G186" i="8" s="1"/>
  <c r="M733" i="8"/>
  <c r="Q733" i="8"/>
  <c r="N733" i="8"/>
  <c r="P733" i="8"/>
  <c r="L733" i="8"/>
  <c r="L731" i="8" s="1" a="1"/>
  <c r="K733" i="8"/>
  <c r="O733" i="8"/>
  <c r="J733" i="8"/>
  <c r="R733" i="8" s="1"/>
  <c r="P682" i="8"/>
  <c r="M682" i="8"/>
  <c r="J682" i="8"/>
  <c r="Q682" i="8"/>
  <c r="K682" i="8"/>
  <c r="L682" i="8"/>
  <c r="O682" i="8"/>
  <c r="N682" i="8"/>
  <c r="F193" i="8"/>
  <c r="N192" i="8"/>
  <c r="P192" i="8"/>
  <c r="Q192" i="8"/>
  <c r="K192" i="8"/>
  <c r="L192" i="8"/>
  <c r="M192" i="8"/>
  <c r="O192" i="8"/>
  <c r="J192" i="8"/>
  <c r="G514" i="8"/>
  <c r="F514" i="8"/>
  <c r="F858" i="8"/>
  <c r="G852" i="8"/>
  <c r="F498" i="8"/>
  <c r="F297" i="8"/>
  <c r="F801" i="8"/>
  <c r="G798" i="8"/>
  <c r="F798" i="8" s="1"/>
  <c r="G910" i="8"/>
  <c r="F475" i="8"/>
  <c r="F393" i="8"/>
  <c r="G528" i="8"/>
  <c r="F528" i="8" s="1"/>
  <c r="F143" i="8"/>
  <c r="F706" i="8"/>
  <c r="G702" i="8"/>
  <c r="F702" i="8" s="1"/>
  <c r="G826" i="8"/>
  <c r="G824" i="8"/>
  <c r="F824" i="8" s="1"/>
  <c r="F715" i="8"/>
  <c r="G712" i="8"/>
  <c r="F712" i="8" s="1"/>
  <c r="G449" i="8"/>
  <c r="F449" i="8"/>
  <c r="G140" i="8"/>
  <c r="F140" i="8" s="1"/>
  <c r="G496" i="8"/>
  <c r="F496" i="8"/>
  <c r="G505" i="8"/>
  <c r="F505" i="8" s="1"/>
  <c r="I97" i="8"/>
  <c r="G97" i="8"/>
  <c r="G98" i="8"/>
  <c r="G95" i="8" s="1"/>
  <c r="G96" i="8"/>
  <c r="I96" i="8"/>
  <c r="I417" i="8"/>
  <c r="R674" i="8"/>
  <c r="F251" i="8"/>
  <c r="F115" i="8"/>
  <c r="R682" i="8"/>
  <c r="L731" i="8"/>
  <c r="G37" i="8"/>
  <c r="K731" i="8" a="1"/>
  <c r="K731" i="8" s="1"/>
  <c r="K824" i="8" a="1"/>
  <c r="K824" i="8" s="1"/>
  <c r="G524" i="8"/>
  <c r="F524" i="8"/>
  <c r="P731" i="8" a="1"/>
  <c r="P731" i="8"/>
  <c r="N731" i="8" a="1"/>
  <c r="N731" i="8" s="1"/>
  <c r="N824" i="8" a="1"/>
  <c r="N824" i="8"/>
  <c r="O824" i="8" a="1"/>
  <c r="O824" i="8"/>
  <c r="O731" i="8" a="1"/>
  <c r="O731" i="8" s="1"/>
  <c r="Q731" i="8" a="1"/>
  <c r="Q731" i="8" s="1"/>
  <c r="Q824" i="8" a="1"/>
  <c r="Q824" i="8"/>
  <c r="M824" i="8" a="1"/>
  <c r="M824" i="8"/>
  <c r="M731" i="8" a="1"/>
  <c r="M731" i="8"/>
  <c r="R863" i="8"/>
  <c r="J852" i="8" a="1"/>
  <c r="J852" i="8"/>
  <c r="F826" i="8"/>
  <c r="R16" i="11" a="1"/>
  <c r="R23" i="11" a="1"/>
  <c r="R18" i="11" a="1"/>
  <c r="S18" i="11" a="1"/>
  <c r="S8" i="11" a="1"/>
  <c r="S27" i="11" a="1"/>
  <c r="S15" i="11" a="1"/>
  <c r="S29" i="11" a="1"/>
  <c r="S26" i="11" a="1"/>
  <c r="S25" i="11" a="1"/>
  <c r="S22" i="11" a="1"/>
  <c r="S28" i="11" a="1"/>
  <c r="S16" i="11" a="1"/>
  <c r="S30" i="11" a="1"/>
  <c r="S13" i="11" a="1"/>
  <c r="S17" i="11" a="1"/>
  <c r="S11" i="11" a="1"/>
  <c r="S20" i="11" a="1"/>
  <c r="R19" i="11" a="1"/>
  <c r="S23" i="11" a="1"/>
  <c r="R21" i="11" a="1"/>
  <c r="R20" i="11" a="1"/>
  <c r="R22" i="11" a="1"/>
  <c r="R15" i="11" a="1"/>
  <c r="R8" i="11" a="1"/>
  <c r="T21" i="11" a="1"/>
  <c r="T30" i="11" a="1"/>
  <c r="T19" i="11" a="1"/>
  <c r="T17" i="11" a="1"/>
  <c r="T29" i="11" a="1"/>
  <c r="T10" i="11" a="1"/>
  <c r="T27" i="11" a="1"/>
  <c r="T22" i="11" a="1"/>
  <c r="T18" i="11" a="1"/>
  <c r="T5" i="11" a="1"/>
  <c r="T24" i="11" a="1"/>
  <c r="T12" i="11" a="1"/>
  <c r="T26" i="11" a="1"/>
  <c r="T14" i="11" a="1"/>
  <c r="T13" i="11" a="1"/>
  <c r="T31" i="11" a="1"/>
  <c r="T15" i="11" a="1"/>
  <c r="T11" i="11" a="1"/>
  <c r="T28" i="11" a="1"/>
  <c r="T20" i="11" a="1"/>
  <c r="T23" i="11" a="1"/>
  <c r="T8" i="11" a="1"/>
  <c r="T9" i="11" a="1"/>
  <c r="T25" i="11" a="1"/>
  <c r="R27" i="11" a="1"/>
  <c r="R9" i="11" a="1"/>
  <c r="R14" i="11" a="1"/>
  <c r="R10" i="11" a="1"/>
  <c r="N5" i="11" a="1"/>
  <c r="N30" i="11" a="1"/>
  <c r="N21" i="11" a="1"/>
  <c r="N15" i="11" a="1"/>
  <c r="N8" i="11" a="1"/>
  <c r="N24" i="11" a="1"/>
  <c r="N28" i="11" a="1"/>
  <c r="N16" i="11" a="1"/>
  <c r="N10" i="11" a="1"/>
  <c r="N9" i="11" a="1"/>
  <c r="N29" i="11" a="1"/>
  <c r="N12" i="11" a="1"/>
  <c r="N31" i="11" a="1"/>
  <c r="N22" i="11" a="1"/>
  <c r="N14" i="11" a="1"/>
  <c r="N27" i="11" a="1"/>
  <c r="N17" i="11" a="1"/>
  <c r="N23" i="11" a="1"/>
  <c r="N20" i="11" a="1"/>
  <c r="N18" i="11" a="1"/>
  <c r="N25" i="11" a="1"/>
  <c r="N26" i="11" a="1"/>
  <c r="N11" i="11" a="1"/>
  <c r="N13" i="11" a="1"/>
  <c r="S19" i="11" a="1"/>
  <c r="R26" i="11" a="1"/>
  <c r="R29" i="11" a="1"/>
  <c r="S31" i="11" a="1"/>
  <c r="R12" i="11" a="1"/>
  <c r="R12" i="11" s="1"/>
  <c r="R24" i="11" a="1"/>
  <c r="S21" i="11" a="1"/>
  <c r="R31" i="11" a="1"/>
  <c r="R5" i="11" a="1"/>
  <c r="R5" i="11" s="1"/>
  <c r="R2" i="11" s="1"/>
  <c r="S9" i="11" a="1"/>
  <c r="R28" i="11" a="1"/>
  <c r="R11" i="11" a="1"/>
  <c r="R25" i="11" a="1"/>
  <c r="P15" i="11" a="1"/>
  <c r="P25" i="11" a="1"/>
  <c r="P19" i="11" a="1"/>
  <c r="P5" i="11" a="1"/>
  <c r="P5" i="11" s="1"/>
  <c r="P10" i="11" a="1"/>
  <c r="P10" i="11"/>
  <c r="P16" i="11" a="1"/>
  <c r="P9" i="11" a="1"/>
  <c r="P30" i="11" a="1"/>
  <c r="P26" i="11" a="1"/>
  <c r="P21" i="11" a="1"/>
  <c r="P21" i="11" s="1"/>
  <c r="P27" i="11" a="1"/>
  <c r="P27" i="11"/>
  <c r="P23" i="11" a="1"/>
  <c r="P8" i="11" a="1"/>
  <c r="P24" i="11" a="1"/>
  <c r="P31" i="11" a="1"/>
  <c r="P20" i="11" a="1"/>
  <c r="P13" i="11" a="1"/>
  <c r="P18" i="11" a="1"/>
  <c r="P18" i="11"/>
  <c r="P14" i="11" a="1"/>
  <c r="P14" i="11"/>
  <c r="P12" i="11" a="1"/>
  <c r="P11" i="11" a="1"/>
  <c r="P22" i="11" a="1"/>
  <c r="P29" i="11" a="1"/>
  <c r="P28" i="11" a="1"/>
  <c r="P28" i="11"/>
  <c r="P17" i="11" a="1"/>
  <c r="P17" i="11" s="1"/>
  <c r="S14" i="11" a="1"/>
  <c r="S12" i="11" a="1"/>
  <c r="R13" i="11" a="1"/>
  <c r="S5" i="11" a="1"/>
  <c r="S10" i="11" a="1"/>
  <c r="R17" i="11" a="1"/>
  <c r="R17" i="11" s="1"/>
  <c r="Q14" i="11" a="1"/>
  <c r="Q14" i="11" s="1"/>
  <c r="Q21" i="11" a="1"/>
  <c r="Q31" i="11" a="1"/>
  <c r="Q19" i="11" a="1"/>
  <c r="Q18" i="11" a="1"/>
  <c r="Q30" i="11" a="1"/>
  <c r="Q30" i="11" s="1"/>
  <c r="Q11" i="11" a="1"/>
  <c r="Q11" i="11" s="1"/>
  <c r="Q25" i="11" a="1"/>
  <c r="Q23" i="11" a="1"/>
  <c r="Q28" i="11" a="1"/>
  <c r="Q8" i="11" a="1"/>
  <c r="Q5" i="11" a="1"/>
  <c r="Q17" i="11" a="1"/>
  <c r="Q24" i="11" a="1"/>
  <c r="Q24" i="11" s="1"/>
  <c r="Q29" i="11" a="1"/>
  <c r="Q29" i="11" s="1"/>
  <c r="Q13" i="11" a="1"/>
  <c r="Q9" i="11" a="1"/>
  <c r="Q20" i="11" a="1"/>
  <c r="Q15" i="11" a="1"/>
  <c r="Q26" i="11" a="1"/>
  <c r="Q26" i="11" s="1"/>
  <c r="Q22" i="11" a="1"/>
  <c r="Q22" i="11" s="1"/>
  <c r="Q16" i="11" a="1"/>
  <c r="Q12" i="11" a="1"/>
  <c r="Q27" i="11" a="1"/>
  <c r="Q27" i="11" s="1"/>
  <c r="Q10" i="11" a="1"/>
  <c r="O31" i="11" a="1"/>
  <c r="O21" i="11" a="1"/>
  <c r="O11" i="11" a="1"/>
  <c r="O11" i="11" s="1"/>
  <c r="O25" i="11" a="1"/>
  <c r="O25" i="11"/>
  <c r="O18" i="11" a="1"/>
  <c r="O18" i="11" s="1"/>
  <c r="O29" i="11" a="1"/>
  <c r="O29" i="11" s="1"/>
  <c r="O8" i="11" a="1"/>
  <c r="O12" i="11" a="1"/>
  <c r="O14" i="11" a="1"/>
  <c r="O14" i="11"/>
  <c r="O9" i="11" a="1"/>
  <c r="O9" i="11"/>
  <c r="O20" i="11" a="1"/>
  <c r="O10" i="11" a="1"/>
  <c r="O10" i="11" s="1"/>
  <c r="O13" i="11" a="1"/>
  <c r="O26" i="11" a="1"/>
  <c r="O26" i="11" s="1"/>
  <c r="O23" i="11" a="1"/>
  <c r="O23" i="11" s="1"/>
  <c r="O17" i="11" a="1"/>
  <c r="O15" i="11" a="1"/>
  <c r="O19" i="11" a="1"/>
  <c r="O19" i="11" s="1"/>
  <c r="O30" i="11" a="1"/>
  <c r="O30" i="11"/>
  <c r="O5" i="11" a="1"/>
  <c r="O5" i="11" s="1"/>
  <c r="O22" i="11" a="1"/>
  <c r="O22" i="11" s="1"/>
  <c r="O28" i="11" a="1"/>
  <c r="O28" i="11"/>
  <c r="O24" i="11" a="1"/>
  <c r="O24" i="11" s="1"/>
  <c r="O27" i="11" a="1"/>
  <c r="O27" i="11" s="1"/>
  <c r="O16" i="11" a="1"/>
  <c r="O16" i="11"/>
  <c r="Q10" i="11"/>
  <c r="Q8" i="11"/>
  <c r="Q17" i="11"/>
  <c r="Q31" i="11"/>
  <c r="Q21" i="11"/>
  <c r="Q20" i="11"/>
  <c r="Q15" i="11"/>
  <c r="Q28" i="11"/>
  <c r="Q12" i="11"/>
  <c r="Q16" i="11"/>
  <c r="Q9" i="11"/>
  <c r="Q5" i="11"/>
  <c r="Q13" i="11"/>
  <c r="Q23" i="11"/>
  <c r="Q18" i="11"/>
  <c r="Q19" i="11"/>
  <c r="Q25" i="11"/>
  <c r="S24" i="11" a="1"/>
  <c r="S24" i="11" s="1"/>
  <c r="S14" i="11"/>
  <c r="S8" i="11"/>
  <c r="S10" i="11"/>
  <c r="S21" i="11"/>
  <c r="S31" i="11"/>
  <c r="S23" i="11"/>
  <c r="S25" i="11"/>
  <c r="S9" i="11"/>
  <c r="S19" i="11"/>
  <c r="S30" i="11"/>
  <c r="S28" i="11"/>
  <c r="S18" i="11"/>
  <c r="S13" i="11"/>
  <c r="S27" i="11"/>
  <c r="S5" i="11"/>
  <c r="S2" i="11" s="1"/>
  <c r="S16" i="11"/>
  <c r="S11" i="11"/>
  <c r="S29" i="11"/>
  <c r="S12" i="11"/>
  <c r="S15" i="11"/>
  <c r="S17" i="11"/>
  <c r="S26" i="11"/>
  <c r="S22" i="11"/>
  <c r="S20" i="11"/>
  <c r="P13" i="11"/>
  <c r="P23" i="11"/>
  <c r="P9" i="11"/>
  <c r="P22" i="11"/>
  <c r="P11" i="11"/>
  <c r="P30" i="11"/>
  <c r="P15" i="11"/>
  <c r="P31" i="11"/>
  <c r="P16" i="11"/>
  <c r="P25" i="11"/>
  <c r="P26" i="11"/>
  <c r="P19" i="11"/>
  <c r="P29" i="11"/>
  <c r="P20" i="11"/>
  <c r="P24" i="11"/>
  <c r="P12" i="11"/>
  <c r="P8" i="11"/>
  <c r="T16" i="11" a="1"/>
  <c r="T16" i="11" s="1"/>
  <c r="T5" i="11"/>
  <c r="T23" i="11"/>
  <c r="T24" i="11"/>
  <c r="T26" i="11"/>
  <c r="T25" i="11"/>
  <c r="T13" i="11"/>
  <c r="T27" i="11"/>
  <c r="T22" i="11"/>
  <c r="T17" i="11"/>
  <c r="T10" i="11"/>
  <c r="T9" i="11"/>
  <c r="T20" i="11"/>
  <c r="T19" i="11"/>
  <c r="T31" i="11"/>
  <c r="T29" i="11"/>
  <c r="T28" i="11"/>
  <c r="T14" i="11"/>
  <c r="T8" i="11"/>
  <c r="T15" i="11"/>
  <c r="T12" i="11"/>
  <c r="T30" i="11"/>
  <c r="T11" i="11"/>
  <c r="T21" i="11"/>
  <c r="T18" i="11"/>
  <c r="R30" i="11" a="1"/>
  <c r="R30" i="11"/>
  <c r="R22" i="11"/>
  <c r="R31" i="11"/>
  <c r="R11" i="11"/>
  <c r="R20" i="11"/>
  <c r="R16" i="11"/>
  <c r="R10" i="11"/>
  <c r="R13" i="11"/>
  <c r="R29" i="11"/>
  <c r="R28" i="11"/>
  <c r="R25" i="11"/>
  <c r="R18" i="11"/>
  <c r="R21" i="11"/>
  <c r="R8" i="11"/>
  <c r="R9" i="11"/>
  <c r="R14" i="11"/>
  <c r="R23" i="11"/>
  <c r="R24" i="11"/>
  <c r="R27" i="11"/>
  <c r="R19" i="11"/>
  <c r="R26" i="11"/>
  <c r="R15" i="11"/>
  <c r="O13" i="11"/>
  <c r="O31" i="11"/>
  <c r="O20" i="11"/>
  <c r="O21" i="11"/>
  <c r="O15" i="11"/>
  <c r="O17" i="11"/>
  <c r="O8" i="11"/>
  <c r="O12" i="11"/>
  <c r="N19" i="11" a="1"/>
  <c r="N19" i="11" s="1"/>
  <c r="N18" i="11"/>
  <c r="N8" i="11"/>
  <c r="N11" i="11"/>
  <c r="N21" i="11"/>
  <c r="N24" i="11"/>
  <c r="N26" i="11"/>
  <c r="N15" i="11"/>
  <c r="N12" i="11"/>
  <c r="N27" i="11"/>
  <c r="N9" i="11"/>
  <c r="N13" i="11"/>
  <c r="N23" i="11"/>
  <c r="N20" i="11"/>
  <c r="N29" i="11"/>
  <c r="N25" i="11"/>
  <c r="N30" i="11"/>
  <c r="N16" i="11"/>
  <c r="N28" i="11"/>
  <c r="N22" i="11"/>
  <c r="N10" i="11"/>
  <c r="N17" i="11"/>
  <c r="N31" i="11"/>
  <c r="N5" i="11"/>
  <c r="N2" i="11" s="1"/>
  <c r="N14" i="11"/>
  <c r="P2" i="11"/>
  <c r="O2" i="11"/>
  <c r="O872" i="8"/>
  <c r="O35" i="8"/>
  <c r="T2" i="11"/>
  <c r="Q35" i="8"/>
  <c r="Q872" i="8"/>
  <c r="R872" i="8" s="1"/>
  <c r="M35" i="8"/>
  <c r="M872" i="8"/>
  <c r="Q2" i="11"/>
  <c r="N872" i="8"/>
  <c r="N35" i="8"/>
  <c r="L872" i="8"/>
  <c r="L35" i="8"/>
  <c r="P872" i="8"/>
  <c r="P35" i="8"/>
  <c r="I11" i="11"/>
  <c r="K11" i="11"/>
  <c r="G11" i="11" s="1"/>
  <c r="J11" i="11" s="1"/>
  <c r="I25" i="11"/>
  <c r="K25" i="11"/>
  <c r="G25" i="11" s="1"/>
  <c r="J25" i="11" s="1"/>
  <c r="K21" i="11"/>
  <c r="G21" i="11"/>
  <c r="J21" i="11" s="1"/>
  <c r="I21" i="11"/>
  <c r="I28" i="11"/>
  <c r="K28" i="11"/>
  <c r="G28" i="11"/>
  <c r="J28" i="11" s="1"/>
  <c r="K24" i="11"/>
  <c r="G24" i="11"/>
  <c r="J24" i="11" s="1"/>
  <c r="I24" i="11"/>
  <c r="K12" i="11"/>
  <c r="I12" i="11"/>
  <c r="K10" i="11"/>
  <c r="G10" i="11"/>
  <c r="J10" i="11" s="1"/>
  <c r="I10" i="11"/>
  <c r="I8" i="11"/>
  <c r="I56" i="11"/>
  <c r="K8" i="11"/>
  <c r="G8" i="11"/>
  <c r="G56" i="11" s="1"/>
  <c r="G909" i="8" s="1"/>
  <c r="K26" i="11"/>
  <c r="G26" i="11"/>
  <c r="J26" i="11" s="1"/>
  <c r="I26" i="11"/>
  <c r="I18" i="11"/>
  <c r="K18" i="11"/>
  <c r="G18" i="11"/>
  <c r="J18" i="11" s="1"/>
  <c r="K29" i="11"/>
  <c r="G29" i="11"/>
  <c r="I29" i="11"/>
  <c r="I16" i="11"/>
  <c r="K16" i="11"/>
  <c r="G16" i="11"/>
  <c r="J16" i="11"/>
  <c r="I22" i="11"/>
  <c r="K22" i="11"/>
  <c r="G22" i="11"/>
  <c r="J22" i="11"/>
  <c r="K13" i="11"/>
  <c r="G13" i="11"/>
  <c r="J13" i="11" s="1"/>
  <c r="I13" i="11"/>
  <c r="K27" i="11"/>
  <c r="G27" i="11" s="1"/>
  <c r="J27" i="11" s="1"/>
  <c r="I27" i="11"/>
  <c r="K15" i="11"/>
  <c r="G15" i="11"/>
  <c r="I15" i="11"/>
  <c r="I23" i="11"/>
  <c r="K23" i="11"/>
  <c r="G23" i="11"/>
  <c r="J23" i="11" s="1"/>
  <c r="K20" i="11"/>
  <c r="G20" i="11"/>
  <c r="J20" i="11"/>
  <c r="I14" i="11"/>
  <c r="J14" i="11"/>
  <c r="J29" i="11"/>
  <c r="J8" i="11"/>
  <c r="J56" i="11"/>
  <c r="J15" i="11"/>
  <c r="D909" i="8" l="1"/>
  <c r="D920" i="8" s="1"/>
  <c r="H909" i="8"/>
  <c r="R852" i="8"/>
  <c r="G90" i="8"/>
  <c r="F95" i="8"/>
  <c r="F761" i="8"/>
  <c r="G769" i="8"/>
  <c r="F769" i="8" s="1"/>
  <c r="G760" i="8"/>
  <c r="F760" i="8" s="1"/>
  <c r="G171" i="8"/>
  <c r="F171" i="8" s="1"/>
  <c r="F176" i="8"/>
  <c r="G385" i="8"/>
  <c r="G383" i="8"/>
  <c r="I169" i="8"/>
  <c r="G169" i="8"/>
  <c r="G168" i="8" s="1"/>
  <c r="F168" i="8" s="1"/>
  <c r="F327" i="8"/>
  <c r="G326" i="8"/>
  <c r="F326" i="8" s="1"/>
  <c r="H910" i="8"/>
  <c r="G854" i="8"/>
  <c r="R740" i="8"/>
  <c r="G737" i="8"/>
  <c r="G735" i="8"/>
  <c r="O759" i="8" a="1"/>
  <c r="O759" i="8" s="1"/>
  <c r="I9" i="11"/>
  <c r="G243" i="8"/>
  <c r="G241" i="8"/>
  <c r="G276" i="8"/>
  <c r="G274" i="8"/>
  <c r="G138" i="8"/>
  <c r="I138" i="8"/>
  <c r="G137" i="8"/>
  <c r="I137" i="8"/>
  <c r="I139" i="8"/>
  <c r="G139" i="8"/>
  <c r="G642" i="8"/>
  <c r="G640" i="8"/>
  <c r="G189" i="8"/>
  <c r="P798" i="8"/>
  <c r="N798" i="8"/>
  <c r="Q798" i="8"/>
  <c r="M798" i="8"/>
  <c r="K798" i="8"/>
  <c r="R798" i="8" s="1"/>
  <c r="N538" i="8"/>
  <c r="M538" i="8"/>
  <c r="P538" i="8"/>
  <c r="L538" i="8"/>
  <c r="Q538" i="8"/>
  <c r="O538" i="8"/>
  <c r="K17" i="11"/>
  <c r="G17" i="11" s="1"/>
  <c r="I17" i="11"/>
  <c r="I399" i="8"/>
  <c r="G399" i="8"/>
  <c r="M645" i="8"/>
  <c r="Q645" i="8"/>
  <c r="O645" i="8"/>
  <c r="L645" i="8"/>
  <c r="G822" i="8"/>
  <c r="F822" i="8" s="1"/>
  <c r="J731" i="8" a="1"/>
  <c r="J731" i="8" s="1"/>
  <c r="R731" i="8" s="1"/>
  <c r="G184" i="8"/>
  <c r="G182" i="8" s="1"/>
  <c r="F182" i="8" s="1"/>
  <c r="O798" i="8"/>
  <c r="K19" i="11"/>
  <c r="G19" i="11" s="1"/>
  <c r="J19" i="11" s="1"/>
  <c r="G369" i="8"/>
  <c r="G367" i="8"/>
  <c r="R583" i="8"/>
  <c r="G405" i="8"/>
  <c r="R761" i="8"/>
  <c r="L574" i="8"/>
  <c r="K574" i="8"/>
  <c r="O574" i="8"/>
  <c r="Q574" i="8"/>
  <c r="M574" i="8"/>
  <c r="R574" i="8" s="1"/>
  <c r="I397" i="8"/>
  <c r="G397" i="8"/>
  <c r="G396" i="8" s="1"/>
  <c r="F396" i="8" s="1"/>
  <c r="G759" i="8"/>
  <c r="F759" i="8" s="1"/>
  <c r="G571" i="8"/>
  <c r="G569" i="8"/>
  <c r="G553" i="8" s="1"/>
  <c r="F553" i="8" s="1"/>
  <c r="G400" i="8"/>
  <c r="F400" i="8" s="1"/>
  <c r="I388" i="8"/>
  <c r="J645" i="8"/>
  <c r="R645" i="8" s="1"/>
  <c r="G550" i="8"/>
  <c r="G548" i="8"/>
  <c r="G546" i="8" s="1"/>
  <c r="F546" i="8" s="1"/>
  <c r="G743" i="8"/>
  <c r="G740" i="8" s="1"/>
  <c r="F740" i="8" s="1"/>
  <c r="G745" i="8"/>
  <c r="N530" i="8"/>
  <c r="Q530" i="8"/>
  <c r="J530" i="8"/>
  <c r="K530" i="8"/>
  <c r="M530" i="8"/>
  <c r="O530" i="8"/>
  <c r="P530" i="8"/>
  <c r="J759" i="8" a="1"/>
  <c r="J759" i="8" s="1"/>
  <c r="R759" i="8" s="1"/>
  <c r="G622" i="8"/>
  <c r="G620" i="8"/>
  <c r="G156" i="8"/>
  <c r="G154" i="8"/>
  <c r="G152" i="8" s="1"/>
  <c r="F152" i="8" s="1"/>
  <c r="P645" i="8"/>
  <c r="G491" i="8"/>
  <c r="G489" i="8"/>
  <c r="I387" i="8"/>
  <c r="G387" i="8"/>
  <c r="G386" i="8" s="1"/>
  <c r="F386" i="8" s="1"/>
  <c r="K538" i="8"/>
  <c r="J538" i="8"/>
  <c r="E526" i="8"/>
  <c r="E380" i="8"/>
  <c r="I384" i="8"/>
  <c r="J380" i="8" s="1"/>
  <c r="R806" i="8"/>
  <c r="R790" i="8"/>
  <c r="G42" i="8"/>
  <c r="G907" i="8"/>
  <c r="J9" i="11"/>
  <c r="G419" i="8"/>
  <c r="F419" i="8" s="1"/>
  <c r="L759" i="8" a="1"/>
  <c r="L759" i="8" s="1"/>
  <c r="L798" i="8"/>
  <c r="R622" i="8"/>
  <c r="R841" i="8"/>
  <c r="G847" i="8"/>
  <c r="G845" i="8"/>
  <c r="G841" i="8" s="1"/>
  <c r="F841" i="8" s="1"/>
  <c r="G374" i="8"/>
  <c r="F374" i="8" s="1"/>
  <c r="G795" i="8"/>
  <c r="G793" i="8"/>
  <c r="G790" i="8" s="1"/>
  <c r="F790" i="8" s="1"/>
  <c r="E435" i="8"/>
  <c r="G438" i="8"/>
  <c r="L824" i="8" a="1"/>
  <c r="L824" i="8" s="1"/>
  <c r="R824" i="8" s="1"/>
  <c r="G36" i="8"/>
  <c r="G227" i="8"/>
  <c r="G225" i="8"/>
  <c r="F225" i="8" s="1"/>
  <c r="K645" i="8"/>
  <c r="L5" i="11"/>
  <c r="M2" i="11"/>
  <c r="G418" i="8"/>
  <c r="G416" i="8" s="1"/>
  <c r="I418" i="8"/>
  <c r="G167" i="8"/>
  <c r="I70" i="8"/>
  <c r="G70" i="8"/>
  <c r="G65" i="8" s="1"/>
  <c r="G209" i="8"/>
  <c r="G605" i="8"/>
  <c r="G600" i="8" s="1"/>
  <c r="F600" i="8" s="1"/>
  <c r="G429" i="8"/>
  <c r="G867" i="8"/>
  <c r="G670" i="8"/>
  <c r="G665" i="8" s="1"/>
  <c r="F665" i="8" s="1"/>
  <c r="I441" i="8"/>
  <c r="E720" i="8"/>
  <c r="I725" i="8"/>
  <c r="G725" i="8"/>
  <c r="G346" i="8"/>
  <c r="G303" i="8"/>
  <c r="G300" i="8" s="1"/>
  <c r="G281" i="8" s="1"/>
  <c r="F281" i="8" s="1"/>
  <c r="I303" i="8"/>
  <c r="I707" i="8"/>
  <c r="E704" i="8"/>
  <c r="I596" i="8"/>
  <c r="G596" i="8"/>
  <c r="I537" i="8"/>
  <c r="G537" i="8"/>
  <c r="G535" i="8" s="1"/>
  <c r="G711" i="8"/>
  <c r="G709" i="8" s="1"/>
  <c r="I711" i="8"/>
  <c r="I479" i="8"/>
  <c r="G479" i="8"/>
  <c r="G478" i="8" s="1"/>
  <c r="G442" i="8"/>
  <c r="F442" i="8" s="1"/>
  <c r="G125" i="8"/>
  <c r="I644" i="8"/>
  <c r="G644" i="8"/>
  <c r="G643" i="8" s="1"/>
  <c r="G621" i="8" s="1"/>
  <c r="E630" i="8"/>
  <c r="E618" i="8" s="1"/>
  <c r="I634" i="8"/>
  <c r="G634" i="8"/>
  <c r="E814" i="8"/>
  <c r="E757" i="8" s="1"/>
  <c r="G818" i="8"/>
  <c r="I818" i="8"/>
  <c r="I82" i="8"/>
  <c r="G82" i="8"/>
  <c r="R78" i="8"/>
  <c r="E78" i="8" s="1"/>
  <c r="R320" i="8"/>
  <c r="E320" i="8" s="1"/>
  <c r="I320" i="8" s="1"/>
  <c r="J304" i="8" s="1"/>
  <c r="I113" i="8"/>
  <c r="G113" i="8"/>
  <c r="I81" i="8"/>
  <c r="G81" i="8"/>
  <c r="G105" i="8"/>
  <c r="I105" i="8"/>
  <c r="I114" i="8"/>
  <c r="G114" i="8"/>
  <c r="I106" i="8"/>
  <c r="G106" i="8"/>
  <c r="G84" i="8"/>
  <c r="I84" i="8"/>
  <c r="G412" i="8" l="1"/>
  <c r="F412" i="8" s="1"/>
  <c r="F416" i="8"/>
  <c r="H907" i="8"/>
  <c r="R538" i="8"/>
  <c r="M87" i="8" a="1"/>
  <c r="M87" i="8" s="1"/>
  <c r="M524" i="8" a="1"/>
  <c r="M524" i="8" s="1"/>
  <c r="M528" i="8" a="1"/>
  <c r="M528" i="8" s="1"/>
  <c r="G529" i="8"/>
  <c r="F529" i="8" s="1"/>
  <c r="G525" i="8"/>
  <c r="F525" i="8" s="1"/>
  <c r="G530" i="8"/>
  <c r="Q592" i="8"/>
  <c r="O592" i="8"/>
  <c r="K592" i="8"/>
  <c r="K87" i="8" s="1" a="1"/>
  <c r="K87" i="8" s="1"/>
  <c r="L592" i="8"/>
  <c r="L528" i="8" s="1" a="1"/>
  <c r="L528" i="8" s="1"/>
  <c r="J592" i="8"/>
  <c r="P592" i="8"/>
  <c r="N592" i="8"/>
  <c r="N524" i="8" s="1" a="1"/>
  <c r="N524" i="8" s="1"/>
  <c r="M592" i="8"/>
  <c r="G726" i="8"/>
  <c r="G724" i="8"/>
  <c r="G720" i="8" s="1"/>
  <c r="F720" i="8" s="1"/>
  <c r="F429" i="8"/>
  <c r="G427" i="8"/>
  <c r="F427" i="8" s="1"/>
  <c r="E75" i="8"/>
  <c r="G78" i="8"/>
  <c r="I78" i="8"/>
  <c r="E71" i="8"/>
  <c r="G87" i="8"/>
  <c r="G123" i="8"/>
  <c r="F123" i="8" s="1"/>
  <c r="G703" i="8"/>
  <c r="F703" i="8" s="1"/>
  <c r="G704" i="8"/>
  <c r="F709" i="8"/>
  <c r="G439" i="8"/>
  <c r="G437" i="8"/>
  <c r="R530" i="8"/>
  <c r="J528" i="8" a="1"/>
  <c r="J528" i="8" s="1"/>
  <c r="J17" i="11"/>
  <c r="L87" i="8" a="1"/>
  <c r="L87" i="8" s="1"/>
  <c r="G80" i="8"/>
  <c r="G595" i="8"/>
  <c r="G592" i="8" s="1"/>
  <c r="F592" i="8" s="1"/>
  <c r="G597" i="8"/>
  <c r="K528" i="8" a="1"/>
  <c r="K528" i="8" s="1"/>
  <c r="K524" i="8" a="1"/>
  <c r="K524" i="8" s="1"/>
  <c r="G190" i="8"/>
  <c r="F209" i="8"/>
  <c r="G192" i="8"/>
  <c r="G351" i="8"/>
  <c r="F351" i="8" s="1"/>
  <c r="F367" i="8"/>
  <c r="G731" i="8"/>
  <c r="F731" i="8" s="1"/>
  <c r="G733" i="8"/>
  <c r="F90" i="8"/>
  <c r="G112" i="8"/>
  <c r="J814" i="8"/>
  <c r="P814" i="8"/>
  <c r="K814" i="8"/>
  <c r="M814" i="8"/>
  <c r="N814" i="8"/>
  <c r="L814" i="8"/>
  <c r="O814" i="8"/>
  <c r="Q814" i="8"/>
  <c r="O720" i="8"/>
  <c r="N720" i="8"/>
  <c r="J720" i="8"/>
  <c r="R720" i="8" s="1"/>
  <c r="L720" i="8"/>
  <c r="K720" i="8"/>
  <c r="Q720" i="8"/>
  <c r="M720" i="8"/>
  <c r="P720" i="8"/>
  <c r="G819" i="8"/>
  <c r="G817" i="8"/>
  <c r="L6" i="11"/>
  <c r="I5" i="11"/>
  <c r="F622" i="8"/>
  <c r="Q87" i="8" a="1"/>
  <c r="Q87" i="8" s="1"/>
  <c r="Q524" i="8" a="1"/>
  <c r="Q524" i="8" s="1"/>
  <c r="Q528" i="8" a="1"/>
  <c r="Q528" i="8" s="1"/>
  <c r="G104" i="8"/>
  <c r="E700" i="8"/>
  <c r="E522" i="8" s="1"/>
  <c r="N528" i="8" a="1"/>
  <c r="N528" i="8" s="1"/>
  <c r="N87" i="8" a="1"/>
  <c r="N87" i="8" s="1"/>
  <c r="G136" i="8"/>
  <c r="F241" i="8"/>
  <c r="G232" i="8"/>
  <c r="F232" i="8" s="1"/>
  <c r="G163" i="8"/>
  <c r="F163" i="8" s="1"/>
  <c r="E304" i="8"/>
  <c r="E188" i="8" s="1"/>
  <c r="G320" i="8"/>
  <c r="G863" i="8"/>
  <c r="G850" i="8" s="1"/>
  <c r="F850" i="8" s="1"/>
  <c r="F867" i="8"/>
  <c r="G390" i="8"/>
  <c r="F390" i="8" s="1"/>
  <c r="F42" i="8"/>
  <c r="G635" i="8"/>
  <c r="G633" i="8"/>
  <c r="G630" i="8" s="1"/>
  <c r="F630" i="8" s="1"/>
  <c r="K704" i="8"/>
  <c r="Q704" i="8"/>
  <c r="Q702" i="8" s="1" a="1"/>
  <c r="Q702" i="8" s="1"/>
  <c r="O704" i="8"/>
  <c r="O702" i="8" s="1" a="1"/>
  <c r="O702" i="8" s="1"/>
  <c r="J704" i="8"/>
  <c r="N704" i="8"/>
  <c r="N702" i="8" s="1" a="1"/>
  <c r="N702" i="8" s="1"/>
  <c r="P704" i="8"/>
  <c r="P702" i="8" s="1" a="1"/>
  <c r="P702" i="8" s="1"/>
  <c r="M704" i="8"/>
  <c r="M702" i="8" s="1" a="1"/>
  <c r="M702" i="8" s="1"/>
  <c r="L704" i="8"/>
  <c r="L702" i="8" s="1" a="1"/>
  <c r="L702" i="8" s="1"/>
  <c r="G38" i="8"/>
  <c r="G908" i="8"/>
  <c r="G920" i="8" s="1"/>
  <c r="F489" i="8"/>
  <c r="G482" i="8"/>
  <c r="F482" i="8" s="1"/>
  <c r="Q630" i="8"/>
  <c r="Q620" i="8" s="1" a="1"/>
  <c r="Q620" i="8" s="1"/>
  <c r="N630" i="8"/>
  <c r="N620" i="8" s="1" a="1"/>
  <c r="N620" i="8" s="1"/>
  <c r="J630" i="8"/>
  <c r="M630" i="8"/>
  <c r="M620" i="8" s="1" a="1"/>
  <c r="M620" i="8" s="1"/>
  <c r="O630" i="8"/>
  <c r="O620" i="8" s="1" a="1"/>
  <c r="O620" i="8" s="1"/>
  <c r="K630" i="8"/>
  <c r="K620" i="8" s="1" a="1"/>
  <c r="K620" i="8" s="1"/>
  <c r="P630" i="8"/>
  <c r="P620" i="8" s="1" a="1"/>
  <c r="P620" i="8" s="1"/>
  <c r="L630" i="8"/>
  <c r="L620" i="8" s="1" a="1"/>
  <c r="L620" i="8" s="1"/>
  <c r="F478" i="8"/>
  <c r="G459" i="8"/>
  <c r="F459" i="8" s="1"/>
  <c r="P524" i="8" a="1"/>
  <c r="P524" i="8" s="1"/>
  <c r="P87" i="8" a="1"/>
  <c r="P87" i="8" s="1"/>
  <c r="P528" i="8" a="1"/>
  <c r="P528" i="8" s="1"/>
  <c r="G216" i="8"/>
  <c r="F216" i="8" s="1"/>
  <c r="F300" i="8"/>
  <c r="G191" i="8"/>
  <c r="O528" i="8" a="1"/>
  <c r="O528" i="8" s="1"/>
  <c r="O87" i="8" a="1"/>
  <c r="O87" i="8" s="1"/>
  <c r="O524" i="8" a="1"/>
  <c r="O524" i="8" s="1"/>
  <c r="G638" i="8"/>
  <c r="F638" i="8" s="1"/>
  <c r="G256" i="8"/>
  <c r="F256" i="8" s="1"/>
  <c r="F274" i="8"/>
  <c r="F383" i="8"/>
  <c r="G380" i="8"/>
  <c r="F380" i="8" s="1"/>
  <c r="H923" i="8" l="1"/>
  <c r="G924" i="8"/>
  <c r="H920" i="8"/>
  <c r="G618" i="8"/>
  <c r="F618" i="8" s="1"/>
  <c r="J702" i="8" a="1"/>
  <c r="J702" i="8" s="1"/>
  <c r="R704" i="8"/>
  <c r="G729" i="8"/>
  <c r="F729" i="8" s="1"/>
  <c r="F733" i="8"/>
  <c r="R528" i="8"/>
  <c r="G130" i="8"/>
  <c r="F130" i="8" s="1"/>
  <c r="F136" i="8"/>
  <c r="I6" i="11"/>
  <c r="I910" i="8"/>
  <c r="E35" i="8"/>
  <c r="F530" i="8"/>
  <c r="G526" i="8"/>
  <c r="F437" i="8"/>
  <c r="G435" i="8"/>
  <c r="F435" i="8" s="1"/>
  <c r="K75" i="8"/>
  <c r="J75" i="8"/>
  <c r="K702" i="8" a="1"/>
  <c r="K702" i="8" s="1"/>
  <c r="F104" i="8"/>
  <c r="G99" i="8"/>
  <c r="G88" i="8"/>
  <c r="G814" i="8"/>
  <c r="F817" i="8"/>
  <c r="G73" i="8"/>
  <c r="G79" i="8"/>
  <c r="G77" i="8"/>
  <c r="I908" i="8"/>
  <c r="H908" i="8"/>
  <c r="G319" i="8"/>
  <c r="G321" i="8"/>
  <c r="R814" i="8"/>
  <c r="F192" i="8"/>
  <c r="R592" i="8"/>
  <c r="L524" i="8" a="1"/>
  <c r="L524" i="8" s="1"/>
  <c r="R630" i="8"/>
  <c r="J620" i="8" a="1"/>
  <c r="J620" i="8" s="1"/>
  <c r="R620" i="8" s="1"/>
  <c r="F112" i="8"/>
  <c r="G107" i="8"/>
  <c r="F107" i="8" s="1"/>
  <c r="G74" i="8"/>
  <c r="F80" i="8"/>
  <c r="G700" i="8"/>
  <c r="F700" i="8" s="1"/>
  <c r="F704" i="8"/>
  <c r="G75" i="8" l="1"/>
  <c r="F75" i="8" s="1"/>
  <c r="G71" i="8"/>
  <c r="I923" i="8"/>
  <c r="I924" i="8" s="1"/>
  <c r="F319" i="8"/>
  <c r="G304" i="8"/>
  <c r="R75" i="8"/>
  <c r="Q526" i="8"/>
  <c r="K526" i="8"/>
  <c r="O526" i="8"/>
  <c r="P522" i="8"/>
  <c r="L526" i="8"/>
  <c r="K188" i="8"/>
  <c r="M526" i="8"/>
  <c r="K522" i="8"/>
  <c r="J526" i="8"/>
  <c r="N522" i="8"/>
  <c r="Q188" i="8"/>
  <c r="N526" i="8"/>
  <c r="N188" i="8"/>
  <c r="Q522" i="8"/>
  <c r="L522" i="8"/>
  <c r="P188" i="8"/>
  <c r="P526" i="8"/>
  <c r="M188" i="8"/>
  <c r="L188" i="8"/>
  <c r="O188" i="8"/>
  <c r="M522" i="8"/>
  <c r="O522" i="8"/>
  <c r="F814" i="8"/>
  <c r="G757" i="8"/>
  <c r="F757" i="8" s="1"/>
  <c r="R702" i="8"/>
  <c r="F99" i="8"/>
  <c r="G85" i="8"/>
  <c r="F85" i="8" s="1"/>
  <c r="K618" i="8"/>
  <c r="P618" i="8"/>
  <c r="M618" i="8"/>
  <c r="N618" i="8"/>
  <c r="Q618" i="8"/>
  <c r="O618" i="8"/>
  <c r="J618" i="8"/>
  <c r="L618" i="8"/>
  <c r="F526" i="8"/>
  <c r="G522" i="8"/>
  <c r="F522" i="8" s="1"/>
  <c r="J923" i="8" l="1"/>
  <c r="F304" i="8"/>
  <c r="G188" i="8"/>
  <c r="F188" i="8" s="1"/>
  <c r="L757" i="8"/>
  <c r="J822" i="8"/>
  <c r="Q700" i="8"/>
  <c r="M729" i="8"/>
  <c r="M757" i="8"/>
  <c r="L822" i="8"/>
  <c r="L850" i="8"/>
  <c r="N700" i="8"/>
  <c r="P757" i="8"/>
  <c r="Q729" i="8"/>
  <c r="J729" i="8"/>
  <c r="M850" i="8"/>
  <c r="O822" i="8"/>
  <c r="O850" i="8"/>
  <c r="O757" i="8"/>
  <c r="Q850" i="8"/>
  <c r="K757" i="8"/>
  <c r="L729" i="8"/>
  <c r="Q757" i="8"/>
  <c r="P700" i="8"/>
  <c r="N729" i="8"/>
  <c r="K729" i="8"/>
  <c r="P850" i="8"/>
  <c r="N757" i="8"/>
  <c r="J700" i="8"/>
  <c r="K822" i="8"/>
  <c r="J850" i="8"/>
  <c r="M700" i="8"/>
  <c r="L700" i="8"/>
  <c r="O729" i="8"/>
  <c r="P729" i="8"/>
  <c r="P822" i="8"/>
  <c r="J757" i="8"/>
  <c r="M822" i="8"/>
  <c r="N850" i="8"/>
  <c r="Q822" i="8"/>
  <c r="K850" i="8"/>
  <c r="K700" i="8"/>
  <c r="O700" i="8"/>
  <c r="N822" i="8"/>
  <c r="R618" i="8"/>
  <c r="R526" i="8"/>
  <c r="J522" i="8" s="1"/>
  <c r="R522" i="8" s="1"/>
  <c r="F71" i="8"/>
  <c r="G915" i="8" l="1"/>
  <c r="G35" i="8"/>
  <c r="R822" i="8"/>
  <c r="R729" i="8"/>
  <c r="R757" i="8"/>
  <c r="R700" i="8"/>
  <c r="R850" i="8"/>
  <c r="F35" i="8" l="1"/>
  <c r="G29" i="8"/>
  <c r="G872" i="8"/>
  <c r="I920" i="8"/>
  <c r="D915" i="8"/>
  <c r="H91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Мягков Николай Константинович</author>
  </authors>
  <commentList>
    <comment ref="A71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по 6 ходок в день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76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по 4 ходок в день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Мягков Николай Константинович</author>
  </authors>
  <commentList>
    <comment ref="C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было 19900</t>
        </r>
      </text>
    </comment>
    <comment ref="C1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было 24600</t>
        </r>
      </text>
    </comment>
    <comment ref="B1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https://clck.ru/S8KvY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1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19200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https://clck.ru/S8Kmy</t>
        </r>
      </text>
    </comment>
    <comment ref="C1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20000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4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17000</t>
        </r>
      </text>
    </comment>
    <comment ref="B15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https://clck.ru/S8Lt3</t>
        </r>
      </text>
    </comment>
    <comment ref="C15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 xml:space="preserve">22100
</t>
        </r>
      </text>
    </comment>
    <comment ref="B19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https://clck.ru/S8MPq</t>
        </r>
      </text>
    </comment>
    <comment ref="C19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>21900</t>
        </r>
      </text>
    </comment>
    <comment ref="B20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https://clck.ru/S8NMJ</t>
        </r>
      </text>
    </comment>
    <comment ref="C20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28200</t>
        </r>
      </text>
    </comment>
    <comment ref="C28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10000</t>
        </r>
      </text>
    </comment>
    <comment ref="B29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04"/>
          </rPr>
          <t>https://clck.ru/S8NWZ</t>
        </r>
      </text>
    </comment>
    <comment ref="C29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Мягков Николай Константинович:</t>
        </r>
        <r>
          <rPr>
            <sz val="9"/>
            <color indexed="81"/>
            <rFont val="Tahoma"/>
            <family val="2"/>
            <charset val="204"/>
          </rPr>
          <t xml:space="preserve">
18000</t>
        </r>
      </text>
    </comment>
  </commentList>
</comments>
</file>

<file path=xl/sharedStrings.xml><?xml version="1.0" encoding="utf-8"?>
<sst xmlns="http://schemas.openxmlformats.org/spreadsheetml/2006/main" count="1637" uniqueCount="455">
  <si>
    <t>ФОТ</t>
  </si>
  <si>
    <t>Машины и механизмы</t>
  </si>
  <si>
    <t>Ед. изм.</t>
  </si>
  <si>
    <t>итого</t>
  </si>
  <si>
    <t>норма выработки ресурса</t>
  </si>
  <si>
    <t>№</t>
  </si>
  <si>
    <t>Заказчик</t>
  </si>
  <si>
    <t>Договор с Заказчиком №</t>
  </si>
  <si>
    <t>Себестоимость работ</t>
  </si>
  <si>
    <t>Продолжительность работ:</t>
  </si>
  <si>
    <t>Рентабельность</t>
  </si>
  <si>
    <t>Проект</t>
  </si>
  <si>
    <t>Стоимость ГП</t>
  </si>
  <si>
    <t>Дата составления</t>
  </si>
  <si>
    <t>Продолжительность рабочего дня:</t>
  </si>
  <si>
    <t>Исполнитель работ (собственными силами)</t>
  </si>
  <si>
    <t>Исполнитель работ (внешний субподряд)</t>
  </si>
  <si>
    <t>Сметная стоимость предложения ГП</t>
  </si>
  <si>
    <t>Себестоимость</t>
  </si>
  <si>
    <t xml:space="preserve">Стоимость ед. ресурса </t>
  </si>
  <si>
    <t>Всего по работам</t>
  </si>
  <si>
    <t xml:space="preserve">Бригада 1 </t>
  </si>
  <si>
    <t>Кол-во ед./смен</t>
  </si>
  <si>
    <t>ЗОР</t>
  </si>
  <si>
    <t>Информация об авансе</t>
  </si>
  <si>
    <t>Прочие распределяемые расходы</t>
  </si>
  <si>
    <t>Цена обслуживания привлеченных для строительства кредитных ресурсов</t>
  </si>
  <si>
    <t>ФМП</t>
  </si>
  <si>
    <t>Всего по проекту</t>
  </si>
  <si>
    <t>Поле для экономических расчетов и аналитических процедур</t>
  </si>
  <si>
    <t>ИТОГИ:</t>
  </si>
  <si>
    <t>Кол-во ед. ресурса</t>
  </si>
  <si>
    <t>Налоги с ФОТ</t>
  </si>
  <si>
    <t>чел.</t>
  </si>
  <si>
    <t>м3</t>
  </si>
  <si>
    <t>шт</t>
  </si>
  <si>
    <t xml:space="preserve">Вид  техники </t>
  </si>
  <si>
    <t>Кол-во , шт.</t>
  </si>
  <si>
    <t>Руб./мес.</t>
  </si>
  <si>
    <t>Сумма</t>
  </si>
  <si>
    <t>Инструмент (круги, пластины, сверла)</t>
  </si>
  <si>
    <t>ИТОГО</t>
  </si>
  <si>
    <t>Срок работы, час.</t>
  </si>
  <si>
    <t>Робель</t>
  </si>
  <si>
    <t>апрель</t>
  </si>
  <si>
    <t>май</t>
  </si>
  <si>
    <t>Итого Материалов</t>
  </si>
  <si>
    <t>Итого ФОТ</t>
  </si>
  <si>
    <t>Итого Машины и механизмы</t>
  </si>
  <si>
    <t>МРШ</t>
  </si>
  <si>
    <t>ГАЗель</t>
  </si>
  <si>
    <t>Анализ работы стредств малой механизации</t>
  </si>
  <si>
    <t>Шпалосверлильный станок</t>
  </si>
  <si>
    <t>Гидравлический разгонщик</t>
  </si>
  <si>
    <t>месяца</t>
  </si>
  <si>
    <t>м2</t>
  </si>
  <si>
    <t>комп</t>
  </si>
  <si>
    <t>м</t>
  </si>
  <si>
    <t>кол-во</t>
  </si>
  <si>
    <t>ЭШП-9</t>
  </si>
  <si>
    <t>городок</t>
  </si>
  <si>
    <t xml:space="preserve">Автобус </t>
  </si>
  <si>
    <t>Бригада 2</t>
  </si>
  <si>
    <t>Стенд противопожарный "Комби" с комплектом</t>
  </si>
  <si>
    <t>Флаги предприятия</t>
  </si>
  <si>
    <t>Хозинвентарь (скамейка урна)</t>
  </si>
  <si>
    <t>Опора диаметром 14-24 см, длиной 9,5 м</t>
  </si>
  <si>
    <t>Светильник уличный типа прожектор с креплением ИО-500</t>
  </si>
  <si>
    <t>Кабель ВВГнг-LS 2х2,5 - 1кВ</t>
  </si>
  <si>
    <t>Заземлитель из уголка 50 и стержня</t>
  </si>
  <si>
    <t>июнь</t>
  </si>
  <si>
    <t>июль</t>
  </si>
  <si>
    <t>август</t>
  </si>
  <si>
    <t>Рук. Проекта</t>
  </si>
  <si>
    <t>Начальник участка</t>
  </si>
  <si>
    <t>Бригада 3</t>
  </si>
  <si>
    <t>Итого Субподряд</t>
  </si>
  <si>
    <t>РГУ, ручные гидравлические рихтовщики</t>
  </si>
  <si>
    <t>Мадерон</t>
  </si>
  <si>
    <t>Унифицированная форма 1-10эу "Заявка на расчет себестоимости/рентабельности (ресурсный метод)"</t>
  </si>
  <si>
    <t>Подписной лист по проекту</t>
  </si>
  <si>
    <t>Участие в процессе</t>
  </si>
  <si>
    <t>ФИО</t>
  </si>
  <si>
    <t>Подпись</t>
  </si>
  <si>
    <t>Производственно-Техническое Управление</t>
  </si>
  <si>
    <t>Набор работ, кол-во ресурсов</t>
  </si>
  <si>
    <t>Инженер-технолог</t>
  </si>
  <si>
    <t>Согласование ресурсного расчета</t>
  </si>
  <si>
    <t>Руководитель производственно-технического управления</t>
  </si>
  <si>
    <t>Планово-экономическое управление</t>
  </si>
  <si>
    <t>Проверка расчетов стоимости потребных ресурсов. Согласование стоимости ресурсов, анализ и расчеты</t>
  </si>
  <si>
    <t>Руководитель направления экономических объектов инфраструктуры пром. предприятий</t>
  </si>
  <si>
    <t>Директор по экономическим вопросам и системным разработкам</t>
  </si>
  <si>
    <t>Коммерческий отдел</t>
  </si>
  <si>
    <t xml:space="preserve">Формирование цены заказчику. Проверка, анализ и согласование цены коммерчесого предложения. </t>
  </si>
  <si>
    <t>Руководитель коммерческого управления</t>
  </si>
  <si>
    <t>Расчет стоимости потребных ресурсов. Расчет прочих затрат</t>
  </si>
  <si>
    <t>Экономист Дирекции</t>
  </si>
  <si>
    <t>Проверка и согласование технологии, ресурсов, графика производства работ и себестоимость СМР объекта</t>
  </si>
  <si>
    <t>Директор Дирекции/гл. инженер</t>
  </si>
  <si>
    <t>Сметный отдел</t>
  </si>
  <si>
    <t>Ответственный за выпуск сметного расчёта</t>
  </si>
  <si>
    <t>Начальник сметного отдела</t>
  </si>
  <si>
    <t>УМР</t>
  </si>
  <si>
    <t>Согласована стоимость собственной и арендованной техники</t>
  </si>
  <si>
    <t>Генеральный директор УМР</t>
  </si>
  <si>
    <t>ТД</t>
  </si>
  <si>
    <t>Согласована стоимость материалов</t>
  </si>
  <si>
    <t>Представитель ТД</t>
  </si>
  <si>
    <t>Генеральная дирекция</t>
  </si>
  <si>
    <t>Согласование ресурсного расчета и цены коммерческого предложения</t>
  </si>
  <si>
    <t>Заместитель генерального директора по коммерции</t>
  </si>
  <si>
    <t>Заместитель генерального директора, Финансовый директор</t>
  </si>
  <si>
    <t xml:space="preserve">Главный инженер </t>
  </si>
  <si>
    <t>Генеральный директор</t>
  </si>
  <si>
    <t>Геодезист</t>
  </si>
  <si>
    <t>Мастер</t>
  </si>
  <si>
    <t>состав ИТР</t>
  </si>
  <si>
    <t>Тепловоз</t>
  </si>
  <si>
    <t>Станок рельсорезный Робель</t>
  </si>
  <si>
    <t>Станок СТР-1</t>
  </si>
  <si>
    <t>Домкрат</t>
  </si>
  <si>
    <t>Мобильная электростанция  АБ-4</t>
  </si>
  <si>
    <t>сентябрь</t>
  </si>
  <si>
    <t>октябрь</t>
  </si>
  <si>
    <t>ноябрь</t>
  </si>
  <si>
    <t xml:space="preserve">Окрасочный агрегат Dino-Power DP-6382 </t>
  </si>
  <si>
    <t>Бадья для бетона 0,5 м3</t>
  </si>
  <si>
    <t xml:space="preserve">Вибратор глубинный </t>
  </si>
  <si>
    <t>Станок для резки арматуры</t>
  </si>
  <si>
    <t>Станок для гнутья арматуры</t>
  </si>
  <si>
    <t>Щуруповерт</t>
  </si>
  <si>
    <t>Перфоратор</t>
  </si>
  <si>
    <t>УШМ</t>
  </si>
  <si>
    <t>контейнеры</t>
  </si>
  <si>
    <t>бытовки под раздевалки</t>
  </si>
  <si>
    <t>прорабская</t>
  </si>
  <si>
    <t>столовая</t>
  </si>
  <si>
    <t>туалет-кабинка</t>
  </si>
  <si>
    <t>Сварщик</t>
  </si>
  <si>
    <t>Инженер по ТБ</t>
  </si>
  <si>
    <t>Директор дирекции строительства объектов восточного полигона</t>
  </si>
  <si>
    <t>компл</t>
  </si>
  <si>
    <t>Паспорт объекта (баннер)</t>
  </si>
  <si>
    <t>комп.</t>
  </si>
  <si>
    <t>шт.</t>
  </si>
  <si>
    <t>Кабель бронированный 4-х жильный</t>
  </si>
  <si>
    <t>Распределительное устройство для строительных площадок РУСп 3х16/3+2х16/5+1х32/5 74 у1 IP44 (+ счетчик учета электоэнергии)</t>
  </si>
  <si>
    <t>Кронштейн КФЦ5 (с комплектом скреплений)</t>
  </si>
  <si>
    <t>Профлист С8-1200-0,45</t>
  </si>
  <si>
    <t>Профиль квадратный 40х20х2</t>
  </si>
  <si>
    <t>Стойка диам. 60</t>
  </si>
  <si>
    <t>Запорные устройства (засов)</t>
  </si>
  <si>
    <t>Навесы</t>
  </si>
  <si>
    <t>Бульдозер 180 л.с.</t>
  </si>
  <si>
    <t>ВПРС</t>
  </si>
  <si>
    <t>Сметчик</t>
  </si>
  <si>
    <t>Инженер ПТО</t>
  </si>
  <si>
    <t>Администратор</t>
  </si>
  <si>
    <t>Наименование</t>
  </si>
  <si>
    <t>Виброплита</t>
  </si>
  <si>
    <t>Передислокация</t>
  </si>
  <si>
    <t>Техника</t>
  </si>
  <si>
    <t>2019 г.</t>
  </si>
  <si>
    <t>Простоий+передислокация</t>
  </si>
  <si>
    <t>Заместитель генерального директора по строительству</t>
  </si>
  <si>
    <t>Директор по производству</t>
  </si>
  <si>
    <t xml:space="preserve">Материалы </t>
  </si>
  <si>
    <t>Самосвал 20 т</t>
  </si>
  <si>
    <t>кг</t>
  </si>
  <si>
    <t>Щебень фр. 20-40мм М800 с доставкой</t>
  </si>
  <si>
    <t>л</t>
  </si>
  <si>
    <t>Каток 16 т.</t>
  </si>
  <si>
    <t>Обустройство бытового городка</t>
  </si>
  <si>
    <t>Автокран 25 т.</t>
  </si>
  <si>
    <t>Насос Гном 25-20</t>
  </si>
  <si>
    <t>КТП 25/6/0,4</t>
  </si>
  <si>
    <t>Опалубка стеновая  м2</t>
  </si>
  <si>
    <t>км</t>
  </si>
  <si>
    <t>Прораб</t>
  </si>
  <si>
    <t>Сварочный аппарат (инвертор)</t>
  </si>
  <si>
    <t>График производства работ</t>
  </si>
  <si>
    <t>№291849
№291854
№291866</t>
  </si>
  <si>
    <t>Устройство объекта</t>
  </si>
  <si>
    <t>Итого: Охрана городка и склада</t>
  </si>
  <si>
    <t>Пункт мойки колес тип "Каскад-П Мини" с эстакадой 8м. (СУБПОДРЯД) с доп емкостью на 500л (вода привозится)</t>
  </si>
  <si>
    <t>мес</t>
  </si>
  <si>
    <t>Раствор М150</t>
  </si>
  <si>
    <t>т</t>
  </si>
  <si>
    <t>Автокран 32 т.</t>
  </si>
  <si>
    <t>Экскаватор на колесном ходу с гидромолотом</t>
  </si>
  <si>
    <t>Обратная засыпка с уплотнением</t>
  </si>
  <si>
    <t>Компрессор с 2-мя молотками</t>
  </si>
  <si>
    <t>Песок</t>
  </si>
  <si>
    <t>Автовышка АГП 22</t>
  </si>
  <si>
    <t xml:space="preserve">Кран КЖ 562 </t>
  </si>
  <si>
    <t>Платформа 4-х осная</t>
  </si>
  <si>
    <t xml:space="preserve">Экскаватор 1,25м3 </t>
  </si>
  <si>
    <t>комплект</t>
  </si>
  <si>
    <t>Кран УК 25-18/9</t>
  </si>
  <si>
    <t>УСО</t>
  </si>
  <si>
    <t>МПД</t>
  </si>
  <si>
    <t>Платформа роликовая</t>
  </si>
  <si>
    <t xml:space="preserve">Хоппер-дозатор </t>
  </si>
  <si>
    <t>Охрана городка и склада</t>
  </si>
  <si>
    <t>Экскаватор-погрузчик JCB 4CX</t>
  </si>
  <si>
    <t>Длинномер L=12 м, г/п 20 т</t>
  </si>
  <si>
    <t>Погрузчик 1,9м3</t>
  </si>
  <si>
    <t>Автогрейдер Liugong CLG418</t>
  </si>
  <si>
    <t>Буровая установка на базе манипулятора</t>
  </si>
  <si>
    <t>Автомотриса АГВ</t>
  </si>
  <si>
    <t>Устройство колодцев с гидроизоляцией</t>
  </si>
  <si>
    <t>Поливомоечная машина</t>
  </si>
  <si>
    <t>АО  «НЛМК» Липецк</t>
  </si>
  <si>
    <t>25.03.2019 г.</t>
  </si>
  <si>
    <t>6 мес</t>
  </si>
  <si>
    <t>3 мес</t>
  </si>
  <si>
    <t>8 мес</t>
  </si>
  <si>
    <t>1 мес</t>
  </si>
  <si>
    <t>Сварочный аппарат ПЭ трубы</t>
  </si>
  <si>
    <t>2 мес</t>
  </si>
  <si>
    <t>Цена, руб</t>
  </si>
  <si>
    <t>Цена простоя, руб</t>
  </si>
  <si>
    <t>Цена передислокации, руб</t>
  </si>
  <si>
    <t>Количество техники</t>
  </si>
  <si>
    <t>Простой</t>
  </si>
  <si>
    <t>Работа</t>
  </si>
  <si>
    <t>Итого затраты</t>
  </si>
  <si>
    <t>Нахождение</t>
  </si>
  <si>
    <t>22 час.</t>
  </si>
  <si>
    <t>К/а Спецтехника</t>
  </si>
  <si>
    <t>весь срок</t>
  </si>
  <si>
    <t>апрель-октябрь</t>
  </si>
  <si>
    <t>7 мес</t>
  </si>
  <si>
    <t>Инженер ТМЦ</t>
  </si>
  <si>
    <t>5 мес май-сент</t>
  </si>
  <si>
    <t>бригадир</t>
  </si>
  <si>
    <t>сторож</t>
  </si>
  <si>
    <t>ТМЦ ВСП Заказчика</t>
  </si>
  <si>
    <t>Экскаватор 1,25м3 (ВСП)</t>
  </si>
  <si>
    <t>Автокран 25 т. 1</t>
  </si>
  <si>
    <t>Самосвал 20 т 1</t>
  </si>
  <si>
    <t>Экскаватор-погрузчик JCB 4CX 1</t>
  </si>
  <si>
    <t>Бульдозер 180 л.с. 1</t>
  </si>
  <si>
    <t>Каток 16 т. 1</t>
  </si>
  <si>
    <t>Длинномер L=12 м, г/п 20 т 1</t>
  </si>
  <si>
    <t>Погрузчик 1,9м3 1</t>
  </si>
  <si>
    <t>Тепловоз 1</t>
  </si>
  <si>
    <t>Кран КЖ 562  1</t>
  </si>
  <si>
    <t>Платформа 4-х осная 1</t>
  </si>
  <si>
    <t>Автогрейдер Liugong CLG418 1</t>
  </si>
  <si>
    <t>Экскаватор 1,25м3  1</t>
  </si>
  <si>
    <t>Кран УК 25-18/9 1</t>
  </si>
  <si>
    <t>УСО 1</t>
  </si>
  <si>
    <t>МПД 1</t>
  </si>
  <si>
    <t>Платформа роликовая 1</t>
  </si>
  <si>
    <t>Хоппер-дозатор  1</t>
  </si>
  <si>
    <t>Робель 1</t>
  </si>
  <si>
    <t>ВПРС 1</t>
  </si>
  <si>
    <t>Компрессор с 2-мя молотками 1</t>
  </si>
  <si>
    <t>З/п рабочих 1</t>
  </si>
  <si>
    <t>Смена 11 часа</t>
  </si>
  <si>
    <t>Общестрой</t>
  </si>
  <si>
    <t>№1</t>
  </si>
  <si>
    <t>ВСП</t>
  </si>
  <si>
    <t>всп</t>
  </si>
  <si>
    <t>общестрой</t>
  </si>
  <si>
    <t>22 чел</t>
  </si>
  <si>
    <t>прочее</t>
  </si>
  <si>
    <t xml:space="preserve"> с учетом авансирования и ГУ на 1г </t>
  </si>
  <si>
    <t>Страхование</t>
  </si>
  <si>
    <t>Услуги ген подряда</t>
  </si>
  <si>
    <t>рассчитать после формирования ГП</t>
  </si>
  <si>
    <t>скорректировать!!!!</t>
  </si>
  <si>
    <t xml:space="preserve"> </t>
  </si>
  <si>
    <t>Дата корректировки</t>
  </si>
  <si>
    <t>23.04.2019 г.</t>
  </si>
  <si>
    <t>Субподряд</t>
  </si>
  <si>
    <t>Устройство КЖБТ на ПК10+50</t>
  </si>
  <si>
    <t>Разработка грунта, включая 10% вручную</t>
  </si>
  <si>
    <t>Устройство подстилающего слоя из щебня с уплотнением</t>
  </si>
  <si>
    <t>Монтаж блоков фундаментов, элементов трубы, откосных и портальных стенок</t>
  </si>
  <si>
    <t>Звено трубы ЗК 3.200</t>
  </si>
  <si>
    <t>Звено трубы ЗК 3.100</t>
  </si>
  <si>
    <t>Звено коническое ЗК14.132</t>
  </si>
  <si>
    <t>СТК 6</t>
  </si>
  <si>
    <t>БЛ 1.201</t>
  </si>
  <si>
    <t>БЛ 1.302</t>
  </si>
  <si>
    <t>БЛ 9</t>
  </si>
  <si>
    <t>СТК 11 л (левый)</t>
  </si>
  <si>
    <t>СТК 11 п (правый)</t>
  </si>
  <si>
    <t>БФ 1.99</t>
  </si>
  <si>
    <t>БФ 1.132</t>
  </si>
  <si>
    <t>П 2.142</t>
  </si>
  <si>
    <t>П 1.190</t>
  </si>
  <si>
    <t>Раствор М200</t>
  </si>
  <si>
    <t>Герметизация стыков элементов труб</t>
  </si>
  <si>
    <t>Жгут Стенофлекс d=20мм</t>
  </si>
  <si>
    <t>Монтажная пена MAKROFLEX туба 750 мл</t>
  </si>
  <si>
    <t>Устройство обмазочной и оклеечной гидроизоляции</t>
  </si>
  <si>
    <t>Мастика"Гермокрон-гидро"</t>
  </si>
  <si>
    <t>"Изопласт" К</t>
  </si>
  <si>
    <t>Праймер Технониколь 01</t>
  </si>
  <si>
    <t>Укрепление бетоном лотков входного и выходного оголовков</t>
  </si>
  <si>
    <t>Бетон В20 F300 W8</t>
  </si>
  <si>
    <t>Сетка 5Вр-1 200х200</t>
  </si>
  <si>
    <t>Окраска видимых бетонных поверхностей</t>
  </si>
  <si>
    <t>Грунтовка "Hempels contex sealler 26600"</t>
  </si>
  <si>
    <t>Краска "Hempels contex smooth 46600"</t>
  </si>
  <si>
    <t>Щебень фр. 20-40</t>
  </si>
  <si>
    <t>Устройство КЖБТ на пожарном проезде</t>
  </si>
  <si>
    <t>Устройство подстилающего слоя из ПГС</t>
  </si>
  <si>
    <t>ПГС</t>
  </si>
  <si>
    <t>Монтаж блоков  элементов трубы и портальных стенок</t>
  </si>
  <si>
    <t>элемент</t>
  </si>
  <si>
    <t>Работы по разгрузке элементов ЖБИ трубы с раскладкой по  месту работ</t>
  </si>
  <si>
    <t xml:space="preserve">Грунтовка "Hempels contex sealler 26600" </t>
  </si>
  <si>
    <t>Устройство дренажа из ПНД 160</t>
  </si>
  <si>
    <t xml:space="preserve">Разработка грунта, включая доработку вручную </t>
  </si>
  <si>
    <t>Устройство подстилающего слоя из щебня толщ. 0,05 м</t>
  </si>
  <si>
    <t xml:space="preserve">Укладка дренажа из трубы ПНД 160 </t>
  </si>
  <si>
    <t>Труба гофрированнная ПНД-160 SN6 с перфорацией в фильтре</t>
  </si>
  <si>
    <t>Муфта для трубы гофрированной диам.160</t>
  </si>
  <si>
    <t>Плита днища ПН10</t>
  </si>
  <si>
    <t>Кольцо опорное КО-6</t>
  </si>
  <si>
    <t>Плита перекрытия ПП10-1</t>
  </si>
  <si>
    <t>Кольцо стеновое КС10.6-C</t>
  </si>
  <si>
    <t>Кольцо стеновое КС10.9-C</t>
  </si>
  <si>
    <t>Люк чугунный типа Л</t>
  </si>
  <si>
    <t>Крышка защитная КР-1</t>
  </si>
  <si>
    <t>Мастика МБУ</t>
  </si>
  <si>
    <t>Устройство дренажных колодцев</t>
  </si>
  <si>
    <t>Устройство дренажа из ПНД 160 в футляре из трубы 200/171</t>
  </si>
  <si>
    <t>Укладка дренажа из трубы ПНД 160 в футляре 200/171</t>
  </si>
  <si>
    <t>Труба гофрированнная ПНД-200/171 SN10</t>
  </si>
  <si>
    <t>Щебень фр. 10-20</t>
  </si>
  <si>
    <t xml:space="preserve">Устройство разделительного слоя обсыпки дренажной трубы геотекстилем </t>
  </si>
  <si>
    <t>Геотекстиль П-200 Дорнит 3х100</t>
  </si>
  <si>
    <t>Обратная засыпка дренажа щебнем</t>
  </si>
  <si>
    <t>Обратная засыпка дренажа песком</t>
  </si>
  <si>
    <t>Песок с коэф. фильтр. более 10 м/сут</t>
  </si>
  <si>
    <t>Укладка канализационной трубы  400 мм в футляре</t>
  </si>
  <si>
    <t>Труба гофрированнная ПНД-500/427 SN10</t>
  </si>
  <si>
    <t>Труба гофрированнная ПНД-400 SN6</t>
  </si>
  <si>
    <t>Укладка канализационной трубы  400 мм в футляре 500/427</t>
  </si>
  <si>
    <t>Укладка лотков с крышками</t>
  </si>
  <si>
    <t>Лоток междупутный тип II Н=1,5</t>
  </si>
  <si>
    <t>Крышка лотка тип II</t>
  </si>
  <si>
    <t>Укрепление кювета монолитным бетоном</t>
  </si>
  <si>
    <t>Расчет себестоимости/рентабельности на выполнение работ по строительству объекта «Балтийский вагоноремонтный завод"</t>
  </si>
  <si>
    <t>Бетон В20 F200 W6</t>
  </si>
  <si>
    <t>Опорное кольцо типа "солнышко" под КР-1</t>
  </si>
  <si>
    <t>Скоба ходовая МН-1</t>
  </si>
  <si>
    <t>Бетон В15</t>
  </si>
  <si>
    <t xml:space="preserve">Раздел № 1: Подготовительные работы </t>
  </si>
  <si>
    <t>Раздел № 2: Работы по сооружению земляного полотна</t>
  </si>
  <si>
    <t>Засыпка не дренирующим грунтом</t>
  </si>
  <si>
    <t>Поливочная машина 1</t>
  </si>
  <si>
    <t>Стрелочный перевод пр. 2769</t>
  </si>
  <si>
    <t>Брус ж.б. переводной</t>
  </si>
  <si>
    <t>Подкладка КБ-65</t>
  </si>
  <si>
    <t>Прокладка ЦП-143</t>
  </si>
  <si>
    <t>Прокладка ЦП-328</t>
  </si>
  <si>
    <t>Болт клеммный М22х75</t>
  </si>
  <si>
    <t>Клемма ПК</t>
  </si>
  <si>
    <t>Болт закладной М22х175</t>
  </si>
  <si>
    <t>Втулка ЦП-142</t>
  </si>
  <si>
    <t>Шайба-скоба ЦП-138</t>
  </si>
  <si>
    <t>Шайба 2-х витковая М22</t>
  </si>
  <si>
    <t>Гайка М22</t>
  </si>
  <si>
    <t>Щебень фр. 25-60 мм</t>
  </si>
  <si>
    <t>Стрелочный перевод пр. 2721 (2434)</t>
  </si>
  <si>
    <t>Брус дер. переводной</t>
  </si>
  <si>
    <t>Шуруп путевой 24х170</t>
  </si>
  <si>
    <t>Костыль путевой 16х16х165</t>
  </si>
  <si>
    <t>Брус деревянный флюгарочный</t>
  </si>
  <si>
    <t>Переводной механизм ПТКБ 1709.000</t>
  </si>
  <si>
    <t>Стрелочный перевод пр. ЛПТП 665121.102</t>
  </si>
  <si>
    <t>Установка колесосбрасывающего башмака КСБР</t>
  </si>
  <si>
    <t>Колесосбрасывающий башмак КСБ-Р (57 кг)</t>
  </si>
  <si>
    <t>км пути</t>
  </si>
  <si>
    <t>Рельсы Р-65, 12,5 м с/г</t>
  </si>
  <si>
    <t>Шпалы Ш-1 с/г</t>
  </si>
  <si>
    <t>Прокладка ЦП-143 (подрельсовая)</t>
  </si>
  <si>
    <t>Прокладка ЦП-328 (нашпальная)</t>
  </si>
  <si>
    <t>Шайба двухвитковая М22</t>
  </si>
  <si>
    <t>Накладки 1Р-65</t>
  </si>
  <si>
    <t xml:space="preserve">Болт стыковой М27 </t>
  </si>
  <si>
    <t>Гайка М27</t>
  </si>
  <si>
    <t>Шайба путевая одновитковая М27</t>
  </si>
  <si>
    <t>Рельсы Р-65, 12,5 м новые (звенья прикрытия СП)</t>
  </si>
  <si>
    <t>Подкладка КД-65</t>
  </si>
  <si>
    <t>Прокладка ЦП-361 (нашпальная)</t>
  </si>
  <si>
    <t>Прокладка ЦП-363 (подрельсовая)</t>
  </si>
  <si>
    <t>Укладка ж.д. пути (Р65-12,5 м, с/г, шпалы дер., КД-65, эпюра 1600 шт./км) поэлементно</t>
  </si>
  <si>
    <t>Укладка ж.д. пути (Р65-12,5 м, с/г, шпалы ж.б. с/г Ш-1, КБ-65, эпюра 1600 шт./км) поэлементно</t>
  </si>
  <si>
    <r>
      <t xml:space="preserve">Укладка ж.д. пути на </t>
    </r>
    <r>
      <rPr>
        <b/>
        <u/>
        <sz val="12"/>
        <rFont val="Arial"/>
        <family val="2"/>
        <charset val="204"/>
      </rPr>
      <t>бетонном основании</t>
    </r>
    <r>
      <rPr>
        <b/>
        <sz val="12"/>
        <rFont val="Arial"/>
        <family val="2"/>
        <charset val="204"/>
      </rPr>
      <t xml:space="preserve"> (Р65-12,5 м, с/г, КД-65, эпюра 1600 шт./км) поэлементно</t>
    </r>
  </si>
  <si>
    <t>Укладка ж.д. пути (Р65-12,5 м, с/г, шпалы ж.б. с/г Ш-1, КБ-65, эпюра 1840 шт./км) поэлементно</t>
  </si>
  <si>
    <t>Укладка ж.д. пути (Р65-12,5 м, с/г, шпалы дер., КД-65, эпюра 1840 шт./км) поэлементно</t>
  </si>
  <si>
    <t>Формирование конуса из щебня</t>
  </si>
  <si>
    <t>Балластировка пути с применением ХДВ</t>
  </si>
  <si>
    <t>Укладка стр.пер. поэлементно на подготовленное земляное полотно с планировкой основной площадки</t>
  </si>
  <si>
    <t>Устройство технологических проходов вдоль ж.-д. путей из щебня фр. 5-20 мм шириной 1 м</t>
  </si>
  <si>
    <t>Установка тупиковых упоров</t>
  </si>
  <si>
    <t>Тупиковый упор</t>
  </si>
  <si>
    <t>Устройство переезда необщего пользования из ж.б. плит с резиновыми уплотнителями шириной 6 м</t>
  </si>
  <si>
    <t>Плита дорожная 4 ПЖД 15-12-10</t>
  </si>
  <si>
    <t>Плита дорожная 4 ПЖД 15-13-10-1</t>
  </si>
  <si>
    <t>Плита дорожная 4 ПЖД 15-13-10-2</t>
  </si>
  <si>
    <t>Внешний резиновый уплотнитель Ру1</t>
  </si>
  <si>
    <t>Внешний резиновый уплотнитель Ру2</t>
  </si>
  <si>
    <t>Дорожный знак II типоразмера 1.2</t>
  </si>
  <si>
    <t>Дорожный знак II типоразмера 1.3.2</t>
  </si>
  <si>
    <t>Дорожный знак II типоразмера 2.5</t>
  </si>
  <si>
    <t>Сигнальный знак "С"</t>
  </si>
  <si>
    <t>Стойка металлическая СКМ 1.35</t>
  </si>
  <si>
    <t>Стойка металлическая СКМ 1.40</t>
  </si>
  <si>
    <t xml:space="preserve">Направляющие столбики С-1 </t>
  </si>
  <si>
    <t>Щебень фр. 5-10 мм</t>
  </si>
  <si>
    <t>Демонтаж существующего ж.д. пути (Р65, шп. дер., эп. 1600 шт./км)</t>
  </si>
  <si>
    <t>Демонтаж существующего ж.д. пути (Р65, шп. ж.б. Ш-1, эп. 1600 шт./км)</t>
  </si>
  <si>
    <t>Срезка загрязненного балластного слоя</t>
  </si>
  <si>
    <t>Лабораторные испытания (субподряд)</t>
  </si>
  <si>
    <t>Дренирующий грунт (К-1,15)</t>
  </si>
  <si>
    <t>Не дренирующий грунт</t>
  </si>
  <si>
    <t>Разработка выемки глубиной до 3 м (грунт: песок, суглинок, щебенисто-глыбовый грунт) с последующей укладкой защитного слоя из дренирующего грунта и геотекстиля (3 группа)</t>
  </si>
  <si>
    <t>Разработка выемки в асфальте (демонтаж гидромолотом, погрузка экскаватором в а/т, вывоз демонтированного асфальта в бурт, дальность возки - 3 км)</t>
  </si>
  <si>
    <t>Планировка основания защитного слоя</t>
  </si>
  <si>
    <t>Планировка откосов выемки</t>
  </si>
  <si>
    <t>Щебень фр. 25-60 мм (К-1,17)</t>
  </si>
  <si>
    <t>Раздел № 3: Работы по укладке верхнего строения железнодорожных путей</t>
  </si>
  <si>
    <t>Устройство водоотводной канавы в грунтах ИГЭ3 с последующим вывозом автосамосвалами</t>
  </si>
  <si>
    <t>Устройство кюветов в грунте ИГЭ1, ИГЭ3-ИГЭ5, ИГЭ8-ИГЭ10 с последующим вывозом автосамосвалами</t>
  </si>
  <si>
    <t>Устройство подстилающего слоя из щебня толщ. 0,10 м</t>
  </si>
  <si>
    <t>Вырезка почвенно-растительного слоя бульдозером с погрузкой в а/т экскаватором, дальность возки до 1 км</t>
  </si>
  <si>
    <t>Траншейный экскаватор ЭЗ ЭЦУ-150 1</t>
  </si>
  <si>
    <t>Планировка дна кювета+планировка откосов кювета+планировка полки бермы (планировка поверхностей вручную со срезкой неровностей, засыпка углублений, планировка откосов срезкой)</t>
  </si>
  <si>
    <t>Бульдозер 165 л.с. 1</t>
  </si>
  <si>
    <t>Планировка основаной площадки</t>
  </si>
  <si>
    <t>Устройство защитного слоя из дренирующего грунта (выгрузка дрен. грунта с колес, распределение грунта бульдозерами)</t>
  </si>
  <si>
    <t>Укрепление водоотводных сооружений, откосов выемки и насыпи ПРС толщиной 0,1 м с посевом семян многолетних трав</t>
  </si>
  <si>
    <t>Автомобиль КамАЗ 43118 (борт)</t>
  </si>
  <si>
    <t>Шпалы дер. 2-го типа, новые</t>
  </si>
  <si>
    <t>Устройство разделительного слоя из щебня (основание под укладку РШР) на готовом земляном полотне</t>
  </si>
  <si>
    <t>Устройство разделительного слоя из щебня (основание под укладку стр.пер.+ХДВ) на готовое земляное полотно</t>
  </si>
  <si>
    <t>Выправка пути в плане и профиле</t>
  </si>
  <si>
    <t>Выправка стрелочных переводов в плане и профиле</t>
  </si>
  <si>
    <t>Послеосадочный ремонт ж.-д. пути</t>
  </si>
  <si>
    <t>Послеосадочный ремонт стрелочных переводов</t>
  </si>
  <si>
    <t>Рельсы Р-65, 12,5 м с/г (1-ой группы годности)</t>
  </si>
  <si>
    <t>Раздел 4: Работы по сооружению водоотвода</t>
  </si>
  <si>
    <t>февраль</t>
  </si>
  <si>
    <t>март</t>
  </si>
  <si>
    <t>комплекс</t>
  </si>
  <si>
    <t>З/п рабочих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</si>
</sst>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.00_);_(* \(#,##0.00\);_(* &quot;-&quot;??_);_(@_)"/>
    <numFmt numFmtId="167" formatCode="#,##0.0"/>
    <numFmt numFmtId="168" formatCode="#,##0.000"/>
    <numFmt numFmtId="169" formatCode="0.000"/>
    <numFmt numFmtId="170" formatCode="0.0"/>
    <numFmt numFmtId="176" formatCode="0.0000"/>
  </numFmts>
  <fonts count="62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14"/>
      <color indexed="9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56"/>
      <name val="Times New Roman"/>
      <family val="1"/>
      <charset val="204"/>
    </font>
    <font>
      <b/>
      <i/>
      <sz val="11"/>
      <color indexed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indexed="12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18"/>
      <name val="Arial"/>
      <family val="2"/>
      <charset val="204"/>
    </font>
    <font>
      <sz val="12"/>
      <color indexed="18"/>
      <name val="Arial"/>
      <family val="2"/>
      <charset val="204"/>
    </font>
    <font>
      <sz val="10"/>
      <color indexed="18"/>
      <name val="Arial"/>
      <family val="2"/>
      <charset val="204"/>
    </font>
    <font>
      <i/>
      <sz val="11"/>
      <name val="Times New Roman"/>
      <family val="1"/>
      <charset val="204"/>
    </font>
    <font>
      <sz val="10"/>
      <color indexed="56"/>
      <name val="Arial"/>
      <family val="2"/>
      <charset val="204"/>
    </font>
    <font>
      <sz val="10"/>
      <name val="Arial Cyr"/>
      <charset val="204"/>
    </font>
    <font>
      <b/>
      <sz val="12"/>
      <color indexed="18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2"/>
      <color indexed="56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charset val="204"/>
    </font>
    <font>
      <sz val="11"/>
      <color indexed="1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12"/>
      <name val="Arial"/>
      <family val="2"/>
      <charset val="204"/>
    </font>
    <font>
      <b/>
      <sz val="12"/>
      <color indexed="56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Cyr"/>
      <charset val="204"/>
    </font>
    <font>
      <b/>
      <u/>
      <sz val="12"/>
      <name val="Arial"/>
      <family val="2"/>
      <charset val="204"/>
    </font>
    <font>
      <b/>
      <sz val="12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i/>
      <sz val="9"/>
      <color rgb="FFFF0000"/>
      <name val="Times New Roman"/>
      <family val="1"/>
      <charset val="204"/>
    </font>
    <font>
      <b/>
      <sz val="12"/>
      <name val="Cambria"/>
      <family val="1"/>
      <charset val="204"/>
      <scheme val="major"/>
    </font>
    <font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FF0000"/>
      <name val="Arial Cyr"/>
      <charset val="204"/>
    </font>
    <font>
      <b/>
      <sz val="12"/>
      <color rgb="FFFF0000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DADA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27" fillId="0" borderId="0"/>
    <xf numFmtId="0" fontId="6" fillId="0" borderId="0"/>
    <xf numFmtId="0" fontId="27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30" fillId="0" borderId="0"/>
    <xf numFmtId="0" fontId="54" fillId="0" borderId="0"/>
    <xf numFmtId="0" fontId="6" fillId="0" borderId="0"/>
    <xf numFmtId="0" fontId="6" fillId="0" borderId="0"/>
    <xf numFmtId="0" fontId="1" fillId="0" borderId="0"/>
    <xf numFmtId="0" fontId="54" fillId="0" borderId="0"/>
    <xf numFmtId="0" fontId="1" fillId="0" borderId="0"/>
    <xf numFmtId="9" fontId="36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582">
    <xf numFmtId="0" fontId="0" fillId="0" borderId="0" xfId="0"/>
    <xf numFmtId="168" fontId="0" fillId="0" borderId="58" xfId="0" applyNumberFormat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9" fillId="0" borderId="0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13" fillId="0" borderId="4" xfId="0" applyNumberFormat="1" applyFont="1" applyBorder="1" applyAlignment="1">
      <alignment vertical="center" wrapText="1"/>
    </xf>
    <xf numFmtId="4" fontId="13" fillId="0" borderId="0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Border="1" applyAlignment="1">
      <alignment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Border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170" fontId="0" fillId="0" borderId="0" xfId="0" applyNumberFormat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170" fontId="0" fillId="0" borderId="0" xfId="0" applyNumberFormat="1" applyBorder="1" applyAlignment="1">
      <alignment vertical="center" wrapText="1"/>
    </xf>
    <xf numFmtId="170" fontId="20" fillId="0" borderId="0" xfId="0" applyNumberFormat="1" applyFont="1" applyBorder="1" applyAlignment="1">
      <alignment horizontal="center" vertical="center" wrapText="1"/>
    </xf>
    <xf numFmtId="170" fontId="2" fillId="0" borderId="0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170" fontId="0" fillId="0" borderId="8" xfId="0" applyNumberFormat="1" applyBorder="1" applyAlignment="1">
      <alignment vertical="center" wrapText="1"/>
    </xf>
    <xf numFmtId="168" fontId="0" fillId="0" borderId="0" xfId="0" applyNumberFormat="1" applyAlignment="1">
      <alignment vertical="center" wrapText="1"/>
    </xf>
    <xf numFmtId="168" fontId="2" fillId="0" borderId="0" xfId="0" applyNumberFormat="1" applyFont="1" applyFill="1" applyBorder="1" applyAlignment="1">
      <alignment vertical="center" wrapText="1"/>
    </xf>
    <xf numFmtId="168" fontId="0" fillId="0" borderId="0" xfId="0" applyNumberFormat="1" applyBorder="1" applyAlignment="1">
      <alignment vertical="center" wrapText="1"/>
    </xf>
    <xf numFmtId="168" fontId="20" fillId="0" borderId="0" xfId="0" applyNumberFormat="1" applyFont="1" applyFill="1" applyBorder="1" applyAlignment="1">
      <alignment horizontal="center" vertical="center" wrapText="1"/>
    </xf>
    <xf numFmtId="168" fontId="18" fillId="0" borderId="0" xfId="0" applyNumberFormat="1" applyFont="1" applyFill="1" applyBorder="1" applyAlignment="1">
      <alignment vertical="center" wrapText="1"/>
    </xf>
    <xf numFmtId="168" fontId="0" fillId="0" borderId="8" xfId="0" applyNumberFormat="1" applyFill="1" applyBorder="1" applyAlignment="1">
      <alignment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4" fontId="4" fillId="0" borderId="0" xfId="0" applyNumberFormat="1" applyFont="1" applyAlignment="1">
      <alignment wrapText="1"/>
    </xf>
    <xf numFmtId="170" fontId="0" fillId="0" borderId="0" xfId="0" applyNumberFormat="1" applyAlignment="1">
      <alignment wrapText="1"/>
    </xf>
    <xf numFmtId="3" fontId="15" fillId="2" borderId="0" xfId="0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center" vertical="top"/>
    </xf>
    <xf numFmtId="3" fontId="15" fillId="3" borderId="0" xfId="0" applyNumberFormat="1" applyFont="1" applyFill="1" applyBorder="1" applyAlignment="1">
      <alignment vertical="top"/>
    </xf>
    <xf numFmtId="170" fontId="13" fillId="0" borderId="4" xfId="0" applyNumberFormat="1" applyFont="1" applyBorder="1" applyAlignment="1">
      <alignment horizontal="center" vertical="center" wrapText="1"/>
    </xf>
    <xf numFmtId="170" fontId="0" fillId="0" borderId="0" xfId="0" applyNumberFormat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 wrapText="1"/>
    </xf>
    <xf numFmtId="0" fontId="6" fillId="0" borderId="0" xfId="14" applyFill="1" applyBorder="1" applyAlignment="1"/>
    <xf numFmtId="0" fontId="29" fillId="0" borderId="0" xfId="14" applyFont="1" applyFill="1" applyBorder="1" applyAlignment="1"/>
    <xf numFmtId="4" fontId="0" fillId="0" borderId="0" xfId="0" applyNumberFormat="1" applyFill="1" applyAlignment="1">
      <alignment horizontal="center" vertical="center" wrapText="1"/>
    </xf>
    <xf numFmtId="4" fontId="4" fillId="0" borderId="0" xfId="0" applyNumberFormat="1" applyFont="1" applyFill="1" applyAlignment="1">
      <alignment vertical="center" wrapText="1"/>
    </xf>
    <xf numFmtId="168" fontId="0" fillId="0" borderId="0" xfId="0" applyNumberFormat="1" applyFill="1" applyAlignment="1">
      <alignment vertical="center" wrapText="1"/>
    </xf>
    <xf numFmtId="170" fontId="0" fillId="0" borderId="0" xfId="0" applyNumberFormat="1" applyFill="1" applyAlignment="1">
      <alignment vertical="center" wrapText="1"/>
    </xf>
    <xf numFmtId="4" fontId="4" fillId="0" borderId="0" xfId="0" applyNumberFormat="1" applyFont="1" applyFill="1" applyAlignment="1">
      <alignment wrapText="1"/>
    </xf>
    <xf numFmtId="167" fontId="0" fillId="0" borderId="0" xfId="0" applyNumberFormat="1" applyFill="1" applyAlignment="1">
      <alignment wrapText="1"/>
    </xf>
    <xf numFmtId="170" fontId="55" fillId="0" borderId="0" xfId="0" applyNumberFormat="1" applyFont="1" applyFill="1" applyAlignment="1">
      <alignment wrapText="1"/>
    </xf>
    <xf numFmtId="4" fontId="0" fillId="0" borderId="0" xfId="0" applyNumberFormat="1" applyFill="1" applyAlignment="1">
      <alignment wrapText="1"/>
    </xf>
    <xf numFmtId="4" fontId="0" fillId="0" borderId="0" xfId="0" applyNumberFormat="1" applyFill="1" applyAlignment="1">
      <alignment horizontal="center" wrapText="1"/>
    </xf>
    <xf numFmtId="170" fontId="0" fillId="0" borderId="0" xfId="0" applyNumberFormat="1" applyFill="1" applyAlignment="1">
      <alignment wrapText="1"/>
    </xf>
    <xf numFmtId="4" fontId="13" fillId="0" borderId="9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center" wrapText="1"/>
    </xf>
    <xf numFmtId="4" fontId="3" fillId="0" borderId="7" xfId="0" applyNumberFormat="1" applyFont="1" applyFill="1" applyBorder="1" applyAlignment="1">
      <alignment wrapText="1"/>
    </xf>
    <xf numFmtId="4" fontId="2" fillId="0" borderId="7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3" fontId="2" fillId="0" borderId="7" xfId="0" applyNumberFormat="1" applyFont="1" applyFill="1" applyBorder="1" applyAlignment="1">
      <alignment horizontal="center" vertical="center" wrapText="1"/>
    </xf>
    <xf numFmtId="4" fontId="32" fillId="4" borderId="0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9" fontId="2" fillId="0" borderId="0" xfId="18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169" fontId="2" fillId="0" borderId="0" xfId="0" applyNumberFormat="1" applyFont="1" applyBorder="1" applyAlignment="1">
      <alignment vertical="center" wrapText="1"/>
    </xf>
    <xf numFmtId="4" fontId="10" fillId="11" borderId="1" xfId="0" applyNumberFormat="1" applyFont="1" applyFill="1" applyBorder="1" applyAlignment="1">
      <alignment vertical="center" wrapText="1"/>
    </xf>
    <xf numFmtId="4" fontId="10" fillId="11" borderId="1" xfId="0" applyNumberFormat="1" applyFont="1" applyFill="1" applyBorder="1" applyAlignment="1">
      <alignment horizontal="center" vertical="center" wrapText="1"/>
    </xf>
    <xf numFmtId="43" fontId="10" fillId="11" borderId="1" xfId="20" applyFont="1" applyFill="1" applyBorder="1" applyAlignment="1">
      <alignment horizontal="center" vertical="center" wrapText="1"/>
    </xf>
    <xf numFmtId="4" fontId="23" fillId="11" borderId="1" xfId="0" applyNumberFormat="1" applyFont="1" applyFill="1" applyBorder="1" applyAlignment="1">
      <alignment horizontal="center" vertical="center" wrapText="1"/>
    </xf>
    <xf numFmtId="4" fontId="33" fillId="11" borderId="1" xfId="0" applyNumberFormat="1" applyFont="1" applyFill="1" applyBorder="1" applyAlignment="1">
      <alignment vertical="center" wrapText="1"/>
    </xf>
    <xf numFmtId="168" fontId="10" fillId="11" borderId="1" xfId="0" applyNumberFormat="1" applyFont="1" applyFill="1" applyBorder="1" applyAlignment="1">
      <alignment vertical="center" wrapText="1"/>
    </xf>
    <xf numFmtId="170" fontId="10" fillId="11" borderId="1" xfId="0" applyNumberFormat="1" applyFont="1" applyFill="1" applyBorder="1" applyAlignment="1">
      <alignment horizontal="center" vertical="center" wrapText="1"/>
    </xf>
    <xf numFmtId="2" fontId="10" fillId="9" borderId="1" xfId="0" applyNumberFormat="1" applyFont="1" applyFill="1" applyBorder="1" applyAlignment="1">
      <alignment horizontal="center" vertical="center" wrapText="1"/>
    </xf>
    <xf numFmtId="4" fontId="6" fillId="0" borderId="0" xfId="14" applyNumberFormat="1" applyFill="1" applyBorder="1" applyAlignment="1"/>
    <xf numFmtId="2" fontId="32" fillId="0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wrapText="1"/>
    </xf>
    <xf numFmtId="170" fontId="32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wrapText="1"/>
    </xf>
    <xf numFmtId="170" fontId="32" fillId="6" borderId="1" xfId="0" applyNumberFormat="1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wrapText="1"/>
    </xf>
    <xf numFmtId="4" fontId="32" fillId="0" borderId="1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 wrapText="1"/>
    </xf>
    <xf numFmtId="2" fontId="32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wrapText="1"/>
    </xf>
    <xf numFmtId="4" fontId="32" fillId="0" borderId="1" xfId="0" applyNumberFormat="1" applyFont="1" applyFill="1" applyBorder="1" applyAlignment="1">
      <alignment wrapText="1"/>
    </xf>
    <xf numFmtId="4" fontId="32" fillId="0" borderId="1" xfId="0" applyNumberFormat="1" applyFont="1" applyFill="1" applyBorder="1" applyAlignment="1">
      <alignment horizontal="center" vertical="center" wrapText="1"/>
    </xf>
    <xf numFmtId="170" fontId="56" fillId="0" borderId="0" xfId="0" applyNumberFormat="1" applyFont="1" applyFill="1" applyBorder="1" applyAlignment="1">
      <alignment horizontal="center" vertical="center" wrapText="1"/>
    </xf>
    <xf numFmtId="0" fontId="2" fillId="0" borderId="0" xfId="14" applyFont="1" applyFill="1" applyBorder="1" applyAlignment="1">
      <alignment horizontal="center" vertical="center" wrapText="1"/>
    </xf>
    <xf numFmtId="4" fontId="2" fillId="0" borderId="0" xfId="14" applyNumberFormat="1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4" fontId="22" fillId="0" borderId="0" xfId="0" applyNumberFormat="1" applyFont="1" applyAlignment="1">
      <alignment horizontal="center" vertical="center" wrapText="1"/>
    </xf>
    <xf numFmtId="0" fontId="2" fillId="0" borderId="0" xfId="14" applyFont="1" applyFill="1" applyBorder="1" applyAlignment="1">
      <alignment horizontal="center" vertical="center"/>
    </xf>
    <xf numFmtId="0" fontId="6" fillId="0" borderId="0" xfId="14" applyFill="1" applyBorder="1" applyAlignment="1">
      <alignment horizontal="center" vertical="center"/>
    </xf>
    <xf numFmtId="4" fontId="26" fillId="0" borderId="0" xfId="0" applyNumberFormat="1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170" fontId="32" fillId="0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167" fontId="28" fillId="0" borderId="0" xfId="0" applyNumberFormat="1" applyFont="1" applyBorder="1" applyAlignment="1">
      <alignment horizontal="center" vertical="center" wrapText="1"/>
    </xf>
    <xf numFmtId="4" fontId="32" fillId="10" borderId="18" xfId="0" applyNumberFormat="1" applyFont="1" applyFill="1" applyBorder="1" applyAlignment="1">
      <alignment horizontal="center" vertical="center" wrapText="1"/>
    </xf>
    <xf numFmtId="4" fontId="32" fillId="10" borderId="19" xfId="0" applyNumberFormat="1" applyFont="1" applyFill="1" applyBorder="1" applyAlignment="1">
      <alignment horizontal="center" vertical="center" wrapText="1"/>
    </xf>
    <xf numFmtId="4" fontId="32" fillId="0" borderId="20" xfId="0" applyNumberFormat="1" applyFont="1" applyBorder="1" applyAlignment="1">
      <alignment horizontal="center" vertical="center" wrapText="1"/>
    </xf>
    <xf numFmtId="4" fontId="32" fillId="0" borderId="21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3" fontId="45" fillId="0" borderId="23" xfId="17" applyNumberFormat="1" applyFont="1" applyBorder="1" applyAlignment="1">
      <alignment horizontal="center" vertical="center" wrapText="1"/>
    </xf>
    <xf numFmtId="0" fontId="44" fillId="0" borderId="23" xfId="17" applyFont="1" applyBorder="1" applyAlignment="1">
      <alignment horizontal="center" vertical="center" wrapText="1"/>
    </xf>
    <xf numFmtId="3" fontId="46" fillId="0" borderId="23" xfId="17" applyNumberFormat="1" applyFont="1" applyBorder="1" applyAlignment="1">
      <alignment vertical="center"/>
    </xf>
    <xf numFmtId="3" fontId="46" fillId="0" borderId="24" xfId="17" applyNumberFormat="1" applyFont="1" applyFill="1" applyBorder="1" applyAlignment="1">
      <alignment vertical="center"/>
    </xf>
    <xf numFmtId="3" fontId="46" fillId="0" borderId="24" xfId="17" applyNumberFormat="1" applyFont="1" applyBorder="1" applyAlignment="1">
      <alignment vertical="center"/>
    </xf>
    <xf numFmtId="3" fontId="46" fillId="0" borderId="1" xfId="17" applyNumberFormat="1" applyFont="1" applyFill="1" applyBorder="1" applyAlignment="1">
      <alignment vertical="center"/>
    </xf>
    <xf numFmtId="3" fontId="46" fillId="0" borderId="1" xfId="17" applyNumberFormat="1" applyFont="1" applyBorder="1" applyAlignment="1">
      <alignment vertical="center"/>
    </xf>
    <xf numFmtId="0" fontId="17" fillId="0" borderId="25" xfId="0" applyNumberFormat="1" applyFont="1" applyBorder="1" applyAlignment="1">
      <alignment horizontal="center" vertical="center" wrapText="1"/>
    </xf>
    <xf numFmtId="0" fontId="13" fillId="0" borderId="26" xfId="0" applyNumberFormat="1" applyFont="1" applyBorder="1" applyAlignment="1">
      <alignment vertical="center" wrapText="1"/>
    </xf>
    <xf numFmtId="167" fontId="31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167" fontId="23" fillId="0" borderId="0" xfId="0" applyNumberFormat="1" applyFont="1" applyBorder="1" applyAlignment="1">
      <alignment horizontal="center" vertical="center" wrapText="1"/>
    </xf>
    <xf numFmtId="168" fontId="32" fillId="0" borderId="0" xfId="0" applyNumberFormat="1" applyFont="1" applyBorder="1" applyAlignment="1">
      <alignment vertical="center" wrapText="1"/>
    </xf>
    <xf numFmtId="167" fontId="10" fillId="3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Fill="1" applyAlignment="1">
      <alignment horizontal="left" wrapText="1"/>
    </xf>
    <xf numFmtId="3" fontId="10" fillId="6" borderId="1" xfId="0" applyNumberFormat="1" applyFont="1" applyFill="1" applyBorder="1" applyAlignment="1">
      <alignment wrapText="1"/>
    </xf>
    <xf numFmtId="168" fontId="10" fillId="9" borderId="1" xfId="0" applyNumberFormat="1" applyFont="1" applyFill="1" applyBorder="1" applyAlignment="1">
      <alignment horizontal="center" vertical="center" wrapText="1"/>
    </xf>
    <xf numFmtId="1" fontId="3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 wrapText="1"/>
    </xf>
    <xf numFmtId="167" fontId="38" fillId="0" borderId="1" xfId="0" applyNumberFormat="1" applyFont="1" applyFill="1" applyBorder="1" applyAlignment="1">
      <alignment horizontal="center" vertical="center" wrapText="1"/>
    </xf>
    <xf numFmtId="1" fontId="58" fillId="0" borderId="1" xfId="0" applyNumberFormat="1" applyFont="1" applyFill="1" applyBorder="1" applyAlignment="1">
      <alignment horizontal="center" vertical="center" wrapText="1"/>
    </xf>
    <xf numFmtId="4" fontId="38" fillId="6" borderId="27" xfId="0" applyNumberFormat="1" applyFont="1" applyFill="1" applyBorder="1" applyAlignment="1">
      <alignment horizontal="center" vertical="center" wrapText="1"/>
    </xf>
    <xf numFmtId="4" fontId="38" fillId="6" borderId="28" xfId="0" applyNumberFormat="1" applyFont="1" applyFill="1" applyBorder="1" applyAlignment="1">
      <alignment horizontal="center" vertical="center" wrapText="1"/>
    </xf>
    <xf numFmtId="4" fontId="39" fillId="5" borderId="13" xfId="0" applyNumberFormat="1" applyFont="1" applyFill="1" applyBorder="1" applyAlignment="1">
      <alignment vertical="center" wrapText="1"/>
    </xf>
    <xf numFmtId="4" fontId="39" fillId="5" borderId="17" xfId="0" applyNumberFormat="1" applyFont="1" applyFill="1" applyBorder="1" applyAlignment="1">
      <alignment horizontal="center" vertical="center" wrapText="1"/>
    </xf>
    <xf numFmtId="4" fontId="43" fillId="5" borderId="13" xfId="0" applyNumberFormat="1" applyFont="1" applyFill="1" applyBorder="1" applyAlignment="1">
      <alignment horizontal="center" vertical="center" wrapText="1"/>
    </xf>
    <xf numFmtId="4" fontId="38" fillId="3" borderId="1" xfId="0" applyNumberFormat="1" applyFont="1" applyFill="1" applyBorder="1" applyAlignment="1">
      <alignment horizontal="center" vertical="center"/>
    </xf>
    <xf numFmtId="10" fontId="47" fillId="3" borderId="29" xfId="0" applyNumberFormat="1" applyFont="1" applyFill="1" applyBorder="1" applyAlignment="1">
      <alignment vertical="center" wrapText="1"/>
    </xf>
    <xf numFmtId="4" fontId="38" fillId="3" borderId="1" xfId="0" applyNumberFormat="1" applyFont="1" applyFill="1" applyBorder="1" applyAlignment="1">
      <alignment horizontal="center" vertical="center" wrapText="1"/>
    </xf>
    <xf numFmtId="10" fontId="47" fillId="3" borderId="1" xfId="0" applyNumberFormat="1" applyFont="1" applyFill="1" applyBorder="1" applyAlignment="1">
      <alignment vertical="center" wrapText="1"/>
    </xf>
    <xf numFmtId="4" fontId="43" fillId="5" borderId="30" xfId="0" applyNumberFormat="1" applyFont="1" applyFill="1" applyBorder="1" applyAlignment="1">
      <alignment horizontal="center" vertical="center" wrapText="1"/>
    </xf>
    <xf numFmtId="10" fontId="47" fillId="3" borderId="21" xfId="0" applyNumberFormat="1" applyFont="1" applyFill="1" applyBorder="1" applyAlignment="1">
      <alignment vertical="center" wrapText="1"/>
    </xf>
    <xf numFmtId="4" fontId="38" fillId="5" borderId="31" xfId="0" applyNumberFormat="1" applyFont="1" applyFill="1" applyBorder="1" applyAlignment="1">
      <alignment vertical="center" wrapText="1"/>
    </xf>
    <xf numFmtId="4" fontId="38" fillId="5" borderId="32" xfId="0" applyNumberFormat="1" applyFont="1" applyFill="1" applyBorder="1" applyAlignment="1">
      <alignment horizontal="center" vertical="center" wrapText="1"/>
    </xf>
    <xf numFmtId="4" fontId="43" fillId="5" borderId="31" xfId="0" applyNumberFormat="1" applyFont="1" applyFill="1" applyBorder="1" applyAlignment="1">
      <alignment horizontal="center" vertical="center" wrapText="1"/>
    </xf>
    <xf numFmtId="4" fontId="37" fillId="3" borderId="33" xfId="0" applyNumberFormat="1" applyFont="1" applyFill="1" applyBorder="1" applyAlignment="1">
      <alignment vertical="center" wrapText="1"/>
    </xf>
    <xf numFmtId="4" fontId="38" fillId="14" borderId="1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4" fontId="32" fillId="15" borderId="1" xfId="0" applyNumberFormat="1" applyFont="1" applyFill="1" applyBorder="1" applyAlignment="1">
      <alignment wrapText="1"/>
    </xf>
    <xf numFmtId="4" fontId="39" fillId="5" borderId="34" xfId="0" applyNumberFormat="1" applyFont="1" applyFill="1" applyBorder="1" applyAlignment="1">
      <alignment horizontal="center" vertical="center" wrapText="1"/>
    </xf>
    <xf numFmtId="4" fontId="43" fillId="5" borderId="35" xfId="0" applyNumberFormat="1" applyFont="1" applyFill="1" applyBorder="1" applyAlignment="1">
      <alignment horizontal="center" vertical="center" wrapText="1"/>
    </xf>
    <xf numFmtId="4" fontId="38" fillId="3" borderId="12" xfId="0" applyNumberFormat="1" applyFont="1" applyFill="1" applyBorder="1" applyAlignment="1">
      <alignment horizontal="center" vertical="center" wrapText="1"/>
    </xf>
    <xf numFmtId="4" fontId="38" fillId="14" borderId="12" xfId="0" applyNumberFormat="1" applyFont="1" applyFill="1" applyBorder="1" applyAlignment="1">
      <alignment horizontal="center" vertical="center" wrapText="1"/>
    </xf>
    <xf numFmtId="168" fontId="18" fillId="14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 wrapText="1"/>
    </xf>
    <xf numFmtId="4" fontId="39" fillId="5" borderId="35" xfId="0" applyNumberFormat="1" applyFont="1" applyFill="1" applyBorder="1" applyAlignment="1">
      <alignment vertical="center" wrapText="1"/>
    </xf>
    <xf numFmtId="4" fontId="39" fillId="5" borderId="30" xfId="0" applyNumberFormat="1" applyFont="1" applyFill="1" applyBorder="1" applyAlignment="1">
      <alignment vertical="center" wrapText="1"/>
    </xf>
    <xf numFmtId="4" fontId="39" fillId="5" borderId="36" xfId="0" applyNumberFormat="1" applyFont="1" applyFill="1" applyBorder="1" applyAlignment="1">
      <alignment horizontal="center" vertical="center" wrapText="1"/>
    </xf>
    <xf numFmtId="4" fontId="39" fillId="3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167" fontId="32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vertical="center" wrapText="1"/>
    </xf>
    <xf numFmtId="168" fontId="0" fillId="0" borderId="1" xfId="0" applyNumberFormat="1" applyBorder="1" applyAlignment="1">
      <alignment vertical="center" wrapText="1"/>
    </xf>
    <xf numFmtId="170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3" fontId="32" fillId="6" borderId="1" xfId="0" applyNumberFormat="1" applyFont="1" applyFill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168" fontId="48" fillId="16" borderId="1" xfId="0" applyNumberFormat="1" applyFont="1" applyFill="1" applyBorder="1" applyAlignment="1">
      <alignment horizontal="center" vertical="center" wrapText="1"/>
    </xf>
    <xf numFmtId="167" fontId="10" fillId="16" borderId="1" xfId="0" applyNumberFormat="1" applyFont="1" applyFill="1" applyBorder="1" applyAlignment="1">
      <alignment horizontal="center" vertical="center" wrapText="1"/>
    </xf>
    <xf numFmtId="4" fontId="28" fillId="16" borderId="1" xfId="0" applyNumberFormat="1" applyFont="1" applyFill="1" applyBorder="1" applyAlignment="1">
      <alignment horizontal="center" vertical="center" wrapText="1"/>
    </xf>
    <xf numFmtId="4" fontId="10" fillId="17" borderId="1" xfId="0" applyNumberFormat="1" applyFont="1" applyFill="1" applyBorder="1" applyAlignment="1">
      <alignment horizontal="center" vertical="center" wrapText="1"/>
    </xf>
    <xf numFmtId="167" fontId="10" fillId="17" borderId="1" xfId="0" applyNumberFormat="1" applyFont="1" applyFill="1" applyBorder="1" applyAlignment="1">
      <alignment horizontal="center" vertical="center" wrapText="1"/>
    </xf>
    <xf numFmtId="4" fontId="28" fillId="17" borderId="1" xfId="0" applyNumberFormat="1" applyFont="1" applyFill="1" applyBorder="1" applyAlignment="1">
      <alignment horizontal="center" vertical="center" wrapText="1"/>
    </xf>
    <xf numFmtId="168" fontId="48" fillId="17" borderId="1" xfId="0" applyNumberFormat="1" applyFont="1" applyFill="1" applyBorder="1" applyAlignment="1">
      <alignment horizontal="center" vertical="center" wrapText="1"/>
    </xf>
    <xf numFmtId="170" fontId="10" fillId="17" borderId="12" xfId="0" applyNumberFormat="1" applyFont="1" applyFill="1" applyBorder="1" applyAlignment="1">
      <alignment horizontal="center" vertical="center" wrapText="1"/>
    </xf>
    <xf numFmtId="2" fontId="10" fillId="17" borderId="12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wrapText="1"/>
    </xf>
    <xf numFmtId="170" fontId="32" fillId="18" borderId="1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 wrapText="1"/>
    </xf>
    <xf numFmtId="4" fontId="32" fillId="15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wrapText="1"/>
    </xf>
    <xf numFmtId="2" fontId="32" fillId="18" borderId="1" xfId="0" applyNumberFormat="1" applyFont="1" applyFill="1" applyBorder="1" applyAlignment="1">
      <alignment horizontal="center" vertical="center" wrapText="1"/>
    </xf>
    <xf numFmtId="4" fontId="23" fillId="18" borderId="1" xfId="0" applyNumberFormat="1" applyFont="1" applyFill="1" applyBorder="1" applyAlignment="1">
      <alignment horizontal="center" vertical="center" wrapText="1"/>
    </xf>
    <xf numFmtId="167" fontId="32" fillId="18" borderId="1" xfId="0" applyNumberFormat="1" applyFont="1" applyFill="1" applyBorder="1" applyAlignment="1">
      <alignment horizontal="center" wrapText="1"/>
    </xf>
    <xf numFmtId="4" fontId="32" fillId="18" borderId="1" xfId="0" applyNumberFormat="1" applyFont="1" applyFill="1" applyBorder="1" applyAlignment="1">
      <alignment vertical="center" wrapText="1"/>
    </xf>
    <xf numFmtId="4" fontId="28" fillId="18" borderId="1" xfId="0" applyNumberFormat="1" applyFont="1" applyFill="1" applyBorder="1" applyAlignment="1">
      <alignment horizontal="center" vertical="center" wrapText="1"/>
    </xf>
    <xf numFmtId="170" fontId="10" fillId="16" borderId="1" xfId="0" applyNumberFormat="1" applyFont="1" applyFill="1" applyBorder="1" applyAlignment="1">
      <alignment horizontal="center" vertical="center" wrapText="1"/>
    </xf>
    <xf numFmtId="2" fontId="10" fillId="16" borderId="1" xfId="0" applyNumberFormat="1" applyFont="1" applyFill="1" applyBorder="1" applyAlignment="1">
      <alignment horizontal="center" vertical="center" wrapText="1"/>
    </xf>
    <xf numFmtId="4" fontId="51" fillId="16" borderId="1" xfId="0" applyNumberFormat="1" applyFont="1" applyFill="1" applyBorder="1" applyAlignment="1">
      <alignment horizontal="center" vertical="center" wrapText="1"/>
    </xf>
    <xf numFmtId="167" fontId="10" fillId="16" borderId="1" xfId="0" applyNumberFormat="1" applyFont="1" applyFill="1" applyBorder="1" applyAlignment="1">
      <alignment horizontal="center" wrapText="1"/>
    </xf>
    <xf numFmtId="4" fontId="10" fillId="18" borderId="1" xfId="0" applyNumberFormat="1" applyFont="1" applyFill="1" applyBorder="1" applyAlignment="1">
      <alignment vertical="center" wrapText="1"/>
    </xf>
    <xf numFmtId="167" fontId="32" fillId="18" borderId="1" xfId="0" applyNumberFormat="1" applyFont="1" applyFill="1" applyBorder="1" applyAlignment="1">
      <alignment horizontal="center" vertical="center" wrapText="1"/>
    </xf>
    <xf numFmtId="4" fontId="51" fillId="18" borderId="1" xfId="0" applyNumberFormat="1" applyFont="1" applyFill="1" applyBorder="1" applyAlignment="1">
      <alignment horizontal="center" vertical="center" wrapText="1"/>
    </xf>
    <xf numFmtId="2" fontId="10" fillId="18" borderId="1" xfId="0" applyNumberFormat="1" applyFont="1" applyFill="1" applyBorder="1" applyAlignment="1">
      <alignment horizontal="center" vertical="center" wrapText="1"/>
    </xf>
    <xf numFmtId="2" fontId="10" fillId="17" borderId="1" xfId="0" applyNumberFormat="1" applyFont="1" applyFill="1" applyBorder="1" applyAlignment="1">
      <alignment horizontal="center" vertical="center" wrapText="1"/>
    </xf>
    <xf numFmtId="169" fontId="10" fillId="16" borderId="1" xfId="0" applyNumberFormat="1" applyFont="1" applyFill="1" applyBorder="1" applyAlignment="1">
      <alignment horizontal="center" vertical="center" wrapText="1"/>
    </xf>
    <xf numFmtId="167" fontId="32" fillId="16" borderId="1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vertical="center" wrapText="1"/>
    </xf>
    <xf numFmtId="170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70" fontId="10" fillId="18" borderId="1" xfId="0" applyNumberFormat="1" applyFont="1" applyFill="1" applyBorder="1" applyAlignment="1">
      <alignment horizontal="center" vertical="center" wrapText="1"/>
    </xf>
    <xf numFmtId="167" fontId="10" fillId="18" borderId="1" xfId="0" applyNumberFormat="1" applyFont="1" applyFill="1" applyBorder="1" applyAlignment="1">
      <alignment horizontal="center" vertical="center" wrapText="1"/>
    </xf>
    <xf numFmtId="176" fontId="10" fillId="16" borderId="1" xfId="0" applyNumberFormat="1" applyFont="1" applyFill="1" applyBorder="1" applyAlignment="1">
      <alignment horizontal="center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67" fontId="32" fillId="0" borderId="1" xfId="0" applyNumberFormat="1" applyFont="1" applyFill="1" applyBorder="1" applyAlignment="1">
      <alignment horizontal="center" vertical="center" wrapText="1"/>
    </xf>
    <xf numFmtId="170" fontId="32" fillId="0" borderId="12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wrapText="1"/>
    </xf>
    <xf numFmtId="2" fontId="32" fillId="0" borderId="12" xfId="0" applyNumberFormat="1" applyFont="1" applyFill="1" applyBorder="1" applyAlignment="1">
      <alignment horizontal="center" vertical="center" wrapText="1"/>
    </xf>
    <xf numFmtId="4" fontId="23" fillId="0" borderId="12" xfId="0" applyNumberFormat="1" applyFont="1" applyFill="1" applyBorder="1" applyAlignment="1">
      <alignment horizontal="center" vertical="center" wrapText="1"/>
    </xf>
    <xf numFmtId="4" fontId="42" fillId="0" borderId="12" xfId="0" applyNumberFormat="1" applyFont="1" applyFill="1" applyBorder="1" applyAlignment="1">
      <alignment horizontal="center" vertical="center" wrapText="1"/>
    </xf>
    <xf numFmtId="167" fontId="32" fillId="0" borderId="12" xfId="0" applyNumberFormat="1" applyFont="1" applyBorder="1" applyAlignment="1">
      <alignment horizontal="center" wrapText="1"/>
    </xf>
    <xf numFmtId="167" fontId="32" fillId="0" borderId="12" xfId="0" applyNumberFormat="1" applyFont="1" applyFill="1" applyBorder="1" applyAlignment="1">
      <alignment horizontal="center" wrapText="1"/>
    </xf>
    <xf numFmtId="4" fontId="32" fillId="0" borderId="12" xfId="0" applyNumberFormat="1" applyFont="1" applyFill="1" applyBorder="1" applyAlignment="1">
      <alignment vertical="center" wrapText="1"/>
    </xf>
    <xf numFmtId="4" fontId="32" fillId="0" borderId="0" xfId="0" applyNumberFormat="1" applyFont="1" applyFill="1" applyBorder="1" applyAlignment="1">
      <alignment vertical="center" wrapText="1"/>
    </xf>
    <xf numFmtId="4" fontId="10" fillId="6" borderId="13" xfId="0" applyNumberFormat="1" applyFont="1" applyFill="1" applyBorder="1" applyAlignment="1">
      <alignment horizontal="center" wrapText="1"/>
    </xf>
    <xf numFmtId="4" fontId="10" fillId="0" borderId="13" xfId="0" applyNumberFormat="1" applyFont="1" applyFill="1" applyBorder="1" applyAlignment="1">
      <alignment horizontal="center" wrapText="1"/>
    </xf>
    <xf numFmtId="4" fontId="10" fillId="6" borderId="13" xfId="0" applyNumberFormat="1" applyFont="1" applyFill="1" applyBorder="1" applyAlignment="1">
      <alignment wrapText="1"/>
    </xf>
    <xf numFmtId="4" fontId="10" fillId="0" borderId="13" xfId="0" applyNumberFormat="1" applyFont="1" applyBorder="1" applyAlignment="1">
      <alignment horizontal="center" vertical="center" wrapText="1"/>
    </xf>
    <xf numFmtId="3" fontId="32" fillId="0" borderId="13" xfId="0" applyNumberFormat="1" applyFont="1" applyBorder="1" applyAlignment="1">
      <alignment horizontal="center" wrapText="1"/>
    </xf>
    <xf numFmtId="3" fontId="10" fillId="6" borderId="13" xfId="0" applyNumberFormat="1" applyFont="1" applyFill="1" applyBorder="1" applyAlignment="1">
      <alignment horizont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2" fontId="10" fillId="17" borderId="35" xfId="0" applyNumberFormat="1" applyFont="1" applyFill="1" applyBorder="1" applyAlignment="1">
      <alignment horizontal="center" vertical="center" wrapText="1"/>
    </xf>
    <xf numFmtId="4" fontId="32" fillId="0" borderId="13" xfId="0" applyNumberFormat="1" applyFont="1" applyFill="1" applyBorder="1" applyAlignment="1">
      <alignment horizontal="center" wrapText="1"/>
    </xf>
    <xf numFmtId="4" fontId="32" fillId="0" borderId="13" xfId="0" applyNumberFormat="1" applyFont="1" applyFill="1" applyBorder="1" applyAlignment="1">
      <alignment horizontal="center" vertical="center" wrapText="1"/>
    </xf>
    <xf numFmtId="4" fontId="10" fillId="18" borderId="13" xfId="0" applyNumberFormat="1" applyFont="1" applyFill="1" applyBorder="1" applyAlignment="1">
      <alignment horizontal="center" vertical="center" wrapText="1"/>
    </xf>
    <xf numFmtId="2" fontId="10" fillId="11" borderId="13" xfId="0" applyNumberFormat="1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vertical="center" wrapText="1"/>
    </xf>
    <xf numFmtId="2" fontId="2" fillId="0" borderId="7" xfId="0" applyNumberFormat="1" applyFont="1" applyFill="1" applyBorder="1" applyAlignment="1">
      <alignment vertical="center" wrapText="1"/>
    </xf>
    <xf numFmtId="2" fontId="0" fillId="0" borderId="0" xfId="0" applyNumberFormat="1" applyBorder="1" applyAlignment="1">
      <alignment vertical="center" wrapText="1"/>
    </xf>
    <xf numFmtId="170" fontId="32" fillId="0" borderId="0" xfId="0" applyNumberFormat="1" applyFont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2" fontId="0" fillId="0" borderId="8" xfId="0" applyNumberFormat="1" applyBorder="1" applyAlignment="1">
      <alignment vertical="center" wrapText="1"/>
    </xf>
    <xf numFmtId="4" fontId="2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wrapText="1"/>
    </xf>
    <xf numFmtId="4" fontId="7" fillId="0" borderId="0" xfId="0" applyNumberFormat="1" applyFont="1" applyBorder="1" applyAlignment="1">
      <alignment wrapText="1"/>
    </xf>
    <xf numFmtId="4" fontId="11" fillId="0" borderId="0" xfId="0" applyNumberFormat="1" applyFont="1" applyBorder="1" applyAlignment="1">
      <alignment wrapText="1"/>
    </xf>
    <xf numFmtId="4" fontId="14" fillId="0" borderId="0" xfId="0" applyNumberFormat="1" applyFont="1" applyBorder="1" applyAlignment="1">
      <alignment wrapText="1"/>
    </xf>
    <xf numFmtId="4" fontId="19" fillId="0" borderId="0" xfId="0" applyNumberFormat="1" applyFont="1" applyBorder="1" applyAlignment="1">
      <alignment wrapText="1"/>
    </xf>
    <xf numFmtId="4" fontId="15" fillId="0" borderId="0" xfId="0" applyNumberFormat="1" applyFont="1" applyBorder="1" applyAlignment="1">
      <alignment wrapText="1"/>
    </xf>
    <xf numFmtId="4" fontId="57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167" fontId="32" fillId="0" borderId="13" xfId="0" applyNumberFormat="1" applyFont="1" applyFill="1" applyBorder="1" applyAlignment="1">
      <alignment horizontal="center" wrapText="1"/>
    </xf>
    <xf numFmtId="167" fontId="32" fillId="18" borderId="13" xfId="0" applyNumberFormat="1" applyFont="1" applyFill="1" applyBorder="1" applyAlignment="1">
      <alignment horizontal="center" wrapText="1"/>
    </xf>
    <xf numFmtId="167" fontId="32" fillId="0" borderId="35" xfId="0" applyNumberFormat="1" applyFont="1" applyFill="1" applyBorder="1" applyAlignment="1">
      <alignment horizontal="center" wrapText="1"/>
    </xf>
    <xf numFmtId="167" fontId="10" fillId="18" borderId="13" xfId="0" applyNumberFormat="1" applyFont="1" applyFill="1" applyBorder="1" applyAlignment="1">
      <alignment horizontal="center" vertical="center" wrapText="1"/>
    </xf>
    <xf numFmtId="167" fontId="32" fillId="0" borderId="13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4" fontId="10" fillId="17" borderId="1" xfId="0" applyNumberFormat="1" applyFont="1" applyFill="1" applyBorder="1" applyAlignment="1">
      <alignment vertical="center" wrapText="1"/>
    </xf>
    <xf numFmtId="4" fontId="41" fillId="16" borderId="1" xfId="0" applyNumberFormat="1" applyFont="1" applyFill="1" applyBorder="1" applyAlignment="1">
      <alignment horizontal="center" vertical="center" wrapText="1"/>
    </xf>
    <xf numFmtId="2" fontId="10" fillId="16" borderId="13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vertical="center" wrapText="1"/>
    </xf>
    <xf numFmtId="4" fontId="2" fillId="0" borderId="0" xfId="1" applyNumberFormat="1" applyFill="1" applyBorder="1" applyAlignment="1">
      <alignment vertical="center" wrapText="1"/>
    </xf>
    <xf numFmtId="4" fontId="41" fillId="16" borderId="37" xfId="0" applyNumberFormat="1" applyFont="1" applyFill="1" applyBorder="1" applyAlignment="1">
      <alignment horizontal="center" vertical="center" wrapText="1"/>
    </xf>
    <xf numFmtId="4" fontId="10" fillId="16" borderId="37" xfId="0" applyNumberFormat="1" applyFont="1" applyFill="1" applyBorder="1" applyAlignment="1">
      <alignment horizontal="center" vertical="center" wrapText="1"/>
    </xf>
    <xf numFmtId="2" fontId="10" fillId="16" borderId="37" xfId="0" applyNumberFormat="1" applyFont="1" applyFill="1" applyBorder="1" applyAlignment="1">
      <alignment horizontal="center" vertical="center" wrapText="1"/>
    </xf>
    <xf numFmtId="2" fontId="10" fillId="16" borderId="38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" fontId="10" fillId="17" borderId="12" xfId="0" applyNumberFormat="1" applyFont="1" applyFill="1" applyBorder="1" applyAlignment="1">
      <alignment horizontal="center" vertical="center" wrapText="1"/>
    </xf>
    <xf numFmtId="168" fontId="10" fillId="17" borderId="12" xfId="0" applyNumberFormat="1" applyFont="1" applyFill="1" applyBorder="1" applyAlignment="1">
      <alignment horizontal="center" vertical="center" wrapText="1"/>
    </xf>
    <xf numFmtId="4" fontId="10" fillId="17" borderId="12" xfId="0" applyNumberFormat="1" applyFont="1" applyFill="1" applyBorder="1" applyAlignment="1">
      <alignment horizontal="right" vertical="center" wrapText="1"/>
    </xf>
    <xf numFmtId="4" fontId="40" fillId="17" borderId="1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8" fontId="48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170" fontId="10" fillId="6" borderId="1" xfId="0" applyNumberFormat="1" applyFont="1" applyFill="1" applyBorder="1" applyAlignment="1">
      <alignment horizontal="center" vertical="center" wrapText="1"/>
    </xf>
    <xf numFmtId="170" fontId="10" fillId="19" borderId="1" xfId="0" applyNumberFormat="1" applyFont="1" applyFill="1" applyBorder="1" applyAlignment="1">
      <alignment horizontal="center" vertical="center" wrapText="1"/>
    </xf>
    <xf numFmtId="2" fontId="10" fillId="19" borderId="1" xfId="0" applyNumberFormat="1" applyFont="1" applyFill="1" applyBorder="1" applyAlignment="1">
      <alignment horizontal="center" vertical="center" wrapText="1"/>
    </xf>
    <xf numFmtId="4" fontId="53" fillId="9" borderId="1" xfId="0" applyNumberFormat="1" applyFont="1" applyFill="1" applyBorder="1" applyAlignment="1">
      <alignment horizontal="center" vertical="center" wrapText="1"/>
    </xf>
    <xf numFmtId="2" fontId="10" fillId="13" borderId="1" xfId="0" applyNumberFormat="1" applyFont="1" applyFill="1" applyBorder="1" applyAlignment="1">
      <alignment horizontal="center" vertical="center" wrapText="1"/>
    </xf>
    <xf numFmtId="4" fontId="2" fillId="6" borderId="1" xfId="1" applyNumberFormat="1" applyFill="1" applyBorder="1" applyAlignment="1">
      <alignment wrapText="1"/>
    </xf>
    <xf numFmtId="4" fontId="2" fillId="12" borderId="1" xfId="1" applyNumberFormat="1" applyFill="1" applyBorder="1" applyAlignment="1">
      <alignment horizontal="center" vertical="center" wrapText="1"/>
    </xf>
    <xf numFmtId="4" fontId="2" fillId="6" borderId="1" xfId="1" applyNumberFormat="1" applyFill="1" applyBorder="1" applyAlignment="1">
      <alignment horizontal="center" wrapText="1"/>
    </xf>
    <xf numFmtId="4" fontId="10" fillId="15" borderId="1" xfId="0" applyNumberFormat="1" applyFont="1" applyFill="1" applyBorder="1" applyAlignment="1">
      <alignment horizontal="center" vertical="center" wrapText="1"/>
    </xf>
    <xf numFmtId="168" fontId="10" fillId="15" borderId="1" xfId="0" applyNumberFormat="1" applyFont="1" applyFill="1" applyBorder="1" applyAlignment="1">
      <alignment horizontal="center" vertical="center" wrapText="1"/>
    </xf>
    <xf numFmtId="43" fontId="10" fillId="15" borderId="1" xfId="20" applyFont="1" applyFill="1" applyBorder="1" applyAlignment="1">
      <alignment horizontal="center" vertical="center" wrapText="1"/>
    </xf>
    <xf numFmtId="4" fontId="28" fillId="15" borderId="1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4" fontId="10" fillId="6" borderId="13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42" fillId="20" borderId="1" xfId="0" applyNumberFormat="1" applyFont="1" applyFill="1" applyBorder="1" applyAlignment="1">
      <alignment horizontal="center" vertical="center" wrapText="1"/>
    </xf>
    <xf numFmtId="4" fontId="58" fillId="0" borderId="1" xfId="0" applyNumberFormat="1" applyFont="1" applyFill="1" applyBorder="1" applyAlignment="1">
      <alignment horizontal="center" vertical="center" wrapText="1"/>
    </xf>
    <xf numFmtId="170" fontId="32" fillId="9" borderId="1" xfId="0" applyNumberFormat="1" applyFont="1" applyFill="1" applyBorder="1" applyAlignment="1">
      <alignment horizontal="center" vertical="center" wrapText="1"/>
    </xf>
    <xf numFmtId="2" fontId="55" fillId="10" borderId="1" xfId="14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3" fontId="58" fillId="0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168" fontId="10" fillId="16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vertical="center" wrapText="1"/>
    </xf>
    <xf numFmtId="167" fontId="10" fillId="13" borderId="1" xfId="0" applyNumberFormat="1" applyFont="1" applyFill="1" applyBorder="1" applyAlignment="1">
      <alignment horizontal="center" vertical="center" wrapText="1"/>
    </xf>
    <xf numFmtId="4" fontId="51" fillId="13" borderId="1" xfId="0" applyNumberFormat="1" applyFont="1" applyFill="1" applyBorder="1" applyAlignment="1">
      <alignment horizontal="center" vertical="center" wrapText="1"/>
    </xf>
    <xf numFmtId="4" fontId="10" fillId="13" borderId="13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170" fontId="10" fillId="19" borderId="1" xfId="0" applyNumberFormat="1" applyFont="1" applyFill="1" applyBorder="1" applyAlignment="1">
      <alignment horizontal="center" vertical="center" wrapText="1"/>
    </xf>
    <xf numFmtId="2" fontId="58" fillId="0" borderId="1" xfId="0" applyNumberFormat="1" applyFont="1" applyFill="1" applyBorder="1" applyAlignment="1">
      <alignment horizontal="center" vertical="center" wrapText="1"/>
    </xf>
    <xf numFmtId="4" fontId="60" fillId="0" borderId="1" xfId="0" applyNumberFormat="1" applyFont="1" applyFill="1" applyBorder="1" applyAlignment="1">
      <alignment horizontal="center" vertical="center" wrapText="1"/>
    </xf>
    <xf numFmtId="167" fontId="58" fillId="0" borderId="1" xfId="0" applyNumberFormat="1" applyFont="1" applyBorder="1" applyAlignment="1">
      <alignment horizontal="center" wrapText="1"/>
    </xf>
    <xf numFmtId="170" fontId="58" fillId="0" borderId="1" xfId="0" applyNumberFormat="1" applyFont="1" applyFill="1" applyBorder="1" applyAlignment="1">
      <alignment horizontal="center" vertical="center" wrapText="1"/>
    </xf>
    <xf numFmtId="4" fontId="61" fillId="0" borderId="1" xfId="0" applyNumberFormat="1" applyFont="1" applyFill="1" applyBorder="1" applyAlignment="1">
      <alignment horizont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center" vertical="center" wrapText="1"/>
    </xf>
    <xf numFmtId="4" fontId="10" fillId="21" borderId="12" xfId="0" applyNumberFormat="1" applyFont="1" applyFill="1" applyBorder="1" applyAlignment="1">
      <alignment horizontal="center" vertical="center" wrapText="1"/>
    </xf>
    <xf numFmtId="168" fontId="10" fillId="21" borderId="12" xfId="0" applyNumberFormat="1" applyFont="1" applyFill="1" applyBorder="1" applyAlignment="1">
      <alignment horizontal="center" vertical="center" wrapText="1"/>
    </xf>
    <xf numFmtId="4" fontId="10" fillId="21" borderId="12" xfId="0" applyNumberFormat="1" applyFont="1" applyFill="1" applyBorder="1" applyAlignment="1">
      <alignment horizontal="right" vertical="center" wrapText="1"/>
    </xf>
    <xf numFmtId="2" fontId="10" fillId="21" borderId="12" xfId="0" applyNumberFormat="1" applyFont="1" applyFill="1" applyBorder="1" applyAlignment="1">
      <alignment horizontal="center" vertical="center" wrapText="1"/>
    </xf>
    <xf numFmtId="4" fontId="40" fillId="21" borderId="12" xfId="0" applyNumberFormat="1" applyFont="1" applyFill="1" applyBorder="1" applyAlignment="1">
      <alignment horizontal="center" vertical="center" wrapText="1"/>
    </xf>
    <xf numFmtId="170" fontId="10" fillId="21" borderId="12" xfId="0" applyNumberFormat="1" applyFont="1" applyFill="1" applyBorder="1" applyAlignment="1">
      <alignment horizontal="center" vertical="center" wrapText="1"/>
    </xf>
    <xf numFmtId="2" fontId="10" fillId="21" borderId="35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vertical="center" wrapText="1"/>
    </xf>
    <xf numFmtId="4" fontId="10" fillId="21" borderId="37" xfId="0" applyNumberFormat="1" applyFont="1" applyFill="1" applyBorder="1" applyAlignment="1">
      <alignment horizontal="center" vertical="center" wrapText="1"/>
    </xf>
    <xf numFmtId="168" fontId="10" fillId="21" borderId="37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right" vertical="center" wrapText="1"/>
    </xf>
    <xf numFmtId="2" fontId="10" fillId="21" borderId="1" xfId="0" applyNumberFormat="1" applyFont="1" applyFill="1" applyBorder="1" applyAlignment="1">
      <alignment horizontal="center" vertical="center" wrapText="1"/>
    </xf>
    <xf numFmtId="4" fontId="40" fillId="21" borderId="1" xfId="0" applyNumberFormat="1" applyFont="1" applyFill="1" applyBorder="1" applyAlignment="1">
      <alignment horizontal="center" vertical="center" wrapText="1"/>
    </xf>
    <xf numFmtId="170" fontId="10" fillId="21" borderId="1" xfId="0" applyNumberFormat="1" applyFont="1" applyFill="1" applyBorder="1" applyAlignment="1">
      <alignment horizontal="center" vertical="center" wrapText="1"/>
    </xf>
    <xf numFmtId="2" fontId="10" fillId="21" borderId="13" xfId="0" applyNumberFormat="1" applyFont="1" applyFill="1" applyBorder="1" applyAlignment="1">
      <alignment horizontal="center" vertical="center" wrapText="1"/>
    </xf>
    <xf numFmtId="4" fontId="10" fillId="21" borderId="37" xfId="0" applyNumberFormat="1" applyFont="1" applyFill="1" applyBorder="1" applyAlignment="1">
      <alignment horizontal="right" vertical="center" wrapText="1"/>
    </xf>
    <xf numFmtId="2" fontId="10" fillId="21" borderId="37" xfId="0" applyNumberFormat="1" applyFont="1" applyFill="1" applyBorder="1" applyAlignment="1">
      <alignment horizontal="center" vertical="center" wrapText="1"/>
    </xf>
    <xf numFmtId="4" fontId="40" fillId="21" borderId="37" xfId="0" applyNumberFormat="1" applyFont="1" applyFill="1" applyBorder="1" applyAlignment="1">
      <alignment horizontal="center" vertical="center" wrapText="1"/>
    </xf>
    <xf numFmtId="170" fontId="10" fillId="21" borderId="37" xfId="0" applyNumberFormat="1" applyFont="1" applyFill="1" applyBorder="1" applyAlignment="1">
      <alignment horizontal="center" vertical="center" wrapText="1"/>
    </xf>
    <xf numFmtId="2" fontId="10" fillId="21" borderId="38" xfId="0" applyNumberFormat="1" applyFont="1" applyFill="1" applyBorder="1" applyAlignment="1">
      <alignment horizontal="center" vertical="center" wrapText="1"/>
    </xf>
    <xf numFmtId="168" fontId="61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25" fillId="0" borderId="5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0" fontId="10" fillId="15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13" borderId="1" xfId="0" applyNumberFormat="1" applyFont="1" applyFill="1" applyBorder="1" applyAlignment="1">
      <alignment horizontal="center" vertical="center" wrapText="1"/>
    </xf>
    <xf numFmtId="0" fontId="2" fillId="6" borderId="1" xfId="1" applyNumberFormat="1" applyFill="1" applyBorder="1" applyAlignment="1">
      <alignment wrapText="1"/>
    </xf>
    <xf numFmtId="0" fontId="10" fillId="6" borderId="1" xfId="0" applyNumberFormat="1" applyFont="1" applyFill="1" applyBorder="1" applyAlignment="1">
      <alignment wrapText="1"/>
    </xf>
    <xf numFmtId="0" fontId="32" fillId="0" borderId="1" xfId="0" applyNumberFormat="1" applyFont="1" applyBorder="1" applyAlignment="1">
      <alignment horizontal="center" wrapText="1"/>
    </xf>
    <xf numFmtId="0" fontId="32" fillId="0" borderId="1" xfId="0" applyNumberFormat="1" applyFont="1" applyFill="1" applyBorder="1" applyAlignment="1">
      <alignment horizontal="center" wrapText="1"/>
    </xf>
    <xf numFmtId="0" fontId="10" fillId="17" borderId="1" xfId="0" applyNumberFormat="1" applyFont="1" applyFill="1" applyBorder="1" applyAlignment="1">
      <alignment horizontal="center" vertical="center" wrapText="1"/>
    </xf>
    <xf numFmtId="0" fontId="10" fillId="16" borderId="1" xfId="0" applyNumberFormat="1" applyFont="1" applyFill="1" applyBorder="1" applyAlignment="1">
      <alignment horizontal="center" vertical="center" wrapText="1"/>
    </xf>
    <xf numFmtId="0" fontId="10" fillId="18" borderId="1" xfId="0" applyNumberFormat="1" applyFont="1" applyFill="1" applyBorder="1" applyAlignment="1">
      <alignment wrapText="1"/>
    </xf>
    <xf numFmtId="0" fontId="32" fillId="15" borderId="1" xfId="0" applyNumberFormat="1" applyFont="1" applyFill="1" applyBorder="1" applyAlignment="1">
      <alignment horizontal="center" vertical="center" wrapText="1"/>
    </xf>
    <xf numFmtId="0" fontId="58" fillId="0" borderId="1" xfId="0" applyNumberFormat="1" applyFont="1" applyFill="1" applyBorder="1" applyAlignment="1">
      <alignment horizontal="center" wrapText="1"/>
    </xf>
    <xf numFmtId="0" fontId="10" fillId="17" borderId="12" xfId="0" applyNumberFormat="1" applyFont="1" applyFill="1" applyBorder="1" applyAlignment="1">
      <alignment horizontal="center" vertical="center" wrapText="1"/>
    </xf>
    <xf numFmtId="0" fontId="10" fillId="16" borderId="1" xfId="0" applyNumberFormat="1" applyFont="1" applyFill="1" applyBorder="1" applyAlignment="1">
      <alignment horizontal="center" wrapText="1"/>
    </xf>
    <xf numFmtId="0" fontId="10" fillId="18" borderId="1" xfId="0" applyNumberFormat="1" applyFont="1" applyFill="1" applyBorder="1" applyAlignment="1">
      <alignment vertical="center" wrapText="1"/>
    </xf>
    <xf numFmtId="0" fontId="10" fillId="18" borderId="1" xfId="0" applyNumberFormat="1" applyFont="1" applyFill="1" applyBorder="1" applyAlignment="1">
      <alignment horizontal="center" vertical="center" wrapText="1"/>
    </xf>
    <xf numFmtId="0" fontId="32" fillId="0" borderId="12" xfId="0" applyNumberFormat="1" applyFont="1" applyFill="1" applyBorder="1" applyAlignment="1">
      <alignment horizont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10" fillId="21" borderId="1" xfId="0" applyNumberFormat="1" applyFont="1" applyFill="1" applyBorder="1" applyAlignment="1">
      <alignment horizontal="center" vertical="center" wrapText="1"/>
    </xf>
    <xf numFmtId="0" fontId="41" fillId="16" borderId="37" xfId="0" applyNumberFormat="1" applyFont="1" applyFill="1" applyBorder="1" applyAlignment="1">
      <alignment horizontal="center" vertical="center" wrapText="1"/>
    </xf>
    <xf numFmtId="0" fontId="41" fillId="16" borderId="1" xfId="0" applyNumberFormat="1" applyFont="1" applyFill="1" applyBorder="1" applyAlignment="1">
      <alignment horizontal="center" vertical="center" wrapText="1"/>
    </xf>
    <xf numFmtId="0" fontId="1" fillId="10" borderId="1" xfId="4" applyNumberFormat="1" applyFont="1" applyFill="1" applyBorder="1" applyAlignment="1">
      <alignment horizontal="center" vertical="center"/>
    </xf>
    <xf numFmtId="0" fontId="10" fillId="21" borderId="12" xfId="0" applyNumberFormat="1" applyFont="1" applyFill="1" applyBorder="1" applyAlignment="1">
      <alignment horizontal="center" vertical="center" wrapText="1"/>
    </xf>
    <xf numFmtId="0" fontId="10" fillId="21" borderId="37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0" fillId="11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39" fillId="5" borderId="1" xfId="0" applyNumberFormat="1" applyFont="1" applyFill="1" applyBorder="1" applyAlignment="1">
      <alignment horizontal="center" vertical="center" wrapText="1"/>
    </xf>
    <xf numFmtId="0" fontId="39" fillId="5" borderId="12" xfId="0" applyNumberFormat="1" applyFont="1" applyFill="1" applyBorder="1" applyAlignment="1">
      <alignment horizontal="center" vertical="center" wrapText="1"/>
    </xf>
    <xf numFmtId="0" fontId="39" fillId="5" borderId="21" xfId="0" applyNumberFormat="1" applyFont="1" applyFill="1" applyBorder="1" applyAlignment="1">
      <alignment horizontal="center" vertical="center" wrapText="1"/>
    </xf>
    <xf numFmtId="0" fontId="38" fillId="5" borderId="39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44" fillId="0" borderId="23" xfId="0" applyNumberFormat="1" applyFont="1" applyBorder="1" applyAlignment="1">
      <alignment horizontal="center" vertical="top" wrapText="1"/>
    </xf>
    <xf numFmtId="0" fontId="46" fillId="0" borderId="23" xfId="17" applyNumberFormat="1" applyFont="1" applyBorder="1" applyAlignment="1">
      <alignment horizontal="center" vertical="center"/>
    </xf>
    <xf numFmtId="0" fontId="15" fillId="2" borderId="0" xfId="0" applyNumberFormat="1" applyFont="1" applyFill="1" applyBorder="1" applyAlignment="1">
      <alignment vertical="top"/>
    </xf>
    <xf numFmtId="168" fontId="10" fillId="17" borderId="1" xfId="0" applyNumberFormat="1" applyFont="1" applyFill="1" applyBorder="1" applyAlignment="1">
      <alignment horizontal="right" vertical="center" wrapText="1"/>
    </xf>
    <xf numFmtId="4" fontId="10" fillId="17" borderId="1" xfId="0" applyNumberFormat="1" applyFont="1" applyFill="1" applyBorder="1" applyAlignment="1">
      <alignment horizontal="right" vertical="center" wrapText="1"/>
    </xf>
    <xf numFmtId="2" fontId="10" fillId="17" borderId="13" xfId="0" applyNumberFormat="1" applyFont="1" applyFill="1" applyBorder="1" applyAlignment="1">
      <alignment horizontal="center" vertical="center" wrapText="1"/>
    </xf>
    <xf numFmtId="2" fontId="10" fillId="16" borderId="1" xfId="0" applyNumberFormat="1" applyFont="1" applyFill="1" applyBorder="1" applyAlignment="1">
      <alignment horizontal="left" vertical="center" wrapText="1"/>
    </xf>
    <xf numFmtId="2" fontId="10" fillId="18" borderId="1" xfId="0" applyNumberFormat="1" applyFont="1" applyFill="1" applyBorder="1" applyAlignment="1">
      <alignment wrapText="1"/>
    </xf>
    <xf numFmtId="2" fontId="10" fillId="18" borderId="1" xfId="0" applyNumberFormat="1" applyFont="1" applyFill="1" applyBorder="1" applyAlignment="1">
      <alignment horizontal="left" vertical="center" wrapText="1"/>
    </xf>
    <xf numFmtId="2" fontId="32" fillId="0" borderId="1" xfId="0" applyNumberFormat="1" applyFont="1" applyFill="1" applyBorder="1" applyAlignment="1">
      <alignment horizontal="left" vertical="center" wrapText="1"/>
    </xf>
    <xf numFmtId="2" fontId="32" fillId="0" borderId="1" xfId="0" applyNumberFormat="1" applyFont="1" applyBorder="1" applyAlignment="1">
      <alignment horizontal="center" wrapText="1"/>
    </xf>
    <xf numFmtId="2" fontId="42" fillId="0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wrapText="1"/>
    </xf>
    <xf numFmtId="2" fontId="32" fillId="0" borderId="1" xfId="0" applyNumberFormat="1" applyFont="1" applyFill="1" applyBorder="1" applyAlignment="1">
      <alignment horizontal="center" wrapText="1"/>
    </xf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4" fontId="0" fillId="12" borderId="1" xfId="0" applyNumberFormat="1" applyFill="1" applyBorder="1" applyAlignment="1">
      <alignment horizontal="center" vertical="center" wrapText="1"/>
    </xf>
    <xf numFmtId="4" fontId="0" fillId="6" borderId="1" xfId="0" applyNumberFormat="1" applyFill="1" applyBorder="1" applyAlignment="1">
      <alignment horizontal="center" wrapText="1"/>
    </xf>
    <xf numFmtId="4" fontId="0" fillId="0" borderId="0" xfId="0" applyNumberFormat="1" applyFill="1" applyBorder="1" applyAlignment="1">
      <alignment wrapText="1"/>
    </xf>
    <xf numFmtId="0" fontId="0" fillId="18" borderId="1" xfId="0" applyNumberFormat="1" applyFill="1" applyBorder="1" applyAlignment="1">
      <alignment vertical="center" wrapText="1"/>
    </xf>
    <xf numFmtId="170" fontId="0" fillId="18" borderId="1" xfId="0" applyNumberFormat="1" applyFill="1" applyBorder="1" applyAlignment="1">
      <alignment horizontal="center" vertical="center" wrapText="1"/>
    </xf>
    <xf numFmtId="4" fontId="0" fillId="18" borderId="1" xfId="0" applyNumberFormat="1" applyFill="1" applyBorder="1" applyAlignment="1">
      <alignment horizontal="center" vertical="center" wrapText="1"/>
    </xf>
    <xf numFmtId="2" fontId="0" fillId="18" borderId="1" xfId="0" applyNumberFormat="1" applyFill="1" applyBorder="1" applyAlignment="1">
      <alignment horizontal="center" vertical="center" wrapText="1"/>
    </xf>
    <xf numFmtId="167" fontId="0" fillId="18" borderId="1" xfId="0" applyNumberFormat="1" applyFill="1" applyBorder="1" applyAlignment="1">
      <alignment horizontal="center" vertical="center" wrapText="1"/>
    </xf>
    <xf numFmtId="4" fontId="0" fillId="18" borderId="1" xfId="0" applyNumberFormat="1" applyFill="1" applyBorder="1" applyAlignment="1">
      <alignment vertical="center" wrapText="1"/>
    </xf>
    <xf numFmtId="4" fontId="0" fillId="18" borderId="13" xfId="0" applyNumberForma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 wrapText="1"/>
    </xf>
    <xf numFmtId="0" fontId="0" fillId="18" borderId="1" xfId="0" applyNumberFormat="1" applyFill="1" applyBorder="1" applyAlignment="1">
      <alignment horizontal="center" vertical="center" wrapText="1"/>
    </xf>
    <xf numFmtId="167" fontId="0" fillId="18" borderId="13" xfId="0" applyNumberFormat="1" applyFill="1" applyBorder="1" applyAlignment="1">
      <alignment horizontal="center" vertical="center" wrapText="1"/>
    </xf>
    <xf numFmtId="4" fontId="2" fillId="6" borderId="13" xfId="1" applyNumberFormat="1" applyFill="1" applyBorder="1" applyAlignment="1">
      <alignment horizontal="center" wrapText="1"/>
    </xf>
    <xf numFmtId="2" fontId="10" fillId="17" borderId="1" xfId="0" applyNumberFormat="1" applyFont="1" applyFill="1" applyBorder="1" applyAlignment="1">
      <alignment horizontal="left" vertical="center" wrapText="1"/>
    </xf>
    <xf numFmtId="2" fontId="48" fillId="17" borderId="1" xfId="0" applyNumberFormat="1" applyFont="1" applyFill="1" applyBorder="1" applyAlignment="1">
      <alignment horizontal="center" vertical="center" wrapText="1"/>
    </xf>
    <xf numFmtId="2" fontId="48" fillId="0" borderId="1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48" fillId="0" borderId="13" xfId="0" applyNumberFormat="1" applyFont="1" applyFill="1" applyBorder="1" applyAlignment="1">
      <alignment horizontal="center" vertical="center" wrapText="1"/>
    </xf>
    <xf numFmtId="2" fontId="10" fillId="0" borderId="16" xfId="0" applyNumberFormat="1" applyFont="1" applyBorder="1"/>
    <xf numFmtId="2" fontId="38" fillId="0" borderId="11" xfId="0" quotePrefix="1" applyNumberFormat="1" applyFont="1" applyFill="1" applyBorder="1" applyAlignment="1">
      <alignment horizontal="center" vertical="center" wrapText="1"/>
    </xf>
    <xf numFmtId="2" fontId="10" fillId="0" borderId="37" xfId="0" applyNumberFormat="1" applyFont="1" applyFill="1" applyBorder="1" applyAlignment="1">
      <alignment horizontal="center" vertical="center" wrapText="1"/>
    </xf>
    <xf numFmtId="2" fontId="48" fillId="16" borderId="1" xfId="0" applyNumberFormat="1" applyFont="1" applyFill="1" applyBorder="1" applyAlignment="1">
      <alignment horizontal="center" vertical="center" wrapText="1"/>
    </xf>
    <xf numFmtId="2" fontId="10" fillId="18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wrapText="1"/>
    </xf>
    <xf numFmtId="2" fontId="32" fillId="0" borderId="1" xfId="0" applyNumberFormat="1" applyFont="1" applyFill="1" applyBorder="1" applyAlignment="1">
      <alignment vertical="center" wrapText="1"/>
    </xf>
    <xf numFmtId="2" fontId="10" fillId="0" borderId="0" xfId="0" applyNumberFormat="1" applyFont="1" applyFill="1" applyBorder="1" applyAlignment="1">
      <alignment wrapText="1"/>
    </xf>
    <xf numFmtId="2" fontId="0" fillId="0" borderId="0" xfId="0" applyNumberFormat="1"/>
    <xf numFmtId="2" fontId="1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/>
    <xf numFmtId="2" fontId="10" fillId="0" borderId="11" xfId="0" applyNumberFormat="1" applyFont="1" applyBorder="1"/>
    <xf numFmtId="2" fontId="9" fillId="0" borderId="0" xfId="0" applyNumberFormat="1" applyFont="1" applyFill="1" applyBorder="1" applyAlignment="1">
      <alignment horizontal="left" vertical="center" wrapText="1"/>
    </xf>
    <xf numFmtId="2" fontId="6" fillId="0" borderId="40" xfId="0" applyNumberFormat="1" applyFont="1" applyBorder="1" applyAlignment="1">
      <alignment vertical="center" wrapText="1"/>
    </xf>
    <xf numFmtId="2" fontId="6" fillId="0" borderId="10" xfId="0" applyNumberFormat="1" applyFont="1" applyBorder="1" applyAlignment="1">
      <alignment vertical="center" wrapText="1"/>
    </xf>
    <xf numFmtId="2" fontId="1" fillId="15" borderId="10" xfId="0" applyNumberFormat="1" applyFont="1" applyFill="1" applyBorder="1" applyAlignment="1">
      <alignment vertical="center" wrapText="1"/>
    </xf>
    <xf numFmtId="2" fontId="2" fillId="0" borderId="10" xfId="0" applyNumberFormat="1" applyFont="1" applyBorder="1" applyAlignment="1">
      <alignment vertical="center" wrapText="1"/>
    </xf>
    <xf numFmtId="2" fontId="5" fillId="5" borderId="10" xfId="0" applyNumberFormat="1" applyFont="1" applyFill="1" applyBorder="1" applyAlignment="1">
      <alignment vertical="center" wrapText="1"/>
    </xf>
    <xf numFmtId="2" fontId="6" fillId="0" borderId="4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0" fillId="15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vertical="center" wrapText="1"/>
    </xf>
    <xf numFmtId="2" fontId="10" fillId="6" borderId="1" xfId="0" applyNumberFormat="1" applyFont="1" applyFill="1" applyBorder="1" applyAlignment="1">
      <alignment horizontal="left" vertical="center" wrapText="1"/>
    </xf>
    <xf numFmtId="2" fontId="10" fillId="6" borderId="1" xfId="0" applyNumberFormat="1" applyFont="1" applyFill="1" applyBorder="1" applyAlignment="1">
      <alignment wrapText="1"/>
    </xf>
    <xf numFmtId="2" fontId="32" fillId="15" borderId="1" xfId="0" applyNumberFormat="1" applyFont="1" applyFill="1" applyBorder="1" applyAlignment="1">
      <alignment vertical="center" wrapText="1"/>
    </xf>
    <xf numFmtId="2" fontId="58" fillId="0" borderId="1" xfId="0" applyNumberFormat="1" applyFont="1" applyFill="1" applyBorder="1" applyAlignment="1">
      <alignment wrapText="1"/>
    </xf>
    <xf numFmtId="2" fontId="10" fillId="13" borderId="1" xfId="0" applyNumberFormat="1" applyFont="1" applyFill="1" applyBorder="1" applyAlignment="1">
      <alignment vertical="center" wrapText="1"/>
    </xf>
    <xf numFmtId="2" fontId="10" fillId="17" borderId="12" xfId="0" applyNumberFormat="1" applyFont="1" applyFill="1" applyBorder="1" applyAlignment="1">
      <alignment horizontal="left" vertical="center" wrapText="1"/>
    </xf>
    <xf numFmtId="2" fontId="10" fillId="18" borderId="1" xfId="0" applyNumberFormat="1" applyFont="1" applyFill="1" applyBorder="1" applyAlignment="1">
      <alignment vertical="center" wrapText="1"/>
    </xf>
    <xf numFmtId="2" fontId="32" fillId="10" borderId="1" xfId="0" applyNumberFormat="1" applyFont="1" applyFill="1" applyBorder="1" applyAlignment="1">
      <alignment vertical="center" wrapText="1"/>
    </xf>
    <xf numFmtId="2" fontId="10" fillId="16" borderId="1" xfId="0" applyNumberFormat="1" applyFont="1" applyFill="1" applyBorder="1" applyAlignment="1">
      <alignment vertical="center" wrapText="1"/>
    </xf>
    <xf numFmtId="2" fontId="32" fillId="10" borderId="12" xfId="0" applyNumberFormat="1" applyFont="1" applyFill="1" applyBorder="1" applyAlignment="1">
      <alignment vertical="center" wrapText="1"/>
    </xf>
    <xf numFmtId="2" fontId="10" fillId="16" borderId="42" xfId="0" applyNumberFormat="1" applyFont="1" applyFill="1" applyBorder="1" applyAlignment="1">
      <alignment vertical="center" wrapText="1"/>
    </xf>
    <xf numFmtId="2" fontId="2" fillId="6" borderId="1" xfId="1" applyNumberFormat="1" applyFill="1" applyBorder="1" applyAlignment="1">
      <alignment vertical="center" wrapText="1"/>
    </xf>
    <xf numFmtId="2" fontId="10" fillId="21" borderId="42" xfId="0" applyNumberFormat="1" applyFont="1" applyFill="1" applyBorder="1" applyAlignment="1">
      <alignment horizontal="center" vertical="center" wrapText="1"/>
    </xf>
    <xf numFmtId="2" fontId="10" fillId="11" borderId="1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2" fontId="0" fillId="0" borderId="9" xfId="0" applyNumberFormat="1" applyBorder="1" applyAlignment="1">
      <alignment vertical="center" wrapText="1"/>
    </xf>
    <xf numFmtId="2" fontId="2" fillId="0" borderId="9" xfId="0" applyNumberFormat="1" applyFont="1" applyBorder="1" applyAlignment="1">
      <alignment vertical="center" wrapText="1"/>
    </xf>
    <xf numFmtId="2" fontId="0" fillId="0" borderId="0" xfId="0" applyNumberFormat="1" applyAlignment="1">
      <alignment wrapText="1"/>
    </xf>
    <xf numFmtId="2" fontId="38" fillId="6" borderId="43" xfId="0" applyNumberFormat="1" applyFont="1" applyFill="1" applyBorder="1" applyAlignment="1">
      <alignment horizontal="left" vertical="center" wrapText="1"/>
    </xf>
    <xf numFmtId="2" fontId="38" fillId="3" borderId="1" xfId="0" applyNumberFormat="1" applyFont="1" applyFill="1" applyBorder="1" applyAlignment="1">
      <alignment vertical="center" wrapText="1"/>
    </xf>
    <xf numFmtId="2" fontId="39" fillId="3" borderId="44" xfId="0" applyNumberFormat="1" applyFont="1" applyFill="1" applyBorder="1" applyAlignment="1">
      <alignment vertical="center" wrapText="1"/>
    </xf>
    <xf numFmtId="2" fontId="39" fillId="3" borderId="45" xfId="0" applyNumberFormat="1" applyFont="1" applyFill="1" applyBorder="1" applyAlignment="1">
      <alignment vertical="center" wrapText="1"/>
    </xf>
    <xf numFmtId="2" fontId="39" fillId="3" borderId="46" xfId="0" applyNumberFormat="1" applyFont="1" applyFill="1" applyBorder="1" applyAlignment="1">
      <alignment vertical="center" wrapText="1"/>
    </xf>
    <xf numFmtId="2" fontId="38" fillId="6" borderId="47" xfId="0" applyNumberFormat="1" applyFont="1" applyFill="1" applyBorder="1" applyAlignment="1">
      <alignment vertical="center" wrapText="1"/>
    </xf>
    <xf numFmtId="2" fontId="0" fillId="0" borderId="48" xfId="0" applyNumberFormat="1" applyBorder="1" applyAlignment="1">
      <alignment vertical="center" wrapText="1"/>
    </xf>
    <xf numFmtId="2" fontId="44" fillId="0" borderId="23" xfId="17" applyNumberFormat="1" applyFont="1" applyBorder="1" applyAlignment="1">
      <alignment vertical="center" wrapText="1"/>
    </xf>
    <xf numFmtId="2" fontId="15" fillId="2" borderId="0" xfId="0" applyNumberFormat="1" applyFont="1" applyFill="1" applyBorder="1" applyAlignment="1">
      <alignment vertical="top"/>
    </xf>
    <xf numFmtId="2" fontId="59" fillId="0" borderId="0" xfId="0" applyNumberFormat="1" applyFont="1"/>
    <xf numFmtId="2" fontId="1" fillId="7" borderId="27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2" fillId="0" borderId="1" xfId="0" applyNumberFormat="1" applyFont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/>
    </xf>
    <xf numFmtId="2" fontId="0" fillId="0" borderId="13" xfId="0" applyNumberFormat="1" applyBorder="1"/>
    <xf numFmtId="2" fontId="12" fillId="10" borderId="1" xfId="0" applyNumberFormat="1" applyFont="1" applyFill="1" applyBorder="1" applyAlignment="1">
      <alignment vertical="center" wrapText="1"/>
    </xf>
    <xf numFmtId="2" fontId="55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2" fontId="32" fillId="10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/>
    <xf numFmtId="2" fontId="33" fillId="0" borderId="11" xfId="0" applyNumberFormat="1" applyFont="1" applyFill="1" applyBorder="1" applyAlignment="1">
      <alignment horizontal="center" vertical="center" wrapText="1"/>
    </xf>
    <xf numFmtId="168" fontId="0" fillId="0" borderId="21" xfId="0" applyNumberFormat="1" applyBorder="1" applyAlignment="1">
      <alignment horizontal="center" vertical="center" wrapText="1"/>
    </xf>
    <xf numFmtId="4" fontId="35" fillId="0" borderId="59" xfId="0" applyNumberFormat="1" applyFont="1" applyBorder="1" applyAlignment="1">
      <alignment horizontal="center" vertical="center" wrapText="1"/>
    </xf>
    <xf numFmtId="4" fontId="35" fillId="0" borderId="18" xfId="0" applyNumberFormat="1" applyFont="1" applyBorder="1" applyAlignment="1">
      <alignment horizontal="center" vertical="center" wrapText="1"/>
    </xf>
    <xf numFmtId="4" fontId="35" fillId="0" borderId="60" xfId="0" applyNumberFormat="1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 vertical="center" wrapText="1"/>
    </xf>
    <xf numFmtId="4" fontId="34" fillId="0" borderId="0" xfId="0" applyNumberFormat="1" applyFont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" fontId="32" fillId="10" borderId="13" xfId="0" applyNumberFormat="1" applyFont="1" applyFill="1" applyBorder="1" applyAlignment="1">
      <alignment horizontal="center" vertical="center" wrapText="1"/>
    </xf>
    <xf numFmtId="4" fontId="32" fillId="10" borderId="17" xfId="0" applyNumberFormat="1" applyFont="1" applyFill="1" applyBorder="1" applyAlignment="1">
      <alignment horizontal="center" vertical="center" wrapText="1"/>
    </xf>
    <xf numFmtId="0" fontId="6" fillId="10" borderId="13" xfId="14" applyFont="1" applyFill="1" applyBorder="1" applyAlignment="1">
      <alignment horizontal="center" vertical="center" wrapText="1"/>
    </xf>
    <xf numFmtId="0" fontId="6" fillId="10" borderId="53" xfId="14" applyFont="1" applyFill="1" applyBorder="1" applyAlignment="1">
      <alignment horizontal="center" vertical="center" wrapText="1"/>
    </xf>
    <xf numFmtId="0" fontId="6" fillId="10" borderId="17" xfId="14" applyFont="1" applyFill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4" fontId="29" fillId="0" borderId="1" xfId="14" applyNumberFormat="1" applyFont="1" applyFill="1" applyBorder="1" applyAlignment="1">
      <alignment horizontal="center" vertical="center" wrapText="1"/>
    </xf>
    <xf numFmtId="4" fontId="53" fillId="8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0" fontId="2" fillId="3" borderId="15" xfId="14" applyFont="1" applyFill="1" applyBorder="1" applyAlignment="1">
      <alignment horizontal="center" vertical="center" wrapText="1"/>
    </xf>
    <xf numFmtId="0" fontId="2" fillId="3" borderId="0" xfId="14" applyFont="1" applyFill="1" applyBorder="1" applyAlignment="1">
      <alignment horizontal="center" vertical="center" wrapText="1"/>
    </xf>
    <xf numFmtId="4" fontId="25" fillId="0" borderId="13" xfId="14" applyNumberFormat="1" applyFont="1" applyFill="1" applyBorder="1" applyAlignment="1">
      <alignment horizontal="center" vertical="center" wrapText="1"/>
    </xf>
    <xf numFmtId="4" fontId="25" fillId="0" borderId="17" xfId="14" applyNumberFormat="1" applyFont="1" applyFill="1" applyBorder="1" applyAlignment="1">
      <alignment horizontal="center" vertical="center" wrapText="1"/>
    </xf>
    <xf numFmtId="0" fontId="2" fillId="3" borderId="13" xfId="14" applyFont="1" applyFill="1" applyBorder="1" applyAlignment="1">
      <alignment horizontal="center" vertical="center" wrapText="1"/>
    </xf>
    <xf numFmtId="0" fontId="2" fillId="3" borderId="53" xfId="14" applyFont="1" applyFill="1" applyBorder="1" applyAlignment="1">
      <alignment horizontal="center" vertical="center" wrapText="1"/>
    </xf>
    <xf numFmtId="0" fontId="6" fillId="0" borderId="13" xfId="14" applyFont="1" applyBorder="1" applyAlignment="1">
      <alignment horizontal="center" vertical="center" wrapText="1"/>
    </xf>
    <xf numFmtId="0" fontId="6" fillId="0" borderId="53" xfId="14" applyFont="1" applyBorder="1" applyAlignment="1">
      <alignment horizontal="center" vertical="center" wrapText="1"/>
    </xf>
    <xf numFmtId="0" fontId="6" fillId="0" borderId="17" xfId="14" applyFont="1" applyBorder="1" applyAlignment="1">
      <alignment horizontal="center" vertical="center" wrapText="1"/>
    </xf>
    <xf numFmtId="4" fontId="2" fillId="0" borderId="1" xfId="14" applyNumberFormat="1" applyFont="1" applyBorder="1" applyAlignment="1">
      <alignment horizontal="center" vertical="center" wrapText="1"/>
    </xf>
    <xf numFmtId="4" fontId="17" fillId="0" borderId="13" xfId="14" applyNumberFormat="1" applyFont="1" applyBorder="1" applyAlignment="1">
      <alignment horizontal="center" vertical="center" wrapText="1"/>
    </xf>
    <xf numFmtId="4" fontId="17" fillId="0" borderId="17" xfId="14" applyNumberFormat="1" applyFont="1" applyBorder="1" applyAlignment="1">
      <alignment horizontal="center" vertical="center" wrapText="1"/>
    </xf>
    <xf numFmtId="4" fontId="16" fillId="5" borderId="54" xfId="0" applyNumberFormat="1" applyFont="1" applyFill="1" applyBorder="1" applyAlignment="1">
      <alignment horizontal="center" vertical="center" wrapText="1"/>
    </xf>
    <xf numFmtId="4" fontId="16" fillId="5" borderId="55" xfId="0" applyNumberFormat="1" applyFont="1" applyFill="1" applyBorder="1" applyAlignment="1">
      <alignment horizontal="center" vertical="center" wrapText="1"/>
    </xf>
    <xf numFmtId="14" fontId="13" fillId="15" borderId="54" xfId="0" applyNumberFormat="1" applyFont="1" applyFill="1" applyBorder="1" applyAlignment="1">
      <alignment horizontal="center" vertical="center" wrapText="1"/>
    </xf>
    <xf numFmtId="14" fontId="13" fillId="15" borderId="10" xfId="0" applyNumberFormat="1" applyFont="1" applyFill="1" applyBorder="1" applyAlignment="1">
      <alignment horizontal="center" vertical="center" wrapText="1"/>
    </xf>
    <xf numFmtId="0" fontId="2" fillId="3" borderId="35" xfId="14" applyFont="1" applyFill="1" applyBorder="1" applyAlignment="1">
      <alignment horizontal="center" vertical="center" wrapText="1"/>
    </xf>
    <xf numFmtId="0" fontId="2" fillId="3" borderId="14" xfId="14" applyFont="1" applyFill="1" applyBorder="1" applyAlignment="1">
      <alignment horizontal="center" vertical="center" wrapText="1"/>
    </xf>
    <xf numFmtId="0" fontId="2" fillId="3" borderId="34" xfId="14" applyFont="1" applyFill="1" applyBorder="1" applyAlignment="1">
      <alignment horizontal="center" vertical="center" wrapText="1"/>
    </xf>
    <xf numFmtId="0" fontId="2" fillId="3" borderId="38" xfId="14" applyFont="1" applyFill="1" applyBorder="1" applyAlignment="1">
      <alignment horizontal="center" vertical="center" wrapText="1"/>
    </xf>
    <xf numFmtId="0" fontId="2" fillId="3" borderId="56" xfId="14" applyFont="1" applyFill="1" applyBorder="1" applyAlignment="1">
      <alignment horizontal="center" vertical="center" wrapText="1"/>
    </xf>
    <xf numFmtId="0" fontId="2" fillId="3" borderId="57" xfId="14" applyFont="1" applyFill="1" applyBorder="1" applyAlignment="1">
      <alignment horizontal="center" vertical="center" wrapText="1"/>
    </xf>
    <xf numFmtId="4" fontId="25" fillId="0" borderId="13" xfId="14" applyNumberFormat="1" applyFont="1" applyBorder="1" applyAlignment="1">
      <alignment horizontal="center" vertical="center" wrapText="1"/>
    </xf>
    <xf numFmtId="4" fontId="25" fillId="0" borderId="17" xfId="14" applyNumberFormat="1" applyFont="1" applyBorder="1" applyAlignment="1">
      <alignment horizontal="center" vertical="center" wrapText="1"/>
    </xf>
    <xf numFmtId="0" fontId="6" fillId="0" borderId="13" xfId="14" applyFont="1" applyFill="1" applyBorder="1" applyAlignment="1">
      <alignment horizontal="center" vertical="center" wrapText="1"/>
    </xf>
    <xf numFmtId="0" fontId="6" fillId="0" borderId="53" xfId="14" applyFont="1" applyFill="1" applyBorder="1" applyAlignment="1">
      <alignment horizontal="center" vertical="center" wrapText="1"/>
    </xf>
    <xf numFmtId="0" fontId="6" fillId="0" borderId="17" xfId="14" applyFont="1" applyFill="1" applyBorder="1" applyAlignment="1">
      <alignment horizontal="center" vertical="center" wrapText="1"/>
    </xf>
    <xf numFmtId="0" fontId="31" fillId="0" borderId="54" xfId="0" applyNumberFormat="1" applyFont="1" applyBorder="1" applyAlignment="1">
      <alignment horizontal="center" vertical="center" wrapText="1"/>
    </xf>
    <xf numFmtId="0" fontId="31" fillId="0" borderId="10" xfId="0" applyNumberFormat="1" applyFont="1" applyBorder="1" applyAlignment="1">
      <alignment horizontal="center" vertical="center" wrapText="1"/>
    </xf>
    <xf numFmtId="4" fontId="6" fillId="0" borderId="13" xfId="14" applyNumberFormat="1" applyFont="1" applyBorder="1" applyAlignment="1">
      <alignment horizontal="center" vertical="center" wrapText="1"/>
    </xf>
    <xf numFmtId="4" fontId="6" fillId="0" borderId="53" xfId="14" applyNumberFormat="1" applyFont="1" applyBorder="1" applyAlignment="1">
      <alignment horizontal="center" vertical="center" wrapText="1"/>
    </xf>
    <xf numFmtId="4" fontId="6" fillId="0" borderId="17" xfId="14" applyNumberFormat="1" applyFont="1" applyBorder="1" applyAlignment="1">
      <alignment horizontal="center" vertical="center" wrapText="1"/>
    </xf>
    <xf numFmtId="0" fontId="1" fillId="0" borderId="13" xfId="14" applyFont="1" applyBorder="1" applyAlignment="1">
      <alignment horizontal="center" vertical="center" wrapText="1"/>
    </xf>
    <xf numFmtId="0" fontId="1" fillId="0" borderId="53" xfId="14" applyFont="1" applyBorder="1" applyAlignment="1">
      <alignment horizontal="center" vertical="center" wrapText="1"/>
    </xf>
    <xf numFmtId="0" fontId="1" fillId="0" borderId="17" xfId="14" applyFont="1" applyBorder="1" applyAlignment="1">
      <alignment horizontal="center" vertical="center" wrapText="1"/>
    </xf>
    <xf numFmtId="14" fontId="13" fillId="0" borderId="54" xfId="0" applyNumberFormat="1" applyFont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center" vertical="center" wrapText="1"/>
    </xf>
    <xf numFmtId="0" fontId="17" fillId="0" borderId="54" xfId="0" applyNumberFormat="1" applyFont="1" applyBorder="1" applyAlignment="1">
      <alignment horizontal="center" vertical="center" wrapText="1"/>
    </xf>
    <xf numFmtId="0" fontId="17" fillId="0" borderId="10" xfId="0" applyNumberFormat="1" applyFont="1" applyBorder="1" applyAlignment="1">
      <alignment horizontal="center" vertical="center" wrapText="1"/>
    </xf>
    <xf numFmtId="0" fontId="13" fillId="0" borderId="54" xfId="0" applyNumberFormat="1" applyFont="1" applyBorder="1" applyAlignment="1">
      <alignment horizontal="center" vertical="center" wrapText="1"/>
    </xf>
    <xf numFmtId="0" fontId="13" fillId="0" borderId="55" xfId="0" applyNumberFormat="1" applyFont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4" fontId="4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6" borderId="12" xfId="14" applyFont="1" applyFill="1" applyBorder="1" applyAlignment="1">
      <alignment horizontal="center" vertical="center"/>
    </xf>
    <xf numFmtId="0" fontId="2" fillId="6" borderId="35" xfId="14" applyFont="1" applyFill="1" applyBorder="1" applyAlignment="1">
      <alignment horizontal="center" vertical="center"/>
    </xf>
    <xf numFmtId="0" fontId="2" fillId="6" borderId="34" xfId="14" applyFont="1" applyFill="1" applyBorder="1" applyAlignment="1">
      <alignment horizontal="center" vertical="center"/>
    </xf>
    <xf numFmtId="0" fontId="2" fillId="6" borderId="1" xfId="14" applyFont="1" applyFill="1" applyBorder="1" applyAlignment="1">
      <alignment horizontal="center" vertical="center"/>
    </xf>
    <xf numFmtId="0" fontId="10" fillId="12" borderId="1" xfId="0" applyNumberFormat="1" applyFont="1" applyFill="1" applyBorder="1" applyAlignment="1">
      <alignment horizontal="center" vertical="center" wrapText="1"/>
    </xf>
    <xf numFmtId="2" fontId="10" fillId="12" borderId="1" xfId="0" applyNumberFormat="1" applyFont="1" applyFill="1" applyBorder="1" applyAlignment="1">
      <alignment horizontal="center" vertical="center" wrapText="1"/>
    </xf>
    <xf numFmtId="168" fontId="10" fillId="6" borderId="1" xfId="0" applyNumberFormat="1" applyFont="1" applyFill="1" applyBorder="1" applyAlignment="1">
      <alignment horizontal="center" vertical="center" wrapText="1"/>
    </xf>
    <xf numFmtId="170" fontId="10" fillId="19" borderId="1" xfId="0" applyNumberFormat="1" applyFont="1" applyFill="1" applyBorder="1" applyAlignment="1">
      <alignment horizontal="center" vertical="center" wrapText="1"/>
    </xf>
    <xf numFmtId="4" fontId="38" fillId="5" borderId="49" xfId="0" applyNumberFormat="1" applyFont="1" applyFill="1" applyBorder="1" applyAlignment="1">
      <alignment horizontal="center" vertical="center" wrapText="1"/>
    </xf>
    <xf numFmtId="4" fontId="38" fillId="5" borderId="50" xfId="0" applyNumberFormat="1" applyFont="1" applyFill="1" applyBorder="1" applyAlignment="1">
      <alignment horizontal="center" vertical="center" wrapText="1"/>
    </xf>
    <xf numFmtId="4" fontId="43" fillId="5" borderId="50" xfId="0" applyNumberFormat="1" applyFont="1" applyFill="1" applyBorder="1" applyAlignment="1">
      <alignment horizontal="center" vertical="center" wrapText="1"/>
    </xf>
    <xf numFmtId="4" fontId="2" fillId="0" borderId="51" xfId="0" applyNumberFormat="1" applyFont="1" applyBorder="1" applyAlignment="1">
      <alignment horizontal="center" vertical="center" wrapText="1"/>
    </xf>
    <xf numFmtId="4" fontId="2" fillId="0" borderId="52" xfId="0" applyNumberFormat="1" applyFont="1" applyBorder="1" applyAlignment="1">
      <alignment horizontal="center" vertical="center" wrapText="1"/>
    </xf>
    <xf numFmtId="2" fontId="2" fillId="0" borderId="61" xfId="0" applyNumberFormat="1" applyFont="1" applyFill="1" applyBorder="1" applyAlignment="1">
      <alignment horizontal="center" vertical="center"/>
    </xf>
  </cellXfs>
  <cellStyles count="23">
    <cellStyle name="Денежный 2" xfId="2" xr:uid="{00000000-0005-0000-0000-000000000000}"/>
    <cellStyle name="Денежный 2 2" xfId="3" xr:uid="{00000000-0005-0000-0000-000001000000}"/>
    <cellStyle name="Обычный" xfId="0" builtinId="0"/>
    <cellStyle name="Обычный 2" xfId="4" xr:uid="{00000000-0005-0000-0000-000003000000}"/>
    <cellStyle name="Обычный 2 2" xfId="5" xr:uid="{00000000-0005-0000-0000-000004000000}"/>
    <cellStyle name="Обычный 2 2 2" xfId="6" xr:uid="{00000000-0005-0000-0000-000005000000}"/>
    <cellStyle name="Обычный 2 2 2 2" xfId="7" xr:uid="{00000000-0005-0000-0000-000006000000}"/>
    <cellStyle name="Обычный 2 3" xfId="8" xr:uid="{00000000-0005-0000-0000-000007000000}"/>
    <cellStyle name="Обычный 2 4" xfId="9" xr:uid="{00000000-0005-0000-0000-000008000000}"/>
    <cellStyle name="Обычный 3" xfId="10" xr:uid="{00000000-0005-0000-0000-000009000000}"/>
    <cellStyle name="Обычный 3 2" xfId="11" xr:uid="{00000000-0005-0000-0000-00000A000000}"/>
    <cellStyle name="Обычный 3 2 2" xfId="12" xr:uid="{00000000-0005-0000-0000-00000B000000}"/>
    <cellStyle name="Обычный 4" xfId="13" xr:uid="{00000000-0005-0000-0000-00000C000000}"/>
    <cellStyle name="Обычный 5" xfId="14" xr:uid="{00000000-0005-0000-0000-00000D000000}"/>
    <cellStyle name="Обычный 5 2" xfId="15" xr:uid="{00000000-0005-0000-0000-00000E000000}"/>
    <cellStyle name="Обычный 6" xfId="16" xr:uid="{00000000-0005-0000-0000-00000F000000}"/>
    <cellStyle name="Обычный_Шумково - данные ПС-НН" xfId="17" xr:uid="{00000000-0005-0000-0000-000011000000}"/>
    <cellStyle name="Процентный" xfId="18" builtinId="5"/>
    <cellStyle name="Процентный 2" xfId="19" xr:uid="{00000000-0005-0000-0000-000014000000}"/>
    <cellStyle name="УровеньСтрок_1" xfId="1" builtinId="1" iLevel="0"/>
    <cellStyle name="Финансовый" xfId="20" builtinId="3"/>
    <cellStyle name="Финансовый 2" xfId="21" xr:uid="{00000000-0005-0000-0000-000017000000}"/>
    <cellStyle name="Финансовый 2 2" xfId="2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87</xdr:row>
      <xdr:rowOff>85725</xdr:rowOff>
    </xdr:from>
    <xdr:to>
      <xdr:col>13</xdr:col>
      <xdr:colOff>209550</xdr:colOff>
      <xdr:row>133</xdr:row>
      <xdr:rowOff>76200</xdr:rowOff>
    </xdr:to>
    <xdr:pic>
      <xdr:nvPicPr>
        <xdr:cNvPr id="20720" name="Picture 1">
          <a:extLst>
            <a:ext uri="{FF2B5EF4-FFF2-40B4-BE49-F238E27FC236}">
              <a16:creationId xmlns:a16="http://schemas.microsoft.com/office/drawing/2014/main" id="{6B5D7F52-1506-4B6D-B988-E684E326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67" r="38074" b="3519"/>
        <a:stretch>
          <a:fillRect/>
        </a:stretch>
      </xdr:blipFill>
      <xdr:spPr bwMode="auto">
        <a:xfrm>
          <a:off x="1590675" y="15906750"/>
          <a:ext cx="11334750" cy="743902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134</xdr:row>
      <xdr:rowOff>95250</xdr:rowOff>
    </xdr:from>
    <xdr:to>
      <xdr:col>19</xdr:col>
      <xdr:colOff>342900</xdr:colOff>
      <xdr:row>155</xdr:row>
      <xdr:rowOff>38100</xdr:rowOff>
    </xdr:to>
    <xdr:pic>
      <xdr:nvPicPr>
        <xdr:cNvPr id="20721" name="Picture 2">
          <a:extLst>
            <a:ext uri="{FF2B5EF4-FFF2-40B4-BE49-F238E27FC236}">
              <a16:creationId xmlns:a16="http://schemas.microsoft.com/office/drawing/2014/main" id="{8BA6AB74-45DA-4F30-BC39-4E01FFB3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557" b="21944"/>
        <a:stretch>
          <a:fillRect/>
        </a:stretch>
      </xdr:blipFill>
      <xdr:spPr bwMode="auto">
        <a:xfrm>
          <a:off x="600075" y="23526750"/>
          <a:ext cx="18326100" cy="334327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 summaryBelow="0"/>
  </sheetPr>
  <dimension ref="A1:R953"/>
  <sheetViews>
    <sheetView tabSelected="1" topLeftCell="A54" zoomScale="70" zoomScaleNormal="70" zoomScaleSheetLayoutView="85" workbookViewId="0">
      <selection activeCell="J73" sqref="J73"/>
    </sheetView>
  </sheetViews>
  <sheetFormatPr defaultRowHeight="12.75" outlineLevelRow="1" x14ac:dyDescent="0.2"/>
  <cols>
    <col min="1" max="1" width="83.85546875" style="44" customWidth="1"/>
    <col min="2" max="2" width="12.28515625" style="368" customWidth="1"/>
    <col min="3" max="3" width="15.7109375" style="11" customWidth="1"/>
    <col min="4" max="4" width="18.28515625" style="20" customWidth="1"/>
    <col min="5" max="5" width="18.140625" style="20" customWidth="1"/>
    <col min="6" max="6" width="20.140625" style="116" customWidth="1"/>
    <col min="7" max="7" width="22.140625" style="20" customWidth="1"/>
    <col min="8" max="8" width="19.7109375" style="21" customWidth="1"/>
    <col min="9" max="9" width="20.42578125" style="37" customWidth="1"/>
    <col min="10" max="10" width="13.5703125" style="22" customWidth="1"/>
    <col min="11" max="11" width="16.28515625" style="22" customWidth="1"/>
    <col min="12" max="13" width="14.7109375" style="22" bestFit="1" customWidth="1"/>
    <col min="14" max="17" width="12.5703125" style="22" customWidth="1"/>
    <col min="18" max="18" width="14.28515625" style="44" customWidth="1"/>
    <col min="19" max="16384" width="9.140625" style="264"/>
  </cols>
  <sheetData>
    <row r="1" spans="1:18" s="263" customFormat="1" ht="12.75" hidden="1" customHeight="1" outlineLevel="1" x14ac:dyDescent="0.2">
      <c r="A1" s="565"/>
      <c r="B1" s="565"/>
      <c r="C1" s="565"/>
      <c r="D1" s="565"/>
      <c r="E1" s="565"/>
      <c r="F1" s="111"/>
      <c r="G1" s="566" t="s">
        <v>79</v>
      </c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</row>
    <row r="2" spans="1:18" s="74" customFormat="1" ht="18.75" hidden="1" customHeight="1" outlineLevel="1" thickBot="1" x14ac:dyDescent="0.25">
      <c r="A2" s="452"/>
      <c r="B2" s="366"/>
      <c r="C2" s="4"/>
      <c r="D2" s="4"/>
      <c r="E2" s="4"/>
      <c r="F2" s="117"/>
      <c r="G2" s="567" t="s">
        <v>80</v>
      </c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</row>
    <row r="3" spans="1:18" ht="15" hidden="1" customHeight="1" outlineLevel="1" thickTop="1" x14ac:dyDescent="0.2">
      <c r="A3" s="453" t="s">
        <v>5</v>
      </c>
      <c r="B3" s="6"/>
      <c r="C3" s="7"/>
      <c r="D3" s="8"/>
      <c r="E3" s="8"/>
      <c r="F3" s="112"/>
      <c r="G3" s="568" t="s">
        <v>81</v>
      </c>
      <c r="H3" s="568"/>
      <c r="I3" s="568"/>
      <c r="J3" s="568"/>
      <c r="K3" s="568"/>
      <c r="L3" s="568"/>
      <c r="M3" s="569" t="s">
        <v>82</v>
      </c>
      <c r="N3" s="570"/>
      <c r="O3" s="571" t="s">
        <v>83</v>
      </c>
      <c r="P3" s="571"/>
      <c r="Q3" s="571"/>
      <c r="R3" s="571"/>
    </row>
    <row r="4" spans="1:18" ht="16.5" hidden="1" customHeight="1" outlineLevel="1" x14ac:dyDescent="0.2">
      <c r="A4" s="454" t="s">
        <v>13</v>
      </c>
      <c r="B4" s="556" t="s">
        <v>214</v>
      </c>
      <c r="C4" s="557"/>
      <c r="D4" s="10"/>
      <c r="E4" s="10"/>
      <c r="F4" s="113"/>
      <c r="G4" s="537" t="s">
        <v>84</v>
      </c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9"/>
    </row>
    <row r="5" spans="1:18" ht="16.5" hidden="1" customHeight="1" outlineLevel="1" x14ac:dyDescent="0.2">
      <c r="A5" s="455" t="s">
        <v>275</v>
      </c>
      <c r="B5" s="535" t="s">
        <v>276</v>
      </c>
      <c r="C5" s="536"/>
      <c r="D5" s="10"/>
      <c r="E5" s="10"/>
      <c r="F5" s="113"/>
      <c r="G5" s="540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2"/>
    </row>
    <row r="6" spans="1:18" s="265" customFormat="1" ht="50.25" hidden="1" customHeight="1" outlineLevel="1" x14ac:dyDescent="0.2">
      <c r="A6" s="456" t="s">
        <v>11</v>
      </c>
      <c r="B6" s="560" t="s">
        <v>182</v>
      </c>
      <c r="C6" s="564"/>
      <c r="D6" s="14"/>
      <c r="E6" s="14"/>
      <c r="F6" s="112"/>
      <c r="G6" s="530" t="s">
        <v>85</v>
      </c>
      <c r="H6" s="530"/>
      <c r="I6" s="530"/>
      <c r="J6" s="550" t="s">
        <v>86</v>
      </c>
      <c r="K6" s="551"/>
      <c r="L6" s="552"/>
      <c r="M6" s="531"/>
      <c r="N6" s="532"/>
      <c r="O6" s="518"/>
      <c r="P6" s="518"/>
      <c r="Q6" s="518"/>
      <c r="R6" s="518"/>
    </row>
    <row r="7" spans="1:18" ht="26.25" hidden="1" customHeight="1" outlineLevel="1" x14ac:dyDescent="0.2">
      <c r="A7" s="454" t="s">
        <v>9</v>
      </c>
      <c r="B7" s="12"/>
      <c r="C7" s="13"/>
      <c r="D7" s="14"/>
      <c r="E7" s="14"/>
      <c r="F7" s="112"/>
      <c r="G7" s="530" t="s">
        <v>87</v>
      </c>
      <c r="H7" s="530"/>
      <c r="I7" s="530"/>
      <c r="J7" s="550" t="s">
        <v>88</v>
      </c>
      <c r="K7" s="551"/>
      <c r="L7" s="552"/>
      <c r="M7" s="543"/>
      <c r="N7" s="544"/>
      <c r="O7" s="518"/>
      <c r="P7" s="518"/>
      <c r="Q7" s="518"/>
      <c r="R7" s="518"/>
    </row>
    <row r="8" spans="1:18" ht="33" hidden="1" customHeight="1" outlineLevel="1" x14ac:dyDescent="0.2">
      <c r="A8" s="454" t="s">
        <v>14</v>
      </c>
      <c r="B8" s="12" t="s">
        <v>229</v>
      </c>
      <c r="C8" s="53">
        <f>R37/(B14+B13+B15)</f>
        <v>0</v>
      </c>
      <c r="D8" s="14">
        <f>C8/30</f>
        <v>0</v>
      </c>
      <c r="E8" s="14" t="s">
        <v>54</v>
      </c>
      <c r="F8" s="112"/>
      <c r="G8" s="521" t="s">
        <v>89</v>
      </c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</row>
    <row r="9" spans="1:18" s="265" customFormat="1" ht="48" hidden="1" customHeight="1" outlineLevel="1" x14ac:dyDescent="0.2">
      <c r="A9" s="456" t="s">
        <v>6</v>
      </c>
      <c r="B9" s="548" t="s">
        <v>213</v>
      </c>
      <c r="C9" s="549"/>
      <c r="D9" s="10"/>
      <c r="E9" s="10"/>
      <c r="F9" s="112"/>
      <c r="G9" s="530" t="s">
        <v>90</v>
      </c>
      <c r="H9" s="530"/>
      <c r="I9" s="530"/>
      <c r="J9" s="545" t="s">
        <v>91</v>
      </c>
      <c r="K9" s="546"/>
      <c r="L9" s="547"/>
      <c r="M9" s="523"/>
      <c r="N9" s="524"/>
      <c r="O9" s="518"/>
      <c r="P9" s="518"/>
      <c r="Q9" s="518"/>
      <c r="R9" s="518"/>
    </row>
    <row r="10" spans="1:18" s="266" customFormat="1" ht="30.75" hidden="1" customHeight="1" outlineLevel="1" x14ac:dyDescent="0.2">
      <c r="A10" s="454" t="s">
        <v>7</v>
      </c>
      <c r="B10" s="15"/>
      <c r="C10" s="9"/>
      <c r="D10" s="68"/>
      <c r="E10" s="10"/>
      <c r="F10" s="112"/>
      <c r="G10" s="530"/>
      <c r="H10" s="530"/>
      <c r="I10" s="530"/>
      <c r="J10" s="545" t="s">
        <v>92</v>
      </c>
      <c r="K10" s="546"/>
      <c r="L10" s="547"/>
      <c r="M10" s="523"/>
      <c r="N10" s="524"/>
      <c r="O10" s="518"/>
      <c r="P10" s="518"/>
      <c r="Q10" s="518"/>
      <c r="R10" s="518"/>
    </row>
    <row r="11" spans="1:18" s="267" customFormat="1" ht="14.25" hidden="1" customHeight="1" outlineLevel="1" x14ac:dyDescent="0.2">
      <c r="A11" s="456" t="s">
        <v>12</v>
      </c>
      <c r="B11" s="560"/>
      <c r="C11" s="564"/>
      <c r="D11" s="10"/>
      <c r="E11" s="10"/>
      <c r="F11" s="112"/>
      <c r="G11" s="521" t="s">
        <v>93</v>
      </c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</row>
    <row r="12" spans="1:18" s="268" customFormat="1" ht="47.25" hidden="1" customHeight="1" outlineLevel="1" x14ac:dyDescent="0.2">
      <c r="A12" s="454" t="s">
        <v>15</v>
      </c>
      <c r="B12" s="558"/>
      <c r="C12" s="559"/>
      <c r="D12" s="18"/>
      <c r="E12" s="18"/>
      <c r="F12" s="112"/>
      <c r="G12" s="515" t="s">
        <v>94</v>
      </c>
      <c r="H12" s="515"/>
      <c r="I12" s="515"/>
      <c r="J12" s="545" t="s">
        <v>95</v>
      </c>
      <c r="K12" s="546"/>
      <c r="L12" s="547"/>
      <c r="M12" s="523"/>
      <c r="N12" s="524"/>
      <c r="O12" s="518"/>
      <c r="P12" s="518"/>
      <c r="Q12" s="518"/>
      <c r="R12" s="518"/>
    </row>
    <row r="13" spans="1:18" s="268" customFormat="1" ht="15" hidden="1" customHeight="1" outlineLevel="1" x14ac:dyDescent="0.2">
      <c r="A13" s="454" t="s">
        <v>21</v>
      </c>
      <c r="B13" s="367">
        <v>11</v>
      </c>
      <c r="C13" s="17" t="s">
        <v>265</v>
      </c>
      <c r="D13" s="18" t="s">
        <v>267</v>
      </c>
      <c r="E13" s="18"/>
      <c r="F13" s="112"/>
      <c r="G13" s="521" t="s">
        <v>141</v>
      </c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</row>
    <row r="14" spans="1:18" s="268" customFormat="1" ht="15" hidden="1" customHeight="1" outlineLevel="1" x14ac:dyDescent="0.2">
      <c r="A14" s="454" t="s">
        <v>62</v>
      </c>
      <c r="B14" s="367">
        <v>11</v>
      </c>
      <c r="C14" s="17" t="s">
        <v>268</v>
      </c>
      <c r="D14" s="68"/>
      <c r="E14" s="10"/>
      <c r="F14" s="112"/>
      <c r="G14" s="515" t="s">
        <v>96</v>
      </c>
      <c r="H14" s="515"/>
      <c r="I14" s="515"/>
      <c r="J14" s="553" t="s">
        <v>97</v>
      </c>
      <c r="K14" s="554"/>
      <c r="L14" s="555"/>
      <c r="M14" s="543"/>
      <c r="N14" s="544"/>
      <c r="O14" s="518"/>
      <c r="P14" s="518"/>
      <c r="Q14" s="518"/>
      <c r="R14" s="518"/>
    </row>
    <row r="15" spans="1:18" s="268" customFormat="1" ht="15" hidden="1" customHeight="1" outlineLevel="1" x14ac:dyDescent="0.2">
      <c r="A15" s="454" t="s">
        <v>75</v>
      </c>
      <c r="B15" s="367">
        <v>11</v>
      </c>
      <c r="C15" s="17" t="s">
        <v>266</v>
      </c>
      <c r="D15" s="562" t="s">
        <v>117</v>
      </c>
      <c r="E15" s="563"/>
      <c r="F15" s="112"/>
      <c r="G15" s="515" t="s">
        <v>98</v>
      </c>
      <c r="H15" s="515"/>
      <c r="I15" s="515"/>
      <c r="J15" s="527" t="s">
        <v>99</v>
      </c>
      <c r="K15" s="528"/>
      <c r="L15" s="529"/>
      <c r="M15" s="543"/>
      <c r="N15" s="544"/>
      <c r="O15" s="518"/>
      <c r="P15" s="518"/>
      <c r="Q15" s="518"/>
      <c r="R15" s="518"/>
    </row>
    <row r="16" spans="1:18" s="268" customFormat="1" ht="27.75" hidden="1" customHeight="1" outlineLevel="1" x14ac:dyDescent="0.2">
      <c r="A16" s="454" t="s">
        <v>16</v>
      </c>
      <c r="B16" s="16"/>
      <c r="C16" s="137"/>
      <c r="D16" s="140" t="s">
        <v>73</v>
      </c>
      <c r="E16" s="139">
        <v>1</v>
      </c>
      <c r="F16" s="112"/>
      <c r="G16" s="521" t="s">
        <v>100</v>
      </c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</row>
    <row r="17" spans="1:18" s="267" customFormat="1" ht="27" hidden="1" customHeight="1" outlineLevel="1" x14ac:dyDescent="0.2">
      <c r="A17" s="456" t="s">
        <v>8</v>
      </c>
      <c r="B17" s="560"/>
      <c r="C17" s="561"/>
      <c r="D17" s="140" t="s">
        <v>74</v>
      </c>
      <c r="E17" s="139">
        <v>2</v>
      </c>
      <c r="F17" s="112"/>
      <c r="G17" s="515" t="s">
        <v>101</v>
      </c>
      <c r="H17" s="515"/>
      <c r="I17" s="515"/>
      <c r="J17" s="527" t="s">
        <v>102</v>
      </c>
      <c r="K17" s="528"/>
      <c r="L17" s="529"/>
      <c r="M17" s="543"/>
      <c r="N17" s="544"/>
      <c r="O17" s="518"/>
      <c r="P17" s="518"/>
      <c r="Q17" s="518"/>
      <c r="R17" s="518"/>
    </row>
    <row r="18" spans="1:18" s="269" customFormat="1" ht="27.75" hidden="1" customHeight="1" outlineLevel="1" x14ac:dyDescent="0.2">
      <c r="A18" s="457" t="s">
        <v>10</v>
      </c>
      <c r="B18" s="533"/>
      <c r="C18" s="534"/>
      <c r="D18" s="141" t="s">
        <v>140</v>
      </c>
      <c r="E18" s="139">
        <v>1</v>
      </c>
      <c r="F18" s="112"/>
      <c r="G18" s="521" t="s">
        <v>103</v>
      </c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</row>
    <row r="19" spans="1:18" s="266" customFormat="1" ht="39" hidden="1" customHeight="1" outlineLevel="1" thickBot="1" x14ac:dyDescent="0.25">
      <c r="A19" s="458" t="s">
        <v>24</v>
      </c>
      <c r="B19" s="19"/>
      <c r="C19" s="138"/>
      <c r="D19" s="141" t="s">
        <v>116</v>
      </c>
      <c r="E19" s="139">
        <v>2</v>
      </c>
      <c r="F19" s="112"/>
      <c r="G19" s="515" t="s">
        <v>104</v>
      </c>
      <c r="H19" s="515"/>
      <c r="I19" s="515"/>
      <c r="J19" s="527" t="s">
        <v>105</v>
      </c>
      <c r="K19" s="528"/>
      <c r="L19" s="529"/>
      <c r="M19" s="543"/>
      <c r="N19" s="544"/>
      <c r="O19" s="518"/>
      <c r="P19" s="518"/>
      <c r="Q19" s="518"/>
      <c r="R19" s="518"/>
    </row>
    <row r="20" spans="1:18" ht="15.75" hidden="1" customHeight="1" outlineLevel="1" thickTop="1" x14ac:dyDescent="0.2">
      <c r="D20" s="140" t="s">
        <v>179</v>
      </c>
      <c r="E20" s="139">
        <v>1</v>
      </c>
      <c r="F20" s="112"/>
      <c r="G20" s="525" t="s">
        <v>106</v>
      </c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</row>
    <row r="21" spans="1:18" ht="31.5" hidden="1" customHeight="1" outlineLevel="1" x14ac:dyDescent="0.2">
      <c r="D21" s="140" t="s">
        <v>156</v>
      </c>
      <c r="E21" s="139">
        <v>2</v>
      </c>
      <c r="F21" s="112"/>
      <c r="G21" s="515" t="s">
        <v>107</v>
      </c>
      <c r="H21" s="515"/>
      <c r="I21" s="515"/>
      <c r="J21" s="527" t="s">
        <v>108</v>
      </c>
      <c r="K21" s="528"/>
      <c r="L21" s="529"/>
      <c r="M21" s="523"/>
      <c r="N21" s="524"/>
      <c r="O21" s="518"/>
      <c r="P21" s="518"/>
      <c r="Q21" s="518"/>
      <c r="R21" s="518"/>
    </row>
    <row r="22" spans="1:18" ht="15" hidden="1" customHeight="1" outlineLevel="1" x14ac:dyDescent="0.2">
      <c r="D22" s="140" t="s">
        <v>158</v>
      </c>
      <c r="E22" s="139">
        <v>1</v>
      </c>
      <c r="F22" s="112"/>
      <c r="G22" s="521" t="s">
        <v>109</v>
      </c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</row>
    <row r="23" spans="1:18" ht="33.75" hidden="1" customHeight="1" outlineLevel="1" x14ac:dyDescent="0.2">
      <c r="D23" s="140" t="s">
        <v>157</v>
      </c>
      <c r="E23" s="139">
        <v>1</v>
      </c>
      <c r="F23" s="112"/>
      <c r="G23" s="515" t="s">
        <v>110</v>
      </c>
      <c r="H23" s="515"/>
      <c r="I23" s="515"/>
      <c r="J23" s="512" t="s">
        <v>111</v>
      </c>
      <c r="K23" s="513"/>
      <c r="L23" s="514"/>
      <c r="M23" s="523"/>
      <c r="N23" s="524"/>
      <c r="O23" s="518"/>
      <c r="P23" s="518"/>
      <c r="Q23" s="518"/>
      <c r="R23" s="518"/>
    </row>
    <row r="24" spans="1:18" ht="30.75" hidden="1" customHeight="1" outlineLevel="1" x14ac:dyDescent="0.2">
      <c r="D24" s="140" t="s">
        <v>115</v>
      </c>
      <c r="E24" s="139">
        <v>1</v>
      </c>
      <c r="F24" s="112"/>
      <c r="G24" s="515"/>
      <c r="H24" s="515"/>
      <c r="I24" s="515"/>
      <c r="J24" s="512" t="s">
        <v>112</v>
      </c>
      <c r="K24" s="513"/>
      <c r="L24" s="514"/>
      <c r="M24" s="523"/>
      <c r="N24" s="524"/>
      <c r="O24" s="518"/>
      <c r="P24" s="518"/>
      <c r="Q24" s="518"/>
      <c r="R24" s="518"/>
    </row>
    <row r="25" spans="1:18" ht="18.75" hidden="1" customHeight="1" outlineLevel="1" x14ac:dyDescent="0.2">
      <c r="D25" s="140" t="s">
        <v>139</v>
      </c>
      <c r="E25" s="140">
        <v>2</v>
      </c>
      <c r="F25" s="112" t="s">
        <v>235</v>
      </c>
      <c r="G25" s="515"/>
      <c r="H25" s="515"/>
      <c r="I25" s="515"/>
      <c r="J25" s="512" t="s">
        <v>166</v>
      </c>
      <c r="K25" s="513"/>
      <c r="L25" s="514"/>
      <c r="M25" s="543"/>
      <c r="N25" s="544"/>
      <c r="O25" s="518"/>
      <c r="P25" s="518"/>
      <c r="Q25" s="518"/>
      <c r="R25" s="518"/>
    </row>
    <row r="26" spans="1:18" ht="24" hidden="1" customHeight="1" outlineLevel="1" x14ac:dyDescent="0.2">
      <c r="D26" s="172" t="s">
        <v>234</v>
      </c>
      <c r="E26" s="20">
        <v>1</v>
      </c>
      <c r="F26" s="112"/>
      <c r="G26" s="515"/>
      <c r="H26" s="515"/>
      <c r="I26" s="515"/>
      <c r="J26" s="512" t="s">
        <v>113</v>
      </c>
      <c r="K26" s="513"/>
      <c r="L26" s="514"/>
      <c r="M26" s="523"/>
      <c r="N26" s="524"/>
      <c r="O26" s="518"/>
      <c r="P26" s="518"/>
      <c r="Q26" s="518"/>
      <c r="R26" s="518"/>
    </row>
    <row r="27" spans="1:18" ht="24" hidden="1" customHeight="1" outlineLevel="1" x14ac:dyDescent="0.2">
      <c r="D27" s="172" t="s">
        <v>236</v>
      </c>
      <c r="E27" s="20">
        <v>6</v>
      </c>
      <c r="F27" s="112"/>
      <c r="G27" s="515"/>
      <c r="H27" s="515"/>
      <c r="I27" s="515"/>
      <c r="J27" s="512" t="s">
        <v>165</v>
      </c>
      <c r="K27" s="513"/>
      <c r="L27" s="514"/>
      <c r="M27" s="523"/>
      <c r="N27" s="524"/>
      <c r="O27" s="518"/>
      <c r="P27" s="518"/>
      <c r="Q27" s="518"/>
      <c r="R27" s="518"/>
    </row>
    <row r="28" spans="1:18" ht="20.25" hidden="1" customHeight="1" outlineLevel="1" x14ac:dyDescent="0.2">
      <c r="D28" s="172" t="s">
        <v>237</v>
      </c>
      <c r="E28" s="20">
        <v>4</v>
      </c>
      <c r="F28" s="112"/>
      <c r="G28" s="515"/>
      <c r="H28" s="515"/>
      <c r="I28" s="515"/>
      <c r="J28" s="512" t="s">
        <v>114</v>
      </c>
      <c r="K28" s="513"/>
      <c r="L28" s="514"/>
      <c r="M28" s="523"/>
      <c r="N28" s="524"/>
      <c r="O28" s="518"/>
      <c r="P28" s="518"/>
      <c r="Q28" s="518"/>
      <c r="R28" s="518"/>
    </row>
    <row r="29" spans="1:18" ht="18.75" hidden="1" customHeight="1" outlineLevel="1" x14ac:dyDescent="0.2">
      <c r="A29" s="459" t="s">
        <v>238</v>
      </c>
      <c r="F29" s="118"/>
      <c r="G29" s="91" t="e">
        <f>G35-G36-G37-G38-G39-G40-G41</f>
        <v>#N/A</v>
      </c>
      <c r="H29" s="56"/>
      <c r="I29" s="56"/>
      <c r="J29" s="57"/>
      <c r="K29" s="57"/>
      <c r="L29" s="56"/>
      <c r="M29" s="56"/>
      <c r="N29" s="56"/>
      <c r="O29" s="56"/>
      <c r="P29" s="56"/>
      <c r="Q29" s="56"/>
      <c r="R29" s="55"/>
    </row>
    <row r="30" spans="1:18" ht="27" customHeight="1" x14ac:dyDescent="0.2">
      <c r="A30" s="516" t="s">
        <v>349</v>
      </c>
      <c r="B30" s="516"/>
      <c r="C30" s="516"/>
      <c r="D30" s="516"/>
      <c r="E30" s="516"/>
      <c r="F30" s="517"/>
      <c r="G30" s="516"/>
      <c r="H30" s="516"/>
      <c r="I30" s="516"/>
      <c r="J30" s="516"/>
      <c r="K30" s="516"/>
      <c r="L30" s="516"/>
      <c r="M30" s="516"/>
      <c r="N30" s="516"/>
      <c r="O30" s="516"/>
      <c r="P30" s="516"/>
      <c r="Q30" s="516"/>
      <c r="R30" s="516"/>
    </row>
    <row r="31" spans="1:18" s="185" customFormat="1" ht="15.75" x14ac:dyDescent="0.2">
      <c r="A31" s="573" t="s">
        <v>159</v>
      </c>
      <c r="B31" s="572" t="s">
        <v>2</v>
      </c>
      <c r="C31" s="520" t="s">
        <v>31</v>
      </c>
      <c r="D31" s="519" t="s">
        <v>17</v>
      </c>
      <c r="E31" s="520" t="s">
        <v>22</v>
      </c>
      <c r="F31" s="520" t="s">
        <v>19</v>
      </c>
      <c r="G31" s="519" t="s">
        <v>18</v>
      </c>
      <c r="H31" s="520" t="s">
        <v>10</v>
      </c>
      <c r="I31" s="574" t="s">
        <v>4</v>
      </c>
      <c r="J31" s="575" t="s">
        <v>181</v>
      </c>
      <c r="K31" s="575"/>
      <c r="L31" s="575"/>
      <c r="M31" s="575"/>
      <c r="N31" s="575"/>
      <c r="O31" s="575"/>
      <c r="P31" s="575"/>
      <c r="Q31" s="575"/>
      <c r="R31" s="575"/>
    </row>
    <row r="32" spans="1:18" s="185" customFormat="1" ht="18" customHeight="1" x14ac:dyDescent="0.2">
      <c r="A32" s="573"/>
      <c r="B32" s="572"/>
      <c r="C32" s="520"/>
      <c r="D32" s="519"/>
      <c r="E32" s="520"/>
      <c r="F32" s="520"/>
      <c r="G32" s="519"/>
      <c r="H32" s="520"/>
      <c r="I32" s="574"/>
      <c r="J32" s="509">
        <v>2021</v>
      </c>
      <c r="K32" s="509"/>
      <c r="L32" s="509"/>
      <c r="M32" s="509"/>
      <c r="N32" s="509"/>
      <c r="O32" s="509"/>
      <c r="P32" s="509"/>
      <c r="Q32" s="509"/>
      <c r="R32" s="301"/>
    </row>
    <row r="33" spans="1:18" ht="21" customHeight="1" x14ac:dyDescent="0.2">
      <c r="A33" s="573"/>
      <c r="B33" s="572"/>
      <c r="C33" s="520"/>
      <c r="D33" s="519"/>
      <c r="E33" s="520"/>
      <c r="F33" s="520"/>
      <c r="G33" s="519"/>
      <c r="H33" s="520"/>
      <c r="I33" s="574"/>
      <c r="J33" s="302" t="s">
        <v>451</v>
      </c>
      <c r="K33" s="333" t="s">
        <v>452</v>
      </c>
      <c r="L33" s="333" t="s">
        <v>44</v>
      </c>
      <c r="M33" s="333" t="s">
        <v>45</v>
      </c>
      <c r="N33" s="333" t="s">
        <v>70</v>
      </c>
      <c r="O33" s="333" t="s">
        <v>71</v>
      </c>
      <c r="P33" s="333" t="s">
        <v>72</v>
      </c>
      <c r="Q33" s="333" t="s">
        <v>123</v>
      </c>
      <c r="R33" s="303" t="s">
        <v>3</v>
      </c>
    </row>
    <row r="34" spans="1:18" ht="15.75" x14ac:dyDescent="0.2">
      <c r="A34" s="90"/>
      <c r="B34" s="369"/>
      <c r="C34" s="79"/>
      <c r="D34" s="304"/>
      <c r="E34" s="79"/>
      <c r="F34" s="79"/>
      <c r="G34" s="304"/>
      <c r="H34" s="79"/>
      <c r="I34" s="150"/>
      <c r="J34" s="150">
        <v>1</v>
      </c>
      <c r="K34" s="150">
        <v>1</v>
      </c>
      <c r="L34" s="150">
        <v>1</v>
      </c>
      <c r="M34" s="150">
        <v>1</v>
      </c>
      <c r="N34" s="150">
        <v>1</v>
      </c>
      <c r="O34" s="150">
        <v>1</v>
      </c>
      <c r="P34" s="150">
        <v>1</v>
      </c>
      <c r="Q34" s="150">
        <v>1</v>
      </c>
      <c r="R34" s="90"/>
    </row>
    <row r="35" spans="1:18" s="270" customFormat="1" ht="35.25" customHeight="1" x14ac:dyDescent="0.2">
      <c r="A35" s="460" t="s">
        <v>183</v>
      </c>
      <c r="B35" s="370" t="s">
        <v>178</v>
      </c>
      <c r="C35" s="310">
        <f>C188</f>
        <v>22.904500000000002</v>
      </c>
      <c r="D35" s="309"/>
      <c r="E35" s="311">
        <f>E42+E71+E85+E188+E522</f>
        <v>5738.7536822863076</v>
      </c>
      <c r="F35" s="312" t="e">
        <f>G35/C35</f>
        <v>#N/A</v>
      </c>
      <c r="G35" s="309" t="e">
        <f>G39+G40+G42+G71+G85+G188+G522</f>
        <v>#N/A</v>
      </c>
      <c r="H35" s="309"/>
      <c r="I35" s="310"/>
      <c r="J35" s="309" t="e">
        <f t="shared" ref="J35:Q35" si="0">J37*$C35/$R37</f>
        <v>#DIV/0!</v>
      </c>
      <c r="K35" s="309" t="e">
        <f t="shared" si="0"/>
        <v>#DIV/0!</v>
      </c>
      <c r="L35" s="309" t="e">
        <f t="shared" si="0"/>
        <v>#DIV/0!</v>
      </c>
      <c r="M35" s="309" t="e">
        <f t="shared" si="0"/>
        <v>#DIV/0!</v>
      </c>
      <c r="N35" s="309" t="e">
        <f t="shared" si="0"/>
        <v>#DIV/0!</v>
      </c>
      <c r="O35" s="309" t="e">
        <f t="shared" si="0"/>
        <v>#DIV/0!</v>
      </c>
      <c r="P35" s="309" t="e">
        <f t="shared" si="0"/>
        <v>#DIV/0!</v>
      </c>
      <c r="Q35" s="309" t="e">
        <f t="shared" si="0"/>
        <v>#DIV/0!</v>
      </c>
      <c r="R35" s="309" t="e">
        <f>SUM(J35:Q35)</f>
        <v>#DIV/0!</v>
      </c>
    </row>
    <row r="36" spans="1:18" s="271" customFormat="1" ht="15.75" x14ac:dyDescent="0.2">
      <c r="A36" s="228" t="s">
        <v>46</v>
      </c>
      <c r="B36" s="371" t="str">
        <f>B35</f>
        <v>км</v>
      </c>
      <c r="C36" s="313">
        <f>C35</f>
        <v>22.904500000000002</v>
      </c>
      <c r="D36" s="142"/>
      <c r="E36" s="298"/>
      <c r="F36" s="98"/>
      <c r="G36" s="142">
        <f>SUMIF($A$42:$A$872,A43,$G$42:$G$872)</f>
        <v>440037150.49599999</v>
      </c>
      <c r="H36" s="142"/>
      <c r="I36" s="299"/>
      <c r="J36" s="227"/>
      <c r="K36" s="227"/>
      <c r="L36" s="227"/>
      <c r="M36" s="227"/>
      <c r="N36" s="227"/>
      <c r="O36" s="227"/>
      <c r="P36" s="227"/>
      <c r="Q36" s="227"/>
      <c r="R36" s="228"/>
    </row>
    <row r="37" spans="1:18" s="271" customFormat="1" ht="15.75" x14ac:dyDescent="0.2">
      <c r="A37" s="228" t="s">
        <v>47</v>
      </c>
      <c r="B37" s="371" t="str">
        <f>B36</f>
        <v>км</v>
      </c>
      <c r="C37" s="313">
        <f>C35</f>
        <v>22.904500000000002</v>
      </c>
      <c r="D37" s="142"/>
      <c r="E37" s="298"/>
      <c r="F37" s="98"/>
      <c r="G37" s="142" t="e">
        <f>SUMIF($A$42:$A$872,A62,$G$42:$G$872)</f>
        <v>#N/A</v>
      </c>
      <c r="H37" s="142"/>
      <c r="I37" s="299"/>
      <c r="J37" s="315"/>
      <c r="K37" s="300"/>
      <c r="L37" s="300"/>
      <c r="M37" s="300"/>
      <c r="N37" s="300"/>
      <c r="O37" s="300"/>
      <c r="P37" s="300"/>
      <c r="Q37" s="300"/>
      <c r="R37" s="282"/>
    </row>
    <row r="38" spans="1:18" s="271" customFormat="1" ht="15.75" x14ac:dyDescent="0.2">
      <c r="A38" s="228" t="s">
        <v>48</v>
      </c>
      <c r="B38" s="371" t="str">
        <f>B37</f>
        <v>км</v>
      </c>
      <c r="C38" s="313">
        <f>C35</f>
        <v>22.904500000000002</v>
      </c>
      <c r="D38" s="142"/>
      <c r="E38" s="298"/>
      <c r="F38" s="98"/>
      <c r="G38" s="142">
        <f>SUMIF($A$42:$A$872,A65,$G$42:$G$872)</f>
        <v>67734700.384187549</v>
      </c>
      <c r="H38" s="142"/>
      <c r="I38" s="299"/>
      <c r="J38" s="227"/>
      <c r="K38" s="227"/>
      <c r="L38" s="227"/>
      <c r="M38" s="227"/>
      <c r="N38" s="227"/>
      <c r="O38" s="227"/>
      <c r="P38" s="227"/>
      <c r="Q38" s="227"/>
      <c r="R38" s="228"/>
    </row>
    <row r="39" spans="1:18" s="271" customFormat="1" ht="15.75" x14ac:dyDescent="0.2">
      <c r="A39" s="228" t="s">
        <v>184</v>
      </c>
      <c r="B39" s="371" t="s">
        <v>186</v>
      </c>
      <c r="C39" s="364">
        <v>8</v>
      </c>
      <c r="D39" s="142"/>
      <c r="E39" s="298"/>
      <c r="F39" s="98"/>
      <c r="G39" s="142">
        <v>640000</v>
      </c>
      <c r="H39" s="142"/>
      <c r="I39" s="299"/>
      <c r="J39" s="314"/>
      <c r="K39" s="314"/>
      <c r="L39" s="314"/>
      <c r="M39" s="314"/>
      <c r="N39" s="314"/>
      <c r="O39" s="314"/>
      <c r="P39" s="314"/>
      <c r="Q39" s="314"/>
      <c r="R39" s="228"/>
    </row>
    <row r="40" spans="1:18" s="271" customFormat="1" ht="31.5" x14ac:dyDescent="0.2">
      <c r="A40" s="228" t="s">
        <v>185</v>
      </c>
      <c r="B40" s="371" t="s">
        <v>35</v>
      </c>
      <c r="C40" s="313">
        <v>2</v>
      </c>
      <c r="D40" s="142"/>
      <c r="E40" s="298"/>
      <c r="F40" s="98">
        <f>150000+150000+15000</f>
        <v>315000</v>
      </c>
      <c r="G40" s="142">
        <f>C40*F40</f>
        <v>630000</v>
      </c>
      <c r="H40" s="142"/>
      <c r="I40" s="299"/>
      <c r="J40" s="227"/>
      <c r="K40" s="227"/>
      <c r="L40" s="227"/>
      <c r="M40" s="227"/>
      <c r="N40" s="227"/>
      <c r="O40" s="227"/>
      <c r="P40" s="227"/>
      <c r="Q40" s="227"/>
      <c r="R40" s="228"/>
    </row>
    <row r="41" spans="1:18" s="271" customFormat="1" ht="15.75" x14ac:dyDescent="0.2">
      <c r="A41" s="228" t="s">
        <v>76</v>
      </c>
      <c r="B41" s="371"/>
      <c r="C41" s="313"/>
      <c r="D41" s="142"/>
      <c r="E41" s="298"/>
      <c r="F41" s="98"/>
      <c r="G41" s="142">
        <f>G89</f>
        <v>449009.76050000003</v>
      </c>
      <c r="H41" s="142"/>
      <c r="I41" s="299"/>
      <c r="J41" s="227"/>
      <c r="K41" s="227"/>
      <c r="L41" s="227"/>
      <c r="M41" s="227"/>
      <c r="N41" s="227"/>
      <c r="O41" s="227"/>
      <c r="P41" s="227"/>
      <c r="Q41" s="227"/>
      <c r="R41" s="228"/>
    </row>
    <row r="42" spans="1:18" ht="24.95" customHeight="1" x14ac:dyDescent="0.2">
      <c r="A42" s="433" t="s">
        <v>173</v>
      </c>
      <c r="B42" s="377" t="s">
        <v>55</v>
      </c>
      <c r="C42" s="406">
        <v>8500</v>
      </c>
      <c r="D42" s="407"/>
      <c r="E42" s="223">
        <f>E63</f>
        <v>48</v>
      </c>
      <c r="F42" s="198" t="e">
        <f>G42/C42</f>
        <v>#N/A</v>
      </c>
      <c r="G42" s="198" t="e">
        <f>G43+G62+G65</f>
        <v>#N/A</v>
      </c>
      <c r="H42" s="407"/>
      <c r="I42" s="198"/>
      <c r="J42" s="223">
        <f>J63*$I63</f>
        <v>4250</v>
      </c>
      <c r="K42" s="223">
        <f t="shared" ref="K42:P42" si="1">K45*$I45</f>
        <v>0</v>
      </c>
      <c r="L42" s="223">
        <f t="shared" si="1"/>
        <v>0</v>
      </c>
      <c r="M42" s="223">
        <f t="shared" si="1"/>
        <v>0</v>
      </c>
      <c r="N42" s="223">
        <f t="shared" si="1"/>
        <v>0</v>
      </c>
      <c r="O42" s="223">
        <f t="shared" si="1"/>
        <v>0</v>
      </c>
      <c r="P42" s="223">
        <f t="shared" si="1"/>
        <v>0</v>
      </c>
      <c r="Q42" s="223">
        <f>Q63*$I63</f>
        <v>4250</v>
      </c>
      <c r="R42" s="408">
        <f>SUM(J42:Q42)</f>
        <v>8500</v>
      </c>
    </row>
    <row r="43" spans="1:18" s="421" customFormat="1" ht="15.75" customHeight="1" x14ac:dyDescent="0.2">
      <c r="A43" s="461" t="s">
        <v>167</v>
      </c>
      <c r="B43" s="417"/>
      <c r="C43" s="418"/>
      <c r="D43" s="418"/>
      <c r="E43" s="418"/>
      <c r="F43" s="419"/>
      <c r="G43" s="339">
        <f>SUM(G44:G61)</f>
        <v>2947500</v>
      </c>
      <c r="H43" s="420"/>
      <c r="I43" s="418"/>
      <c r="J43" s="420"/>
      <c r="K43" s="420"/>
      <c r="L43" s="420"/>
      <c r="M43" s="420"/>
      <c r="N43" s="420"/>
      <c r="O43" s="420"/>
      <c r="P43" s="420"/>
      <c r="Q43" s="420"/>
      <c r="R43" s="420"/>
    </row>
    <row r="44" spans="1:18" s="272" customFormat="1" ht="15.75" customHeight="1" x14ac:dyDescent="0.25">
      <c r="A44" s="415" t="s">
        <v>170</v>
      </c>
      <c r="B44" s="365" t="s">
        <v>34</v>
      </c>
      <c r="C44" s="110">
        <v>500</v>
      </c>
      <c r="D44" s="108"/>
      <c r="E44" s="108"/>
      <c r="F44" s="110">
        <v>2000</v>
      </c>
      <c r="G44" s="110">
        <f>F44*C44</f>
        <v>1000000</v>
      </c>
      <c r="H44" s="106"/>
      <c r="I44" s="108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1:18" s="272" customFormat="1" ht="15.75" customHeight="1" x14ac:dyDescent="0.25">
      <c r="A45" s="415" t="s">
        <v>63</v>
      </c>
      <c r="B45" s="365" t="s">
        <v>56</v>
      </c>
      <c r="C45" s="110">
        <v>2</v>
      </c>
      <c r="D45" s="108"/>
      <c r="E45" s="108"/>
      <c r="F45" s="110">
        <v>9000</v>
      </c>
      <c r="G45" s="110">
        <f t="shared" ref="G45:G61" si="2">F45*C45</f>
        <v>18000</v>
      </c>
      <c r="H45" s="106"/>
      <c r="I45" s="108"/>
      <c r="J45" s="106"/>
      <c r="K45" s="106"/>
      <c r="L45" s="106"/>
      <c r="M45" s="106"/>
      <c r="N45" s="106"/>
      <c r="O45" s="106"/>
      <c r="P45" s="106"/>
      <c r="Q45" s="106"/>
      <c r="R45" s="106"/>
    </row>
    <row r="46" spans="1:18" s="272" customFormat="1" ht="15.75" customHeight="1" x14ac:dyDescent="0.25">
      <c r="A46" s="415" t="s">
        <v>64</v>
      </c>
      <c r="B46" s="365" t="s">
        <v>56</v>
      </c>
      <c r="C46" s="110">
        <v>1</v>
      </c>
      <c r="D46" s="108"/>
      <c r="E46" s="108"/>
      <c r="F46" s="110">
        <v>5000</v>
      </c>
      <c r="G46" s="110">
        <f t="shared" si="2"/>
        <v>5000</v>
      </c>
      <c r="H46" s="106"/>
      <c r="I46" s="108"/>
      <c r="J46" s="106"/>
      <c r="K46" s="106"/>
      <c r="L46" s="106"/>
      <c r="M46" s="106"/>
      <c r="N46" s="106"/>
      <c r="O46" s="106"/>
      <c r="P46" s="106"/>
      <c r="Q46" s="106"/>
      <c r="R46" s="106"/>
    </row>
    <row r="47" spans="1:18" s="272" customFormat="1" ht="15.75" customHeight="1" x14ac:dyDescent="0.25">
      <c r="A47" s="415" t="s">
        <v>143</v>
      </c>
      <c r="B47" s="365" t="s">
        <v>144</v>
      </c>
      <c r="C47" s="110">
        <v>3</v>
      </c>
      <c r="D47" s="108"/>
      <c r="E47" s="108"/>
      <c r="F47" s="110">
        <v>4000</v>
      </c>
      <c r="G47" s="110">
        <f t="shared" si="2"/>
        <v>12000</v>
      </c>
      <c r="H47" s="106"/>
      <c r="I47" s="108"/>
      <c r="J47" s="106"/>
      <c r="K47" s="106"/>
      <c r="L47" s="106"/>
      <c r="M47" s="106"/>
      <c r="N47" s="106"/>
      <c r="O47" s="106"/>
      <c r="P47" s="106"/>
      <c r="Q47" s="106"/>
      <c r="R47" s="106"/>
    </row>
    <row r="48" spans="1:18" s="272" customFormat="1" ht="15.75" customHeight="1" x14ac:dyDescent="0.25">
      <c r="A48" s="415" t="s">
        <v>65</v>
      </c>
      <c r="B48" s="365" t="s">
        <v>56</v>
      </c>
      <c r="C48" s="110">
        <v>1</v>
      </c>
      <c r="D48" s="108"/>
      <c r="E48" s="108"/>
      <c r="F48" s="110">
        <v>5000</v>
      </c>
      <c r="G48" s="110">
        <f t="shared" si="2"/>
        <v>5000</v>
      </c>
      <c r="H48" s="106"/>
      <c r="I48" s="108"/>
      <c r="J48" s="106"/>
      <c r="K48" s="106"/>
      <c r="L48" s="106"/>
      <c r="M48" s="106"/>
      <c r="N48" s="106"/>
      <c r="O48" s="106"/>
      <c r="P48" s="106"/>
      <c r="Q48" s="106"/>
      <c r="R48" s="106"/>
    </row>
    <row r="49" spans="1:18" s="272" customFormat="1" ht="15.75" customHeight="1" x14ac:dyDescent="0.25">
      <c r="A49" s="415" t="s">
        <v>176</v>
      </c>
      <c r="B49" s="365" t="s">
        <v>145</v>
      </c>
      <c r="C49" s="110">
        <v>1</v>
      </c>
      <c r="D49" s="108"/>
      <c r="E49" s="108"/>
      <c r="F49" s="110">
        <v>200000</v>
      </c>
      <c r="G49" s="110">
        <f t="shared" si="2"/>
        <v>200000</v>
      </c>
      <c r="H49" s="106"/>
      <c r="I49" s="108"/>
      <c r="J49" s="106"/>
      <c r="K49" s="106"/>
      <c r="L49" s="106"/>
      <c r="M49" s="106"/>
      <c r="N49" s="106"/>
      <c r="O49" s="106"/>
      <c r="P49" s="106"/>
      <c r="Q49" s="106"/>
      <c r="R49" s="106"/>
    </row>
    <row r="50" spans="1:18" s="272" customFormat="1" ht="15.75" customHeight="1" x14ac:dyDescent="0.25">
      <c r="A50" s="415" t="s">
        <v>146</v>
      </c>
      <c r="B50" s="365" t="s">
        <v>57</v>
      </c>
      <c r="C50" s="110">
        <v>300</v>
      </c>
      <c r="D50" s="108"/>
      <c r="E50" s="108"/>
      <c r="F50" s="110">
        <v>2500</v>
      </c>
      <c r="G50" s="110">
        <f t="shared" si="2"/>
        <v>750000</v>
      </c>
      <c r="H50" s="106"/>
      <c r="I50" s="108"/>
      <c r="J50" s="106"/>
      <c r="K50" s="106"/>
      <c r="L50" s="106"/>
      <c r="M50" s="106"/>
      <c r="N50" s="106"/>
      <c r="O50" s="106"/>
      <c r="P50" s="106"/>
      <c r="Q50" s="106"/>
      <c r="R50" s="106"/>
    </row>
    <row r="51" spans="1:18" s="272" customFormat="1" ht="30.75" customHeight="1" x14ac:dyDescent="0.25">
      <c r="A51" s="415" t="s">
        <v>147</v>
      </c>
      <c r="B51" s="365" t="s">
        <v>56</v>
      </c>
      <c r="C51" s="110">
        <v>1</v>
      </c>
      <c r="D51" s="108"/>
      <c r="E51" s="108"/>
      <c r="F51" s="110">
        <v>80000</v>
      </c>
      <c r="G51" s="110">
        <f t="shared" si="2"/>
        <v>80000</v>
      </c>
      <c r="H51" s="106"/>
      <c r="I51" s="108"/>
      <c r="J51" s="106"/>
      <c r="K51" s="106"/>
      <c r="L51" s="106"/>
      <c r="M51" s="106"/>
      <c r="N51" s="106"/>
      <c r="O51" s="106"/>
      <c r="P51" s="106"/>
      <c r="Q51" s="106"/>
      <c r="R51" s="106"/>
    </row>
    <row r="52" spans="1:18" s="272" customFormat="1" ht="15.75" customHeight="1" x14ac:dyDescent="0.25">
      <c r="A52" s="415" t="s">
        <v>66</v>
      </c>
      <c r="B52" s="365" t="s">
        <v>35</v>
      </c>
      <c r="C52" s="110">
        <v>2</v>
      </c>
      <c r="D52" s="108"/>
      <c r="E52" s="108"/>
      <c r="F52" s="110">
        <v>25000</v>
      </c>
      <c r="G52" s="110">
        <f t="shared" si="2"/>
        <v>50000</v>
      </c>
      <c r="H52" s="106"/>
      <c r="I52" s="108"/>
      <c r="J52" s="106"/>
      <c r="K52" s="106"/>
      <c r="L52" s="106"/>
      <c r="M52" s="106"/>
      <c r="N52" s="106"/>
      <c r="O52" s="106"/>
      <c r="P52" s="106"/>
      <c r="Q52" s="106"/>
      <c r="R52" s="106"/>
    </row>
    <row r="53" spans="1:18" s="272" customFormat="1" ht="15.75" customHeight="1" x14ac:dyDescent="0.25">
      <c r="A53" s="415" t="s">
        <v>67</v>
      </c>
      <c r="B53" s="365" t="s">
        <v>35</v>
      </c>
      <c r="C53" s="110">
        <v>2</v>
      </c>
      <c r="D53" s="108"/>
      <c r="E53" s="108"/>
      <c r="F53" s="110">
        <v>15000</v>
      </c>
      <c r="G53" s="110">
        <f t="shared" si="2"/>
        <v>30000</v>
      </c>
      <c r="H53" s="106"/>
      <c r="I53" s="108"/>
      <c r="J53" s="106"/>
      <c r="K53" s="106"/>
      <c r="L53" s="106"/>
      <c r="M53" s="106"/>
      <c r="N53" s="106"/>
      <c r="O53" s="106"/>
      <c r="P53" s="106"/>
      <c r="Q53" s="106"/>
      <c r="R53" s="106"/>
    </row>
    <row r="54" spans="1:18" s="272" customFormat="1" ht="15.75" customHeight="1" x14ac:dyDescent="0.25">
      <c r="A54" s="415" t="s">
        <v>148</v>
      </c>
      <c r="B54" s="365" t="s">
        <v>142</v>
      </c>
      <c r="C54" s="110">
        <v>2</v>
      </c>
      <c r="D54" s="108"/>
      <c r="E54" s="108"/>
      <c r="F54" s="110">
        <v>2500</v>
      </c>
      <c r="G54" s="110">
        <f t="shared" si="2"/>
        <v>5000</v>
      </c>
      <c r="H54" s="106"/>
      <c r="I54" s="108"/>
      <c r="J54" s="106"/>
      <c r="K54" s="106"/>
      <c r="L54" s="106"/>
      <c r="M54" s="106"/>
      <c r="N54" s="106"/>
      <c r="O54" s="106"/>
      <c r="P54" s="106"/>
      <c r="Q54" s="106"/>
      <c r="R54" s="106"/>
    </row>
    <row r="55" spans="1:18" s="272" customFormat="1" ht="15.75" customHeight="1" x14ac:dyDescent="0.25">
      <c r="A55" s="415" t="s">
        <v>68</v>
      </c>
      <c r="B55" s="365" t="s">
        <v>57</v>
      </c>
      <c r="C55" s="110">
        <v>100</v>
      </c>
      <c r="D55" s="108"/>
      <c r="E55" s="108"/>
      <c r="F55" s="110">
        <v>350</v>
      </c>
      <c r="G55" s="110">
        <f t="shared" si="2"/>
        <v>35000</v>
      </c>
      <c r="H55" s="106"/>
      <c r="I55" s="108"/>
      <c r="J55" s="106"/>
      <c r="K55" s="106"/>
      <c r="L55" s="106"/>
      <c r="M55" s="106"/>
      <c r="N55" s="106"/>
      <c r="O55" s="106"/>
      <c r="P55" s="106"/>
      <c r="Q55" s="106"/>
      <c r="R55" s="106"/>
    </row>
    <row r="56" spans="1:18" s="272" customFormat="1" ht="15.75" customHeight="1" x14ac:dyDescent="0.25">
      <c r="A56" s="415" t="s">
        <v>69</v>
      </c>
      <c r="B56" s="365" t="s">
        <v>56</v>
      </c>
      <c r="C56" s="110">
        <v>1</v>
      </c>
      <c r="D56" s="108"/>
      <c r="E56" s="108"/>
      <c r="F56" s="110">
        <v>1500</v>
      </c>
      <c r="G56" s="110">
        <f t="shared" si="2"/>
        <v>1500</v>
      </c>
      <c r="H56" s="106"/>
      <c r="I56" s="108"/>
      <c r="J56" s="106"/>
      <c r="K56" s="106"/>
      <c r="L56" s="106"/>
      <c r="M56" s="106"/>
      <c r="N56" s="106"/>
      <c r="O56" s="106"/>
      <c r="P56" s="106"/>
      <c r="Q56" s="106"/>
      <c r="R56" s="106"/>
    </row>
    <row r="57" spans="1:18" s="272" customFormat="1" ht="15.75" customHeight="1" x14ac:dyDescent="0.25">
      <c r="A57" s="415" t="s">
        <v>149</v>
      </c>
      <c r="B57" s="365" t="s">
        <v>55</v>
      </c>
      <c r="C57" s="110">
        <v>200</v>
      </c>
      <c r="D57" s="108"/>
      <c r="E57" s="108"/>
      <c r="F57" s="110">
        <v>2000</v>
      </c>
      <c r="G57" s="110">
        <f t="shared" si="2"/>
        <v>400000</v>
      </c>
      <c r="H57" s="106"/>
      <c r="I57" s="108"/>
      <c r="J57" s="106"/>
      <c r="K57" s="106"/>
      <c r="L57" s="106"/>
      <c r="M57" s="106"/>
      <c r="N57" s="106"/>
      <c r="O57" s="106"/>
      <c r="P57" s="106"/>
      <c r="Q57" s="106"/>
      <c r="R57" s="106"/>
    </row>
    <row r="58" spans="1:18" s="272" customFormat="1" ht="15.75" customHeight="1" x14ac:dyDescent="0.25">
      <c r="A58" s="415" t="s">
        <v>150</v>
      </c>
      <c r="B58" s="365" t="s">
        <v>57</v>
      </c>
      <c r="C58" s="110">
        <v>420</v>
      </c>
      <c r="D58" s="108"/>
      <c r="E58" s="108"/>
      <c r="F58" s="110">
        <v>300</v>
      </c>
      <c r="G58" s="110">
        <f t="shared" si="2"/>
        <v>126000</v>
      </c>
      <c r="H58" s="106"/>
      <c r="I58" s="108"/>
      <c r="J58" s="106"/>
      <c r="K58" s="106"/>
      <c r="L58" s="106"/>
      <c r="M58" s="106"/>
      <c r="N58" s="106"/>
      <c r="O58" s="106"/>
      <c r="P58" s="106"/>
      <c r="Q58" s="106"/>
      <c r="R58" s="106"/>
    </row>
    <row r="59" spans="1:18" s="272" customFormat="1" ht="15.75" customHeight="1" x14ac:dyDescent="0.25">
      <c r="A59" s="415" t="s">
        <v>151</v>
      </c>
      <c r="B59" s="365" t="s">
        <v>57</v>
      </c>
      <c r="C59" s="110">
        <v>200</v>
      </c>
      <c r="D59" s="108"/>
      <c r="E59" s="108"/>
      <c r="F59" s="110">
        <v>120</v>
      </c>
      <c r="G59" s="110">
        <f t="shared" si="2"/>
        <v>24000</v>
      </c>
      <c r="H59" s="106"/>
      <c r="I59" s="108"/>
      <c r="J59" s="106"/>
      <c r="K59" s="106"/>
      <c r="L59" s="106"/>
      <c r="M59" s="106"/>
      <c r="N59" s="106"/>
      <c r="O59" s="106"/>
      <c r="P59" s="106"/>
      <c r="Q59" s="106"/>
      <c r="R59" s="106"/>
    </row>
    <row r="60" spans="1:18" s="272" customFormat="1" ht="15.75" customHeight="1" x14ac:dyDescent="0.25">
      <c r="A60" s="415" t="s">
        <v>152</v>
      </c>
      <c r="B60" s="365" t="s">
        <v>35</v>
      </c>
      <c r="C60" s="110">
        <v>4</v>
      </c>
      <c r="D60" s="108"/>
      <c r="E60" s="108"/>
      <c r="F60" s="110">
        <v>1500</v>
      </c>
      <c r="G60" s="110">
        <f t="shared" si="2"/>
        <v>6000</v>
      </c>
      <c r="H60" s="106"/>
      <c r="I60" s="108"/>
      <c r="J60" s="106"/>
      <c r="K60" s="106"/>
      <c r="L60" s="106"/>
      <c r="M60" s="106"/>
      <c r="N60" s="106"/>
      <c r="O60" s="106"/>
      <c r="P60" s="106"/>
      <c r="Q60" s="106"/>
      <c r="R60" s="106"/>
    </row>
    <row r="61" spans="1:18" s="272" customFormat="1" ht="15.75" customHeight="1" x14ac:dyDescent="0.25">
      <c r="A61" s="415" t="s">
        <v>153</v>
      </c>
      <c r="B61" s="365" t="s">
        <v>35</v>
      </c>
      <c r="C61" s="110">
        <v>4</v>
      </c>
      <c r="D61" s="108"/>
      <c r="E61" s="108"/>
      <c r="F61" s="110">
        <v>50000</v>
      </c>
      <c r="G61" s="110">
        <f t="shared" si="2"/>
        <v>200000</v>
      </c>
      <c r="H61" s="106"/>
      <c r="I61" s="108"/>
      <c r="J61" s="106"/>
      <c r="K61" s="106"/>
      <c r="L61" s="106"/>
      <c r="M61" s="106"/>
      <c r="N61" s="106"/>
      <c r="O61" s="106"/>
      <c r="P61" s="106"/>
      <c r="Q61" s="106"/>
      <c r="R61" s="106"/>
    </row>
    <row r="62" spans="1:18" s="272" customFormat="1" ht="15.75" customHeight="1" x14ac:dyDescent="0.25">
      <c r="A62" s="411" t="s">
        <v>0</v>
      </c>
      <c r="B62" s="374"/>
      <c r="C62" s="93"/>
      <c r="D62" s="93"/>
      <c r="E62" s="93"/>
      <c r="F62" s="94"/>
      <c r="G62" s="94" t="e">
        <f>SUM(G63:G64)</f>
        <v>#N/A</v>
      </c>
      <c r="H62" s="95"/>
      <c r="I62" s="93"/>
      <c r="J62" s="93"/>
      <c r="K62" s="93"/>
      <c r="L62" s="93"/>
      <c r="M62" s="93"/>
      <c r="N62" s="93"/>
      <c r="O62" s="93"/>
      <c r="P62" s="93"/>
      <c r="Q62" s="93"/>
      <c r="R62" s="93"/>
    </row>
    <row r="63" spans="1:18" s="272" customFormat="1" ht="15.75" customHeight="1" x14ac:dyDescent="0.25">
      <c r="A63" s="412" t="s">
        <v>260</v>
      </c>
      <c r="B63" s="365" t="s">
        <v>33</v>
      </c>
      <c r="C63" s="151">
        <v>6</v>
      </c>
      <c r="D63" s="97"/>
      <c r="E63" s="92">
        <f>C63*R63</f>
        <v>48</v>
      </c>
      <c r="F63" s="98" t="e">
        <f>VLOOKUP(A63,ГрафикЖД!$B$4:$C$55,2,0)</f>
        <v>#N/A</v>
      </c>
      <c r="G63" s="99" t="e">
        <f>E63*F63</f>
        <v>#N/A</v>
      </c>
      <c r="H63" s="97"/>
      <c r="I63" s="100">
        <f>C42/E63*C63</f>
        <v>1062.5</v>
      </c>
      <c r="J63" s="107">
        <v>4</v>
      </c>
      <c r="K63" s="107"/>
      <c r="L63" s="107"/>
      <c r="M63" s="107"/>
      <c r="N63" s="107"/>
      <c r="O63" s="107"/>
      <c r="P63" s="107"/>
      <c r="Q63" s="107">
        <v>4</v>
      </c>
      <c r="R63" s="78">
        <f>SUM(J63:Q63)</f>
        <v>8</v>
      </c>
    </row>
    <row r="64" spans="1:18" s="272" customFormat="1" ht="15.75" customHeight="1" x14ac:dyDescent="0.25">
      <c r="A64" s="412" t="s">
        <v>32</v>
      </c>
      <c r="B64" s="375"/>
      <c r="C64" s="99"/>
      <c r="D64" s="97"/>
      <c r="E64" s="97"/>
      <c r="F64" s="99"/>
      <c r="G64" s="99" t="e">
        <f>G63*30.9%</f>
        <v>#N/A</v>
      </c>
      <c r="H64" s="97"/>
      <c r="I64" s="97"/>
      <c r="J64" s="101"/>
      <c r="K64" s="101"/>
      <c r="L64" s="101"/>
      <c r="M64" s="101"/>
      <c r="N64" s="101"/>
      <c r="O64" s="101"/>
      <c r="P64" s="101"/>
      <c r="Q64" s="101"/>
      <c r="R64" s="102"/>
    </row>
    <row r="65" spans="1:18" s="272" customFormat="1" ht="15.75" customHeight="1" x14ac:dyDescent="0.25">
      <c r="A65" s="462" t="s">
        <v>1</v>
      </c>
      <c r="B65" s="374"/>
      <c r="C65" s="93"/>
      <c r="D65" s="93"/>
      <c r="E65" s="93"/>
      <c r="F65" s="94"/>
      <c r="G65" s="94">
        <f>SUM(G66:G70)</f>
        <v>1069200</v>
      </c>
      <c r="H65" s="95"/>
      <c r="I65" s="93"/>
      <c r="J65" s="103"/>
      <c r="K65" s="103"/>
      <c r="L65" s="103"/>
      <c r="M65" s="103"/>
      <c r="N65" s="103"/>
      <c r="O65" s="103"/>
      <c r="P65" s="103"/>
      <c r="Q65" s="103"/>
      <c r="R65" s="104"/>
    </row>
    <row r="66" spans="1:18" s="272" customFormat="1" ht="15.75" customHeight="1" x14ac:dyDescent="0.25">
      <c r="A66" s="415" t="s">
        <v>240</v>
      </c>
      <c r="B66" s="376" t="s">
        <v>35</v>
      </c>
      <c r="C66" s="154">
        <v>1</v>
      </c>
      <c r="D66" s="106"/>
      <c r="E66" s="92">
        <f>C66*R66</f>
        <v>8</v>
      </c>
      <c r="F66" s="98">
        <f>VLOOKUP(A66,ГрафикЖД!$B$4:$C$55,2,0)</f>
        <v>20900</v>
      </c>
      <c r="G66" s="99">
        <f>E66*F66</f>
        <v>167200</v>
      </c>
      <c r="H66" s="106"/>
      <c r="I66" s="100">
        <f>C42/E66*C66</f>
        <v>1062.5</v>
      </c>
      <c r="J66" s="107">
        <v>4</v>
      </c>
      <c r="K66" s="107"/>
      <c r="L66" s="107"/>
      <c r="M66" s="107"/>
      <c r="N66" s="107"/>
      <c r="O66" s="107"/>
      <c r="P66" s="107"/>
      <c r="Q66" s="107">
        <v>4</v>
      </c>
      <c r="R66" s="78">
        <f>SUM(J66:Q66)</f>
        <v>8</v>
      </c>
    </row>
    <row r="67" spans="1:18" s="272" customFormat="1" ht="15.75" customHeight="1" x14ac:dyDescent="0.25">
      <c r="A67" s="415" t="s">
        <v>241</v>
      </c>
      <c r="B67" s="376" t="s">
        <v>35</v>
      </c>
      <c r="C67" s="154">
        <v>4</v>
      </c>
      <c r="D67" s="106"/>
      <c r="E67" s="92">
        <f>C67*R67</f>
        <v>32</v>
      </c>
      <c r="F67" s="98">
        <f>VLOOKUP(A67,ГрафикЖД!$B$4:$C$55,2,0)</f>
        <v>16500</v>
      </c>
      <c r="G67" s="99">
        <f>E67*F67</f>
        <v>528000</v>
      </c>
      <c r="H67" s="106"/>
      <c r="I67" s="100">
        <f>C42/E67*C67</f>
        <v>1062.5</v>
      </c>
      <c r="J67" s="107">
        <v>4</v>
      </c>
      <c r="K67" s="107"/>
      <c r="L67" s="107"/>
      <c r="M67" s="107"/>
      <c r="N67" s="107"/>
      <c r="O67" s="107"/>
      <c r="P67" s="107"/>
      <c r="Q67" s="107">
        <v>4</v>
      </c>
      <c r="R67" s="78">
        <f>SUM(J67:Q67)</f>
        <v>8</v>
      </c>
    </row>
    <row r="68" spans="1:18" s="272" customFormat="1" ht="15.75" customHeight="1" x14ac:dyDescent="0.25">
      <c r="A68" s="415" t="s">
        <v>242</v>
      </c>
      <c r="B68" s="376" t="s">
        <v>35</v>
      </c>
      <c r="C68" s="154">
        <v>1</v>
      </c>
      <c r="D68" s="106"/>
      <c r="E68" s="92">
        <f>C68*R68</f>
        <v>8</v>
      </c>
      <c r="F68" s="98">
        <f>VLOOKUP(A68,ГрафикЖД!$B$4:$C$55,2,0)</f>
        <v>19250</v>
      </c>
      <c r="G68" s="99">
        <f>E68*F68</f>
        <v>154000</v>
      </c>
      <c r="H68" s="106"/>
      <c r="I68" s="100">
        <f>C42/E68*C68</f>
        <v>1062.5</v>
      </c>
      <c r="J68" s="107">
        <v>4</v>
      </c>
      <c r="K68" s="107"/>
      <c r="L68" s="107"/>
      <c r="M68" s="107"/>
      <c r="N68" s="107"/>
      <c r="O68" s="107"/>
      <c r="P68" s="107"/>
      <c r="Q68" s="107">
        <v>4</v>
      </c>
      <c r="R68" s="78">
        <f>SUM(J68:Q68)</f>
        <v>8</v>
      </c>
    </row>
    <row r="69" spans="1:18" s="272" customFormat="1" ht="15.75" customHeight="1" x14ac:dyDescent="0.25">
      <c r="A69" s="415" t="s">
        <v>243</v>
      </c>
      <c r="B69" s="376" t="s">
        <v>35</v>
      </c>
      <c r="C69" s="154">
        <v>1</v>
      </c>
      <c r="D69" s="106"/>
      <c r="E69" s="92">
        <f>C69*R69</f>
        <v>8</v>
      </c>
      <c r="F69" s="98">
        <f>VLOOKUP(A69,ГрафикЖД!$B$4:$C$55,2,0)</f>
        <v>11000</v>
      </c>
      <c r="G69" s="99">
        <f>E69*F69</f>
        <v>88000</v>
      </c>
      <c r="H69" s="106"/>
      <c r="I69" s="100">
        <f>C42/E69*C69</f>
        <v>1062.5</v>
      </c>
      <c r="J69" s="107">
        <v>4</v>
      </c>
      <c r="K69" s="107"/>
      <c r="L69" s="107"/>
      <c r="M69" s="107"/>
      <c r="N69" s="107"/>
      <c r="O69" s="107"/>
      <c r="P69" s="107"/>
      <c r="Q69" s="107">
        <v>4</v>
      </c>
      <c r="R69" s="78">
        <f>SUM(J69:Q69)</f>
        <v>8</v>
      </c>
    </row>
    <row r="70" spans="1:18" s="272" customFormat="1" ht="15.75" customHeight="1" x14ac:dyDescent="0.25">
      <c r="A70" s="415" t="s">
        <v>244</v>
      </c>
      <c r="B70" s="376" t="s">
        <v>35</v>
      </c>
      <c r="C70" s="154">
        <v>1</v>
      </c>
      <c r="D70" s="106"/>
      <c r="E70" s="92">
        <f>C70*R70</f>
        <v>8</v>
      </c>
      <c r="F70" s="98">
        <f>VLOOKUP(A70,ГрафикЖД!$B$4:$C$55,2,0)</f>
        <v>16500</v>
      </c>
      <c r="G70" s="99">
        <f>E70*F70</f>
        <v>132000</v>
      </c>
      <c r="H70" s="106"/>
      <c r="I70" s="100">
        <f>C42/E70*C70</f>
        <v>1062.5</v>
      </c>
      <c r="J70" s="107">
        <v>4</v>
      </c>
      <c r="K70" s="107"/>
      <c r="L70" s="107"/>
      <c r="M70" s="107"/>
      <c r="N70" s="107"/>
      <c r="O70" s="107"/>
      <c r="P70" s="107"/>
      <c r="Q70" s="107">
        <v>4</v>
      </c>
      <c r="R70" s="78">
        <f>SUM(J70:Q70)</f>
        <v>8</v>
      </c>
    </row>
    <row r="71" spans="1:18" s="244" customFormat="1" ht="30.75" customHeight="1" x14ac:dyDescent="0.2">
      <c r="A71" s="433" t="s">
        <v>354</v>
      </c>
      <c r="B71" s="223" t="s">
        <v>453</v>
      </c>
      <c r="C71" s="223">
        <v>18089</v>
      </c>
      <c r="D71" s="223"/>
      <c r="E71" s="223">
        <f>E78</f>
        <v>75.058091286307061</v>
      </c>
      <c r="F71" s="200">
        <f>G71/C71</f>
        <v>278.07543813815931</v>
      </c>
      <c r="G71" s="198">
        <f>G76+G77+G80</f>
        <v>5030106.6004811637</v>
      </c>
      <c r="H71" s="223"/>
      <c r="I71" s="434"/>
      <c r="J71" s="203" t="e">
        <f>$C71/$R73*J73</f>
        <v>#VALUE!</v>
      </c>
      <c r="K71" s="203"/>
      <c r="L71" s="203"/>
      <c r="M71" s="203"/>
      <c r="N71" s="203"/>
      <c r="O71" s="203"/>
      <c r="P71" s="203"/>
      <c r="Q71" s="203"/>
      <c r="R71" s="252"/>
    </row>
    <row r="72" spans="1:18" s="244" customFormat="1" ht="17.25" customHeight="1" thickBot="1" x14ac:dyDescent="0.25">
      <c r="A72" s="228" t="s">
        <v>46</v>
      </c>
      <c r="B72" s="228" t="s">
        <v>453</v>
      </c>
      <c r="C72" s="228">
        <f>C71</f>
        <v>18089</v>
      </c>
      <c r="D72" s="228"/>
      <c r="E72" s="228"/>
      <c r="F72" s="229"/>
      <c r="G72" s="142">
        <f>SUMIF($A$75:$A$84,A76,$G$75:$G$84)</f>
        <v>0</v>
      </c>
      <c r="H72" s="228"/>
      <c r="I72" s="435"/>
      <c r="J72" s="436"/>
      <c r="K72" s="436"/>
      <c r="L72" s="228"/>
      <c r="M72" s="228"/>
      <c r="N72" s="228"/>
      <c r="O72" s="228"/>
      <c r="P72" s="228"/>
      <c r="Q72" s="228"/>
      <c r="R72" s="436"/>
    </row>
    <row r="73" spans="1:18" s="244" customFormat="1" ht="17.25" customHeight="1" thickBot="1" x14ac:dyDescent="0.3">
      <c r="A73" s="228" t="s">
        <v>47</v>
      </c>
      <c r="B73" s="228" t="str">
        <f>B72</f>
        <v>комплекс</v>
      </c>
      <c r="C73" s="228">
        <f>C71</f>
        <v>18089</v>
      </c>
      <c r="D73" s="228"/>
      <c r="E73" s="228"/>
      <c r="F73" s="229"/>
      <c r="G73" s="142">
        <f>SUMIF($A$76:$A$84,A78,$G$76:$G$84)</f>
        <v>186926.2809812245</v>
      </c>
      <c r="H73" s="228"/>
      <c r="I73" s="437"/>
      <c r="J73" s="451" t="e">
        <f>SUMPRODUCT(IF($A$76:$A$84=$A78,J$76:J$84,0),$C$76:$C$84)</f>
        <v>#VALUE!</v>
      </c>
      <c r="K73" s="438" t="e">
        <f t="shared" ref="K73:Q73" si="3">SUMPRODUCT(IF($A$76:$A$84=$A78,K$76:K$84,0),$C$76:$C$84)</f>
        <v>#VALUE!</v>
      </c>
      <c r="L73" s="439" t="e">
        <f t="shared" si="3"/>
        <v>#VALUE!</v>
      </c>
      <c r="M73" s="439" t="e">
        <f t="shared" si="3"/>
        <v>#VALUE!</v>
      </c>
      <c r="N73" s="439" t="e">
        <f t="shared" si="3"/>
        <v>#VALUE!</v>
      </c>
      <c r="O73" s="439" t="e">
        <f t="shared" si="3"/>
        <v>#VALUE!</v>
      </c>
      <c r="P73" s="439" t="e">
        <f t="shared" si="3"/>
        <v>#VALUE!</v>
      </c>
      <c r="Q73" s="439" t="e">
        <f t="shared" si="3"/>
        <v>#VALUE!</v>
      </c>
      <c r="R73" s="502" t="e">
        <f>SUM(J73:Q73)</f>
        <v>#VALUE!</v>
      </c>
    </row>
    <row r="74" spans="1:18" s="244" customFormat="1" ht="17.25" customHeight="1" x14ac:dyDescent="0.2">
      <c r="A74" s="228" t="s">
        <v>48</v>
      </c>
      <c r="B74" s="228" t="str">
        <f>B73</f>
        <v>комплекс</v>
      </c>
      <c r="C74" s="228">
        <f>C71</f>
        <v>18089</v>
      </c>
      <c r="D74" s="228"/>
      <c r="E74" s="228"/>
      <c r="F74" s="229"/>
      <c r="G74" s="142">
        <f>SUMIF($A$75:$A$84,A80,$G$75:$G$84)</f>
        <v>4785420.0986767411</v>
      </c>
      <c r="H74" s="228"/>
      <c r="I74" s="435"/>
      <c r="J74" s="440"/>
      <c r="K74" s="440"/>
      <c r="L74" s="228"/>
      <c r="M74" s="228"/>
      <c r="N74" s="228"/>
      <c r="O74" s="228"/>
      <c r="P74" s="228"/>
      <c r="Q74" s="228"/>
      <c r="R74" s="440"/>
    </row>
    <row r="75" spans="1:18" s="244" customFormat="1" ht="52.5" customHeight="1" x14ac:dyDescent="0.2">
      <c r="A75" s="409" t="s">
        <v>434</v>
      </c>
      <c r="B75" s="216" t="s">
        <v>34</v>
      </c>
      <c r="C75" s="216">
        <v>18089</v>
      </c>
      <c r="D75" s="216"/>
      <c r="E75" s="216">
        <f>E78</f>
        <v>75.058091286307061</v>
      </c>
      <c r="F75" s="197">
        <f>G75/C75</f>
        <v>278.07543813815931</v>
      </c>
      <c r="G75" s="194">
        <f>G76+G77+G80</f>
        <v>5030106.6004811637</v>
      </c>
      <c r="H75" s="216"/>
      <c r="I75" s="441"/>
      <c r="J75" s="216">
        <f>J78*$I78</f>
        <v>9044.5</v>
      </c>
      <c r="K75" s="216">
        <f>K78*$I78</f>
        <v>9044.5</v>
      </c>
      <c r="L75" s="216">
        <f t="shared" ref="L75:Q75" si="4">L80*$I80</f>
        <v>0</v>
      </c>
      <c r="M75" s="216">
        <f t="shared" si="4"/>
        <v>0</v>
      </c>
      <c r="N75" s="216">
        <f t="shared" si="4"/>
        <v>0</v>
      </c>
      <c r="O75" s="216">
        <f t="shared" si="4"/>
        <v>0</v>
      </c>
      <c r="P75" s="216">
        <f t="shared" si="4"/>
        <v>0</v>
      </c>
      <c r="Q75" s="216">
        <f t="shared" si="4"/>
        <v>0</v>
      </c>
      <c r="R75" s="216">
        <f>SUM(J75:Q75)</f>
        <v>18089</v>
      </c>
    </row>
    <row r="76" spans="1:18" s="244" customFormat="1" ht="20.25" customHeight="1" x14ac:dyDescent="0.25">
      <c r="A76" s="410" t="s">
        <v>167</v>
      </c>
      <c r="B76" s="410"/>
      <c r="C76" s="410"/>
      <c r="D76" s="410"/>
      <c r="E76" s="410"/>
      <c r="F76" s="204"/>
      <c r="G76" s="204">
        <f>0</f>
        <v>0</v>
      </c>
      <c r="H76" s="442"/>
      <c r="I76" s="410"/>
      <c r="J76" s="442"/>
      <c r="K76" s="442"/>
      <c r="L76" s="442"/>
      <c r="M76" s="442"/>
      <c r="N76" s="442"/>
      <c r="O76" s="442"/>
      <c r="P76" s="442"/>
      <c r="Q76" s="442"/>
      <c r="R76" s="442"/>
    </row>
    <row r="77" spans="1:18" s="244" customFormat="1" ht="20.25" customHeight="1" x14ac:dyDescent="0.25">
      <c r="A77" s="411" t="s">
        <v>0</v>
      </c>
      <c r="B77" s="410"/>
      <c r="C77" s="410"/>
      <c r="D77" s="410"/>
      <c r="E77" s="410"/>
      <c r="F77" s="204"/>
      <c r="G77" s="204">
        <f>SUM(G78:G79)</f>
        <v>244686.50180442288</v>
      </c>
      <c r="H77" s="442"/>
      <c r="I77" s="410"/>
      <c r="J77" s="410"/>
      <c r="K77" s="410"/>
      <c r="L77" s="410"/>
      <c r="M77" s="410"/>
      <c r="N77" s="410"/>
      <c r="O77" s="410"/>
      <c r="P77" s="410"/>
      <c r="Q77" s="410"/>
      <c r="R77" s="410"/>
    </row>
    <row r="78" spans="1:18" s="446" customFormat="1" ht="15.75" customHeight="1" x14ac:dyDescent="0.25">
      <c r="A78" s="412" t="s">
        <v>454</v>
      </c>
      <c r="B78" s="92" t="s">
        <v>33</v>
      </c>
      <c r="C78" s="92">
        <v>3</v>
      </c>
      <c r="D78" s="413"/>
      <c r="E78" s="92">
        <f>C78*R78</f>
        <v>75.058091286307061</v>
      </c>
      <c r="F78" s="98">
        <f>ГрафикЖД!C5</f>
        <v>2490.4214559386974</v>
      </c>
      <c r="G78" s="99">
        <f>E78*F78</f>
        <v>186926.2809812245</v>
      </c>
      <c r="H78" s="413"/>
      <c r="I78" s="413">
        <f>C75/E78*C78</f>
        <v>722.99999999999989</v>
      </c>
      <c r="J78" s="107">
        <f>J81</f>
        <v>12.509681881051177</v>
      </c>
      <c r="K78" s="107">
        <f>K81</f>
        <v>12.509681881051177</v>
      </c>
      <c r="L78" s="107"/>
      <c r="M78" s="107"/>
      <c r="N78" s="107"/>
      <c r="O78" s="107"/>
      <c r="P78" s="107"/>
      <c r="Q78" s="107"/>
      <c r="R78" s="443">
        <f>SUM(J78:Q78)</f>
        <v>25.019363762102355</v>
      </c>
    </row>
    <row r="79" spans="1:18" s="272" customFormat="1" ht="15.75" customHeight="1" x14ac:dyDescent="0.25">
      <c r="A79" s="412" t="s">
        <v>32</v>
      </c>
      <c r="B79" s="413"/>
      <c r="C79" s="414"/>
      <c r="D79" s="413"/>
      <c r="E79" s="413"/>
      <c r="F79" s="99">
        <f>F78*31.044%</f>
        <v>773.12643678160919</v>
      </c>
      <c r="G79" s="99">
        <f>G78*0.309</f>
        <v>57760.220823198368</v>
      </c>
      <c r="H79" s="413"/>
      <c r="I79" s="413"/>
      <c r="J79" s="107"/>
      <c r="K79" s="107"/>
      <c r="L79" s="107"/>
      <c r="M79" s="107"/>
      <c r="N79" s="107"/>
      <c r="O79" s="107"/>
      <c r="P79" s="107"/>
      <c r="Q79" s="107"/>
      <c r="R79" s="413"/>
    </row>
    <row r="80" spans="1:18" s="244" customFormat="1" ht="20.25" customHeight="1" x14ac:dyDescent="0.25">
      <c r="A80" s="411" t="s">
        <v>1</v>
      </c>
      <c r="B80" s="410"/>
      <c r="C80" s="410"/>
      <c r="D80" s="410"/>
      <c r="E80" s="410"/>
      <c r="F80" s="204">
        <f>G80/C75</f>
        <v>264.54862616378688</v>
      </c>
      <c r="G80" s="204">
        <f>SUM(G81:G84)</f>
        <v>4785420.0986767411</v>
      </c>
      <c r="H80" s="442"/>
      <c r="I80" s="410"/>
      <c r="J80" s="210"/>
      <c r="K80" s="210"/>
      <c r="L80" s="210"/>
      <c r="M80" s="210"/>
      <c r="N80" s="210"/>
      <c r="O80" s="210"/>
      <c r="P80" s="210"/>
      <c r="Q80" s="210"/>
      <c r="R80" s="442"/>
    </row>
    <row r="81" spans="1:18" s="244" customFormat="1" ht="20.25" customHeight="1" x14ac:dyDescent="0.2">
      <c r="A81" s="412" t="s">
        <v>437</v>
      </c>
      <c r="B81" s="92" t="s">
        <v>35</v>
      </c>
      <c r="C81" s="92">
        <v>3</v>
      </c>
      <c r="D81" s="92"/>
      <c r="E81" s="92">
        <f>C81*R81</f>
        <v>75.058091286307061</v>
      </c>
      <c r="F81" s="98">
        <f>VLOOKUP(A81,ГрафикЖД!$B$4:$C$55,2,0)</f>
        <v>11000</v>
      </c>
      <c r="G81" s="99">
        <f>E81*F81</f>
        <v>825639.0041493777</v>
      </c>
      <c r="H81" s="92"/>
      <c r="I81" s="92">
        <f>C75/E81*C81</f>
        <v>722.99999999999989</v>
      </c>
      <c r="J81" s="92">
        <f>C75/241/C81/2</f>
        <v>12.509681881051177</v>
      </c>
      <c r="K81" s="92">
        <f>C75/241/C81/2</f>
        <v>12.509681881051177</v>
      </c>
      <c r="L81" s="92"/>
      <c r="M81" s="92"/>
      <c r="N81" s="92"/>
      <c r="O81" s="92"/>
      <c r="P81" s="92"/>
      <c r="Q81" s="92"/>
      <c r="R81" s="228">
        <f>SUM(J81:Q81)</f>
        <v>25.019363762102355</v>
      </c>
    </row>
    <row r="82" spans="1:18" s="244" customFormat="1" ht="20.25" customHeight="1" x14ac:dyDescent="0.25">
      <c r="A82" s="415" t="s">
        <v>243</v>
      </c>
      <c r="B82" s="416" t="s">
        <v>35</v>
      </c>
      <c r="C82" s="92">
        <v>2</v>
      </c>
      <c r="D82" s="444"/>
      <c r="E82" s="92">
        <f>C82*R82</f>
        <v>67.496268656716424</v>
      </c>
      <c r="F82" s="98">
        <f>VLOOKUP(A82,ГрафикЖД!$B$4:$C$55,2,0)</f>
        <v>11000</v>
      </c>
      <c r="G82" s="99">
        <f>E82*F82</f>
        <v>742458.95522388071</v>
      </c>
      <c r="H82" s="444"/>
      <c r="I82" s="416">
        <f>C75/E82*C82</f>
        <v>536</v>
      </c>
      <c r="J82" s="416">
        <f>C75/268/C82/2</f>
        <v>16.874067164179106</v>
      </c>
      <c r="K82" s="416">
        <f>C75/268/C82/2</f>
        <v>16.874067164179106</v>
      </c>
      <c r="L82" s="416"/>
      <c r="M82" s="445"/>
      <c r="N82" s="416"/>
      <c r="O82" s="416"/>
      <c r="P82" s="416"/>
      <c r="Q82" s="445"/>
      <c r="R82" s="228">
        <f>SUM(J82:Q82)</f>
        <v>33.748134328358212</v>
      </c>
    </row>
    <row r="83" spans="1:18" s="244" customFormat="1" ht="20.25" customHeight="1" x14ac:dyDescent="0.25">
      <c r="A83" s="415" t="s">
        <v>251</v>
      </c>
      <c r="B83" s="416" t="s">
        <v>35</v>
      </c>
      <c r="C83" s="92">
        <v>2</v>
      </c>
      <c r="D83" s="444"/>
      <c r="E83" s="92">
        <f>C83*R83</f>
        <v>44.997512437810947</v>
      </c>
      <c r="F83" s="98">
        <f>VLOOKUP(A83,ГрафикЖД!$B$4:$C$55,2,0)</f>
        <v>22000</v>
      </c>
      <c r="G83" s="99">
        <f>E83*F83</f>
        <v>989945.27363184083</v>
      </c>
      <c r="H83" s="444"/>
      <c r="I83" s="416">
        <f>C75/E83*C83</f>
        <v>804</v>
      </c>
      <c r="J83" s="416">
        <f>C75/402/C83/2</f>
        <v>11.249378109452737</v>
      </c>
      <c r="K83" s="416">
        <f>C75/402/C83/2</f>
        <v>11.249378109452737</v>
      </c>
      <c r="L83" s="416"/>
      <c r="M83" s="445"/>
      <c r="N83" s="416"/>
      <c r="O83" s="416"/>
      <c r="P83" s="416"/>
      <c r="Q83" s="445"/>
      <c r="R83" s="228">
        <f>SUM(J83:Q83)</f>
        <v>22.498756218905474</v>
      </c>
    </row>
    <row r="84" spans="1:18" s="244" customFormat="1" ht="20.25" customHeight="1" x14ac:dyDescent="0.25">
      <c r="A84" s="415" t="s">
        <v>241</v>
      </c>
      <c r="B84" s="416" t="s">
        <v>35</v>
      </c>
      <c r="C84" s="92">
        <v>6</v>
      </c>
      <c r="D84" s="444"/>
      <c r="E84" s="92">
        <f>C84*R84</f>
        <v>134.99253731343285</v>
      </c>
      <c r="F84" s="98">
        <f>VLOOKUP(A84,ГрафикЖД!$B$4:$C$55,2,0)</f>
        <v>16500</v>
      </c>
      <c r="G84" s="99">
        <f>E84*F84</f>
        <v>2227376.8656716421</v>
      </c>
      <c r="H84" s="444"/>
      <c r="I84" s="416">
        <f>C75/E84*C84</f>
        <v>804</v>
      </c>
      <c r="J84" s="416">
        <f>J83</f>
        <v>11.249378109452737</v>
      </c>
      <c r="K84" s="416">
        <f>K83</f>
        <v>11.249378109452737</v>
      </c>
      <c r="L84" s="416"/>
      <c r="M84" s="445"/>
      <c r="N84" s="416"/>
      <c r="O84" s="416"/>
      <c r="P84" s="416"/>
      <c r="Q84" s="445"/>
      <c r="R84" s="228">
        <f>SUM(J84:Q84)</f>
        <v>22.498756218905474</v>
      </c>
    </row>
    <row r="85" spans="1:18" s="123" customFormat="1" ht="33" customHeight="1" x14ac:dyDescent="0.2">
      <c r="A85" s="433" t="s">
        <v>355</v>
      </c>
      <c r="B85" s="377" t="s">
        <v>34</v>
      </c>
      <c r="C85" s="199">
        <f>C86</f>
        <v>88371.75</v>
      </c>
      <c r="D85" s="198"/>
      <c r="E85" s="223">
        <f>E90+E99+E107+E115+E123+E130+E140+E152+E163+E171+E182</f>
        <v>1081.2208363636364</v>
      </c>
      <c r="F85" s="200" t="e">
        <f>G85/C85</f>
        <v>#N/A</v>
      </c>
      <c r="G85" s="198" t="e">
        <f>G90+G99+G107+G115+G123+G130+G140+G152+G162+G163+G171+G182</f>
        <v>#N/A</v>
      </c>
      <c r="H85" s="198"/>
      <c r="I85" s="201"/>
      <c r="J85" s="202"/>
      <c r="K85" s="202"/>
      <c r="L85" s="202"/>
      <c r="M85" s="202"/>
      <c r="N85" s="202"/>
      <c r="O85" s="202"/>
      <c r="P85" s="202"/>
      <c r="Q85" s="202"/>
      <c r="R85" s="252"/>
    </row>
    <row r="86" spans="1:18" s="244" customFormat="1" ht="17.25" customHeight="1" x14ac:dyDescent="0.2">
      <c r="A86" s="228" t="s">
        <v>46</v>
      </c>
      <c r="B86" s="371" t="s">
        <v>34</v>
      </c>
      <c r="C86" s="230">
        <f>C132</f>
        <v>88371.75</v>
      </c>
      <c r="D86" s="142"/>
      <c r="E86" s="230"/>
      <c r="F86" s="229"/>
      <c r="G86" s="142">
        <f>SUMIF($A$90:$A$187,A91,$G$90:$G$187)</f>
        <v>44185875</v>
      </c>
      <c r="H86" s="142"/>
      <c r="I86" s="299"/>
      <c r="J86" s="227"/>
      <c r="K86" s="227"/>
      <c r="L86" s="227"/>
      <c r="M86" s="227"/>
      <c r="N86" s="227"/>
      <c r="O86" s="227"/>
      <c r="P86" s="227"/>
      <c r="Q86" s="227"/>
      <c r="R86" s="228"/>
    </row>
    <row r="87" spans="1:18" s="244" customFormat="1" ht="17.25" customHeight="1" x14ac:dyDescent="0.2">
      <c r="A87" s="228" t="s">
        <v>47</v>
      </c>
      <c r="B87" s="371" t="str">
        <f>B86</f>
        <v>м3</v>
      </c>
      <c r="C87" s="230">
        <f>C123+C142+C163+C171</f>
        <v>29567.599999999999</v>
      </c>
      <c r="D87" s="142"/>
      <c r="E87" s="230"/>
      <c r="F87" s="229"/>
      <c r="G87" s="142" t="e">
        <f>SUMIF($A$90:$A$187,A92,$G$90:$G$187)</f>
        <v>#N/A</v>
      </c>
      <c r="H87" s="142"/>
      <c r="I87" s="299"/>
      <c r="J87" s="281" t="e">
        <f>SUMPRODUCT(IF($A$90:$A$187=$A93,J$90:J$187,0),$C$90:$C$187)</f>
        <v>#VALUE!</v>
      </c>
      <c r="K87" s="300">
        <f t="array" ref="K87">SUMPRODUCT(IF($A$530:$A$617=$A498,K$530:K$617,0),$C$530:$C$617)</f>
        <v>0</v>
      </c>
      <c r="L87" s="300">
        <f t="array" ref="L87">SUMPRODUCT(IF($A$530:$A$617=$A498,L$530:L$617,0),$C$530:$C$617)</f>
        <v>0</v>
      </c>
      <c r="M87" s="300">
        <f t="array" ref="M87">SUMPRODUCT(IF($A$530:$A$617=$A498,M$530:M$617,0),$C$530:$C$617)</f>
        <v>0</v>
      </c>
      <c r="N87" s="300">
        <f t="array" ref="N87">SUMPRODUCT(IF($A$530:$A$617=$A498,N$530:N$617,0),$C$530:$C$617)</f>
        <v>0</v>
      </c>
      <c r="O87" s="300">
        <f t="array" ref="O87">SUMPRODUCT(IF($A$530:$A$617=$A498,O$530:O$617,0),$C$530:$C$617)</f>
        <v>0</v>
      </c>
      <c r="P87" s="300">
        <f t="array" ref="P87">SUMPRODUCT(IF($A$530:$A$617=$A498,P$530:P$617,0),$C$530:$C$617)</f>
        <v>0</v>
      </c>
      <c r="Q87" s="300">
        <f t="array" ref="Q87">SUMPRODUCT(IF($A$530:$A$617=$A498,Q$530:Q$617,0),$C$530:$C$617)</f>
        <v>0</v>
      </c>
      <c r="R87" s="282" t="e">
        <f>SUM(J87:Q87)</f>
        <v>#VALUE!</v>
      </c>
    </row>
    <row r="88" spans="1:18" s="244" customFormat="1" ht="17.25" customHeight="1" x14ac:dyDescent="0.2">
      <c r="A88" s="228" t="s">
        <v>48</v>
      </c>
      <c r="B88" s="371" t="str">
        <f>B87</f>
        <v>м3</v>
      </c>
      <c r="C88" s="230">
        <f>C90+C99+C10+C132+C142+C163+C171</f>
        <v>205158.35</v>
      </c>
      <c r="D88" s="142"/>
      <c r="E88" s="230"/>
      <c r="F88" s="229"/>
      <c r="G88" s="142">
        <f>SUMIF($A$90:$A$187,A95,$G$90:$G$187)</f>
        <v>32932584.551586896</v>
      </c>
      <c r="H88" s="142"/>
      <c r="I88" s="299"/>
      <c r="J88" s="227"/>
      <c r="K88" s="227"/>
      <c r="L88" s="227"/>
      <c r="M88" s="227"/>
      <c r="N88" s="227"/>
      <c r="O88" s="227"/>
      <c r="P88" s="227"/>
      <c r="Q88" s="227"/>
      <c r="R88" s="228"/>
    </row>
    <row r="89" spans="1:18" s="244" customFormat="1" ht="17.25" customHeight="1" x14ac:dyDescent="0.2">
      <c r="A89" s="228" t="s">
        <v>76</v>
      </c>
      <c r="B89" s="371" t="str">
        <f>B88</f>
        <v>м3</v>
      </c>
      <c r="C89" s="230">
        <f>C162</f>
        <v>96978.35</v>
      </c>
      <c r="D89" s="142"/>
      <c r="E89" s="230"/>
      <c r="F89" s="229"/>
      <c r="G89" s="142">
        <f>G162</f>
        <v>449009.76050000003</v>
      </c>
      <c r="H89" s="142"/>
      <c r="I89" s="299"/>
      <c r="J89" s="227"/>
      <c r="K89" s="227"/>
      <c r="L89" s="227"/>
      <c r="M89" s="227"/>
      <c r="N89" s="227"/>
      <c r="O89" s="227"/>
      <c r="P89" s="227"/>
      <c r="Q89" s="227"/>
      <c r="R89" s="342"/>
    </row>
    <row r="90" spans="1:18" s="244" customFormat="1" ht="50.25" customHeight="1" x14ac:dyDescent="0.2">
      <c r="A90" s="409" t="s">
        <v>425</v>
      </c>
      <c r="B90" s="378" t="s">
        <v>34</v>
      </c>
      <c r="C90" s="196">
        <f>12194+1591+74972+3556+7168+248</f>
        <v>99729</v>
      </c>
      <c r="D90" s="194"/>
      <c r="E90" s="194">
        <f>E92+E101+E109+E117+E125+E133+E143+E154+E165+E173+E184</f>
        <v>0</v>
      </c>
      <c r="F90" s="197">
        <f>G90/C90</f>
        <v>157.33830845771143</v>
      </c>
      <c r="G90" s="194">
        <f>G91+G92+G95</f>
        <v>15691192.164179103</v>
      </c>
      <c r="H90" s="194"/>
      <c r="I90" s="195"/>
      <c r="J90" s="216">
        <f>J93*$I93</f>
        <v>0</v>
      </c>
      <c r="K90" s="216">
        <f t="shared" ref="K90:Q90" si="5">K93*$I93</f>
        <v>0</v>
      </c>
      <c r="L90" s="216">
        <f t="shared" si="5"/>
        <v>0</v>
      </c>
      <c r="M90" s="216">
        <f t="shared" si="5"/>
        <v>0</v>
      </c>
      <c r="N90" s="216">
        <f t="shared" si="5"/>
        <v>0</v>
      </c>
      <c r="O90" s="216">
        <f t="shared" si="5"/>
        <v>0</v>
      </c>
      <c r="P90" s="216">
        <f t="shared" si="5"/>
        <v>0</v>
      </c>
      <c r="Q90" s="216">
        <f t="shared" si="5"/>
        <v>0</v>
      </c>
      <c r="R90" s="285">
        <f>SUM(J90:Q90)</f>
        <v>0</v>
      </c>
    </row>
    <row r="91" spans="1:18" s="244" customFormat="1" ht="20.25" customHeight="1" x14ac:dyDescent="0.25">
      <c r="A91" s="463" t="s">
        <v>167</v>
      </c>
      <c r="B91" s="374"/>
      <c r="C91" s="93"/>
      <c r="D91" s="93"/>
      <c r="E91" s="93"/>
      <c r="F91" s="332"/>
      <c r="G91" s="332">
        <f>0</f>
        <v>0</v>
      </c>
      <c r="H91" s="95"/>
      <c r="I91" s="93"/>
      <c r="J91" s="95"/>
      <c r="K91" s="95"/>
      <c r="L91" s="95"/>
      <c r="M91" s="95"/>
      <c r="N91" s="95"/>
      <c r="O91" s="95"/>
      <c r="P91" s="95"/>
      <c r="Q91" s="95"/>
      <c r="R91" s="245"/>
    </row>
    <row r="92" spans="1:18" s="244" customFormat="1" ht="20.25" customHeight="1" x14ac:dyDescent="0.25">
      <c r="A92" s="462" t="s">
        <v>0</v>
      </c>
      <c r="B92" s="374"/>
      <c r="C92" s="93"/>
      <c r="D92" s="93"/>
      <c r="E92" s="93"/>
      <c r="F92" s="332"/>
      <c r="G92" s="332">
        <v>0</v>
      </c>
      <c r="H92" s="95"/>
      <c r="I92" s="93"/>
      <c r="J92" s="93"/>
      <c r="K92" s="93"/>
      <c r="L92" s="93"/>
      <c r="M92" s="93"/>
      <c r="N92" s="93"/>
      <c r="O92" s="93"/>
      <c r="P92" s="93"/>
      <c r="Q92" s="93"/>
      <c r="R92" s="247"/>
    </row>
    <row r="93" spans="1:18" s="272" customFormat="1" ht="15.75" customHeight="1" x14ac:dyDescent="0.25">
      <c r="A93" s="412" t="s">
        <v>454</v>
      </c>
      <c r="B93" s="365"/>
      <c r="C93" s="151"/>
      <c r="D93" s="97"/>
      <c r="E93" s="92"/>
      <c r="F93" s="98"/>
      <c r="G93" s="99"/>
      <c r="H93" s="97"/>
      <c r="I93" s="100"/>
      <c r="J93" s="107"/>
      <c r="K93" s="107"/>
      <c r="L93" s="107"/>
      <c r="M93" s="107"/>
      <c r="N93" s="107"/>
      <c r="O93" s="107"/>
      <c r="P93" s="107"/>
      <c r="Q93" s="107"/>
      <c r="R93" s="78"/>
    </row>
    <row r="94" spans="1:18" s="272" customFormat="1" ht="15.75" customHeight="1" x14ac:dyDescent="0.25">
      <c r="A94" s="412" t="s">
        <v>32</v>
      </c>
      <c r="B94" s="375"/>
      <c r="C94" s="99"/>
      <c r="D94" s="97"/>
      <c r="E94" s="97"/>
      <c r="F94" s="99"/>
      <c r="G94" s="99"/>
      <c r="H94" s="97"/>
      <c r="I94" s="97"/>
      <c r="J94" s="101"/>
      <c r="K94" s="101"/>
      <c r="L94" s="101"/>
      <c r="M94" s="101"/>
      <c r="N94" s="101"/>
      <c r="O94" s="101"/>
      <c r="P94" s="101"/>
      <c r="Q94" s="101"/>
      <c r="R94" s="102"/>
    </row>
    <row r="95" spans="1:18" s="244" customFormat="1" ht="20.25" customHeight="1" x14ac:dyDescent="0.25">
      <c r="A95" s="462" t="s">
        <v>1</v>
      </c>
      <c r="B95" s="374"/>
      <c r="C95" s="93"/>
      <c r="D95" s="93"/>
      <c r="E95" s="93"/>
      <c r="F95" s="332">
        <f>G95/C90</f>
        <v>157.33830845771143</v>
      </c>
      <c r="G95" s="332">
        <f>SUM(G96:G98)</f>
        <v>15691192.164179103</v>
      </c>
      <c r="H95" s="95"/>
      <c r="I95" s="93"/>
      <c r="J95" s="103"/>
      <c r="K95" s="103"/>
      <c r="L95" s="103"/>
      <c r="M95" s="103"/>
      <c r="N95" s="103"/>
      <c r="O95" s="103"/>
      <c r="P95" s="103"/>
      <c r="Q95" s="103"/>
      <c r="R95" s="250"/>
    </row>
    <row r="96" spans="1:18" s="244" customFormat="1" ht="20.25" customHeight="1" x14ac:dyDescent="0.25">
      <c r="A96" s="415" t="s">
        <v>243</v>
      </c>
      <c r="B96" s="376" t="s">
        <v>35</v>
      </c>
      <c r="C96" s="121">
        <v>6</v>
      </c>
      <c r="D96" s="106"/>
      <c r="E96" s="92">
        <f>C96*R96</f>
        <v>372.12313432835822</v>
      </c>
      <c r="F96" s="98">
        <f>VLOOKUP(A96,ГрафикЖД!$B$4:$C$55,2,0)</f>
        <v>11000</v>
      </c>
      <c r="G96" s="99">
        <f>E96*F96</f>
        <v>4093354.4776119404</v>
      </c>
      <c r="H96" s="106"/>
      <c r="I96" s="100">
        <f>C90/E96*C96</f>
        <v>1608</v>
      </c>
      <c r="J96" s="110">
        <f>C90/268/C96/3</f>
        <v>20.673507462686569</v>
      </c>
      <c r="K96" s="110">
        <f>C90/268/C96/3</f>
        <v>20.673507462686569</v>
      </c>
      <c r="L96" s="110">
        <f>C90/268/C96/3</f>
        <v>20.673507462686569</v>
      </c>
      <c r="M96" s="122"/>
      <c r="N96" s="100"/>
      <c r="O96" s="100"/>
      <c r="P96" s="100"/>
      <c r="Q96" s="122"/>
      <c r="R96" s="248">
        <f>SUM(J96:Q96)</f>
        <v>62.020522388059703</v>
      </c>
    </row>
    <row r="97" spans="1:18" s="244" customFormat="1" ht="20.25" customHeight="1" x14ac:dyDescent="0.25">
      <c r="A97" s="415" t="s">
        <v>251</v>
      </c>
      <c r="B97" s="376" t="s">
        <v>35</v>
      </c>
      <c r="C97" s="121">
        <v>4</v>
      </c>
      <c r="D97" s="106"/>
      <c r="E97" s="92">
        <f>C97*R97</f>
        <v>248.08208955223881</v>
      </c>
      <c r="F97" s="98">
        <f>VLOOKUP(A97,ГрафикЖД!$B$4:$C$55,2,0)</f>
        <v>22000</v>
      </c>
      <c r="G97" s="99">
        <f>E97*F97</f>
        <v>5457805.9701492535</v>
      </c>
      <c r="H97" s="106"/>
      <c r="I97" s="100">
        <f>C90/E97*C97</f>
        <v>1608</v>
      </c>
      <c r="J97" s="100">
        <f>C90/402/C97/3</f>
        <v>20.673507462686569</v>
      </c>
      <c r="K97" s="100">
        <f>C90/402/C97/3</f>
        <v>20.673507462686569</v>
      </c>
      <c r="L97" s="100">
        <f>C90/402/C97/3</f>
        <v>20.673507462686569</v>
      </c>
      <c r="M97" s="122"/>
      <c r="N97" s="100"/>
      <c r="O97" s="100"/>
      <c r="P97" s="100"/>
      <c r="Q97" s="122"/>
      <c r="R97" s="248">
        <f>SUM(J97:Q97)</f>
        <v>62.020522388059703</v>
      </c>
    </row>
    <row r="98" spans="1:18" s="244" customFormat="1" ht="20.25" customHeight="1" x14ac:dyDescent="0.25">
      <c r="A98" s="415" t="s">
        <v>241</v>
      </c>
      <c r="B98" s="376" t="s">
        <v>35</v>
      </c>
      <c r="C98" s="121">
        <v>6</v>
      </c>
      <c r="D98" s="106"/>
      <c r="E98" s="92">
        <f>C98*R98</f>
        <v>372.12313432835822</v>
      </c>
      <c r="F98" s="98">
        <f>VLOOKUP(A98,ГрафикЖД!$B$4:$C$55,2,0)</f>
        <v>16500</v>
      </c>
      <c r="G98" s="99">
        <f>E98*F98</f>
        <v>6140031.7164179105</v>
      </c>
      <c r="H98" s="106"/>
      <c r="I98" s="100">
        <f>C90/E98*C98</f>
        <v>1608</v>
      </c>
      <c r="J98" s="100">
        <f>J97</f>
        <v>20.673507462686569</v>
      </c>
      <c r="K98" s="100">
        <f>K97</f>
        <v>20.673507462686569</v>
      </c>
      <c r="L98" s="100">
        <f>L97</f>
        <v>20.673507462686569</v>
      </c>
      <c r="M98" s="122"/>
      <c r="N98" s="100"/>
      <c r="O98" s="100"/>
      <c r="P98" s="100"/>
      <c r="Q98" s="122"/>
      <c r="R98" s="248">
        <f>SUM(J98:Q98)</f>
        <v>62.020522388059703</v>
      </c>
    </row>
    <row r="99" spans="1:18" s="244" customFormat="1" ht="50.25" customHeight="1" x14ac:dyDescent="0.2">
      <c r="A99" s="409" t="s">
        <v>426</v>
      </c>
      <c r="B99" s="378" t="s">
        <v>34</v>
      </c>
      <c r="C99" s="196">
        <v>32</v>
      </c>
      <c r="D99" s="194"/>
      <c r="E99" s="194">
        <f>E101</f>
        <v>0</v>
      </c>
      <c r="F99" s="197">
        <f>G99/C99</f>
        <v>128.13620071684588</v>
      </c>
      <c r="G99" s="194">
        <f>G100+G101+G104</f>
        <v>4100.3584229390681</v>
      </c>
      <c r="H99" s="194"/>
      <c r="I99" s="195"/>
      <c r="J99" s="216">
        <f>J101*$I101</f>
        <v>0</v>
      </c>
      <c r="K99" s="216">
        <f t="shared" ref="K99:Q99" si="6">K104*$I104</f>
        <v>0</v>
      </c>
      <c r="L99" s="216">
        <f t="shared" si="6"/>
        <v>0</v>
      </c>
      <c r="M99" s="216">
        <f t="shared" si="6"/>
        <v>0</v>
      </c>
      <c r="N99" s="216">
        <f t="shared" si="6"/>
        <v>0</v>
      </c>
      <c r="O99" s="216">
        <f t="shared" si="6"/>
        <v>0</v>
      </c>
      <c r="P99" s="216">
        <f t="shared" si="6"/>
        <v>0</v>
      </c>
      <c r="Q99" s="216">
        <f t="shared" si="6"/>
        <v>0</v>
      </c>
      <c r="R99" s="285">
        <f>SUM(J99:Q99)</f>
        <v>0</v>
      </c>
    </row>
    <row r="100" spans="1:18" s="244" customFormat="1" ht="20.25" customHeight="1" x14ac:dyDescent="0.25">
      <c r="A100" s="463" t="s">
        <v>167</v>
      </c>
      <c r="B100" s="374"/>
      <c r="C100" s="93"/>
      <c r="D100" s="93"/>
      <c r="E100" s="93"/>
      <c r="F100" s="332"/>
      <c r="G100" s="332">
        <f>0</f>
        <v>0</v>
      </c>
      <c r="H100" s="95"/>
      <c r="I100" s="93"/>
      <c r="J100" s="95"/>
      <c r="K100" s="95"/>
      <c r="L100" s="95"/>
      <c r="M100" s="95"/>
      <c r="N100" s="95"/>
      <c r="O100" s="95"/>
      <c r="P100" s="95"/>
      <c r="Q100" s="95"/>
      <c r="R100" s="245"/>
    </row>
    <row r="101" spans="1:18" s="244" customFormat="1" ht="20.25" customHeight="1" x14ac:dyDescent="0.25">
      <c r="A101" s="462" t="s">
        <v>0</v>
      </c>
      <c r="B101" s="374"/>
      <c r="C101" s="93"/>
      <c r="D101" s="93"/>
      <c r="E101" s="93"/>
      <c r="F101" s="332"/>
      <c r="G101" s="332">
        <v>0</v>
      </c>
      <c r="H101" s="95"/>
      <c r="I101" s="93"/>
      <c r="J101" s="93"/>
      <c r="K101" s="93"/>
      <c r="L101" s="93"/>
      <c r="M101" s="93"/>
      <c r="N101" s="93"/>
      <c r="O101" s="93"/>
      <c r="P101" s="93"/>
      <c r="Q101" s="93"/>
      <c r="R101" s="247"/>
    </row>
    <row r="102" spans="1:18" s="272" customFormat="1" ht="15.75" customHeight="1" x14ac:dyDescent="0.25">
      <c r="A102" s="412" t="s">
        <v>260</v>
      </c>
      <c r="B102" s="365"/>
      <c r="C102" s="151"/>
      <c r="D102" s="97"/>
      <c r="E102" s="92"/>
      <c r="F102" s="98"/>
      <c r="G102" s="99"/>
      <c r="H102" s="97"/>
      <c r="I102" s="100"/>
      <c r="J102" s="107"/>
      <c r="K102" s="107"/>
      <c r="L102" s="107"/>
      <c r="M102" s="107"/>
      <c r="N102" s="107"/>
      <c r="O102" s="107"/>
      <c r="P102" s="107"/>
      <c r="Q102" s="107"/>
      <c r="R102" s="78"/>
    </row>
    <row r="103" spans="1:18" s="272" customFormat="1" ht="15.75" customHeight="1" x14ac:dyDescent="0.25">
      <c r="A103" s="412" t="s">
        <v>32</v>
      </c>
      <c r="B103" s="375"/>
      <c r="C103" s="99"/>
      <c r="D103" s="97"/>
      <c r="E103" s="97"/>
      <c r="F103" s="99"/>
      <c r="G103" s="99"/>
      <c r="H103" s="97"/>
      <c r="I103" s="97"/>
      <c r="J103" s="101"/>
      <c r="K103" s="101"/>
      <c r="L103" s="101"/>
      <c r="M103" s="101"/>
      <c r="N103" s="101"/>
      <c r="O103" s="101"/>
      <c r="P103" s="101"/>
      <c r="Q103" s="101"/>
      <c r="R103" s="102"/>
    </row>
    <row r="104" spans="1:18" s="244" customFormat="1" ht="20.25" customHeight="1" x14ac:dyDescent="0.25">
      <c r="A104" s="462" t="s">
        <v>1</v>
      </c>
      <c r="B104" s="374"/>
      <c r="C104" s="93"/>
      <c r="D104" s="93"/>
      <c r="E104" s="93"/>
      <c r="F104" s="332">
        <f>G104/C99</f>
        <v>128.13620071684588</v>
      </c>
      <c r="G104" s="332">
        <f>SUM(G105:G106)</f>
        <v>4100.3584229390681</v>
      </c>
      <c r="H104" s="95"/>
      <c r="I104" s="93"/>
      <c r="J104" s="103"/>
      <c r="K104" s="103"/>
      <c r="L104" s="103"/>
      <c r="M104" s="103"/>
      <c r="N104" s="103"/>
      <c r="O104" s="103"/>
      <c r="P104" s="103"/>
      <c r="Q104" s="103"/>
      <c r="R104" s="250"/>
    </row>
    <row r="105" spans="1:18" s="244" customFormat="1" ht="20.25" customHeight="1" x14ac:dyDescent="0.25">
      <c r="A105" s="415" t="s">
        <v>242</v>
      </c>
      <c r="B105" s="376" t="s">
        <v>35</v>
      </c>
      <c r="C105" s="121">
        <v>1</v>
      </c>
      <c r="D105" s="106"/>
      <c r="E105" s="92">
        <f>C105*R105</f>
        <v>0.11469534050179211</v>
      </c>
      <c r="F105" s="98">
        <f>VLOOKUP(A105,ГрафикЖД!$B$4:$C$55,2,0)</f>
        <v>19250</v>
      </c>
      <c r="G105" s="99">
        <f>E105*F105</f>
        <v>2207.8853046594982</v>
      </c>
      <c r="H105" s="106"/>
      <c r="I105" s="100">
        <f>C99/E105*C105</f>
        <v>279</v>
      </c>
      <c r="J105" s="110">
        <f>C99/279/C105</f>
        <v>0.11469534050179211</v>
      </c>
      <c r="K105" s="100"/>
      <c r="L105" s="100"/>
      <c r="M105" s="122"/>
      <c r="N105" s="100"/>
      <c r="O105" s="100"/>
      <c r="P105" s="100"/>
      <c r="Q105" s="122"/>
      <c r="R105" s="248">
        <f>SUM(J105:Q105)</f>
        <v>0.11469534050179211</v>
      </c>
    </row>
    <row r="106" spans="1:18" s="244" customFormat="1" ht="20.25" customHeight="1" x14ac:dyDescent="0.25">
      <c r="A106" s="415" t="s">
        <v>241</v>
      </c>
      <c r="B106" s="376" t="s">
        <v>35</v>
      </c>
      <c r="C106" s="121">
        <v>1</v>
      </c>
      <c r="D106" s="106"/>
      <c r="E106" s="92">
        <f>C106*R106</f>
        <v>0.11469534050179211</v>
      </c>
      <c r="F106" s="98">
        <f>VLOOKUP(A106,ГрафикЖД!$B$4:$C$55,2,0)</f>
        <v>16500</v>
      </c>
      <c r="G106" s="99">
        <f>E106*F106</f>
        <v>1892.4731182795699</v>
      </c>
      <c r="H106" s="106"/>
      <c r="I106" s="100">
        <f>C99/E106*C106</f>
        <v>279</v>
      </c>
      <c r="J106" s="97">
        <f>J105</f>
        <v>0.11469534050179211</v>
      </c>
      <c r="K106" s="100"/>
      <c r="L106" s="100"/>
      <c r="M106" s="122"/>
      <c r="N106" s="100"/>
      <c r="O106" s="100"/>
      <c r="P106" s="100"/>
      <c r="Q106" s="122"/>
      <c r="R106" s="248">
        <f>SUM(J106:Q106)</f>
        <v>0.11469534050179211</v>
      </c>
    </row>
    <row r="107" spans="1:18" s="244" customFormat="1" ht="35.25" customHeight="1" x14ac:dyDescent="0.2">
      <c r="A107" s="409" t="s">
        <v>427</v>
      </c>
      <c r="B107" s="378" t="s">
        <v>55</v>
      </c>
      <c r="C107" s="196">
        <v>68647</v>
      </c>
      <c r="D107" s="194"/>
      <c r="E107" s="194">
        <f>E109</f>
        <v>0</v>
      </c>
      <c r="F107" s="197">
        <f>G107/C107</f>
        <v>52.800000000000004</v>
      </c>
      <c r="G107" s="194">
        <f>G108+G109+G112</f>
        <v>3624561.6</v>
      </c>
      <c r="H107" s="194"/>
      <c r="I107" s="195"/>
      <c r="J107" s="216">
        <f>J110*$I110</f>
        <v>0</v>
      </c>
      <c r="K107" s="216">
        <f t="shared" ref="K107:Q107" si="7">K112*$I112</f>
        <v>0</v>
      </c>
      <c r="L107" s="216">
        <f t="shared" si="7"/>
        <v>0</v>
      </c>
      <c r="M107" s="216">
        <f t="shared" si="7"/>
        <v>0</v>
      </c>
      <c r="N107" s="216">
        <f t="shared" si="7"/>
        <v>0</v>
      </c>
      <c r="O107" s="216">
        <f t="shared" si="7"/>
        <v>0</v>
      </c>
      <c r="P107" s="216">
        <f t="shared" si="7"/>
        <v>0</v>
      </c>
      <c r="Q107" s="216">
        <f t="shared" si="7"/>
        <v>0</v>
      </c>
      <c r="R107" s="285">
        <f>SUM(J107:Q107)</f>
        <v>0</v>
      </c>
    </row>
    <row r="108" spans="1:18" s="244" customFormat="1" ht="20.25" customHeight="1" x14ac:dyDescent="0.25">
      <c r="A108" s="463" t="s">
        <v>167</v>
      </c>
      <c r="B108" s="374"/>
      <c r="C108" s="93"/>
      <c r="D108" s="93"/>
      <c r="E108" s="93"/>
      <c r="F108" s="325"/>
      <c r="G108" s="325">
        <f>0</f>
        <v>0</v>
      </c>
      <c r="H108" s="95"/>
      <c r="I108" s="93"/>
      <c r="J108" s="95"/>
      <c r="K108" s="95"/>
      <c r="L108" s="95"/>
      <c r="M108" s="95"/>
      <c r="N108" s="95"/>
      <c r="O108" s="95"/>
      <c r="P108" s="95"/>
      <c r="Q108" s="95"/>
      <c r="R108" s="245"/>
    </row>
    <row r="109" spans="1:18" s="244" customFormat="1" ht="20.25" customHeight="1" x14ac:dyDescent="0.25">
      <c r="A109" s="462" t="s">
        <v>0</v>
      </c>
      <c r="B109" s="374"/>
      <c r="C109" s="93"/>
      <c r="D109" s="93"/>
      <c r="E109" s="93"/>
      <c r="F109" s="325"/>
      <c r="G109" s="325">
        <v>0</v>
      </c>
      <c r="H109" s="95"/>
      <c r="I109" s="93"/>
      <c r="J109" s="93"/>
      <c r="K109" s="93"/>
      <c r="L109" s="93"/>
      <c r="M109" s="93"/>
      <c r="N109" s="93"/>
      <c r="O109" s="93"/>
      <c r="P109" s="93"/>
      <c r="Q109" s="93"/>
      <c r="R109" s="247"/>
    </row>
    <row r="110" spans="1:18" s="272" customFormat="1" ht="15.75" customHeight="1" x14ac:dyDescent="0.25">
      <c r="A110" s="412" t="s">
        <v>260</v>
      </c>
      <c r="B110" s="365"/>
      <c r="C110" s="151"/>
      <c r="D110" s="97"/>
      <c r="E110" s="92"/>
      <c r="F110" s="98"/>
      <c r="G110" s="99"/>
      <c r="H110" s="97"/>
      <c r="I110" s="100"/>
      <c r="J110" s="107"/>
      <c r="K110" s="107"/>
      <c r="L110" s="107"/>
      <c r="M110" s="107"/>
      <c r="N110" s="107"/>
      <c r="O110" s="107"/>
      <c r="P110" s="107"/>
      <c r="Q110" s="107"/>
      <c r="R110" s="78"/>
    </row>
    <row r="111" spans="1:18" s="272" customFormat="1" ht="15.75" customHeight="1" x14ac:dyDescent="0.25">
      <c r="A111" s="412" t="s">
        <v>32</v>
      </c>
      <c r="B111" s="375"/>
      <c r="C111" s="99"/>
      <c r="D111" s="97"/>
      <c r="E111" s="97"/>
      <c r="F111" s="99"/>
      <c r="G111" s="99"/>
      <c r="H111" s="97"/>
      <c r="I111" s="97"/>
      <c r="J111" s="101"/>
      <c r="K111" s="101"/>
      <c r="L111" s="101"/>
      <c r="M111" s="101"/>
      <c r="N111" s="101"/>
      <c r="O111" s="101"/>
      <c r="P111" s="101"/>
      <c r="Q111" s="101"/>
      <c r="R111" s="102"/>
    </row>
    <row r="112" spans="1:18" s="244" customFormat="1" ht="20.25" customHeight="1" x14ac:dyDescent="0.25">
      <c r="A112" s="462" t="s">
        <v>1</v>
      </c>
      <c r="B112" s="374"/>
      <c r="C112" s="93"/>
      <c r="D112" s="93"/>
      <c r="E112" s="93"/>
      <c r="F112" s="325">
        <f>G112/C107</f>
        <v>52.800000000000004</v>
      </c>
      <c r="G112" s="325">
        <f>SUM(G113:G114)</f>
        <v>3624561.6</v>
      </c>
      <c r="H112" s="95"/>
      <c r="I112" s="93"/>
      <c r="J112" s="103"/>
      <c r="K112" s="103"/>
      <c r="L112" s="103"/>
      <c r="M112" s="103"/>
      <c r="N112" s="103"/>
      <c r="O112" s="103"/>
      <c r="P112" s="103"/>
      <c r="Q112" s="103"/>
      <c r="R112" s="250"/>
    </row>
    <row r="113" spans="1:18" s="244" customFormat="1" ht="20.25" customHeight="1" x14ac:dyDescent="0.25">
      <c r="A113" s="415" t="s">
        <v>250</v>
      </c>
      <c r="B113" s="376" t="s">
        <v>35</v>
      </c>
      <c r="C113" s="121">
        <v>1</v>
      </c>
      <c r="D113" s="106"/>
      <c r="E113" s="92">
        <f>C113*R113</f>
        <v>27.4588</v>
      </c>
      <c r="F113" s="98">
        <f>VLOOKUP(A113,ГрафикЖД!$B$4:$C$55,2,0)</f>
        <v>22000</v>
      </c>
      <c r="G113" s="99">
        <f>E113*F113</f>
        <v>604093.6</v>
      </c>
      <c r="H113" s="106"/>
      <c r="I113" s="100">
        <f>C107/E113*C113</f>
        <v>2500</v>
      </c>
      <c r="J113" s="97">
        <f>C107/2500/C113/2</f>
        <v>13.7294</v>
      </c>
      <c r="K113" s="97">
        <f>C107/2500/C113/2</f>
        <v>13.7294</v>
      </c>
      <c r="L113" s="100"/>
      <c r="M113" s="122"/>
      <c r="N113" s="100"/>
      <c r="O113" s="100"/>
      <c r="P113" s="100"/>
      <c r="Q113" s="122"/>
      <c r="R113" s="248">
        <f>SUM(J113:Q113)</f>
        <v>27.4588</v>
      </c>
    </row>
    <row r="114" spans="1:18" s="244" customFormat="1" ht="20.25" customHeight="1" x14ac:dyDescent="0.25">
      <c r="A114" s="415" t="s">
        <v>244</v>
      </c>
      <c r="B114" s="376" t="s">
        <v>35</v>
      </c>
      <c r="C114" s="121">
        <v>8</v>
      </c>
      <c r="D114" s="106"/>
      <c r="E114" s="92">
        <f>C114*R114</f>
        <v>183.05866666666665</v>
      </c>
      <c r="F114" s="98">
        <f>VLOOKUP(A114,ГрафикЖД!$B$4:$C$55,2,0)</f>
        <v>16500</v>
      </c>
      <c r="G114" s="99">
        <f>E114*F114</f>
        <v>3020468</v>
      </c>
      <c r="H114" s="106"/>
      <c r="I114" s="100">
        <f>C107/E114*C114</f>
        <v>3000</v>
      </c>
      <c r="J114" s="97">
        <f>C107/375/C114/2</f>
        <v>11.441166666666666</v>
      </c>
      <c r="K114" s="97">
        <f>C107/375/C114/2</f>
        <v>11.441166666666666</v>
      </c>
      <c r="L114" s="100"/>
      <c r="M114" s="122"/>
      <c r="N114" s="100"/>
      <c r="O114" s="100"/>
      <c r="P114" s="100"/>
      <c r="Q114" s="122"/>
      <c r="R114" s="248">
        <f>SUM(J114:Q114)</f>
        <v>22.882333333333332</v>
      </c>
    </row>
    <row r="115" spans="1:18" s="244" customFormat="1" ht="35.25" customHeight="1" x14ac:dyDescent="0.2">
      <c r="A115" s="409" t="s">
        <v>438</v>
      </c>
      <c r="B115" s="378" t="s">
        <v>55</v>
      </c>
      <c r="C115" s="196">
        <v>83377</v>
      </c>
      <c r="D115" s="194"/>
      <c r="E115" s="194">
        <f>E117</f>
        <v>0</v>
      </c>
      <c r="F115" s="197">
        <f>G115/C115</f>
        <v>52.8</v>
      </c>
      <c r="G115" s="194">
        <f>G116+G117+G120</f>
        <v>4402305.5999999996</v>
      </c>
      <c r="H115" s="194"/>
      <c r="I115" s="195"/>
      <c r="J115" s="216">
        <f>J118*$I118</f>
        <v>0</v>
      </c>
      <c r="K115" s="216">
        <f t="shared" ref="K115:Q115" si="8">K120*$I120</f>
        <v>0</v>
      </c>
      <c r="L115" s="216">
        <f t="shared" si="8"/>
        <v>0</v>
      </c>
      <c r="M115" s="216">
        <f t="shared" si="8"/>
        <v>0</v>
      </c>
      <c r="N115" s="216">
        <f t="shared" si="8"/>
        <v>0</v>
      </c>
      <c r="O115" s="216">
        <f t="shared" si="8"/>
        <v>0</v>
      </c>
      <c r="P115" s="216">
        <f t="shared" si="8"/>
        <v>0</v>
      </c>
      <c r="Q115" s="216">
        <f t="shared" si="8"/>
        <v>0</v>
      </c>
      <c r="R115" s="285">
        <f>SUM(J115:Q115)</f>
        <v>0</v>
      </c>
    </row>
    <row r="116" spans="1:18" s="244" customFormat="1" ht="20.25" customHeight="1" x14ac:dyDescent="0.25">
      <c r="A116" s="463" t="s">
        <v>167</v>
      </c>
      <c r="B116" s="374"/>
      <c r="C116" s="93"/>
      <c r="D116" s="93"/>
      <c r="E116" s="93"/>
      <c r="F116" s="325"/>
      <c r="G116" s="325">
        <f>0</f>
        <v>0</v>
      </c>
      <c r="H116" s="95"/>
      <c r="I116" s="93"/>
      <c r="J116" s="95"/>
      <c r="K116" s="95"/>
      <c r="L116" s="95"/>
      <c r="M116" s="95"/>
      <c r="N116" s="95"/>
      <c r="O116" s="95"/>
      <c r="P116" s="95"/>
      <c r="Q116" s="95"/>
      <c r="R116" s="245"/>
    </row>
    <row r="117" spans="1:18" s="244" customFormat="1" ht="20.25" customHeight="1" x14ac:dyDescent="0.25">
      <c r="A117" s="462" t="s">
        <v>0</v>
      </c>
      <c r="B117" s="374"/>
      <c r="C117" s="93"/>
      <c r="D117" s="93"/>
      <c r="E117" s="93"/>
      <c r="F117" s="325"/>
      <c r="G117" s="325">
        <v>0</v>
      </c>
      <c r="H117" s="95"/>
      <c r="I117" s="93"/>
      <c r="J117" s="93"/>
      <c r="K117" s="93"/>
      <c r="L117" s="93"/>
      <c r="M117" s="93"/>
      <c r="N117" s="93"/>
      <c r="O117" s="93"/>
      <c r="P117" s="93"/>
      <c r="Q117" s="93"/>
      <c r="R117" s="247"/>
    </row>
    <row r="118" spans="1:18" s="272" customFormat="1" ht="15.75" customHeight="1" x14ac:dyDescent="0.25">
      <c r="A118" s="412" t="s">
        <v>260</v>
      </c>
      <c r="B118" s="365"/>
      <c r="C118" s="151"/>
      <c r="D118" s="97"/>
      <c r="E118" s="92"/>
      <c r="F118" s="98"/>
      <c r="G118" s="99"/>
      <c r="H118" s="97"/>
      <c r="I118" s="100"/>
      <c r="J118" s="107"/>
      <c r="K118" s="107"/>
      <c r="L118" s="107"/>
      <c r="M118" s="107"/>
      <c r="N118" s="107"/>
      <c r="O118" s="107"/>
      <c r="P118" s="107"/>
      <c r="Q118" s="107"/>
      <c r="R118" s="78"/>
    </row>
    <row r="119" spans="1:18" s="272" customFormat="1" ht="15.75" customHeight="1" x14ac:dyDescent="0.25">
      <c r="A119" s="412" t="s">
        <v>32</v>
      </c>
      <c r="B119" s="375"/>
      <c r="C119" s="99"/>
      <c r="D119" s="97"/>
      <c r="E119" s="97"/>
      <c r="F119" s="99"/>
      <c r="G119" s="99"/>
      <c r="H119" s="97"/>
      <c r="I119" s="97"/>
      <c r="J119" s="101"/>
      <c r="K119" s="101"/>
      <c r="L119" s="101"/>
      <c r="M119" s="101"/>
      <c r="N119" s="101"/>
      <c r="O119" s="101"/>
      <c r="P119" s="101"/>
      <c r="Q119" s="101"/>
      <c r="R119" s="102"/>
    </row>
    <row r="120" spans="1:18" s="244" customFormat="1" ht="20.25" customHeight="1" x14ac:dyDescent="0.25">
      <c r="A120" s="462" t="s">
        <v>1</v>
      </c>
      <c r="B120" s="374"/>
      <c r="C120" s="93"/>
      <c r="D120" s="93"/>
      <c r="E120" s="93"/>
      <c r="F120" s="325">
        <f>G120/C115</f>
        <v>52.8</v>
      </c>
      <c r="G120" s="325">
        <f>SUM(G121:G122)</f>
        <v>4402305.5999999996</v>
      </c>
      <c r="H120" s="95"/>
      <c r="I120" s="93"/>
      <c r="J120" s="103"/>
      <c r="K120" s="103"/>
      <c r="L120" s="103"/>
      <c r="M120" s="103"/>
      <c r="N120" s="103"/>
      <c r="O120" s="103"/>
      <c r="P120" s="103"/>
      <c r="Q120" s="103"/>
      <c r="R120" s="250"/>
    </row>
    <row r="121" spans="1:18" s="244" customFormat="1" ht="20.25" customHeight="1" x14ac:dyDescent="0.25">
      <c r="A121" s="415" t="s">
        <v>250</v>
      </c>
      <c r="B121" s="376" t="s">
        <v>35</v>
      </c>
      <c r="C121" s="121">
        <v>2</v>
      </c>
      <c r="D121" s="106"/>
      <c r="E121" s="92">
        <f>C121*R121</f>
        <v>33.3508</v>
      </c>
      <c r="F121" s="98">
        <f>VLOOKUP(A121,ГрафикЖД!$B$4:$C$55,2,0)</f>
        <v>22000</v>
      </c>
      <c r="G121" s="99">
        <f>E121*F121</f>
        <v>733717.6</v>
      </c>
      <c r="H121" s="106"/>
      <c r="I121" s="100">
        <f>C115/E121*C121</f>
        <v>5000</v>
      </c>
      <c r="J121" s="97">
        <f>C115/2500/C121</f>
        <v>16.6754</v>
      </c>
      <c r="K121" s="100"/>
      <c r="L121" s="100"/>
      <c r="M121" s="122"/>
      <c r="N121" s="100"/>
      <c r="O121" s="100"/>
      <c r="P121" s="100"/>
      <c r="Q121" s="122"/>
      <c r="R121" s="248">
        <f>SUM(J121:Q121)</f>
        <v>16.6754</v>
      </c>
    </row>
    <row r="122" spans="1:18" s="244" customFormat="1" ht="20.25" customHeight="1" x14ac:dyDescent="0.25">
      <c r="A122" s="415" t="s">
        <v>244</v>
      </c>
      <c r="B122" s="376" t="s">
        <v>35</v>
      </c>
      <c r="C122" s="121">
        <v>10</v>
      </c>
      <c r="D122" s="106"/>
      <c r="E122" s="92">
        <f>C122*R122</f>
        <v>222.33866666666665</v>
      </c>
      <c r="F122" s="98">
        <f>VLOOKUP(A122,ГрафикЖД!$B$4:$C$55,2,0)</f>
        <v>16500</v>
      </c>
      <c r="G122" s="99">
        <f>E122*F122</f>
        <v>3668588</v>
      </c>
      <c r="H122" s="106"/>
      <c r="I122" s="100">
        <f>C115/E122*C122</f>
        <v>3750</v>
      </c>
      <c r="J122" s="97">
        <f>C115/375/C122</f>
        <v>22.233866666666664</v>
      </c>
      <c r="K122" s="100"/>
      <c r="L122" s="100"/>
      <c r="M122" s="122"/>
      <c r="N122" s="100"/>
      <c r="O122" s="100"/>
      <c r="P122" s="100"/>
      <c r="Q122" s="122"/>
      <c r="R122" s="248">
        <f>SUM(J122:Q122)</f>
        <v>22.233866666666664</v>
      </c>
    </row>
    <row r="123" spans="1:18" s="244" customFormat="1" ht="35.25" customHeight="1" x14ac:dyDescent="0.2">
      <c r="A123" s="409" t="s">
        <v>428</v>
      </c>
      <c r="B123" s="378" t="s">
        <v>55</v>
      </c>
      <c r="C123" s="196">
        <v>12542</v>
      </c>
      <c r="D123" s="194"/>
      <c r="E123" s="216">
        <f>E126</f>
        <v>120.85927272727274</v>
      </c>
      <c r="F123" s="197" t="e">
        <f>G123/C123</f>
        <v>#N/A</v>
      </c>
      <c r="G123" s="194" t="e">
        <f>G124+G125+G128</f>
        <v>#N/A</v>
      </c>
      <c r="H123" s="194"/>
      <c r="I123" s="195"/>
      <c r="J123" s="216">
        <f>J126*$I126</f>
        <v>12542</v>
      </c>
      <c r="K123" s="216">
        <f t="shared" ref="K123:Q123" si="9">K128*$I128</f>
        <v>0</v>
      </c>
      <c r="L123" s="216">
        <f t="shared" si="9"/>
        <v>0</v>
      </c>
      <c r="M123" s="216">
        <f t="shared" si="9"/>
        <v>0</v>
      </c>
      <c r="N123" s="216">
        <f t="shared" si="9"/>
        <v>0</v>
      </c>
      <c r="O123" s="216">
        <f t="shared" si="9"/>
        <v>0</v>
      </c>
      <c r="P123" s="216">
        <f t="shared" si="9"/>
        <v>0</v>
      </c>
      <c r="Q123" s="216">
        <f t="shared" si="9"/>
        <v>0</v>
      </c>
      <c r="R123" s="285">
        <f>SUM(J123:Q123)</f>
        <v>12542</v>
      </c>
    </row>
    <row r="124" spans="1:18" s="244" customFormat="1" ht="20.25" customHeight="1" x14ac:dyDescent="0.25">
      <c r="A124" s="463" t="s">
        <v>167</v>
      </c>
      <c r="B124" s="374"/>
      <c r="C124" s="93"/>
      <c r="D124" s="93"/>
      <c r="E124" s="93"/>
      <c r="F124" s="325"/>
      <c r="G124" s="325">
        <f>0</f>
        <v>0</v>
      </c>
      <c r="H124" s="95"/>
      <c r="I124" s="93"/>
      <c r="J124" s="95"/>
      <c r="K124" s="95"/>
      <c r="L124" s="95"/>
      <c r="M124" s="95"/>
      <c r="N124" s="95"/>
      <c r="O124" s="95"/>
      <c r="P124" s="95"/>
      <c r="Q124" s="95"/>
      <c r="R124" s="245"/>
    </row>
    <row r="125" spans="1:18" s="244" customFormat="1" ht="20.25" customHeight="1" x14ac:dyDescent="0.25">
      <c r="A125" s="462" t="s">
        <v>0</v>
      </c>
      <c r="B125" s="374"/>
      <c r="C125" s="93"/>
      <c r="D125" s="93"/>
      <c r="E125" s="339"/>
      <c r="F125" s="325"/>
      <c r="G125" s="325" t="e">
        <f>SUM(G126:G127)</f>
        <v>#N/A</v>
      </c>
      <c r="H125" s="95"/>
      <c r="I125" s="93"/>
      <c r="J125" s="93"/>
      <c r="K125" s="93"/>
      <c r="L125" s="93"/>
      <c r="M125" s="93"/>
      <c r="N125" s="93"/>
      <c r="O125" s="93"/>
      <c r="P125" s="93"/>
      <c r="Q125" s="93"/>
      <c r="R125" s="247"/>
    </row>
    <row r="126" spans="1:18" s="244" customFormat="1" ht="20.25" customHeight="1" x14ac:dyDescent="0.2">
      <c r="A126" s="412" t="s">
        <v>260</v>
      </c>
      <c r="B126" s="365" t="s">
        <v>33</v>
      </c>
      <c r="C126" s="151">
        <v>10</v>
      </c>
      <c r="D126" s="97"/>
      <c r="E126" s="92">
        <f>C126*R126</f>
        <v>120.85927272727274</v>
      </c>
      <c r="F126" s="98" t="e">
        <f>VLOOKUP(A126,ГрафикЖД!$B$4:$C$55,2,0)</f>
        <v>#N/A</v>
      </c>
      <c r="G126" s="99" t="e">
        <f>E126*F126</f>
        <v>#N/A</v>
      </c>
      <c r="H126" s="97"/>
      <c r="I126" s="193">
        <f>C123/E126*C126</f>
        <v>1037.7358490566037</v>
      </c>
      <c r="J126" s="77">
        <f>C123/1000*106/C126/11</f>
        <v>12.085927272727274</v>
      </c>
      <c r="K126" s="77"/>
      <c r="L126" s="77"/>
      <c r="M126" s="77"/>
      <c r="N126" s="77"/>
      <c r="O126" s="77"/>
      <c r="P126" s="77"/>
      <c r="Q126" s="77"/>
      <c r="R126" s="78">
        <f>SUM(J126:Q126)</f>
        <v>12.085927272727274</v>
      </c>
    </row>
    <row r="127" spans="1:18" s="244" customFormat="1" ht="20.25" customHeight="1" x14ac:dyDescent="0.2">
      <c r="A127" s="412" t="s">
        <v>32</v>
      </c>
      <c r="B127" s="375"/>
      <c r="C127" s="99"/>
      <c r="D127" s="97"/>
      <c r="E127" s="97"/>
      <c r="F127" s="99"/>
      <c r="G127" s="99" t="e">
        <f>G126*30.9%</f>
        <v>#N/A</v>
      </c>
      <c r="H127" s="97"/>
      <c r="I127" s="97"/>
      <c r="J127" s="101"/>
      <c r="K127" s="101"/>
      <c r="L127" s="101"/>
      <c r="M127" s="101"/>
      <c r="N127" s="101"/>
      <c r="O127" s="101"/>
      <c r="P127" s="101"/>
      <c r="Q127" s="101"/>
      <c r="R127" s="249"/>
    </row>
    <row r="128" spans="1:18" s="244" customFormat="1" ht="20.25" customHeight="1" x14ac:dyDescent="0.25">
      <c r="A128" s="462" t="s">
        <v>1</v>
      </c>
      <c r="B128" s="374"/>
      <c r="C128" s="93"/>
      <c r="D128" s="93"/>
      <c r="E128" s="93"/>
      <c r="F128" s="325">
        <f>G128/C123</f>
        <v>1.1399999999999999</v>
      </c>
      <c r="G128" s="325">
        <f>SUM(G129:G129)</f>
        <v>14297.88</v>
      </c>
      <c r="H128" s="95"/>
      <c r="I128" s="93"/>
      <c r="J128" s="103"/>
      <c r="K128" s="103"/>
      <c r="L128" s="103"/>
      <c r="M128" s="103"/>
      <c r="N128" s="103"/>
      <c r="O128" s="103"/>
      <c r="P128" s="103"/>
      <c r="Q128" s="103"/>
      <c r="R128" s="250"/>
    </row>
    <row r="129" spans="1:18" s="244" customFormat="1" ht="20.25" customHeight="1" x14ac:dyDescent="0.25">
      <c r="A129" s="415" t="s">
        <v>251</v>
      </c>
      <c r="B129" s="376" t="s">
        <v>35</v>
      </c>
      <c r="C129" s="121">
        <v>1</v>
      </c>
      <c r="D129" s="106"/>
      <c r="E129" s="92">
        <f>C129*R129</f>
        <v>0.64990363636363635</v>
      </c>
      <c r="F129" s="98">
        <f>VLOOKUP(A129,ГрафикЖД!$B$4:$C$55,2,0)</f>
        <v>22000</v>
      </c>
      <c r="G129" s="99">
        <f>E129*F129</f>
        <v>14297.88</v>
      </c>
      <c r="H129" s="106"/>
      <c r="I129" s="100">
        <f>C123/E129*C129</f>
        <v>19298.245614035088</v>
      </c>
      <c r="J129" s="207">
        <f>C123/1000*0.57/C129/11</f>
        <v>0.64990363636363635</v>
      </c>
      <c r="K129" s="100"/>
      <c r="L129" s="100"/>
      <c r="M129" s="122"/>
      <c r="N129" s="100"/>
      <c r="O129" s="100"/>
      <c r="P129" s="100"/>
      <c r="Q129" s="122"/>
      <c r="R129" s="248">
        <f>SUM(J129:Q129)</f>
        <v>0.64990363636363635</v>
      </c>
    </row>
    <row r="130" spans="1:18" s="244" customFormat="1" ht="42.75" customHeight="1" x14ac:dyDescent="0.2">
      <c r="A130" s="409" t="s">
        <v>439</v>
      </c>
      <c r="B130" s="378" t="s">
        <v>34</v>
      </c>
      <c r="C130" s="196">
        <v>76845</v>
      </c>
      <c r="D130" s="194"/>
      <c r="E130" s="216">
        <f>E133</f>
        <v>0</v>
      </c>
      <c r="F130" s="197">
        <f>G130/C130</f>
        <v>657.63082089552245</v>
      </c>
      <c r="G130" s="194">
        <f>G131+G133+G136</f>
        <v>50535640.43171642</v>
      </c>
      <c r="H130" s="194"/>
      <c r="I130" s="195"/>
      <c r="J130" s="216">
        <f>J134*$I134</f>
        <v>0</v>
      </c>
      <c r="K130" s="216">
        <f t="shared" ref="K130:Q130" si="10">K133*$I133</f>
        <v>0</v>
      </c>
      <c r="L130" s="216">
        <f t="shared" si="10"/>
        <v>0</v>
      </c>
      <c r="M130" s="216">
        <f t="shared" si="10"/>
        <v>0</v>
      </c>
      <c r="N130" s="216">
        <f t="shared" si="10"/>
        <v>0</v>
      </c>
      <c r="O130" s="216">
        <f t="shared" si="10"/>
        <v>0</v>
      </c>
      <c r="P130" s="216">
        <f t="shared" si="10"/>
        <v>0</v>
      </c>
      <c r="Q130" s="216">
        <f t="shared" si="10"/>
        <v>0</v>
      </c>
      <c r="R130" s="285">
        <f>SUM(J130:Q130)</f>
        <v>0</v>
      </c>
    </row>
    <row r="131" spans="1:18" s="244" customFormat="1" ht="20.25" customHeight="1" x14ac:dyDescent="0.25">
      <c r="A131" s="463" t="s">
        <v>167</v>
      </c>
      <c r="B131" s="374"/>
      <c r="C131" s="93"/>
      <c r="D131" s="93"/>
      <c r="E131" s="93"/>
      <c r="F131" s="94"/>
      <c r="G131" s="94">
        <f>G132</f>
        <v>44185875</v>
      </c>
      <c r="H131" s="95"/>
      <c r="I131" s="93"/>
      <c r="J131" s="95"/>
      <c r="K131" s="95"/>
      <c r="L131" s="95"/>
      <c r="M131" s="95"/>
      <c r="N131" s="95"/>
      <c r="O131" s="95"/>
      <c r="P131" s="95"/>
      <c r="Q131" s="95"/>
      <c r="R131" s="245"/>
    </row>
    <row r="132" spans="1:18" s="244" customFormat="1" ht="20.25" customHeight="1" x14ac:dyDescent="0.2">
      <c r="A132" s="445" t="s">
        <v>423</v>
      </c>
      <c r="B132" s="365" t="s">
        <v>34</v>
      </c>
      <c r="C132" s="110">
        <f>C130*1.15</f>
        <v>88371.75</v>
      </c>
      <c r="D132" s="109"/>
      <c r="E132" s="109"/>
      <c r="F132" s="110">
        <v>500</v>
      </c>
      <c r="G132" s="110">
        <f>C132*F132</f>
        <v>44185875</v>
      </c>
      <c r="H132" s="105"/>
      <c r="I132" s="109"/>
      <c r="J132" s="105"/>
      <c r="K132" s="105"/>
      <c r="L132" s="105"/>
      <c r="M132" s="105"/>
      <c r="N132" s="105"/>
      <c r="O132" s="105"/>
      <c r="P132" s="105"/>
      <c r="Q132" s="105"/>
      <c r="R132" s="253"/>
    </row>
    <row r="133" spans="1:18" s="244" customFormat="1" ht="20.25" customHeight="1" x14ac:dyDescent="0.25">
      <c r="A133" s="462" t="s">
        <v>0</v>
      </c>
      <c r="B133" s="374"/>
      <c r="C133" s="93"/>
      <c r="D133" s="93"/>
      <c r="E133" s="93"/>
      <c r="F133" s="94"/>
      <c r="G133" s="94">
        <v>0</v>
      </c>
      <c r="H133" s="95"/>
      <c r="I133" s="93"/>
      <c r="J133" s="93"/>
      <c r="K133" s="93"/>
      <c r="L133" s="93"/>
      <c r="M133" s="93"/>
      <c r="N133" s="93"/>
      <c r="O133" s="93"/>
      <c r="P133" s="93"/>
      <c r="Q133" s="93"/>
      <c r="R133" s="247"/>
    </row>
    <row r="134" spans="1:18" s="272" customFormat="1" ht="15.75" customHeight="1" x14ac:dyDescent="0.25">
      <c r="A134" s="412" t="s">
        <v>260</v>
      </c>
      <c r="B134" s="365"/>
      <c r="C134" s="151"/>
      <c r="D134" s="97"/>
      <c r="E134" s="92"/>
      <c r="F134" s="98"/>
      <c r="G134" s="99"/>
      <c r="H134" s="97"/>
      <c r="I134" s="100"/>
      <c r="J134" s="107"/>
      <c r="K134" s="107"/>
      <c r="L134" s="107"/>
      <c r="M134" s="107"/>
      <c r="N134" s="107"/>
      <c r="O134" s="107"/>
      <c r="P134" s="107"/>
      <c r="Q134" s="107"/>
      <c r="R134" s="78"/>
    </row>
    <row r="135" spans="1:18" s="272" customFormat="1" ht="15.75" customHeight="1" x14ac:dyDescent="0.25">
      <c r="A135" s="412" t="s">
        <v>32</v>
      </c>
      <c r="B135" s="375"/>
      <c r="C135" s="99"/>
      <c r="D135" s="97"/>
      <c r="E135" s="97"/>
      <c r="F135" s="99"/>
      <c r="G135" s="99"/>
      <c r="H135" s="97"/>
      <c r="I135" s="97"/>
      <c r="J135" s="101"/>
      <c r="K135" s="101"/>
      <c r="L135" s="101"/>
      <c r="M135" s="101"/>
      <c r="N135" s="101"/>
      <c r="O135" s="101"/>
      <c r="P135" s="101"/>
      <c r="Q135" s="101"/>
      <c r="R135" s="102"/>
    </row>
    <row r="136" spans="1:18" s="244" customFormat="1" ht="20.25" customHeight="1" x14ac:dyDescent="0.25">
      <c r="A136" s="462" t="s">
        <v>1</v>
      </c>
      <c r="B136" s="374"/>
      <c r="C136" s="93"/>
      <c r="D136" s="93"/>
      <c r="E136" s="93"/>
      <c r="F136" s="94">
        <f>G136/C130</f>
        <v>82.63082089552239</v>
      </c>
      <c r="G136" s="94">
        <f>SUM(G137:G139)</f>
        <v>6349765.4317164179</v>
      </c>
      <c r="H136" s="95"/>
      <c r="I136" s="93"/>
      <c r="J136" s="103"/>
      <c r="K136" s="103"/>
      <c r="L136" s="103"/>
      <c r="M136" s="103"/>
      <c r="N136" s="103"/>
      <c r="O136" s="103"/>
      <c r="P136" s="103"/>
      <c r="Q136" s="103"/>
      <c r="R136" s="250"/>
    </row>
    <row r="137" spans="1:18" s="244" customFormat="1" ht="20.25" customHeight="1" x14ac:dyDescent="0.25">
      <c r="A137" s="415" t="s">
        <v>243</v>
      </c>
      <c r="B137" s="376" t="s">
        <v>35</v>
      </c>
      <c r="C137" s="121">
        <v>4</v>
      </c>
      <c r="D137" s="106"/>
      <c r="E137" s="92">
        <f>C137*R137</f>
        <v>229.38805970149255</v>
      </c>
      <c r="F137" s="98">
        <f>VLOOKUP(A137,ГрафикЖД!$B$4:$C$55,2,0)</f>
        <v>11000</v>
      </c>
      <c r="G137" s="99">
        <f>E137*F137</f>
        <v>2523268.656716418</v>
      </c>
      <c r="H137" s="106"/>
      <c r="I137" s="100">
        <f>C132/E137*C137</f>
        <v>1541</v>
      </c>
      <c r="J137" s="100">
        <f>C130/268/C137/2.5</f>
        <v>28.673507462686569</v>
      </c>
      <c r="K137" s="100">
        <f>C130/268/C137/2.5</f>
        <v>28.673507462686569</v>
      </c>
      <c r="L137" s="100"/>
      <c r="M137" s="122"/>
      <c r="N137" s="100"/>
      <c r="O137" s="100"/>
      <c r="P137" s="100"/>
      <c r="Q137" s="122"/>
      <c r="R137" s="248">
        <f>SUM(J137:Q137)</f>
        <v>57.347014925373138</v>
      </c>
    </row>
    <row r="138" spans="1:18" s="244" customFormat="1" ht="20.25" customHeight="1" x14ac:dyDescent="0.25">
      <c r="A138" s="415" t="s">
        <v>244</v>
      </c>
      <c r="B138" s="376" t="s">
        <v>35</v>
      </c>
      <c r="C138" s="121">
        <v>4</v>
      </c>
      <c r="D138" s="106"/>
      <c r="E138" s="92">
        <f>C138*R138</f>
        <v>188.5264</v>
      </c>
      <c r="F138" s="98">
        <f>VLOOKUP(A138,ГрафикЖД!$B$4:$C$55,2,0)</f>
        <v>16500</v>
      </c>
      <c r="G138" s="99">
        <f>E138*F138</f>
        <v>3110685.6</v>
      </c>
      <c r="H138" s="106"/>
      <c r="I138" s="100">
        <f>C132/E138*C138</f>
        <v>1875</v>
      </c>
      <c r="J138" s="100">
        <f>C132/375/C138/2.5</f>
        <v>23.565799999999999</v>
      </c>
      <c r="K138" s="100">
        <f>C132/375/C138/2.5</f>
        <v>23.565799999999999</v>
      </c>
      <c r="L138" s="100"/>
      <c r="M138" s="122"/>
      <c r="N138" s="100"/>
      <c r="O138" s="100"/>
      <c r="P138" s="100"/>
      <c r="Q138" s="122"/>
      <c r="R138" s="248">
        <f>SUM(J138:Q138)</f>
        <v>47.131599999999999</v>
      </c>
    </row>
    <row r="139" spans="1:18" s="244" customFormat="1" ht="20.25" customHeight="1" x14ac:dyDescent="0.25">
      <c r="A139" s="415" t="s">
        <v>357</v>
      </c>
      <c r="B139" s="376" t="s">
        <v>35</v>
      </c>
      <c r="C139" s="121">
        <v>4</v>
      </c>
      <c r="D139" s="106"/>
      <c r="E139" s="92">
        <f>C139*R139</f>
        <v>34.705996363636366</v>
      </c>
      <c r="F139" s="98">
        <f>VLOOKUP(A139,ГрафикЖД!$B$4:$C$55,2,0)</f>
        <v>20625</v>
      </c>
      <c r="G139" s="99">
        <f>E139*F139</f>
        <v>715811.17500000005</v>
      </c>
      <c r="H139" s="106"/>
      <c r="I139" s="100">
        <f>C132/E139*C139</f>
        <v>10185.185185185184</v>
      </c>
      <c r="J139" s="100">
        <f>C132/1000*5.4/C139/11/2.5</f>
        <v>4.3382495454545458</v>
      </c>
      <c r="K139" s="100">
        <f>C132/1000*5.4/C139/11/2.5</f>
        <v>4.3382495454545458</v>
      </c>
      <c r="L139" s="100"/>
      <c r="M139" s="122"/>
      <c r="N139" s="100"/>
      <c r="O139" s="100"/>
      <c r="P139" s="100"/>
      <c r="Q139" s="122"/>
      <c r="R139" s="248">
        <f>SUM(J139:Q139)</f>
        <v>8.6764990909090915</v>
      </c>
    </row>
    <row r="140" spans="1:18" s="244" customFormat="1" ht="27.75" customHeight="1" x14ac:dyDescent="0.2">
      <c r="A140" s="409" t="s">
        <v>356</v>
      </c>
      <c r="B140" s="378" t="s">
        <v>34</v>
      </c>
      <c r="C140" s="196">
        <v>7484</v>
      </c>
      <c r="D140" s="194"/>
      <c r="E140" s="216">
        <f>E144</f>
        <v>8.3004363636363632</v>
      </c>
      <c r="F140" s="197" t="e">
        <f>G140/C140</f>
        <v>#N/A</v>
      </c>
      <c r="G140" s="194" t="e">
        <f>G141+G143+G146</f>
        <v>#N/A</v>
      </c>
      <c r="H140" s="194"/>
      <c r="I140" s="195"/>
      <c r="J140" s="216">
        <f>J144*$I144</f>
        <v>8606.5999999999985</v>
      </c>
      <c r="K140" s="216">
        <f t="shared" ref="K140:Q140" si="11">K143*$I143</f>
        <v>0</v>
      </c>
      <c r="L140" s="216">
        <f t="shared" si="11"/>
        <v>0</v>
      </c>
      <c r="M140" s="216">
        <f t="shared" si="11"/>
        <v>0</v>
      </c>
      <c r="N140" s="216">
        <f t="shared" si="11"/>
        <v>0</v>
      </c>
      <c r="O140" s="216">
        <f t="shared" si="11"/>
        <v>0</v>
      </c>
      <c r="P140" s="216">
        <f t="shared" si="11"/>
        <v>0</v>
      </c>
      <c r="Q140" s="216">
        <f t="shared" si="11"/>
        <v>0</v>
      </c>
      <c r="R140" s="285">
        <f>SUM(J140:Q140)</f>
        <v>8606.5999999999985</v>
      </c>
    </row>
    <row r="141" spans="1:18" s="244" customFormat="1" ht="20.25" customHeight="1" x14ac:dyDescent="0.25">
      <c r="A141" s="463" t="s">
        <v>167</v>
      </c>
      <c r="B141" s="374"/>
      <c r="C141" s="93"/>
      <c r="D141" s="93"/>
      <c r="E141" s="93"/>
      <c r="F141" s="317"/>
      <c r="G141" s="317">
        <f>G142</f>
        <v>0</v>
      </c>
      <c r="H141" s="95"/>
      <c r="I141" s="93"/>
      <c r="J141" s="95"/>
      <c r="K141" s="95"/>
      <c r="L141" s="95"/>
      <c r="M141" s="95"/>
      <c r="N141" s="95"/>
      <c r="O141" s="95"/>
      <c r="P141" s="95"/>
      <c r="Q141" s="95"/>
      <c r="R141" s="245"/>
    </row>
    <row r="142" spans="1:18" s="244" customFormat="1" ht="20.25" customHeight="1" x14ac:dyDescent="0.2">
      <c r="A142" s="464" t="s">
        <v>424</v>
      </c>
      <c r="B142" s="380" t="s">
        <v>34</v>
      </c>
      <c r="C142" s="208">
        <f>C140*1.15</f>
        <v>8606.5999999999985</v>
      </c>
      <c r="D142" s="173"/>
      <c r="E142" s="173"/>
      <c r="F142" s="208">
        <v>0</v>
      </c>
      <c r="G142" s="208">
        <f>C142*F142</f>
        <v>0</v>
      </c>
      <c r="H142" s="105"/>
      <c r="I142" s="109"/>
      <c r="J142" s="105"/>
      <c r="K142" s="105"/>
      <c r="L142" s="105"/>
      <c r="M142" s="105"/>
      <c r="N142" s="105"/>
      <c r="O142" s="105"/>
      <c r="P142" s="105"/>
      <c r="Q142" s="105"/>
      <c r="R142" s="253"/>
    </row>
    <row r="143" spans="1:18" s="244" customFormat="1" ht="20.25" customHeight="1" x14ac:dyDescent="0.25">
      <c r="A143" s="462" t="s">
        <v>0</v>
      </c>
      <c r="B143" s="374"/>
      <c r="C143" s="93"/>
      <c r="D143" s="93"/>
      <c r="E143" s="93"/>
      <c r="F143" s="317" t="e">
        <f>G143/C140</f>
        <v>#N/A</v>
      </c>
      <c r="G143" s="317" t="e">
        <f>SUM(G144:G145)</f>
        <v>#N/A</v>
      </c>
      <c r="H143" s="95"/>
      <c r="I143" s="93"/>
      <c r="J143" s="93"/>
      <c r="K143" s="93"/>
      <c r="L143" s="93"/>
      <c r="M143" s="93"/>
      <c r="N143" s="93"/>
      <c r="O143" s="93"/>
      <c r="P143" s="93"/>
      <c r="Q143" s="93"/>
      <c r="R143" s="247"/>
    </row>
    <row r="144" spans="1:18" s="244" customFormat="1" ht="20.25" customHeight="1" x14ac:dyDescent="0.2">
      <c r="A144" s="412" t="s">
        <v>260</v>
      </c>
      <c r="B144" s="365" t="s">
        <v>33</v>
      </c>
      <c r="C144" s="151">
        <v>2</v>
      </c>
      <c r="D144" s="97"/>
      <c r="E144" s="92">
        <f>C144*R144</f>
        <v>8.3004363636363632</v>
      </c>
      <c r="F144" s="98" t="e">
        <f>VLOOKUP(A144,ГрафикЖД!$B$4:$C$55,2,0)</f>
        <v>#N/A</v>
      </c>
      <c r="G144" s="99" t="e">
        <f>E144*F144</f>
        <v>#N/A</v>
      </c>
      <c r="H144" s="97"/>
      <c r="I144" s="193">
        <f>C142/E144*C144</f>
        <v>2073.7704918032787</v>
      </c>
      <c r="J144" s="77">
        <f>C140*12.2/1000/C144/11</f>
        <v>4.1502181818181816</v>
      </c>
      <c r="K144" s="77"/>
      <c r="L144" s="77"/>
      <c r="M144" s="77"/>
      <c r="N144" s="77"/>
      <c r="O144" s="77"/>
      <c r="P144" s="77"/>
      <c r="Q144" s="77"/>
      <c r="R144" s="78">
        <f>SUM(J144:Q144)</f>
        <v>4.1502181818181816</v>
      </c>
    </row>
    <row r="145" spans="1:18" s="244" customFormat="1" ht="20.25" customHeight="1" x14ac:dyDescent="0.2">
      <c r="A145" s="412" t="s">
        <v>32</v>
      </c>
      <c r="B145" s="375"/>
      <c r="C145" s="99"/>
      <c r="D145" s="97"/>
      <c r="E145" s="97"/>
      <c r="F145" s="99"/>
      <c r="G145" s="99" t="e">
        <f>G144*30.9%</f>
        <v>#N/A</v>
      </c>
      <c r="H145" s="97"/>
      <c r="I145" s="97"/>
      <c r="J145" s="101"/>
      <c r="K145" s="101"/>
      <c r="L145" s="101"/>
      <c r="M145" s="101"/>
      <c r="N145" s="101"/>
      <c r="O145" s="101"/>
      <c r="P145" s="101"/>
      <c r="Q145" s="101"/>
      <c r="R145" s="249"/>
    </row>
    <row r="146" spans="1:18" s="244" customFormat="1" ht="20.25" customHeight="1" x14ac:dyDescent="0.25">
      <c r="A146" s="462" t="s">
        <v>1</v>
      </c>
      <c r="B146" s="374"/>
      <c r="C146" s="93"/>
      <c r="D146" s="93"/>
      <c r="E146" s="93"/>
      <c r="F146" s="317">
        <f>G146/C140</f>
        <v>209.7324741324054</v>
      </c>
      <c r="G146" s="317">
        <f>SUM(G147:G151)</f>
        <v>1569637.836406922</v>
      </c>
      <c r="H146" s="95"/>
      <c r="I146" s="93"/>
      <c r="J146" s="103"/>
      <c r="K146" s="103"/>
      <c r="L146" s="103"/>
      <c r="M146" s="103"/>
      <c r="N146" s="103"/>
      <c r="O146" s="103"/>
      <c r="P146" s="103"/>
      <c r="Q146" s="103"/>
      <c r="R146" s="250"/>
    </row>
    <row r="147" spans="1:18" s="244" customFormat="1" ht="20.25" customHeight="1" x14ac:dyDescent="0.25">
      <c r="A147" s="415" t="s">
        <v>246</v>
      </c>
      <c r="B147" s="376" t="s">
        <v>35</v>
      </c>
      <c r="C147" s="121">
        <v>1</v>
      </c>
      <c r="D147" s="106"/>
      <c r="E147" s="92">
        <f>C147*R147</f>
        <v>10.560245398773004</v>
      </c>
      <c r="F147" s="98">
        <f>VLOOKUP(A147,ГрафикЖД!$B$4:$C$55,2,0)</f>
        <v>18000</v>
      </c>
      <c r="G147" s="99">
        <f>E147*F147</f>
        <v>190084.41717791406</v>
      </c>
      <c r="H147" s="106"/>
      <c r="I147" s="100">
        <f>C138/E147*C147</f>
        <v>0.37877907652266873</v>
      </c>
      <c r="J147" s="100">
        <f>C142/815/C147</f>
        <v>10.560245398773004</v>
      </c>
      <c r="K147" s="100"/>
      <c r="L147" s="100"/>
      <c r="M147" s="122"/>
      <c r="N147" s="100"/>
      <c r="O147" s="100"/>
      <c r="P147" s="100"/>
      <c r="Q147" s="122"/>
      <c r="R147" s="248">
        <f t="shared" ref="R147:R152" si="12">SUM(J147:Q147)</f>
        <v>10.560245398773004</v>
      </c>
    </row>
    <row r="148" spans="1:18" s="244" customFormat="1" ht="20.25" customHeight="1" x14ac:dyDescent="0.25">
      <c r="A148" s="415" t="s">
        <v>241</v>
      </c>
      <c r="B148" s="376" t="s">
        <v>35</v>
      </c>
      <c r="C148" s="121">
        <v>1</v>
      </c>
      <c r="D148" s="106"/>
      <c r="E148" s="92">
        <f>C148*R148</f>
        <v>10.560245398773004</v>
      </c>
      <c r="F148" s="98">
        <f>VLOOKUP(A148,ГрафикЖД!$B$4:$C$55,2,0)</f>
        <v>16500</v>
      </c>
      <c r="G148" s="99">
        <f>E148*F148</f>
        <v>174244.04907975456</v>
      </c>
      <c r="H148" s="106"/>
      <c r="I148" s="100">
        <f>C139/E148*C148</f>
        <v>0.37877907652266873</v>
      </c>
      <c r="J148" s="100">
        <f>J147</f>
        <v>10.560245398773004</v>
      </c>
      <c r="K148" s="100"/>
      <c r="L148" s="100"/>
      <c r="M148" s="122"/>
      <c r="N148" s="100"/>
      <c r="O148" s="100"/>
      <c r="P148" s="100"/>
      <c r="Q148" s="122"/>
      <c r="R148" s="248">
        <f t="shared" si="12"/>
        <v>10.560245398773004</v>
      </c>
    </row>
    <row r="149" spans="1:18" s="244" customFormat="1" ht="20.25" customHeight="1" x14ac:dyDescent="0.25">
      <c r="A149" s="415" t="s">
        <v>243</v>
      </c>
      <c r="B149" s="376" t="s">
        <v>35</v>
      </c>
      <c r="C149" s="121">
        <v>1</v>
      </c>
      <c r="D149" s="106"/>
      <c r="E149" s="92">
        <f>C149*R149</f>
        <v>32.114179104477607</v>
      </c>
      <c r="F149" s="98">
        <f>VLOOKUP(A149,ГрафикЖД!$B$4:$C$55,2,0)</f>
        <v>11000</v>
      </c>
      <c r="G149" s="99">
        <f>E149*F149</f>
        <v>353255.97014925367</v>
      </c>
      <c r="H149" s="106"/>
      <c r="I149" s="100">
        <f>C140/E149*C149</f>
        <v>233.04347826086959</v>
      </c>
      <c r="J149" s="100">
        <f>C142/268/C149</f>
        <v>32.114179104477607</v>
      </c>
      <c r="K149" s="100"/>
      <c r="L149" s="100"/>
      <c r="M149" s="122"/>
      <c r="N149" s="100"/>
      <c r="O149" s="100"/>
      <c r="P149" s="100"/>
      <c r="Q149" s="122"/>
      <c r="R149" s="248">
        <f t="shared" si="12"/>
        <v>32.114179104477607</v>
      </c>
    </row>
    <row r="150" spans="1:18" s="244" customFormat="1" ht="20.25" customHeight="1" x14ac:dyDescent="0.25">
      <c r="A150" s="415" t="s">
        <v>244</v>
      </c>
      <c r="B150" s="376" t="s">
        <v>35</v>
      </c>
      <c r="C150" s="121">
        <v>1</v>
      </c>
      <c r="D150" s="106"/>
      <c r="E150" s="92">
        <f>C150*R150</f>
        <v>22.950933333333328</v>
      </c>
      <c r="F150" s="98">
        <f>VLOOKUP(A150,ГрафикЖД!$B$4:$C$55,2,0)</f>
        <v>16500</v>
      </c>
      <c r="G150" s="99">
        <f>E150*F150</f>
        <v>378690.39999999991</v>
      </c>
      <c r="H150" s="106"/>
      <c r="I150" s="100">
        <f>C142/E150*C150</f>
        <v>375</v>
      </c>
      <c r="J150" s="100">
        <f>C142/375/C150</f>
        <v>22.950933333333328</v>
      </c>
      <c r="K150" s="100"/>
      <c r="L150" s="100"/>
      <c r="M150" s="122"/>
      <c r="N150" s="100"/>
      <c r="O150" s="100"/>
      <c r="P150" s="100"/>
      <c r="Q150" s="122"/>
      <c r="R150" s="248">
        <f t="shared" si="12"/>
        <v>22.950933333333328</v>
      </c>
    </row>
    <row r="151" spans="1:18" s="244" customFormat="1" ht="20.25" customHeight="1" x14ac:dyDescent="0.25">
      <c r="A151" s="465" t="s">
        <v>357</v>
      </c>
      <c r="B151" s="381" t="s">
        <v>35</v>
      </c>
      <c r="C151" s="337">
        <v>1</v>
      </c>
      <c r="D151" s="338"/>
      <c r="E151" s="334">
        <f>C151*R151</f>
        <v>22.950933333333328</v>
      </c>
      <c r="F151" s="319">
        <f>VLOOKUP(A151,ГрафикЖД!$B$4:$C$55,2,0)</f>
        <v>20625</v>
      </c>
      <c r="G151" s="335">
        <f>E151*F151</f>
        <v>473362.99999999988</v>
      </c>
      <c r="H151" s="338"/>
      <c r="I151" s="336">
        <f>C142/E151*C151</f>
        <v>375</v>
      </c>
      <c r="J151" s="336">
        <f>J150</f>
        <v>22.950933333333328</v>
      </c>
      <c r="K151" s="100"/>
      <c r="L151" s="100"/>
      <c r="M151" s="122"/>
      <c r="N151" s="100"/>
      <c r="O151" s="100"/>
      <c r="P151" s="100"/>
      <c r="Q151" s="122"/>
      <c r="R151" s="248">
        <f t="shared" si="12"/>
        <v>22.950933333333328</v>
      </c>
    </row>
    <row r="152" spans="1:18" s="244" customFormat="1" ht="48" customHeight="1" x14ac:dyDescent="0.2">
      <c r="A152" s="409" t="s">
        <v>440</v>
      </c>
      <c r="B152" s="378" t="s">
        <v>55</v>
      </c>
      <c r="C152" s="196">
        <v>31310</v>
      </c>
      <c r="D152" s="194"/>
      <c r="E152" s="216">
        <f>E155</f>
        <v>177.38538181818183</v>
      </c>
      <c r="F152" s="194" t="e">
        <f>G152/C152</f>
        <v>#N/A</v>
      </c>
      <c r="G152" s="194" t="e">
        <f>G153+G154+G157</f>
        <v>#N/A</v>
      </c>
      <c r="H152" s="194"/>
      <c r="I152" s="326"/>
      <c r="J152" s="216">
        <f>J155*$I155</f>
        <v>31310.000000000004</v>
      </c>
      <c r="K152" s="216">
        <f t="shared" ref="K152:Q152" si="13">K154*$I154</f>
        <v>0</v>
      </c>
      <c r="L152" s="216">
        <f t="shared" si="13"/>
        <v>0</v>
      </c>
      <c r="M152" s="216">
        <f t="shared" si="13"/>
        <v>0</v>
      </c>
      <c r="N152" s="216">
        <f t="shared" si="13"/>
        <v>0</v>
      </c>
      <c r="O152" s="216">
        <f t="shared" si="13"/>
        <v>0</v>
      </c>
      <c r="P152" s="216">
        <f t="shared" si="13"/>
        <v>0</v>
      </c>
      <c r="Q152" s="216">
        <f t="shared" si="13"/>
        <v>0</v>
      </c>
      <c r="R152" s="285">
        <f t="shared" si="12"/>
        <v>31310.000000000004</v>
      </c>
    </row>
    <row r="153" spans="1:18" s="244" customFormat="1" ht="20.25" customHeight="1" x14ac:dyDescent="0.25">
      <c r="A153" s="463" t="s">
        <v>167</v>
      </c>
      <c r="B153" s="374"/>
      <c r="C153" s="93"/>
      <c r="D153" s="93"/>
      <c r="E153" s="93"/>
      <c r="F153" s="327"/>
      <c r="G153" s="327">
        <f>0</f>
        <v>0</v>
      </c>
      <c r="H153" s="95"/>
      <c r="I153" s="93"/>
      <c r="J153" s="95"/>
      <c r="K153" s="95"/>
      <c r="L153" s="95"/>
      <c r="M153" s="95"/>
      <c r="N153" s="95"/>
      <c r="O153" s="95"/>
      <c r="P153" s="95"/>
      <c r="Q153" s="95"/>
      <c r="R153" s="245"/>
    </row>
    <row r="154" spans="1:18" s="244" customFormat="1" ht="20.25" customHeight="1" x14ac:dyDescent="0.25">
      <c r="A154" s="462" t="s">
        <v>0</v>
      </c>
      <c r="B154" s="374"/>
      <c r="C154" s="93"/>
      <c r="D154" s="93"/>
      <c r="E154" s="93"/>
      <c r="F154" s="327"/>
      <c r="G154" s="327" t="e">
        <f>SUM(G155:G156)</f>
        <v>#N/A</v>
      </c>
      <c r="H154" s="95"/>
      <c r="I154" s="93"/>
      <c r="J154" s="93"/>
      <c r="K154" s="93"/>
      <c r="L154" s="93"/>
      <c r="M154" s="93"/>
      <c r="N154" s="93"/>
      <c r="O154" s="93"/>
      <c r="P154" s="93"/>
      <c r="Q154" s="93"/>
      <c r="R154" s="247"/>
    </row>
    <row r="155" spans="1:18" s="244" customFormat="1" ht="20.25" customHeight="1" x14ac:dyDescent="0.2">
      <c r="A155" s="412" t="s">
        <v>260</v>
      </c>
      <c r="B155" s="365" t="s">
        <v>33</v>
      </c>
      <c r="C155" s="151">
        <v>15</v>
      </c>
      <c r="D155" s="97"/>
      <c r="E155" s="92">
        <f>C155*R155</f>
        <v>177.38538181818183</v>
      </c>
      <c r="F155" s="110" t="e">
        <f>VLOOKUP(A155,ГрафикЖД!$B$4:$C$55,2,0)</f>
        <v>#N/A</v>
      </c>
      <c r="G155" s="99" t="e">
        <f>E155*F155</f>
        <v>#N/A</v>
      </c>
      <c r="H155" s="97"/>
      <c r="I155" s="193">
        <f>C152/E155*C155</f>
        <v>2647.6251604621311</v>
      </c>
      <c r="J155" s="77">
        <f>C152/1000*62.32/C155/11</f>
        <v>11.825692121212121</v>
      </c>
      <c r="K155" s="77"/>
      <c r="L155" s="77"/>
      <c r="M155" s="77"/>
      <c r="N155" s="77"/>
      <c r="O155" s="77"/>
      <c r="P155" s="77"/>
      <c r="Q155" s="77"/>
      <c r="R155" s="78">
        <f>SUM(J155:Q155)</f>
        <v>11.825692121212121</v>
      </c>
    </row>
    <row r="156" spans="1:18" s="244" customFormat="1" ht="20.25" customHeight="1" x14ac:dyDescent="0.2">
      <c r="A156" s="412" t="s">
        <v>32</v>
      </c>
      <c r="B156" s="375"/>
      <c r="C156" s="99"/>
      <c r="D156" s="97"/>
      <c r="E156" s="97"/>
      <c r="F156" s="99"/>
      <c r="G156" s="99" t="e">
        <f>G155*30.9%</f>
        <v>#N/A</v>
      </c>
      <c r="H156" s="97"/>
      <c r="I156" s="97"/>
      <c r="J156" s="101"/>
      <c r="K156" s="101"/>
      <c r="L156" s="101"/>
      <c r="M156" s="101"/>
      <c r="N156" s="101"/>
      <c r="O156" s="101"/>
      <c r="P156" s="101"/>
      <c r="Q156" s="101"/>
      <c r="R156" s="249"/>
    </row>
    <row r="157" spans="1:18" s="244" customFormat="1" ht="20.25" customHeight="1" x14ac:dyDescent="0.25">
      <c r="A157" s="462" t="s">
        <v>1</v>
      </c>
      <c r="B157" s="374"/>
      <c r="C157" s="93"/>
      <c r="D157" s="93"/>
      <c r="E157" s="93"/>
      <c r="F157" s="327"/>
      <c r="G157" s="327">
        <f>SUM(G158:G161)</f>
        <v>655944.5</v>
      </c>
      <c r="H157" s="95"/>
      <c r="I157" s="93"/>
      <c r="J157" s="103"/>
      <c r="K157" s="103"/>
      <c r="L157" s="103"/>
      <c r="M157" s="103"/>
      <c r="N157" s="103"/>
      <c r="O157" s="103"/>
      <c r="P157" s="103"/>
      <c r="Q157" s="103"/>
      <c r="R157" s="250"/>
    </row>
    <row r="158" spans="1:18" s="244" customFormat="1" ht="20.25" customHeight="1" x14ac:dyDescent="0.25">
      <c r="A158" s="415" t="s">
        <v>242</v>
      </c>
      <c r="B158" s="376" t="s">
        <v>35</v>
      </c>
      <c r="C158" s="121">
        <v>1</v>
      </c>
      <c r="D158" s="106"/>
      <c r="E158" s="92">
        <f>C158*R158</f>
        <v>3.9849090909090905</v>
      </c>
      <c r="F158" s="98">
        <f>VLOOKUP(A158,ГрафикЖД!$B$4:$C$55,2,0)</f>
        <v>19250</v>
      </c>
      <c r="G158" s="99">
        <f>E158*F158</f>
        <v>76709.499999999985</v>
      </c>
      <c r="H158" s="106"/>
      <c r="I158" s="100">
        <f>C152/E158*C158</f>
        <v>7857.1428571428578</v>
      </c>
      <c r="J158" s="100">
        <f>C152/1000*1.4/C158/11</f>
        <v>3.9849090909090905</v>
      </c>
      <c r="K158" s="100"/>
      <c r="L158" s="100"/>
      <c r="M158" s="122"/>
      <c r="N158" s="100"/>
      <c r="O158" s="100"/>
      <c r="P158" s="100"/>
      <c r="Q158" s="122"/>
      <c r="R158" s="248">
        <f>SUM(J158:Q158)</f>
        <v>3.9849090909090905</v>
      </c>
    </row>
    <row r="159" spans="1:18" s="244" customFormat="1" ht="20.25" customHeight="1" x14ac:dyDescent="0.25">
      <c r="A159" s="415" t="s">
        <v>240</v>
      </c>
      <c r="B159" s="376" t="s">
        <v>35</v>
      </c>
      <c r="C159" s="121">
        <v>2</v>
      </c>
      <c r="D159" s="106"/>
      <c r="E159" s="92">
        <f>C159*R159</f>
        <v>22.77090909090909</v>
      </c>
      <c r="F159" s="98">
        <f>VLOOKUP(A159,ГрафикЖД!$B$4:$C$55,2,0)</f>
        <v>20900</v>
      </c>
      <c r="G159" s="99">
        <f>E159*F159</f>
        <v>475912</v>
      </c>
      <c r="H159" s="106"/>
      <c r="I159" s="100">
        <f>C152/E159*C159</f>
        <v>2750</v>
      </c>
      <c r="J159" s="100">
        <f>C152/1000*8/C159/11</f>
        <v>11.385454545454545</v>
      </c>
      <c r="K159" s="100"/>
      <c r="L159" s="100"/>
      <c r="M159" s="122"/>
      <c r="N159" s="100"/>
      <c r="O159" s="100"/>
      <c r="P159" s="100"/>
      <c r="Q159" s="122"/>
      <c r="R159" s="248">
        <f>SUM(J159:Q159)</f>
        <v>11.385454545454545</v>
      </c>
    </row>
    <row r="160" spans="1:18" s="244" customFormat="1" ht="20.25" customHeight="1" x14ac:dyDescent="0.25">
      <c r="A160" s="415" t="s">
        <v>357</v>
      </c>
      <c r="B160" s="376" t="s">
        <v>35</v>
      </c>
      <c r="C160" s="121">
        <v>1</v>
      </c>
      <c r="D160" s="106"/>
      <c r="E160" s="92">
        <f>C160*R160</f>
        <v>3.9849090909090905</v>
      </c>
      <c r="F160" s="110">
        <f>VLOOKUP(A160,ГрафикЖД!$B$4:$C$55,2,0)</f>
        <v>20625</v>
      </c>
      <c r="G160" s="99">
        <f>E160*F160</f>
        <v>82188.749999999985</v>
      </c>
      <c r="H160" s="106"/>
      <c r="I160" s="100">
        <f>C152/E160*C160</f>
        <v>7857.1428571428578</v>
      </c>
      <c r="J160" s="100">
        <f>C152/1000*1.4/C160/11</f>
        <v>3.9849090909090905</v>
      </c>
      <c r="K160" s="100"/>
      <c r="L160" s="100"/>
      <c r="M160" s="122"/>
      <c r="N160" s="100"/>
      <c r="O160" s="100"/>
      <c r="P160" s="100"/>
      <c r="Q160" s="122"/>
      <c r="R160" s="248">
        <f>SUM(J160:Q160)</f>
        <v>3.9849090909090905</v>
      </c>
    </row>
    <row r="161" spans="1:18" s="244" customFormat="1" ht="20.25" customHeight="1" x14ac:dyDescent="0.25">
      <c r="A161" s="415" t="s">
        <v>441</v>
      </c>
      <c r="B161" s="376" t="s">
        <v>35</v>
      </c>
      <c r="C161" s="121">
        <v>1</v>
      </c>
      <c r="D161" s="106"/>
      <c r="E161" s="92">
        <f>C161*R161</f>
        <v>1.2808636363636363</v>
      </c>
      <c r="F161" s="110">
        <f>VLOOKUP(A161,ГрафикЖД!$B$4:$C$55,2,0)</f>
        <v>16500</v>
      </c>
      <c r="G161" s="99">
        <f>E161*F161</f>
        <v>21134.25</v>
      </c>
      <c r="H161" s="106"/>
      <c r="I161" s="100">
        <f>C152/E161*C161</f>
        <v>24444.444444444445</v>
      </c>
      <c r="J161" s="100">
        <f>C152/1000*0.45/C161/11</f>
        <v>1.2808636363636363</v>
      </c>
      <c r="K161" s="100"/>
      <c r="L161" s="100"/>
      <c r="M161" s="122"/>
      <c r="N161" s="100"/>
      <c r="O161" s="100"/>
      <c r="P161" s="100"/>
      <c r="Q161" s="122"/>
      <c r="R161" s="248">
        <f>SUM(J161:Q161)</f>
        <v>1.2808636363636363</v>
      </c>
    </row>
    <row r="162" spans="1:18" s="244" customFormat="1" ht="30" customHeight="1" x14ac:dyDescent="0.2">
      <c r="A162" s="466" t="s">
        <v>422</v>
      </c>
      <c r="B162" s="372" t="s">
        <v>34</v>
      </c>
      <c r="C162" s="329">
        <f>C132+C142</f>
        <v>96978.35</v>
      </c>
      <c r="D162" s="143"/>
      <c r="E162" s="305"/>
      <c r="F162" s="143">
        <v>4.63</v>
      </c>
      <c r="G162" s="330">
        <f>C162*F162</f>
        <v>449009.76050000003</v>
      </c>
      <c r="H162" s="143"/>
      <c r="I162" s="329"/>
      <c r="J162" s="143"/>
      <c r="K162" s="329"/>
      <c r="L162" s="329"/>
      <c r="M162" s="328"/>
      <c r="N162" s="329"/>
      <c r="O162" s="329"/>
      <c r="P162" s="329"/>
      <c r="Q162" s="328"/>
      <c r="R162" s="331"/>
    </row>
    <row r="163" spans="1:18" s="244" customFormat="1" ht="36" customHeight="1" x14ac:dyDescent="0.2">
      <c r="A163" s="409" t="s">
        <v>431</v>
      </c>
      <c r="B163" s="378" t="s">
        <v>34</v>
      </c>
      <c r="C163" s="196">
        <f>280</f>
        <v>280</v>
      </c>
      <c r="D163" s="194"/>
      <c r="E163" s="216">
        <f>E166</f>
        <v>42.152727272727283</v>
      </c>
      <c r="F163" s="194" t="e">
        <f>G163/C163</f>
        <v>#N/A</v>
      </c>
      <c r="G163" s="194" t="e">
        <f>G164+G165+G168</f>
        <v>#N/A</v>
      </c>
      <c r="H163" s="194"/>
      <c r="I163" s="326"/>
      <c r="J163" s="216">
        <f>J166*$I166</f>
        <v>280</v>
      </c>
      <c r="K163" s="216">
        <f t="shared" ref="K163:Q163" si="14">K165*$I165</f>
        <v>0</v>
      </c>
      <c r="L163" s="216">
        <f t="shared" si="14"/>
        <v>0</v>
      </c>
      <c r="M163" s="216">
        <f t="shared" si="14"/>
        <v>0</v>
      </c>
      <c r="N163" s="216">
        <f t="shared" si="14"/>
        <v>0</v>
      </c>
      <c r="O163" s="216">
        <f t="shared" si="14"/>
        <v>0</v>
      </c>
      <c r="P163" s="216">
        <f t="shared" si="14"/>
        <v>0</v>
      </c>
      <c r="Q163" s="216">
        <f t="shared" si="14"/>
        <v>0</v>
      </c>
      <c r="R163" s="285">
        <f>SUM(J163:Q163)</f>
        <v>280</v>
      </c>
    </row>
    <row r="164" spans="1:18" s="244" customFormat="1" ht="20.25" customHeight="1" x14ac:dyDescent="0.25">
      <c r="A164" s="463" t="s">
        <v>167</v>
      </c>
      <c r="B164" s="374"/>
      <c r="C164" s="93"/>
      <c r="D164" s="93"/>
      <c r="E164" s="93"/>
      <c r="F164" s="324"/>
      <c r="G164" s="324">
        <f>0</f>
        <v>0</v>
      </c>
      <c r="H164" s="95"/>
      <c r="I164" s="93"/>
      <c r="J164" s="95"/>
      <c r="K164" s="95"/>
      <c r="L164" s="95"/>
      <c r="M164" s="95"/>
      <c r="N164" s="95"/>
      <c r="O164" s="95"/>
      <c r="P164" s="95"/>
      <c r="Q164" s="95"/>
      <c r="R164" s="245"/>
    </row>
    <row r="165" spans="1:18" s="244" customFormat="1" ht="20.25" customHeight="1" x14ac:dyDescent="0.25">
      <c r="A165" s="462" t="s">
        <v>0</v>
      </c>
      <c r="B165" s="374"/>
      <c r="C165" s="93"/>
      <c r="D165" s="93"/>
      <c r="E165" s="93"/>
      <c r="F165" s="324"/>
      <c r="G165" s="324" t="e">
        <f>SUM(G166:G167)</f>
        <v>#N/A</v>
      </c>
      <c r="H165" s="95"/>
      <c r="I165" s="93"/>
      <c r="J165" s="93"/>
      <c r="K165" s="93"/>
      <c r="L165" s="93"/>
      <c r="M165" s="93"/>
      <c r="N165" s="93"/>
      <c r="O165" s="93"/>
      <c r="P165" s="93"/>
      <c r="Q165" s="93"/>
      <c r="R165" s="247"/>
    </row>
    <row r="166" spans="1:18" s="244" customFormat="1" ht="20.25" customHeight="1" x14ac:dyDescent="0.2">
      <c r="A166" s="412" t="s">
        <v>260</v>
      </c>
      <c r="B166" s="365" t="s">
        <v>33</v>
      </c>
      <c r="C166" s="151">
        <v>12</v>
      </c>
      <c r="D166" s="97"/>
      <c r="E166" s="92">
        <f>C166*R166</f>
        <v>42.152727272727283</v>
      </c>
      <c r="F166" s="110" t="e">
        <f>VLOOKUP(A166,ГрафикЖД!$B$4:$C$55,2,0)</f>
        <v>#N/A</v>
      </c>
      <c r="G166" s="99" t="e">
        <f>E166*F166</f>
        <v>#N/A</v>
      </c>
      <c r="H166" s="97"/>
      <c r="I166" s="193">
        <f>C163/E166*C166</f>
        <v>79.71014492753622</v>
      </c>
      <c r="J166" s="77">
        <f>C163/1000*1656/C166/11</f>
        <v>3.5127272727272736</v>
      </c>
      <c r="K166" s="77"/>
      <c r="L166" s="77"/>
      <c r="M166" s="77"/>
      <c r="N166" s="77"/>
      <c r="O166" s="77"/>
      <c r="P166" s="77"/>
      <c r="Q166" s="77"/>
      <c r="R166" s="78">
        <f>SUM(J166:Q166)</f>
        <v>3.5127272727272736</v>
      </c>
    </row>
    <row r="167" spans="1:18" s="244" customFormat="1" ht="20.25" customHeight="1" x14ac:dyDescent="0.2">
      <c r="A167" s="412" t="s">
        <v>32</v>
      </c>
      <c r="B167" s="375"/>
      <c r="C167" s="99"/>
      <c r="D167" s="97"/>
      <c r="E167" s="97"/>
      <c r="F167" s="99"/>
      <c r="G167" s="99" t="e">
        <f>G166*30.9%</f>
        <v>#N/A</v>
      </c>
      <c r="H167" s="97"/>
      <c r="I167" s="97"/>
      <c r="J167" s="101"/>
      <c r="K167" s="101"/>
      <c r="L167" s="101"/>
      <c r="M167" s="101"/>
      <c r="N167" s="101"/>
      <c r="O167" s="101"/>
      <c r="P167" s="101"/>
      <c r="Q167" s="101"/>
      <c r="R167" s="249"/>
    </row>
    <row r="168" spans="1:18" s="244" customFormat="1" ht="20.25" customHeight="1" x14ac:dyDescent="0.25">
      <c r="A168" s="462" t="s">
        <v>1</v>
      </c>
      <c r="B168" s="374"/>
      <c r="C168" s="93"/>
      <c r="D168" s="93"/>
      <c r="E168" s="93"/>
      <c r="F168" s="324">
        <f>G168/C163</f>
        <v>246.41577060931903</v>
      </c>
      <c r="G168" s="324">
        <f>SUM(G169:G170)</f>
        <v>68996.415770609325</v>
      </c>
      <c r="H168" s="95"/>
      <c r="I168" s="93"/>
      <c r="J168" s="103"/>
      <c r="K168" s="103"/>
      <c r="L168" s="103"/>
      <c r="M168" s="103"/>
      <c r="N168" s="103"/>
      <c r="O168" s="103"/>
      <c r="P168" s="103"/>
      <c r="Q168" s="103"/>
      <c r="R168" s="250"/>
    </row>
    <row r="169" spans="1:18" s="244" customFormat="1" ht="20.25" customHeight="1" x14ac:dyDescent="0.25">
      <c r="A169" s="415" t="s">
        <v>242</v>
      </c>
      <c r="B169" s="376" t="s">
        <v>35</v>
      </c>
      <c r="C169" s="121">
        <v>1</v>
      </c>
      <c r="D169" s="106"/>
      <c r="E169" s="92">
        <f>C169*R169</f>
        <v>1.0035842293906809</v>
      </c>
      <c r="F169" s="110">
        <f>VLOOKUP(A169,ГрафикЖД!$B$4:$C$55,2,0)</f>
        <v>19250</v>
      </c>
      <c r="G169" s="99">
        <f>E169*F169</f>
        <v>19318.996415770609</v>
      </c>
      <c r="H169" s="106"/>
      <c r="I169" s="100">
        <f>C163/E169*C169</f>
        <v>279</v>
      </c>
      <c r="J169" s="97">
        <f>C163/279/C169</f>
        <v>1.0035842293906809</v>
      </c>
      <c r="K169" s="100"/>
      <c r="L169" s="100"/>
      <c r="M169" s="122"/>
      <c r="N169" s="100"/>
      <c r="O169" s="100"/>
      <c r="P169" s="100"/>
      <c r="Q169" s="122"/>
      <c r="R169" s="248">
        <f>SUM(J169:Q169)</f>
        <v>1.0035842293906809</v>
      </c>
    </row>
    <row r="170" spans="1:18" s="244" customFormat="1" ht="20.25" customHeight="1" x14ac:dyDescent="0.25">
      <c r="A170" s="415" t="s">
        <v>241</v>
      </c>
      <c r="B170" s="376" t="s">
        <v>35</v>
      </c>
      <c r="C170" s="121">
        <v>3</v>
      </c>
      <c r="D170" s="106"/>
      <c r="E170" s="92">
        <f>C170*R170</f>
        <v>3.010752688172043</v>
      </c>
      <c r="F170" s="110">
        <f>VLOOKUP(A170,ГрафикЖД!$B$4:$C$55,2,0)</f>
        <v>16500</v>
      </c>
      <c r="G170" s="99">
        <f>E170*F170</f>
        <v>49677.419354838712</v>
      </c>
      <c r="H170" s="106"/>
      <c r="I170" s="100">
        <f>C163/E170*C170</f>
        <v>279</v>
      </c>
      <c r="J170" s="97">
        <f>J169</f>
        <v>1.0035842293906809</v>
      </c>
      <c r="K170" s="100"/>
      <c r="L170" s="100"/>
      <c r="M170" s="122"/>
      <c r="N170" s="100"/>
      <c r="O170" s="100"/>
      <c r="P170" s="100"/>
      <c r="Q170" s="122"/>
      <c r="R170" s="248">
        <f>SUM(J170:Q170)</f>
        <v>1.0035842293906809</v>
      </c>
    </row>
    <row r="171" spans="1:18" s="244" customFormat="1" ht="36" customHeight="1" x14ac:dyDescent="0.2">
      <c r="A171" s="409" t="s">
        <v>432</v>
      </c>
      <c r="B171" s="378" t="s">
        <v>34</v>
      </c>
      <c r="C171" s="196">
        <f>156+6252+360+1129+242</f>
        <v>8139</v>
      </c>
      <c r="D171" s="194"/>
      <c r="E171" s="216">
        <f>E174</f>
        <v>492.63147272727275</v>
      </c>
      <c r="F171" s="194" t="e">
        <f>G171/C171</f>
        <v>#N/A</v>
      </c>
      <c r="G171" s="194" t="e">
        <f>G172+G173+G176</f>
        <v>#N/A</v>
      </c>
      <c r="H171" s="194"/>
      <c r="I171" s="326"/>
      <c r="J171" s="216">
        <f>J174*$I174</f>
        <v>8139.0000000000009</v>
      </c>
      <c r="K171" s="216">
        <f t="shared" ref="K171:Q171" si="15">K173*$I173</f>
        <v>0</v>
      </c>
      <c r="L171" s="216">
        <f t="shared" si="15"/>
        <v>0</v>
      </c>
      <c r="M171" s="216">
        <f t="shared" si="15"/>
        <v>0</v>
      </c>
      <c r="N171" s="216">
        <f t="shared" si="15"/>
        <v>0</v>
      </c>
      <c r="O171" s="216">
        <f t="shared" si="15"/>
        <v>0</v>
      </c>
      <c r="P171" s="216">
        <f t="shared" si="15"/>
        <v>0</v>
      </c>
      <c r="Q171" s="216">
        <f t="shared" si="15"/>
        <v>0</v>
      </c>
      <c r="R171" s="285">
        <f>SUM(J171:Q171)</f>
        <v>8139.0000000000009</v>
      </c>
    </row>
    <row r="172" spans="1:18" s="244" customFormat="1" ht="20.25" customHeight="1" x14ac:dyDescent="0.25">
      <c r="A172" s="463" t="s">
        <v>167</v>
      </c>
      <c r="B172" s="374"/>
      <c r="C172" s="93"/>
      <c r="D172" s="93"/>
      <c r="E172" s="93"/>
      <c r="F172" s="324"/>
      <c r="G172" s="324">
        <f>0</f>
        <v>0</v>
      </c>
      <c r="H172" s="95"/>
      <c r="I172" s="93"/>
      <c r="J172" s="95"/>
      <c r="K172" s="95"/>
      <c r="L172" s="95"/>
      <c r="M172" s="95"/>
      <c r="N172" s="95"/>
      <c r="O172" s="95"/>
      <c r="P172" s="95"/>
      <c r="Q172" s="95"/>
      <c r="R172" s="245"/>
    </row>
    <row r="173" spans="1:18" s="244" customFormat="1" ht="20.25" customHeight="1" x14ac:dyDescent="0.25">
      <c r="A173" s="462" t="s">
        <v>0</v>
      </c>
      <c r="B173" s="374"/>
      <c r="C173" s="93"/>
      <c r="D173" s="93"/>
      <c r="E173" s="93"/>
      <c r="F173" s="324"/>
      <c r="G173" s="324" t="e">
        <f>SUM(G174:G175)</f>
        <v>#N/A</v>
      </c>
      <c r="H173" s="95"/>
      <c r="I173" s="93"/>
      <c r="J173" s="93"/>
      <c r="K173" s="93"/>
      <c r="L173" s="93"/>
      <c r="M173" s="93"/>
      <c r="N173" s="93"/>
      <c r="O173" s="93"/>
      <c r="P173" s="93"/>
      <c r="Q173" s="93"/>
      <c r="R173" s="247"/>
    </row>
    <row r="174" spans="1:18" s="244" customFormat="1" ht="20.25" customHeight="1" x14ac:dyDescent="0.2">
      <c r="A174" s="412" t="s">
        <v>260</v>
      </c>
      <c r="B174" s="365" t="s">
        <v>33</v>
      </c>
      <c r="C174" s="151">
        <v>20</v>
      </c>
      <c r="D174" s="97"/>
      <c r="E174" s="92">
        <f>C174*R174</f>
        <v>492.63147272727275</v>
      </c>
      <c r="F174" s="110" t="e">
        <f>VLOOKUP(A174,ГрафикЖД!$B$4:$C$55,2,0)</f>
        <v>#N/A</v>
      </c>
      <c r="G174" s="99" t="e">
        <f>E174*F174</f>
        <v>#N/A</v>
      </c>
      <c r="H174" s="97"/>
      <c r="I174" s="193">
        <f>C171/E174*C174</f>
        <v>330.42955842595376</v>
      </c>
      <c r="J174" s="77">
        <f>C171/100*66.58/C174/11</f>
        <v>24.631573636363637</v>
      </c>
      <c r="K174" s="77"/>
      <c r="L174" s="77"/>
      <c r="M174" s="77"/>
      <c r="N174" s="77"/>
      <c r="O174" s="77"/>
      <c r="P174" s="77"/>
      <c r="Q174" s="77"/>
      <c r="R174" s="78">
        <f>SUM(J174:Q174)</f>
        <v>24.631573636363637</v>
      </c>
    </row>
    <row r="175" spans="1:18" s="244" customFormat="1" ht="20.25" customHeight="1" x14ac:dyDescent="0.2">
      <c r="A175" s="412" t="s">
        <v>32</v>
      </c>
      <c r="B175" s="375"/>
      <c r="C175" s="99"/>
      <c r="D175" s="97"/>
      <c r="E175" s="97"/>
      <c r="F175" s="99"/>
      <c r="G175" s="99" t="e">
        <f>G174*30.9%</f>
        <v>#N/A</v>
      </c>
      <c r="H175" s="97"/>
      <c r="I175" s="97"/>
      <c r="J175" s="101"/>
      <c r="K175" s="101"/>
      <c r="L175" s="101"/>
      <c r="M175" s="101"/>
      <c r="N175" s="101"/>
      <c r="O175" s="101"/>
      <c r="P175" s="101"/>
      <c r="Q175" s="101"/>
      <c r="R175" s="249"/>
    </row>
    <row r="176" spans="1:18" s="244" customFormat="1" ht="20.25" customHeight="1" x14ac:dyDescent="0.25">
      <c r="A176" s="462" t="s">
        <v>1</v>
      </c>
      <c r="B176" s="374"/>
      <c r="C176" s="93"/>
      <c r="D176" s="93"/>
      <c r="E176" s="93"/>
      <c r="F176" s="324">
        <f>G176/C171</f>
        <v>67.794909090909087</v>
      </c>
      <c r="G176" s="324">
        <f>SUM(G177:G181)</f>
        <v>551782.76509090909</v>
      </c>
      <c r="H176" s="95"/>
      <c r="I176" s="93"/>
      <c r="J176" s="103"/>
      <c r="K176" s="103"/>
      <c r="L176" s="103"/>
      <c r="M176" s="103"/>
      <c r="N176" s="103"/>
      <c r="O176" s="103"/>
      <c r="P176" s="103"/>
      <c r="Q176" s="103"/>
      <c r="R176" s="250"/>
    </row>
    <row r="177" spans="1:18" s="244" customFormat="1" ht="20.25" customHeight="1" x14ac:dyDescent="0.25">
      <c r="A177" s="415" t="s">
        <v>243</v>
      </c>
      <c r="B177" s="376" t="s">
        <v>145</v>
      </c>
      <c r="C177" s="121">
        <v>1</v>
      </c>
      <c r="D177" s="106"/>
      <c r="E177" s="92">
        <f>C177*R177</f>
        <v>0.66591818181818185</v>
      </c>
      <c r="F177" s="110">
        <f>VLOOKUP(A177,ГрафикЖД!$B$4:$C$55,2,0)</f>
        <v>11000</v>
      </c>
      <c r="G177" s="99">
        <f>E177*F177</f>
        <v>7325.1</v>
      </c>
      <c r="H177" s="106"/>
      <c r="I177" s="100">
        <f>C171/E177*C177</f>
        <v>12222.222222222221</v>
      </c>
      <c r="J177" s="100">
        <f>C171/100*0.09/C177/11</f>
        <v>0.66591818181818185</v>
      </c>
      <c r="K177" s="100"/>
      <c r="L177" s="100"/>
      <c r="M177" s="122"/>
      <c r="N177" s="100"/>
      <c r="O177" s="100"/>
      <c r="P177" s="100"/>
      <c r="Q177" s="122"/>
      <c r="R177" s="248">
        <f t="shared" ref="R177:R182" si="16">SUM(J177:Q177)</f>
        <v>0.66591818181818185</v>
      </c>
    </row>
    <row r="178" spans="1:18" s="244" customFormat="1" ht="20.25" customHeight="1" x14ac:dyDescent="0.2">
      <c r="A178" s="445" t="s">
        <v>250</v>
      </c>
      <c r="B178" s="376" t="s">
        <v>145</v>
      </c>
      <c r="C178" s="121">
        <v>1</v>
      </c>
      <c r="D178" s="142"/>
      <c r="E178" s="92">
        <f>C178*R178</f>
        <v>3.6995454545454547</v>
      </c>
      <c r="F178" s="110">
        <f>VLOOKUP(A178,ГрафикЖД!$B$4:$C$55,2,0)</f>
        <v>22000</v>
      </c>
      <c r="G178" s="99">
        <f>E178*F178</f>
        <v>81390</v>
      </c>
      <c r="H178" s="142"/>
      <c r="I178" s="100">
        <f>C171/E178*C178</f>
        <v>2200</v>
      </c>
      <c r="J178" s="193">
        <f>C171/100*0.5/C178/11</f>
        <v>3.6995454545454547</v>
      </c>
      <c r="K178" s="193"/>
      <c r="L178" s="193"/>
      <c r="M178" s="122"/>
      <c r="N178" s="193"/>
      <c r="O178" s="193"/>
      <c r="P178" s="193"/>
      <c r="Q178" s="122"/>
      <c r="R178" s="248">
        <f t="shared" si="16"/>
        <v>3.6995454545454547</v>
      </c>
    </row>
    <row r="179" spans="1:18" s="244" customFormat="1" ht="20.25" customHeight="1" x14ac:dyDescent="0.25">
      <c r="A179" s="415" t="s">
        <v>246</v>
      </c>
      <c r="B179" s="376" t="s">
        <v>145</v>
      </c>
      <c r="C179" s="121">
        <v>2</v>
      </c>
      <c r="D179" s="106"/>
      <c r="E179" s="92">
        <f>C179*R179</f>
        <v>10.802672727272727</v>
      </c>
      <c r="F179" s="110">
        <f>VLOOKUP(A179,ГрафикЖД!$B$4:$C$55,2,0)</f>
        <v>18000</v>
      </c>
      <c r="G179" s="99">
        <f>E179*F179</f>
        <v>194448.10909090907</v>
      </c>
      <c r="H179" s="106"/>
      <c r="I179" s="100">
        <f>C171/E179*C179</f>
        <v>1506.8493150684933</v>
      </c>
      <c r="J179" s="97">
        <f>C171/1000*14.6/C179/11</f>
        <v>5.4013363636363634</v>
      </c>
      <c r="K179" s="100"/>
      <c r="L179" s="100"/>
      <c r="M179" s="122"/>
      <c r="N179" s="100"/>
      <c r="O179" s="100"/>
      <c r="P179" s="100"/>
      <c r="Q179" s="122"/>
      <c r="R179" s="248">
        <f t="shared" si="16"/>
        <v>5.4013363636363634</v>
      </c>
    </row>
    <row r="180" spans="1:18" s="244" customFormat="1" ht="20.25" customHeight="1" x14ac:dyDescent="0.25">
      <c r="A180" s="415" t="s">
        <v>435</v>
      </c>
      <c r="B180" s="376" t="s">
        <v>145</v>
      </c>
      <c r="C180" s="121">
        <v>1</v>
      </c>
      <c r="D180" s="106"/>
      <c r="E180" s="92">
        <f>C180*R180</f>
        <v>5.6973000000000003E-2</v>
      </c>
      <c r="F180" s="110">
        <f>VLOOKUP(A180,ГрафикЖД!$B$4:$C$55,2,0)</f>
        <v>22000</v>
      </c>
      <c r="G180" s="99">
        <f>E180*F180</f>
        <v>1253.4059999999999</v>
      </c>
      <c r="H180" s="106"/>
      <c r="I180" s="100">
        <f>C171/E180*C180</f>
        <v>142857.14285714284</v>
      </c>
      <c r="J180" s="97">
        <f>C171*0.077/1000/C180/11</f>
        <v>5.6973000000000003E-2</v>
      </c>
      <c r="K180" s="100"/>
      <c r="L180" s="100"/>
      <c r="M180" s="122"/>
      <c r="N180" s="100"/>
      <c r="O180" s="100"/>
      <c r="P180" s="100"/>
      <c r="Q180" s="122"/>
      <c r="R180" s="248">
        <f t="shared" si="16"/>
        <v>5.6973000000000003E-2</v>
      </c>
    </row>
    <row r="181" spans="1:18" s="244" customFormat="1" ht="20.25" customHeight="1" x14ac:dyDescent="0.25">
      <c r="A181" s="415" t="s">
        <v>241</v>
      </c>
      <c r="B181" s="376" t="s">
        <v>145</v>
      </c>
      <c r="C181" s="121">
        <v>3</v>
      </c>
      <c r="D181" s="106"/>
      <c r="E181" s="92">
        <f>C181*R181</f>
        <v>16.204009090909089</v>
      </c>
      <c r="F181" s="110">
        <f>VLOOKUP(A181,ГрафикЖД!$B$4:$C$55,2,0)</f>
        <v>16500</v>
      </c>
      <c r="G181" s="99">
        <f>E181*F181</f>
        <v>267366.14999999997</v>
      </c>
      <c r="H181" s="106"/>
      <c r="I181" s="100">
        <f>C171/E181*C181</f>
        <v>1506.8493150684933</v>
      </c>
      <c r="J181" s="97">
        <f>J179</f>
        <v>5.4013363636363634</v>
      </c>
      <c r="K181" s="100"/>
      <c r="L181" s="100"/>
      <c r="M181" s="122"/>
      <c r="N181" s="100"/>
      <c r="O181" s="100"/>
      <c r="P181" s="100"/>
      <c r="Q181" s="122"/>
      <c r="R181" s="248">
        <f t="shared" si="16"/>
        <v>5.4013363636363634</v>
      </c>
    </row>
    <row r="182" spans="1:18" s="244" customFormat="1" ht="48" customHeight="1" x14ac:dyDescent="0.2">
      <c r="A182" s="409" t="s">
        <v>436</v>
      </c>
      <c r="B182" s="378" t="s">
        <v>55</v>
      </c>
      <c r="C182" s="196">
        <f>1584+11052+3553</f>
        <v>16189</v>
      </c>
      <c r="D182" s="194"/>
      <c r="E182" s="216">
        <f>E185</f>
        <v>239.89154545454542</v>
      </c>
      <c r="F182" s="194" t="e">
        <f>G182/C182</f>
        <v>#N/A</v>
      </c>
      <c r="G182" s="194" t="e">
        <f>G183+G184+G187</f>
        <v>#N/A</v>
      </c>
      <c r="H182" s="194"/>
      <c r="I182" s="326"/>
      <c r="J182" s="216">
        <f>J185*$I185</f>
        <v>16189.000000000002</v>
      </c>
      <c r="K182" s="216">
        <f t="shared" ref="K182:Q182" si="17">K184*$I184</f>
        <v>0</v>
      </c>
      <c r="L182" s="216">
        <f t="shared" si="17"/>
        <v>0</v>
      </c>
      <c r="M182" s="216">
        <f t="shared" si="17"/>
        <v>0</v>
      </c>
      <c r="N182" s="216">
        <f t="shared" si="17"/>
        <v>0</v>
      </c>
      <c r="O182" s="216">
        <f t="shared" si="17"/>
        <v>0</v>
      </c>
      <c r="P182" s="216">
        <f t="shared" si="17"/>
        <v>0</v>
      </c>
      <c r="Q182" s="216">
        <f t="shared" si="17"/>
        <v>0</v>
      </c>
      <c r="R182" s="285">
        <f t="shared" si="16"/>
        <v>16189.000000000002</v>
      </c>
    </row>
    <row r="183" spans="1:18" s="244" customFormat="1" ht="20.25" customHeight="1" x14ac:dyDescent="0.25">
      <c r="A183" s="463" t="s">
        <v>167</v>
      </c>
      <c r="B183" s="374"/>
      <c r="C183" s="93"/>
      <c r="D183" s="93"/>
      <c r="E183" s="93"/>
      <c r="F183" s="325"/>
      <c r="G183" s="325">
        <f>0</f>
        <v>0</v>
      </c>
      <c r="H183" s="95"/>
      <c r="I183" s="93"/>
      <c r="J183" s="95"/>
      <c r="K183" s="95"/>
      <c r="L183" s="95"/>
      <c r="M183" s="95"/>
      <c r="N183" s="95"/>
      <c r="O183" s="95"/>
      <c r="P183" s="95"/>
      <c r="Q183" s="95"/>
      <c r="R183" s="245"/>
    </row>
    <row r="184" spans="1:18" s="244" customFormat="1" ht="20.25" customHeight="1" x14ac:dyDescent="0.25">
      <c r="A184" s="462" t="s">
        <v>0</v>
      </c>
      <c r="B184" s="374"/>
      <c r="C184" s="93"/>
      <c r="D184" s="93"/>
      <c r="E184" s="93"/>
      <c r="F184" s="325"/>
      <c r="G184" s="325" t="e">
        <f>SUM(G185:G186)</f>
        <v>#N/A</v>
      </c>
      <c r="H184" s="95"/>
      <c r="I184" s="93"/>
      <c r="J184" s="93"/>
      <c r="K184" s="93"/>
      <c r="L184" s="93"/>
      <c r="M184" s="93"/>
      <c r="N184" s="93"/>
      <c r="O184" s="93"/>
      <c r="P184" s="93"/>
      <c r="Q184" s="93"/>
      <c r="R184" s="247"/>
    </row>
    <row r="185" spans="1:18" s="244" customFormat="1" ht="20.25" customHeight="1" x14ac:dyDescent="0.2">
      <c r="A185" s="412" t="s">
        <v>260</v>
      </c>
      <c r="B185" s="365" t="s">
        <v>33</v>
      </c>
      <c r="C185" s="151">
        <v>15</v>
      </c>
      <c r="D185" s="97"/>
      <c r="E185" s="92">
        <f>C185*R185</f>
        <v>239.89154545454542</v>
      </c>
      <c r="F185" s="110" t="e">
        <f>VLOOKUP(A185,ГрафикЖД!$B$4:$C$55,2,0)</f>
        <v>#N/A</v>
      </c>
      <c r="G185" s="99" t="e">
        <f>E185*F185</f>
        <v>#N/A</v>
      </c>
      <c r="H185" s="97"/>
      <c r="I185" s="193">
        <f>C182/E185*C185</f>
        <v>1012.2699386503069</v>
      </c>
      <c r="J185" s="77">
        <f>C182/1000*163/C185/11</f>
        <v>15.992769696969695</v>
      </c>
      <c r="K185" s="77"/>
      <c r="L185" s="77"/>
      <c r="M185" s="77"/>
      <c r="N185" s="77"/>
      <c r="O185" s="77"/>
      <c r="P185" s="77"/>
      <c r="Q185" s="77"/>
      <c r="R185" s="78">
        <f>SUM(J185:Q185)</f>
        <v>15.992769696969695</v>
      </c>
    </row>
    <row r="186" spans="1:18" s="244" customFormat="1" ht="20.25" customHeight="1" x14ac:dyDescent="0.2">
      <c r="A186" s="412" t="s">
        <v>32</v>
      </c>
      <c r="B186" s="375"/>
      <c r="C186" s="99"/>
      <c r="D186" s="97"/>
      <c r="E186" s="97"/>
      <c r="F186" s="99"/>
      <c r="G186" s="99" t="e">
        <f>G185*30.9%</f>
        <v>#N/A</v>
      </c>
      <c r="H186" s="97"/>
      <c r="I186" s="97"/>
      <c r="J186" s="101"/>
      <c r="K186" s="101"/>
      <c r="L186" s="101"/>
      <c r="M186" s="101"/>
      <c r="N186" s="101"/>
      <c r="O186" s="101"/>
      <c r="P186" s="101"/>
      <c r="Q186" s="101"/>
      <c r="R186" s="249"/>
    </row>
    <row r="187" spans="1:18" s="244" customFormat="1" ht="20.25" customHeight="1" x14ac:dyDescent="0.25">
      <c r="A187" s="462" t="s">
        <v>1</v>
      </c>
      <c r="B187" s="374"/>
      <c r="C187" s="93"/>
      <c r="D187" s="93"/>
      <c r="E187" s="93"/>
      <c r="F187" s="325"/>
      <c r="G187" s="325"/>
      <c r="H187" s="95"/>
      <c r="I187" s="93"/>
      <c r="J187" s="103"/>
      <c r="K187" s="103"/>
      <c r="L187" s="103"/>
      <c r="M187" s="103"/>
      <c r="N187" s="103"/>
      <c r="O187" s="103"/>
      <c r="P187" s="103"/>
      <c r="Q187" s="103"/>
      <c r="R187" s="250"/>
    </row>
    <row r="188" spans="1:18" s="244" customFormat="1" ht="47.25" customHeight="1" x14ac:dyDescent="0.2">
      <c r="A188" s="467" t="s">
        <v>430</v>
      </c>
      <c r="B188" s="382" t="s">
        <v>57</v>
      </c>
      <c r="C188" s="295">
        <f>(C192+C216+C232)*0.25+(C256+C281+C304+C326+C351)</f>
        <v>22.904500000000002</v>
      </c>
      <c r="D188" s="296"/>
      <c r="E188" s="203">
        <f>E192+E216+E232+E248+E256+E281+E304+E326+E351+E374+E380+E390+E400+E412+E419+E427+E435+E442+E449+E459+E482+E496+E505+E514</f>
        <v>4130.3826546363644</v>
      </c>
      <c r="F188" s="294" t="e">
        <f>G188/C188</f>
        <v>#N/A</v>
      </c>
      <c r="G188" s="294" t="e">
        <f>G192+G216+G232+G248+G256+G281+G304+G326+G351+G374+G380+G390+G400+G412+G419+G427+G435+G442+G449+G459+G482+G496+G505+G514</f>
        <v>#N/A</v>
      </c>
      <c r="H188" s="296"/>
      <c r="I188" s="297"/>
      <c r="J188" s="202" t="e">
        <f>$C$188/$R$190*J190</f>
        <v>#VALUE!</v>
      </c>
      <c r="K188" s="202" t="e">
        <f t="shared" ref="K188:Q188" si="18">$C$526/$R$528*K190</f>
        <v>#VALUE!</v>
      </c>
      <c r="L188" s="202" t="e">
        <f t="shared" si="18"/>
        <v>#VALUE!</v>
      </c>
      <c r="M188" s="202" t="e">
        <f t="shared" si="18"/>
        <v>#VALUE!</v>
      </c>
      <c r="N188" s="202" t="e">
        <f t="shared" si="18"/>
        <v>#VALUE!</v>
      </c>
      <c r="O188" s="202" t="e">
        <f t="shared" si="18"/>
        <v>#VALUE!</v>
      </c>
      <c r="P188" s="202" t="e">
        <f t="shared" si="18"/>
        <v>#VALUE!</v>
      </c>
      <c r="Q188" s="202" t="e">
        <f t="shared" si="18"/>
        <v>#VALUE!</v>
      </c>
      <c r="R188" s="252" t="e">
        <f>SUM(J188:Q188)</f>
        <v>#VALUE!</v>
      </c>
    </row>
    <row r="189" spans="1:18" s="244" customFormat="1" ht="17.25" customHeight="1" x14ac:dyDescent="0.2">
      <c r="A189" s="228" t="s">
        <v>46</v>
      </c>
      <c r="B189" s="371" t="str">
        <f>B188</f>
        <v>м</v>
      </c>
      <c r="C189" s="230">
        <f>C188</f>
        <v>22.904500000000002</v>
      </c>
      <c r="D189" s="142"/>
      <c r="E189" s="298"/>
      <c r="F189" s="229"/>
      <c r="G189" s="142">
        <f>SUMIF($A$192:$A$521,A193,$G$192:$G$521)</f>
        <v>384973129.79600006</v>
      </c>
      <c r="H189" s="142"/>
      <c r="I189" s="299"/>
      <c r="J189" s="227"/>
      <c r="K189" s="227"/>
      <c r="L189" s="227"/>
      <c r="M189" s="227"/>
      <c r="N189" s="227"/>
      <c r="O189" s="227"/>
      <c r="P189" s="227"/>
      <c r="Q189" s="227"/>
      <c r="R189" s="228"/>
    </row>
    <row r="190" spans="1:18" s="244" customFormat="1" ht="17.25" customHeight="1" x14ac:dyDescent="0.2">
      <c r="A190" s="228" t="s">
        <v>47</v>
      </c>
      <c r="B190" s="371" t="str">
        <f>B189</f>
        <v>м</v>
      </c>
      <c r="C190" s="230">
        <f>C188</f>
        <v>22.904500000000002</v>
      </c>
      <c r="D190" s="142"/>
      <c r="E190" s="298"/>
      <c r="F190" s="229"/>
      <c r="G190" s="142" t="e">
        <f>SUMIF($A$192:$A$521,A209,$G$192:$G$521)</f>
        <v>#N/A</v>
      </c>
      <c r="H190" s="142"/>
      <c r="I190" s="299"/>
      <c r="J190" s="300" t="e">
        <f>SUMPRODUCT(IF($A$192:$A$521=$A210,J$192:J$521,0),$C$192:$C$521)</f>
        <v>#VALUE!</v>
      </c>
      <c r="K190" s="300" t="e">
        <f t="shared" ref="K190:Q190" si="19">SUMPRODUCT(IF($A$192:$A$521=$A210,K$192:K$521,0),$C$192:$C$525)</f>
        <v>#VALUE!</v>
      </c>
      <c r="L190" s="300" t="e">
        <f t="shared" si="19"/>
        <v>#VALUE!</v>
      </c>
      <c r="M190" s="300" t="e">
        <f t="shared" si="19"/>
        <v>#VALUE!</v>
      </c>
      <c r="N190" s="300" t="e">
        <f t="shared" si="19"/>
        <v>#VALUE!</v>
      </c>
      <c r="O190" s="300" t="e">
        <f t="shared" si="19"/>
        <v>#VALUE!</v>
      </c>
      <c r="P190" s="300" t="e">
        <f t="shared" si="19"/>
        <v>#VALUE!</v>
      </c>
      <c r="Q190" s="300" t="e">
        <f t="shared" si="19"/>
        <v>#VALUE!</v>
      </c>
      <c r="R190" s="282" t="e">
        <f>SUM(J190:Q190)</f>
        <v>#VALUE!</v>
      </c>
    </row>
    <row r="191" spans="1:18" s="244" customFormat="1" ht="17.25" customHeight="1" x14ac:dyDescent="0.2">
      <c r="A191" s="228" t="s">
        <v>48</v>
      </c>
      <c r="B191" s="371" t="str">
        <f>B190</f>
        <v>м</v>
      </c>
      <c r="C191" s="230">
        <f>C188</f>
        <v>22.904500000000002</v>
      </c>
      <c r="D191" s="142"/>
      <c r="E191" s="298"/>
      <c r="F191" s="229"/>
      <c r="G191" s="142">
        <f>SUMIF($A$192:$A$521,A212,$G$192:$G$521)</f>
        <v>25994411.808923904</v>
      </c>
      <c r="H191" s="142"/>
      <c r="I191" s="299"/>
      <c r="J191" s="227"/>
      <c r="K191" s="227"/>
      <c r="L191" s="227"/>
      <c r="M191" s="227"/>
      <c r="N191" s="227"/>
      <c r="O191" s="227"/>
      <c r="P191" s="227"/>
      <c r="Q191" s="227"/>
      <c r="R191" s="228"/>
    </row>
    <row r="192" spans="1:18" s="123" customFormat="1" ht="41.25" customHeight="1" x14ac:dyDescent="0.25">
      <c r="A192" s="409" t="s">
        <v>401</v>
      </c>
      <c r="B192" s="383"/>
      <c r="C192" s="215">
        <f>9+3</f>
        <v>12</v>
      </c>
      <c r="D192" s="209"/>
      <c r="E192" s="216">
        <f>E210</f>
        <v>170.49163636363633</v>
      </c>
      <c r="F192" s="197" t="e">
        <f>G192/C192</f>
        <v>#N/A</v>
      </c>
      <c r="G192" s="217" t="e">
        <f>G193+G209+G212</f>
        <v>#N/A</v>
      </c>
      <c r="H192" s="209"/>
      <c r="I192" s="218"/>
      <c r="J192" s="290">
        <f>J210*$I210</f>
        <v>12.000000000000002</v>
      </c>
      <c r="K192" s="290">
        <f t="shared" ref="K192:Q192" si="20">K210*$I210</f>
        <v>0</v>
      </c>
      <c r="L192" s="290">
        <f t="shared" si="20"/>
        <v>0</v>
      </c>
      <c r="M192" s="290">
        <f t="shared" si="20"/>
        <v>0</v>
      </c>
      <c r="N192" s="290">
        <f t="shared" si="20"/>
        <v>0</v>
      </c>
      <c r="O192" s="290">
        <f t="shared" si="20"/>
        <v>0</v>
      </c>
      <c r="P192" s="290">
        <f t="shared" si="20"/>
        <v>0</v>
      </c>
      <c r="Q192" s="290">
        <f t="shared" si="20"/>
        <v>0</v>
      </c>
      <c r="R192" s="290"/>
    </row>
    <row r="193" spans="1:18" s="429" customFormat="1" ht="20.25" customHeight="1" x14ac:dyDescent="0.2">
      <c r="A193" s="468" t="s">
        <v>167</v>
      </c>
      <c r="B193" s="422"/>
      <c r="C193" s="423"/>
      <c r="D193" s="424"/>
      <c r="E193" s="425"/>
      <c r="F193" s="204">
        <f>G193/C192</f>
        <v>3274499</v>
      </c>
      <c r="G193" s="204">
        <f>SUM(G194:G208)</f>
        <v>39293988</v>
      </c>
      <c r="H193" s="424"/>
      <c r="I193" s="426"/>
      <c r="J193" s="426"/>
      <c r="K193" s="426"/>
      <c r="L193" s="426"/>
      <c r="M193" s="427"/>
      <c r="N193" s="426"/>
      <c r="O193" s="426"/>
      <c r="P193" s="426"/>
      <c r="Q193" s="427"/>
      <c r="R193" s="428"/>
    </row>
    <row r="194" spans="1:18" s="244" customFormat="1" ht="20.25" customHeight="1" x14ac:dyDescent="0.25">
      <c r="A194" s="445" t="s">
        <v>358</v>
      </c>
      <c r="B194" s="365" t="s">
        <v>198</v>
      </c>
      <c r="C194" s="320">
        <f>C192</f>
        <v>12</v>
      </c>
      <c r="D194" s="106"/>
      <c r="E194" s="92"/>
      <c r="F194" s="98">
        <v>2162000</v>
      </c>
      <c r="G194" s="99">
        <f>C194*F194</f>
        <v>25944000</v>
      </c>
      <c r="H194" s="106"/>
      <c r="I194" s="186"/>
      <c r="J194" s="186"/>
      <c r="K194" s="186"/>
      <c r="L194" s="186"/>
      <c r="M194" s="122"/>
      <c r="N194" s="186"/>
      <c r="O194" s="186"/>
      <c r="P194" s="186"/>
      <c r="Q194" s="122"/>
      <c r="R194" s="251"/>
    </row>
    <row r="195" spans="1:18" s="244" customFormat="1" ht="20.25" customHeight="1" x14ac:dyDescent="0.25">
      <c r="A195" s="445" t="s">
        <v>390</v>
      </c>
      <c r="B195" s="365" t="s">
        <v>188</v>
      </c>
      <c r="C195" s="121">
        <f>C192*6*0.811</f>
        <v>58.392000000000003</v>
      </c>
      <c r="D195" s="106"/>
      <c r="E195" s="92"/>
      <c r="F195" s="98">
        <v>85000</v>
      </c>
      <c r="G195" s="99">
        <f>C195*F195</f>
        <v>4963320</v>
      </c>
      <c r="H195" s="106"/>
      <c r="I195" s="186"/>
      <c r="J195" s="186"/>
      <c r="K195" s="186"/>
      <c r="L195" s="186"/>
      <c r="M195" s="122"/>
      <c r="N195" s="186"/>
      <c r="O195" s="186"/>
      <c r="P195" s="186"/>
      <c r="Q195" s="122"/>
      <c r="R195" s="251"/>
    </row>
    <row r="196" spans="1:18" s="244" customFormat="1" ht="20.25" customHeight="1" x14ac:dyDescent="0.25">
      <c r="A196" s="445" t="s">
        <v>359</v>
      </c>
      <c r="B196" s="365" t="s">
        <v>198</v>
      </c>
      <c r="C196" s="121">
        <v>9</v>
      </c>
      <c r="D196" s="106"/>
      <c r="E196" s="92"/>
      <c r="F196" s="98">
        <v>350000</v>
      </c>
      <c r="G196" s="99">
        <f>C196*F196</f>
        <v>3150000</v>
      </c>
      <c r="H196" s="106"/>
      <c r="I196" s="186"/>
      <c r="J196" s="186"/>
      <c r="K196" s="186"/>
      <c r="L196" s="186"/>
      <c r="M196" s="122"/>
      <c r="N196" s="186"/>
      <c r="O196" s="186"/>
      <c r="P196" s="186"/>
      <c r="Q196" s="122"/>
      <c r="R196" s="251"/>
    </row>
    <row r="197" spans="1:18" s="244" customFormat="1" ht="20.25" customHeight="1" x14ac:dyDescent="0.25">
      <c r="A197" s="445" t="s">
        <v>360</v>
      </c>
      <c r="B197" s="365" t="s">
        <v>188</v>
      </c>
      <c r="C197" s="121">
        <f>C192*1.456</f>
        <v>17.472000000000001</v>
      </c>
      <c r="D197" s="106"/>
      <c r="E197" s="92"/>
      <c r="F197" s="98">
        <v>130000</v>
      </c>
      <c r="G197" s="318">
        <f t="shared" ref="G197:G208" si="21">C197*F197</f>
        <v>2271360</v>
      </c>
      <c r="H197" s="106"/>
      <c r="I197" s="186"/>
      <c r="J197" s="186"/>
      <c r="K197" s="186"/>
      <c r="L197" s="186"/>
      <c r="M197" s="122"/>
      <c r="N197" s="186"/>
      <c r="O197" s="186"/>
      <c r="P197" s="186"/>
      <c r="Q197" s="122"/>
      <c r="R197" s="251"/>
    </row>
    <row r="198" spans="1:18" s="244" customFormat="1" ht="20.25" customHeight="1" x14ac:dyDescent="0.25">
      <c r="A198" s="445" t="s">
        <v>361</v>
      </c>
      <c r="B198" s="365" t="s">
        <v>145</v>
      </c>
      <c r="C198" s="151">
        <f>C192*208</f>
        <v>2496</v>
      </c>
      <c r="D198" s="106"/>
      <c r="E198" s="92"/>
      <c r="F198" s="98">
        <v>30</v>
      </c>
      <c r="G198" s="318">
        <f t="shared" si="21"/>
        <v>74880</v>
      </c>
      <c r="H198" s="106"/>
      <c r="I198" s="186"/>
      <c r="J198" s="186"/>
      <c r="K198" s="186"/>
      <c r="L198" s="186"/>
      <c r="M198" s="122"/>
      <c r="N198" s="186"/>
      <c r="O198" s="186"/>
      <c r="P198" s="186"/>
      <c r="Q198" s="122"/>
      <c r="R198" s="251"/>
    </row>
    <row r="199" spans="1:18" s="244" customFormat="1" ht="20.25" customHeight="1" x14ac:dyDescent="0.25">
      <c r="A199" s="445" t="s">
        <v>362</v>
      </c>
      <c r="B199" s="365" t="s">
        <v>145</v>
      </c>
      <c r="C199" s="151">
        <f>C192*208</f>
        <v>2496</v>
      </c>
      <c r="D199" s="106"/>
      <c r="E199" s="92"/>
      <c r="F199" s="98">
        <v>45</v>
      </c>
      <c r="G199" s="318">
        <f t="shared" si="21"/>
        <v>112320</v>
      </c>
      <c r="H199" s="106"/>
      <c r="I199" s="186"/>
      <c r="J199" s="186"/>
      <c r="K199" s="186"/>
      <c r="L199" s="186"/>
      <c r="M199" s="122"/>
      <c r="N199" s="186"/>
      <c r="O199" s="186"/>
      <c r="P199" s="186"/>
      <c r="Q199" s="122"/>
      <c r="R199" s="251"/>
    </row>
    <row r="200" spans="1:18" s="244" customFormat="1" ht="20.25" customHeight="1" x14ac:dyDescent="0.25">
      <c r="A200" s="445" t="s">
        <v>363</v>
      </c>
      <c r="B200" s="365" t="s">
        <v>188</v>
      </c>
      <c r="C200" s="121">
        <f>C192*0.196</f>
        <v>2.3520000000000003</v>
      </c>
      <c r="D200" s="106"/>
      <c r="E200" s="92"/>
      <c r="F200" s="98">
        <v>125000</v>
      </c>
      <c r="G200" s="318">
        <f t="shared" si="21"/>
        <v>294000.00000000006</v>
      </c>
      <c r="H200" s="106"/>
      <c r="I200" s="186"/>
      <c r="J200" s="186"/>
      <c r="K200" s="186"/>
      <c r="L200" s="186"/>
      <c r="M200" s="122"/>
      <c r="N200" s="186"/>
      <c r="O200" s="186"/>
      <c r="P200" s="186"/>
      <c r="Q200" s="122"/>
      <c r="R200" s="251"/>
    </row>
    <row r="201" spans="1:18" s="244" customFormat="1" ht="20.25" customHeight="1" x14ac:dyDescent="0.25">
      <c r="A201" s="445" t="s">
        <v>364</v>
      </c>
      <c r="B201" s="365" t="s">
        <v>188</v>
      </c>
      <c r="C201" s="121">
        <f>C192*0.258</f>
        <v>3.0960000000000001</v>
      </c>
      <c r="D201" s="106"/>
      <c r="E201" s="92"/>
      <c r="F201" s="98">
        <v>140000</v>
      </c>
      <c r="G201" s="318">
        <f t="shared" si="21"/>
        <v>433440</v>
      </c>
      <c r="H201" s="106"/>
      <c r="I201" s="186"/>
      <c r="J201" s="186"/>
      <c r="K201" s="186"/>
      <c r="L201" s="186"/>
      <c r="M201" s="122"/>
      <c r="N201" s="186"/>
      <c r="O201" s="186"/>
      <c r="P201" s="186"/>
      <c r="Q201" s="122"/>
      <c r="R201" s="251"/>
    </row>
    <row r="202" spans="1:18" s="244" customFormat="1" ht="20.25" customHeight="1" x14ac:dyDescent="0.25">
      <c r="A202" s="445" t="s">
        <v>365</v>
      </c>
      <c r="B202" s="365" t="s">
        <v>188</v>
      </c>
      <c r="C202" s="121">
        <f>C192*0.396</f>
        <v>4.7520000000000007</v>
      </c>
      <c r="D202" s="106"/>
      <c r="E202" s="92"/>
      <c r="F202" s="98">
        <v>95000</v>
      </c>
      <c r="G202" s="318">
        <f t="shared" si="21"/>
        <v>451440.00000000006</v>
      </c>
      <c r="H202" s="106"/>
      <c r="I202" s="186"/>
      <c r="J202" s="186"/>
      <c r="K202" s="186"/>
      <c r="L202" s="186"/>
      <c r="M202" s="122"/>
      <c r="N202" s="186"/>
      <c r="O202" s="186"/>
      <c r="P202" s="186"/>
      <c r="Q202" s="122"/>
      <c r="R202" s="251"/>
    </row>
    <row r="203" spans="1:18" s="244" customFormat="1" ht="20.25" customHeight="1" x14ac:dyDescent="0.25">
      <c r="A203" s="445" t="s">
        <v>366</v>
      </c>
      <c r="B203" s="365" t="s">
        <v>145</v>
      </c>
      <c r="C203" s="151">
        <f>C192*597</f>
        <v>7164</v>
      </c>
      <c r="D203" s="106"/>
      <c r="E203" s="92"/>
      <c r="F203" s="98">
        <v>7</v>
      </c>
      <c r="G203" s="318">
        <f t="shared" si="21"/>
        <v>50148</v>
      </c>
      <c r="H203" s="106"/>
      <c r="I203" s="186"/>
      <c r="J203" s="186"/>
      <c r="K203" s="186"/>
      <c r="L203" s="186"/>
      <c r="M203" s="122"/>
      <c r="N203" s="186"/>
      <c r="O203" s="186"/>
      <c r="P203" s="186"/>
      <c r="Q203" s="122"/>
      <c r="R203" s="251"/>
    </row>
    <row r="204" spans="1:18" s="244" customFormat="1" ht="20.25" customHeight="1" x14ac:dyDescent="0.25">
      <c r="A204" s="445" t="s">
        <v>367</v>
      </c>
      <c r="B204" s="365" t="s">
        <v>145</v>
      </c>
      <c r="C204" s="151">
        <f>C192*597</f>
        <v>7164</v>
      </c>
      <c r="D204" s="106"/>
      <c r="E204" s="92"/>
      <c r="F204" s="98">
        <v>10</v>
      </c>
      <c r="G204" s="318">
        <f t="shared" si="21"/>
        <v>71640</v>
      </c>
      <c r="H204" s="106"/>
      <c r="I204" s="186"/>
      <c r="J204" s="186"/>
      <c r="K204" s="186"/>
      <c r="L204" s="186"/>
      <c r="M204" s="122"/>
      <c r="N204" s="186"/>
      <c r="O204" s="186"/>
      <c r="P204" s="186"/>
      <c r="Q204" s="122"/>
      <c r="R204" s="251"/>
    </row>
    <row r="205" spans="1:18" s="244" customFormat="1" ht="20.25" customHeight="1" x14ac:dyDescent="0.25">
      <c r="A205" s="445" t="s">
        <v>368</v>
      </c>
      <c r="B205" s="365" t="s">
        <v>188</v>
      </c>
      <c r="C205" s="121">
        <f>C192*0.113</f>
        <v>1.3560000000000001</v>
      </c>
      <c r="D205" s="106"/>
      <c r="E205" s="92"/>
      <c r="F205" s="98">
        <v>105000</v>
      </c>
      <c r="G205" s="318">
        <f t="shared" si="21"/>
        <v>142380</v>
      </c>
      <c r="H205" s="106"/>
      <c r="I205" s="186"/>
      <c r="J205" s="186"/>
      <c r="K205" s="186"/>
      <c r="L205" s="186"/>
      <c r="M205" s="122"/>
      <c r="N205" s="186"/>
      <c r="O205" s="186"/>
      <c r="P205" s="186"/>
      <c r="Q205" s="122"/>
      <c r="R205" s="251"/>
    </row>
    <row r="206" spans="1:18" s="244" customFormat="1" ht="20.25" customHeight="1" x14ac:dyDescent="0.25">
      <c r="A206" s="445" t="s">
        <v>369</v>
      </c>
      <c r="B206" s="365" t="s">
        <v>188</v>
      </c>
      <c r="C206" s="121">
        <f>C192*0.119</f>
        <v>1.4279999999999999</v>
      </c>
      <c r="D206" s="106"/>
      <c r="E206" s="92"/>
      <c r="F206" s="98">
        <v>145000</v>
      </c>
      <c r="G206" s="318">
        <f t="shared" si="21"/>
        <v>207060</v>
      </c>
      <c r="H206" s="106"/>
      <c r="I206" s="186"/>
      <c r="J206" s="186"/>
      <c r="K206" s="186"/>
      <c r="L206" s="186"/>
      <c r="M206" s="122"/>
      <c r="N206" s="186"/>
      <c r="O206" s="186"/>
      <c r="P206" s="186"/>
      <c r="Q206" s="122"/>
      <c r="R206" s="251"/>
    </row>
    <row r="207" spans="1:18" s="244" customFormat="1" ht="20.25" customHeight="1" x14ac:dyDescent="0.25">
      <c r="A207" s="445" t="s">
        <v>375</v>
      </c>
      <c r="B207" s="365" t="s">
        <v>145</v>
      </c>
      <c r="C207" s="121">
        <f>C192*2</f>
        <v>24</v>
      </c>
      <c r="D207" s="106"/>
      <c r="E207" s="92"/>
      <c r="F207" s="319">
        <v>3500</v>
      </c>
      <c r="G207" s="99">
        <f t="shared" si="21"/>
        <v>84000</v>
      </c>
      <c r="H207" s="106"/>
      <c r="I207" s="186"/>
      <c r="J207" s="186"/>
      <c r="K207" s="186"/>
      <c r="L207" s="186"/>
      <c r="M207" s="122"/>
      <c r="N207" s="186"/>
      <c r="O207" s="186"/>
      <c r="P207" s="186"/>
      <c r="Q207" s="122"/>
      <c r="R207" s="251"/>
    </row>
    <row r="208" spans="1:18" s="244" customFormat="1" ht="20.25" customHeight="1" x14ac:dyDescent="0.25">
      <c r="A208" s="445" t="s">
        <v>376</v>
      </c>
      <c r="B208" s="365" t="s">
        <v>198</v>
      </c>
      <c r="C208" s="121">
        <f>C192</f>
        <v>12</v>
      </c>
      <c r="D208" s="106"/>
      <c r="E208" s="92"/>
      <c r="F208" s="98">
        <v>87000</v>
      </c>
      <c r="G208" s="99">
        <f t="shared" si="21"/>
        <v>1044000</v>
      </c>
      <c r="H208" s="106"/>
      <c r="I208" s="186"/>
      <c r="J208" s="186"/>
      <c r="K208" s="186"/>
      <c r="L208" s="186"/>
      <c r="M208" s="122"/>
      <c r="N208" s="186"/>
      <c r="O208" s="186"/>
      <c r="P208" s="186"/>
      <c r="Q208" s="122"/>
      <c r="R208" s="251"/>
    </row>
    <row r="209" spans="1:18" s="244" customFormat="1" ht="20.25" customHeight="1" x14ac:dyDescent="0.25">
      <c r="A209" s="411" t="s">
        <v>0</v>
      </c>
      <c r="B209" s="379"/>
      <c r="C209" s="206"/>
      <c r="D209" s="205"/>
      <c r="E209" s="222"/>
      <c r="F209" s="204" t="e">
        <f>G209/C192</f>
        <v>#N/A</v>
      </c>
      <c r="G209" s="221" t="e">
        <f>SUM(G210:G211)</f>
        <v>#N/A</v>
      </c>
      <c r="H209" s="205"/>
      <c r="I209" s="212"/>
      <c r="J209" s="212"/>
      <c r="K209" s="212"/>
      <c r="L209" s="212"/>
      <c r="M209" s="213"/>
      <c r="N209" s="212"/>
      <c r="O209" s="212"/>
      <c r="P209" s="212"/>
      <c r="Q209" s="213"/>
      <c r="R209" s="255"/>
    </row>
    <row r="210" spans="1:18" s="244" customFormat="1" ht="20.25" customHeight="1" x14ac:dyDescent="0.25">
      <c r="A210" s="412" t="s">
        <v>260</v>
      </c>
      <c r="B210" s="365" t="s">
        <v>33</v>
      </c>
      <c r="C210" s="121">
        <v>10</v>
      </c>
      <c r="D210" s="106"/>
      <c r="E210" s="92">
        <f>C210*R210</f>
        <v>170.49163636363633</v>
      </c>
      <c r="F210" s="98" t="e">
        <f>VLOOKUP(A210,ГрафикЖД!$B$4:$C$55,2,0)</f>
        <v>#N/A</v>
      </c>
      <c r="G210" s="99" t="e">
        <f>E210*F210</f>
        <v>#N/A</v>
      </c>
      <c r="H210" s="106"/>
      <c r="I210" s="100">
        <f>C192/E210*C210</f>
        <v>0.7038468429269793</v>
      </c>
      <c r="J210" s="186">
        <f>C192*156.284/C210/11</f>
        <v>17.049163636363634</v>
      </c>
      <c r="K210" s="186"/>
      <c r="L210" s="186"/>
      <c r="M210" s="122"/>
      <c r="N210" s="186"/>
      <c r="O210" s="186"/>
      <c r="P210" s="186"/>
      <c r="Q210" s="122"/>
      <c r="R210" s="78">
        <f>SUM(J210:Q210)</f>
        <v>17.049163636363634</v>
      </c>
    </row>
    <row r="211" spans="1:18" s="244" customFormat="1" ht="20.25" customHeight="1" x14ac:dyDescent="0.25">
      <c r="A211" s="412" t="s">
        <v>32</v>
      </c>
      <c r="B211" s="375"/>
      <c r="C211" s="121"/>
      <c r="D211" s="106"/>
      <c r="E211" s="92"/>
      <c r="F211" s="98"/>
      <c r="G211" s="99" t="e">
        <f>G210*30.9%</f>
        <v>#N/A</v>
      </c>
      <c r="H211" s="106"/>
      <c r="I211" s="186"/>
      <c r="J211" s="186"/>
      <c r="K211" s="186"/>
      <c r="L211" s="186"/>
      <c r="M211" s="122"/>
      <c r="N211" s="186"/>
      <c r="O211" s="186"/>
      <c r="P211" s="186"/>
      <c r="Q211" s="122"/>
      <c r="R211" s="251"/>
    </row>
    <row r="212" spans="1:18" s="244" customFormat="1" ht="20.25" customHeight="1" x14ac:dyDescent="0.25">
      <c r="A212" s="411" t="s">
        <v>1</v>
      </c>
      <c r="B212" s="379"/>
      <c r="C212" s="206"/>
      <c r="D212" s="205"/>
      <c r="E212" s="210"/>
      <c r="F212" s="204">
        <f>G212/C192</f>
        <v>74146.427272727262</v>
      </c>
      <c r="G212" s="221">
        <f>SUM(G213:G215)</f>
        <v>889757.1272727272</v>
      </c>
      <c r="H212" s="205"/>
      <c r="I212" s="212"/>
      <c r="J212" s="212"/>
      <c r="K212" s="212"/>
      <c r="L212" s="212"/>
      <c r="M212" s="213"/>
      <c r="N212" s="212"/>
      <c r="O212" s="212"/>
      <c r="P212" s="212"/>
      <c r="Q212" s="213"/>
      <c r="R212" s="255"/>
    </row>
    <row r="213" spans="1:18" s="244" customFormat="1" ht="20.25" customHeight="1" x14ac:dyDescent="0.25">
      <c r="A213" s="469" t="s">
        <v>240</v>
      </c>
      <c r="B213" s="376" t="s">
        <v>35</v>
      </c>
      <c r="C213" s="121">
        <v>1</v>
      </c>
      <c r="D213" s="106"/>
      <c r="E213" s="92">
        <f>C213*R213</f>
        <v>22.483636363636364</v>
      </c>
      <c r="F213" s="98">
        <f>VLOOKUP(A213,ГрафикЖД!$B$4:$C$55,2,0)</f>
        <v>20900</v>
      </c>
      <c r="G213" s="99">
        <f>E213*F213</f>
        <v>469908</v>
      </c>
      <c r="H213" s="106"/>
      <c r="I213" s="100">
        <f>C192/E213*C213</f>
        <v>0.53372149442018435</v>
      </c>
      <c r="J213" s="186">
        <f>C192*20.61/C213/11</f>
        <v>22.483636363636364</v>
      </c>
      <c r="K213" s="186"/>
      <c r="L213" s="186"/>
      <c r="M213" s="122"/>
      <c r="N213" s="186"/>
      <c r="O213" s="186"/>
      <c r="P213" s="186"/>
      <c r="Q213" s="122"/>
      <c r="R213" s="248">
        <f>SUM(J213:Q213)</f>
        <v>22.483636363636364</v>
      </c>
    </row>
    <row r="214" spans="1:18" s="244" customFormat="1" ht="20.25" customHeight="1" x14ac:dyDescent="0.25">
      <c r="A214" s="469" t="s">
        <v>245</v>
      </c>
      <c r="B214" s="376" t="s">
        <v>35</v>
      </c>
      <c r="C214" s="121">
        <v>1</v>
      </c>
      <c r="D214" s="106"/>
      <c r="E214" s="92">
        <f>C214*R214</f>
        <v>24.347999999999999</v>
      </c>
      <c r="F214" s="98">
        <f>VLOOKUP(A214,ГрафикЖД!$B$4:$C$55,2,0)</f>
        <v>14300</v>
      </c>
      <c r="G214" s="99">
        <f>E214*F214</f>
        <v>348176.39999999997</v>
      </c>
      <c r="H214" s="106"/>
      <c r="I214" s="100">
        <f>C192/E214*C214</f>
        <v>0.49285362247412523</v>
      </c>
      <c r="J214" s="186">
        <f>C192*22.319/C214/11</f>
        <v>24.347999999999999</v>
      </c>
      <c r="K214" s="186"/>
      <c r="L214" s="186"/>
      <c r="M214" s="122"/>
      <c r="N214" s="186"/>
      <c r="O214" s="186"/>
      <c r="P214" s="186"/>
      <c r="Q214" s="122"/>
      <c r="R214" s="248">
        <f>SUM(J214:Q214)</f>
        <v>24.347999999999999</v>
      </c>
    </row>
    <row r="215" spans="1:18" s="244" customFormat="1" ht="20.25" customHeight="1" x14ac:dyDescent="0.25">
      <c r="A215" s="469" t="s">
        <v>246</v>
      </c>
      <c r="B215" s="376" t="s">
        <v>35</v>
      </c>
      <c r="C215" s="121">
        <v>1</v>
      </c>
      <c r="D215" s="106"/>
      <c r="E215" s="92">
        <f>C215*R215</f>
        <v>3.9818181818181815</v>
      </c>
      <c r="F215" s="98">
        <f>VLOOKUP(A215,ГрафикЖД!$B$4:$C$55,2,0)</f>
        <v>18000</v>
      </c>
      <c r="G215" s="99">
        <f>E215*F215</f>
        <v>71672.727272727265</v>
      </c>
      <c r="H215" s="106"/>
      <c r="I215" s="100">
        <f>C192/E215*C215</f>
        <v>3.0136986301369864</v>
      </c>
      <c r="J215" s="186">
        <f>C192*3.65/C215/11</f>
        <v>3.9818181818181815</v>
      </c>
      <c r="K215" s="186"/>
      <c r="L215" s="186"/>
      <c r="M215" s="122"/>
      <c r="N215" s="186"/>
      <c r="O215" s="186"/>
      <c r="P215" s="186"/>
      <c r="Q215" s="122"/>
      <c r="R215" s="248">
        <f>SUM(J215:Q215)</f>
        <v>3.9818181818181815</v>
      </c>
    </row>
    <row r="216" spans="1:18" s="123" customFormat="1" ht="47.25" customHeight="1" x14ac:dyDescent="0.25">
      <c r="A216" s="409" t="s">
        <v>401</v>
      </c>
      <c r="B216" s="383"/>
      <c r="C216" s="215">
        <f>11+7</f>
        <v>18</v>
      </c>
      <c r="D216" s="209"/>
      <c r="E216" s="216">
        <f>E226</f>
        <v>157.09254545454544</v>
      </c>
      <c r="F216" s="197" t="e">
        <f>G216/C216</f>
        <v>#N/A</v>
      </c>
      <c r="G216" s="217" t="e">
        <f>G217+G225+G228</f>
        <v>#N/A</v>
      </c>
      <c r="H216" s="209"/>
      <c r="I216" s="218"/>
      <c r="J216" s="216">
        <f>J226*$I226</f>
        <v>18</v>
      </c>
      <c r="K216" s="216"/>
      <c r="L216" s="216"/>
      <c r="M216" s="216"/>
      <c r="N216" s="216"/>
      <c r="O216" s="216"/>
      <c r="P216" s="216"/>
      <c r="Q216" s="216"/>
      <c r="R216" s="285"/>
    </row>
    <row r="217" spans="1:18" s="429" customFormat="1" ht="20.25" customHeight="1" x14ac:dyDescent="0.2">
      <c r="A217" s="468" t="s">
        <v>167</v>
      </c>
      <c r="B217" s="422"/>
      <c r="C217" s="423"/>
      <c r="D217" s="424"/>
      <c r="E217" s="425"/>
      <c r="F217" s="204">
        <f>G217/C216</f>
        <v>2814598.222222222</v>
      </c>
      <c r="G217" s="204">
        <f>SUM(G218:G224)</f>
        <v>50662768</v>
      </c>
      <c r="H217" s="424"/>
      <c r="I217" s="426"/>
      <c r="J217" s="426"/>
      <c r="K217" s="426"/>
      <c r="L217" s="426"/>
      <c r="M217" s="427"/>
      <c r="N217" s="426"/>
      <c r="O217" s="426"/>
      <c r="P217" s="426"/>
      <c r="Q217" s="427"/>
      <c r="R217" s="428"/>
    </row>
    <row r="218" spans="1:18" s="244" customFormat="1" ht="20.25" customHeight="1" x14ac:dyDescent="0.25">
      <c r="A218" s="445" t="s">
        <v>371</v>
      </c>
      <c r="B218" s="365" t="s">
        <v>198</v>
      </c>
      <c r="C218" s="320">
        <v>18</v>
      </c>
      <c r="D218" s="106"/>
      <c r="E218" s="92"/>
      <c r="F218" s="98">
        <v>2085000</v>
      </c>
      <c r="G218" s="99">
        <f t="shared" ref="G218:G224" si="22">C218*F218</f>
        <v>37530000</v>
      </c>
      <c r="H218" s="106"/>
      <c r="I218" s="186"/>
      <c r="J218" s="186"/>
      <c r="K218" s="186"/>
      <c r="L218" s="186"/>
      <c r="M218" s="122"/>
      <c r="N218" s="186"/>
      <c r="O218" s="186"/>
      <c r="P218" s="186"/>
      <c r="Q218" s="122"/>
      <c r="R218" s="251"/>
    </row>
    <row r="219" spans="1:18" s="244" customFormat="1" ht="20.25" customHeight="1" x14ac:dyDescent="0.25">
      <c r="A219" s="445" t="s">
        <v>390</v>
      </c>
      <c r="B219" s="365" t="s">
        <v>188</v>
      </c>
      <c r="C219" s="121">
        <f>C216*6*0.811</f>
        <v>87.588000000000008</v>
      </c>
      <c r="D219" s="106"/>
      <c r="E219" s="92"/>
      <c r="F219" s="98">
        <v>85000</v>
      </c>
      <c r="G219" s="99">
        <f t="shared" si="22"/>
        <v>7444980.0000000009</v>
      </c>
      <c r="H219" s="106"/>
      <c r="I219" s="186"/>
      <c r="J219" s="186"/>
      <c r="K219" s="186"/>
      <c r="L219" s="186"/>
      <c r="M219" s="122"/>
      <c r="N219" s="186"/>
      <c r="O219" s="186"/>
      <c r="P219" s="186"/>
      <c r="Q219" s="122"/>
      <c r="R219" s="251"/>
    </row>
    <row r="220" spans="1:18" s="244" customFormat="1" ht="20.25" customHeight="1" x14ac:dyDescent="0.25">
      <c r="A220" s="445" t="s">
        <v>372</v>
      </c>
      <c r="B220" s="365" t="s">
        <v>198</v>
      </c>
      <c r="C220" s="121">
        <v>11</v>
      </c>
      <c r="D220" s="106"/>
      <c r="E220" s="92"/>
      <c r="F220" s="98">
        <v>290000</v>
      </c>
      <c r="G220" s="99">
        <f t="shared" si="22"/>
        <v>3190000</v>
      </c>
      <c r="H220" s="106"/>
      <c r="I220" s="186"/>
      <c r="J220" s="186"/>
      <c r="K220" s="186"/>
      <c r="L220" s="186"/>
      <c r="M220" s="122"/>
      <c r="N220" s="186"/>
      <c r="O220" s="186"/>
      <c r="P220" s="186"/>
      <c r="Q220" s="122"/>
      <c r="R220" s="251"/>
    </row>
    <row r="221" spans="1:18" s="244" customFormat="1" ht="20.25" customHeight="1" x14ac:dyDescent="0.25">
      <c r="A221" s="445" t="s">
        <v>373</v>
      </c>
      <c r="B221" s="365" t="s">
        <v>188</v>
      </c>
      <c r="C221" s="121">
        <f>C216*(486*0.56/1000)</f>
        <v>4.8988800000000001</v>
      </c>
      <c r="D221" s="106"/>
      <c r="E221" s="92"/>
      <c r="F221" s="98">
        <v>100000</v>
      </c>
      <c r="G221" s="318">
        <f t="shared" si="22"/>
        <v>489888</v>
      </c>
      <c r="H221" s="106"/>
      <c r="I221" s="186"/>
      <c r="J221" s="186"/>
      <c r="K221" s="186"/>
      <c r="L221" s="186"/>
      <c r="M221" s="122"/>
      <c r="N221" s="186"/>
      <c r="O221" s="186"/>
      <c r="P221" s="186"/>
      <c r="Q221" s="122"/>
      <c r="R221" s="251"/>
    </row>
    <row r="222" spans="1:18" s="244" customFormat="1" ht="20.25" customHeight="1" x14ac:dyDescent="0.25">
      <c r="A222" s="445" t="s">
        <v>374</v>
      </c>
      <c r="B222" s="365" t="s">
        <v>188</v>
      </c>
      <c r="C222" s="121">
        <f>C216*(520*0.375/1000)</f>
        <v>3.5100000000000002</v>
      </c>
      <c r="D222" s="106"/>
      <c r="E222" s="92"/>
      <c r="F222" s="98">
        <v>90000</v>
      </c>
      <c r="G222" s="318">
        <f t="shared" si="22"/>
        <v>315900</v>
      </c>
      <c r="H222" s="106"/>
      <c r="I222" s="186"/>
      <c r="J222" s="186"/>
      <c r="K222" s="186"/>
      <c r="L222" s="186"/>
      <c r="M222" s="122"/>
      <c r="N222" s="186"/>
      <c r="O222" s="186"/>
      <c r="P222" s="186"/>
      <c r="Q222" s="122"/>
      <c r="R222" s="251"/>
    </row>
    <row r="223" spans="1:18" s="244" customFormat="1" ht="20.25" customHeight="1" x14ac:dyDescent="0.25">
      <c r="A223" s="445" t="s">
        <v>375</v>
      </c>
      <c r="B223" s="365" t="s">
        <v>145</v>
      </c>
      <c r="C223" s="151">
        <f>C216*2</f>
        <v>36</v>
      </c>
      <c r="D223" s="106"/>
      <c r="E223" s="92"/>
      <c r="F223" s="319">
        <v>3500</v>
      </c>
      <c r="G223" s="99">
        <f t="shared" si="22"/>
        <v>126000</v>
      </c>
      <c r="H223" s="106"/>
      <c r="I223" s="186"/>
      <c r="J223" s="186"/>
      <c r="K223" s="186"/>
      <c r="L223" s="186"/>
      <c r="M223" s="122"/>
      <c r="N223" s="186"/>
      <c r="O223" s="186"/>
      <c r="P223" s="186"/>
      <c r="Q223" s="122"/>
      <c r="R223" s="251"/>
    </row>
    <row r="224" spans="1:18" s="244" customFormat="1" ht="20.25" customHeight="1" x14ac:dyDescent="0.25">
      <c r="A224" s="445" t="s">
        <v>376</v>
      </c>
      <c r="B224" s="365" t="s">
        <v>198</v>
      </c>
      <c r="C224" s="151">
        <f>C216</f>
        <v>18</v>
      </c>
      <c r="D224" s="106"/>
      <c r="E224" s="92"/>
      <c r="F224" s="98">
        <v>87000</v>
      </c>
      <c r="G224" s="99">
        <f t="shared" si="22"/>
        <v>1566000</v>
      </c>
      <c r="H224" s="106"/>
      <c r="I224" s="186"/>
      <c r="J224" s="186"/>
      <c r="K224" s="186"/>
      <c r="L224" s="186"/>
      <c r="M224" s="122"/>
      <c r="N224" s="186"/>
      <c r="O224" s="186"/>
      <c r="P224" s="186"/>
      <c r="Q224" s="122"/>
      <c r="R224" s="251"/>
    </row>
    <row r="225" spans="1:18" s="244" customFormat="1" ht="20.25" customHeight="1" x14ac:dyDescent="0.25">
      <c r="A225" s="411" t="s">
        <v>0</v>
      </c>
      <c r="B225" s="379"/>
      <c r="C225" s="206"/>
      <c r="D225" s="205"/>
      <c r="E225" s="210"/>
      <c r="F225" s="204" t="e">
        <f>G225/C216</f>
        <v>#N/A</v>
      </c>
      <c r="G225" s="221" t="e">
        <f>SUM(G226:G227)</f>
        <v>#N/A</v>
      </c>
      <c r="H225" s="205"/>
      <c r="I225" s="212"/>
      <c r="J225" s="212"/>
      <c r="K225" s="212"/>
      <c r="L225" s="212"/>
      <c r="M225" s="213"/>
      <c r="N225" s="212"/>
      <c r="O225" s="212"/>
      <c r="P225" s="212"/>
      <c r="Q225" s="213"/>
      <c r="R225" s="255"/>
    </row>
    <row r="226" spans="1:18" s="244" customFormat="1" ht="20.25" customHeight="1" x14ac:dyDescent="0.25">
      <c r="A226" s="412" t="s">
        <v>260</v>
      </c>
      <c r="B226" s="365" t="s">
        <v>33</v>
      </c>
      <c r="C226" s="121">
        <v>8</v>
      </c>
      <c r="D226" s="106"/>
      <c r="E226" s="92">
        <f>C226*R226</f>
        <v>157.09254545454544</v>
      </c>
      <c r="F226" s="98" t="e">
        <f>VLOOKUP(A226,ГрафикЖД!$B$4:$C$55,2,0)</f>
        <v>#N/A</v>
      </c>
      <c r="G226" s="99" t="e">
        <f>E226*F226</f>
        <v>#N/A</v>
      </c>
      <c r="H226" s="106"/>
      <c r="I226" s="100">
        <f>C216/E226*C226</f>
        <v>0.91665711815501927</v>
      </c>
      <c r="J226" s="186">
        <f>C216*96.001/C226/11</f>
        <v>19.636568181818181</v>
      </c>
      <c r="K226" s="186"/>
      <c r="L226" s="186"/>
      <c r="M226" s="122"/>
      <c r="N226" s="186"/>
      <c r="O226" s="186"/>
      <c r="P226" s="186"/>
      <c r="Q226" s="122"/>
      <c r="R226" s="78">
        <f>SUM(J226:Q226)</f>
        <v>19.636568181818181</v>
      </c>
    </row>
    <row r="227" spans="1:18" s="244" customFormat="1" ht="20.25" customHeight="1" x14ac:dyDescent="0.25">
      <c r="A227" s="412" t="s">
        <v>32</v>
      </c>
      <c r="B227" s="375"/>
      <c r="C227" s="121"/>
      <c r="D227" s="106"/>
      <c r="E227" s="92"/>
      <c r="F227" s="98"/>
      <c r="G227" s="99" t="e">
        <f>G226*30.9%</f>
        <v>#N/A</v>
      </c>
      <c r="H227" s="106"/>
      <c r="I227" s="186"/>
      <c r="J227" s="186"/>
      <c r="K227" s="186"/>
      <c r="L227" s="186"/>
      <c r="M227" s="122"/>
      <c r="N227" s="186"/>
      <c r="O227" s="186"/>
      <c r="P227" s="186"/>
      <c r="Q227" s="122"/>
      <c r="R227" s="251"/>
    </row>
    <row r="228" spans="1:18" s="244" customFormat="1" ht="20.25" customHeight="1" x14ac:dyDescent="0.25">
      <c r="A228" s="411" t="s">
        <v>1</v>
      </c>
      <c r="B228" s="379"/>
      <c r="C228" s="206"/>
      <c r="D228" s="205"/>
      <c r="E228" s="210"/>
      <c r="F228" s="204">
        <f>G228/C216</f>
        <v>33611.527272727282</v>
      </c>
      <c r="G228" s="221">
        <f>SUM(G229:G231)</f>
        <v>605007.49090909108</v>
      </c>
      <c r="H228" s="205"/>
      <c r="I228" s="212"/>
      <c r="J228" s="212"/>
      <c r="K228" s="212"/>
      <c r="L228" s="212"/>
      <c r="M228" s="213"/>
      <c r="N228" s="212"/>
      <c r="O228" s="212"/>
      <c r="P228" s="212"/>
      <c r="Q228" s="213"/>
      <c r="R228" s="255"/>
    </row>
    <row r="229" spans="1:18" s="244" customFormat="1" ht="20.25" customHeight="1" x14ac:dyDescent="0.25">
      <c r="A229" s="469" t="s">
        <v>240</v>
      </c>
      <c r="B229" s="376" t="s">
        <v>35</v>
      </c>
      <c r="C229" s="121">
        <v>1</v>
      </c>
      <c r="D229" s="106"/>
      <c r="E229" s="92">
        <f>C229*R229</f>
        <v>15.372000000000002</v>
      </c>
      <c r="F229" s="98">
        <f>VLOOKUP(A229,ГрафикЖД!$B$4:$C$55,2,0)</f>
        <v>20900</v>
      </c>
      <c r="G229" s="99">
        <f>E229*F229</f>
        <v>321274.80000000005</v>
      </c>
      <c r="H229" s="106"/>
      <c r="I229" s="100">
        <f>C216/E229*C229</f>
        <v>1.1709601873536299</v>
      </c>
      <c r="J229" s="186">
        <f>C216*9.394/C229/11</f>
        <v>15.372000000000002</v>
      </c>
      <c r="K229" s="186"/>
      <c r="L229" s="186"/>
      <c r="M229" s="122"/>
      <c r="N229" s="186"/>
      <c r="O229" s="186"/>
      <c r="P229" s="186"/>
      <c r="Q229" s="122"/>
      <c r="R229" s="248">
        <f>SUM(J229:Q229)</f>
        <v>15.372000000000002</v>
      </c>
    </row>
    <row r="230" spans="1:18" s="244" customFormat="1" ht="20.25" customHeight="1" x14ac:dyDescent="0.25">
      <c r="A230" s="469" t="s">
        <v>245</v>
      </c>
      <c r="B230" s="376" t="s">
        <v>35</v>
      </c>
      <c r="C230" s="121">
        <v>1</v>
      </c>
      <c r="D230" s="106"/>
      <c r="E230" s="92">
        <f>C230*R230</f>
        <v>18.644727272727273</v>
      </c>
      <c r="F230" s="98">
        <f>VLOOKUP(A230,ГрафикЖД!$B$4:$C$55,2,0)</f>
        <v>14300</v>
      </c>
      <c r="G230" s="99">
        <f>E230*F230</f>
        <v>266619.60000000003</v>
      </c>
      <c r="H230" s="106"/>
      <c r="I230" s="100">
        <f>C216/E230*C230</f>
        <v>0.96542039670001756</v>
      </c>
      <c r="J230" s="186">
        <f>C216*11.394/C230/11</f>
        <v>18.644727272727273</v>
      </c>
      <c r="K230" s="186"/>
      <c r="L230" s="186"/>
      <c r="M230" s="122"/>
      <c r="N230" s="186"/>
      <c r="O230" s="186"/>
      <c r="P230" s="186"/>
      <c r="Q230" s="122"/>
      <c r="R230" s="248">
        <f>SUM(J230:Q230)</f>
        <v>18.644727272727273</v>
      </c>
    </row>
    <row r="231" spans="1:18" s="244" customFormat="1" ht="20.25" customHeight="1" x14ac:dyDescent="0.25">
      <c r="A231" s="469" t="s">
        <v>246</v>
      </c>
      <c r="B231" s="376" t="s">
        <v>35</v>
      </c>
      <c r="C231" s="121">
        <v>1</v>
      </c>
      <c r="D231" s="106"/>
      <c r="E231" s="92">
        <f>C231*R231</f>
        <v>0.95072727272727253</v>
      </c>
      <c r="F231" s="98">
        <f>VLOOKUP(A231,ГрафикЖД!$B$4:$C$55,2,0)</f>
        <v>18000</v>
      </c>
      <c r="G231" s="99">
        <f>E231*F231</f>
        <v>17113.090909090904</v>
      </c>
      <c r="H231" s="106"/>
      <c r="I231" s="100">
        <f>C216/E231*C231</f>
        <v>18.932874354561104</v>
      </c>
      <c r="J231" s="186">
        <f>C216*0.581/C231/11</f>
        <v>0.95072727272727253</v>
      </c>
      <c r="K231" s="186"/>
      <c r="L231" s="186"/>
      <c r="M231" s="122"/>
      <c r="N231" s="186"/>
      <c r="O231" s="186"/>
      <c r="P231" s="186"/>
      <c r="Q231" s="122"/>
      <c r="R231" s="248">
        <f>SUM(J231:Q231)</f>
        <v>0.95072727272727253</v>
      </c>
    </row>
    <row r="232" spans="1:18" s="123" customFormat="1" ht="48.75" customHeight="1" x14ac:dyDescent="0.25">
      <c r="A232" s="409" t="s">
        <v>401</v>
      </c>
      <c r="B232" s="383"/>
      <c r="C232" s="215">
        <f>4</f>
        <v>4</v>
      </c>
      <c r="D232" s="209"/>
      <c r="E232" s="216">
        <f>E242</f>
        <v>32.127636363636363</v>
      </c>
      <c r="F232" s="197" t="e">
        <f>G232/C232</f>
        <v>#N/A</v>
      </c>
      <c r="G232" s="217" t="e">
        <f>G233+G241+G244</f>
        <v>#N/A</v>
      </c>
      <c r="H232" s="209"/>
      <c r="I232" s="218"/>
      <c r="J232" s="216">
        <f>J242*$I242</f>
        <v>4</v>
      </c>
      <c r="K232" s="216"/>
      <c r="L232" s="216"/>
      <c r="M232" s="216"/>
      <c r="N232" s="216"/>
      <c r="O232" s="216"/>
      <c r="P232" s="216"/>
      <c r="Q232" s="216"/>
      <c r="R232" s="285"/>
    </row>
    <row r="233" spans="1:18" s="429" customFormat="1" ht="20.25" customHeight="1" x14ac:dyDescent="0.2">
      <c r="A233" s="468" t="s">
        <v>167</v>
      </c>
      <c r="B233" s="422"/>
      <c r="C233" s="423"/>
      <c r="D233" s="424"/>
      <c r="E233" s="425"/>
      <c r="F233" s="204">
        <f>G233/C232</f>
        <v>3030174.1</v>
      </c>
      <c r="G233" s="204">
        <f>SUM(G234:G240)</f>
        <v>12120696.4</v>
      </c>
      <c r="H233" s="424"/>
      <c r="I233" s="426"/>
      <c r="J233" s="426"/>
      <c r="K233" s="426"/>
      <c r="L233" s="426"/>
      <c r="M233" s="427"/>
      <c r="N233" s="426"/>
      <c r="O233" s="426"/>
      <c r="P233" s="426"/>
      <c r="Q233" s="427"/>
      <c r="R233" s="428"/>
    </row>
    <row r="234" spans="1:18" s="244" customFormat="1" ht="20.25" customHeight="1" x14ac:dyDescent="0.25">
      <c r="A234" s="445" t="s">
        <v>377</v>
      </c>
      <c r="B234" s="365" t="s">
        <v>198</v>
      </c>
      <c r="C234" s="320">
        <f>C232</f>
        <v>4</v>
      </c>
      <c r="D234" s="106"/>
      <c r="E234" s="92"/>
      <c r="F234" s="98">
        <v>2197000</v>
      </c>
      <c r="G234" s="99">
        <f t="shared" ref="G234:G240" si="23">C234*F234</f>
        <v>8788000</v>
      </c>
      <c r="H234" s="106"/>
      <c r="I234" s="186"/>
      <c r="J234" s="186"/>
      <c r="K234" s="186"/>
      <c r="L234" s="186"/>
      <c r="M234" s="122"/>
      <c r="N234" s="186"/>
      <c r="O234" s="186"/>
      <c r="P234" s="186"/>
      <c r="Q234" s="122"/>
      <c r="R234" s="251"/>
    </row>
    <row r="235" spans="1:18" s="244" customFormat="1" ht="20.25" customHeight="1" x14ac:dyDescent="0.25">
      <c r="A235" s="445" t="s">
        <v>390</v>
      </c>
      <c r="B235" s="365" t="s">
        <v>188</v>
      </c>
      <c r="C235" s="121">
        <f>C232*6*0.811</f>
        <v>19.464000000000002</v>
      </c>
      <c r="D235" s="106"/>
      <c r="E235" s="92"/>
      <c r="F235" s="98">
        <v>85000</v>
      </c>
      <c r="G235" s="99">
        <f t="shared" si="23"/>
        <v>1654440.0000000002</v>
      </c>
      <c r="H235" s="106"/>
      <c r="I235" s="186"/>
      <c r="J235" s="186"/>
      <c r="K235" s="186"/>
      <c r="L235" s="186"/>
      <c r="M235" s="122"/>
      <c r="N235" s="186"/>
      <c r="O235" s="186"/>
      <c r="P235" s="186"/>
      <c r="Q235" s="122"/>
      <c r="R235" s="251"/>
    </row>
    <row r="236" spans="1:18" s="244" customFormat="1" ht="20.25" customHeight="1" x14ac:dyDescent="0.25">
      <c r="A236" s="445" t="s">
        <v>372</v>
      </c>
      <c r="B236" s="365" t="s">
        <v>198</v>
      </c>
      <c r="C236" s="121">
        <v>4</v>
      </c>
      <c r="D236" s="106"/>
      <c r="E236" s="92"/>
      <c r="F236" s="98">
        <v>290000</v>
      </c>
      <c r="G236" s="99">
        <f t="shared" si="23"/>
        <v>1160000</v>
      </c>
      <c r="H236" s="106"/>
      <c r="I236" s="186"/>
      <c r="J236" s="186"/>
      <c r="K236" s="186"/>
      <c r="L236" s="186"/>
      <c r="M236" s="122"/>
      <c r="N236" s="186"/>
      <c r="O236" s="186"/>
      <c r="P236" s="186"/>
      <c r="Q236" s="122"/>
      <c r="R236" s="251"/>
    </row>
    <row r="237" spans="1:18" s="244" customFormat="1" ht="20.25" customHeight="1" x14ac:dyDescent="0.25">
      <c r="A237" s="445" t="s">
        <v>373</v>
      </c>
      <c r="B237" s="365" t="s">
        <v>188</v>
      </c>
      <c r="C237" s="121">
        <f>C232*(264*0.56/1000)</f>
        <v>0.59136</v>
      </c>
      <c r="D237" s="106"/>
      <c r="E237" s="92"/>
      <c r="F237" s="98">
        <v>115000</v>
      </c>
      <c r="G237" s="318">
        <f t="shared" si="23"/>
        <v>68006.399999999994</v>
      </c>
      <c r="H237" s="106"/>
      <c r="I237" s="186"/>
      <c r="J237" s="186"/>
      <c r="K237" s="186"/>
      <c r="L237" s="186"/>
      <c r="M237" s="122"/>
      <c r="N237" s="186"/>
      <c r="O237" s="186"/>
      <c r="P237" s="186"/>
      <c r="Q237" s="122"/>
      <c r="R237" s="251"/>
    </row>
    <row r="238" spans="1:18" s="244" customFormat="1" ht="20.25" customHeight="1" x14ac:dyDescent="0.25">
      <c r="A238" s="445" t="s">
        <v>374</v>
      </c>
      <c r="B238" s="365" t="s">
        <v>188</v>
      </c>
      <c r="C238" s="121">
        <f>C232*(550*0.375/1000)</f>
        <v>0.82499999999999996</v>
      </c>
      <c r="D238" s="106"/>
      <c r="E238" s="92"/>
      <c r="F238" s="98">
        <v>90000</v>
      </c>
      <c r="G238" s="318">
        <f t="shared" si="23"/>
        <v>74250</v>
      </c>
      <c r="H238" s="106"/>
      <c r="I238" s="186"/>
      <c r="J238" s="186"/>
      <c r="K238" s="186"/>
      <c r="L238" s="186"/>
      <c r="M238" s="122"/>
      <c r="N238" s="186"/>
      <c r="O238" s="186"/>
      <c r="P238" s="186"/>
      <c r="Q238" s="122"/>
      <c r="R238" s="251"/>
    </row>
    <row r="239" spans="1:18" s="244" customFormat="1" ht="20.25" customHeight="1" x14ac:dyDescent="0.25">
      <c r="A239" s="445" t="s">
        <v>375</v>
      </c>
      <c r="B239" s="365" t="s">
        <v>145</v>
      </c>
      <c r="C239" s="151">
        <f>C232*2</f>
        <v>8</v>
      </c>
      <c r="D239" s="106"/>
      <c r="E239" s="92"/>
      <c r="F239" s="319">
        <v>3500</v>
      </c>
      <c r="G239" s="99">
        <f t="shared" si="23"/>
        <v>28000</v>
      </c>
      <c r="H239" s="106"/>
      <c r="I239" s="186"/>
      <c r="J239" s="186"/>
      <c r="K239" s="186"/>
      <c r="L239" s="186"/>
      <c r="M239" s="122"/>
      <c r="N239" s="186"/>
      <c r="O239" s="186"/>
      <c r="P239" s="186"/>
      <c r="Q239" s="122"/>
      <c r="R239" s="251"/>
    </row>
    <row r="240" spans="1:18" s="244" customFormat="1" ht="20.25" customHeight="1" x14ac:dyDescent="0.25">
      <c r="A240" s="445" t="s">
        <v>376</v>
      </c>
      <c r="B240" s="365" t="s">
        <v>198</v>
      </c>
      <c r="C240" s="151">
        <f>C232</f>
        <v>4</v>
      </c>
      <c r="D240" s="106"/>
      <c r="E240" s="92"/>
      <c r="F240" s="98">
        <v>87000</v>
      </c>
      <c r="G240" s="99">
        <f t="shared" si="23"/>
        <v>348000</v>
      </c>
      <c r="H240" s="106"/>
      <c r="I240" s="186"/>
      <c r="J240" s="186"/>
      <c r="K240" s="186"/>
      <c r="L240" s="186"/>
      <c r="M240" s="122"/>
      <c r="N240" s="186"/>
      <c r="O240" s="186"/>
      <c r="P240" s="186"/>
      <c r="Q240" s="122"/>
      <c r="R240" s="251"/>
    </row>
    <row r="241" spans="1:18" s="244" customFormat="1" ht="20.25" customHeight="1" x14ac:dyDescent="0.25">
      <c r="A241" s="411" t="s">
        <v>0</v>
      </c>
      <c r="B241" s="379"/>
      <c r="C241" s="206"/>
      <c r="D241" s="205"/>
      <c r="E241" s="210"/>
      <c r="F241" s="204" t="e">
        <f>G241/C232</f>
        <v>#N/A</v>
      </c>
      <c r="G241" s="221" t="e">
        <f>SUM(G242:G243)</f>
        <v>#N/A</v>
      </c>
      <c r="H241" s="205"/>
      <c r="I241" s="212"/>
      <c r="J241" s="212"/>
      <c r="K241" s="212"/>
      <c r="L241" s="212"/>
      <c r="M241" s="213"/>
      <c r="N241" s="212"/>
      <c r="O241" s="212"/>
      <c r="P241" s="212"/>
      <c r="Q241" s="213"/>
      <c r="R241" s="255"/>
    </row>
    <row r="242" spans="1:18" s="244" customFormat="1" ht="20.25" customHeight="1" x14ac:dyDescent="0.25">
      <c r="A242" s="412" t="s">
        <v>260</v>
      </c>
      <c r="B242" s="365" t="s">
        <v>33</v>
      </c>
      <c r="C242" s="121">
        <v>12</v>
      </c>
      <c r="D242" s="106"/>
      <c r="E242" s="92">
        <f>C242*R242</f>
        <v>32.127636363636363</v>
      </c>
      <c r="F242" s="98" t="e">
        <f>VLOOKUP(A242,ГрафикЖД!$B$4:$C$55,2,0)</f>
        <v>#N/A</v>
      </c>
      <c r="G242" s="99" t="e">
        <f>E242*F242</f>
        <v>#N/A</v>
      </c>
      <c r="H242" s="106"/>
      <c r="I242" s="100">
        <f>C232/E242*C242</f>
        <v>1.4940408144786139</v>
      </c>
      <c r="J242" s="186">
        <f>C232*88.351/C242/11</f>
        <v>2.6773030303030301</v>
      </c>
      <c r="K242" s="186"/>
      <c r="L242" s="186"/>
      <c r="M242" s="122"/>
      <c r="N242" s="186"/>
      <c r="O242" s="186"/>
      <c r="P242" s="186"/>
      <c r="Q242" s="122"/>
      <c r="R242" s="78">
        <f>SUM(J242:Q242)</f>
        <v>2.6773030303030301</v>
      </c>
    </row>
    <row r="243" spans="1:18" s="244" customFormat="1" ht="20.25" customHeight="1" x14ac:dyDescent="0.25">
      <c r="A243" s="412" t="s">
        <v>32</v>
      </c>
      <c r="B243" s="375"/>
      <c r="C243" s="121"/>
      <c r="D243" s="106"/>
      <c r="E243" s="92"/>
      <c r="F243" s="98"/>
      <c r="G243" s="99" t="e">
        <f>G242*30.9%</f>
        <v>#N/A</v>
      </c>
      <c r="H243" s="106"/>
      <c r="I243" s="186"/>
      <c r="J243" s="186"/>
      <c r="K243" s="186"/>
      <c r="L243" s="186"/>
      <c r="M243" s="122"/>
      <c r="N243" s="186"/>
      <c r="O243" s="186"/>
      <c r="P243" s="186"/>
      <c r="Q243" s="122"/>
      <c r="R243" s="251"/>
    </row>
    <row r="244" spans="1:18" s="244" customFormat="1" ht="20.25" customHeight="1" x14ac:dyDescent="0.25">
      <c r="A244" s="411" t="s">
        <v>1</v>
      </c>
      <c r="B244" s="379"/>
      <c r="C244" s="206"/>
      <c r="D244" s="205"/>
      <c r="E244" s="210"/>
      <c r="F244" s="204">
        <f>G244/C232</f>
        <v>32942.472727272725</v>
      </c>
      <c r="G244" s="221">
        <f>SUM(G245:G247)</f>
        <v>131769.8909090909</v>
      </c>
      <c r="H244" s="205"/>
      <c r="I244" s="212"/>
      <c r="J244" s="212"/>
      <c r="K244" s="212"/>
      <c r="L244" s="212"/>
      <c r="M244" s="213"/>
      <c r="N244" s="212"/>
      <c r="O244" s="212"/>
      <c r="P244" s="212"/>
      <c r="Q244" s="213"/>
      <c r="R244" s="255"/>
    </row>
    <row r="245" spans="1:18" s="244" customFormat="1" ht="20.25" customHeight="1" x14ac:dyDescent="0.25">
      <c r="A245" s="469" t="s">
        <v>240</v>
      </c>
      <c r="B245" s="376" t="s">
        <v>35</v>
      </c>
      <c r="C245" s="121">
        <v>1</v>
      </c>
      <c r="D245" s="106"/>
      <c r="E245" s="92">
        <f>C245*R245</f>
        <v>3.3494545454545457</v>
      </c>
      <c r="F245" s="98">
        <f>VLOOKUP(A245,ГрафикЖД!$B$4:$C$55,2,0)</f>
        <v>20900</v>
      </c>
      <c r="G245" s="99">
        <f>E245*F245</f>
        <v>70003.600000000006</v>
      </c>
      <c r="H245" s="106"/>
      <c r="I245" s="100">
        <f>C232/E245*C245</f>
        <v>1.1942242970361523</v>
      </c>
      <c r="J245" s="186">
        <f>C232*9.211/C245/11</f>
        <v>3.3494545454545457</v>
      </c>
      <c r="K245" s="186"/>
      <c r="L245" s="186"/>
      <c r="M245" s="122"/>
      <c r="N245" s="186"/>
      <c r="O245" s="186"/>
      <c r="P245" s="186"/>
      <c r="Q245" s="122"/>
      <c r="R245" s="248">
        <f>SUM(J245:Q245)</f>
        <v>3.3494545454545457</v>
      </c>
    </row>
    <row r="246" spans="1:18" s="244" customFormat="1" ht="20.25" customHeight="1" x14ac:dyDescent="0.25">
      <c r="A246" s="469" t="s">
        <v>245</v>
      </c>
      <c r="B246" s="376" t="s">
        <v>35</v>
      </c>
      <c r="C246" s="121">
        <v>1</v>
      </c>
      <c r="D246" s="106"/>
      <c r="E246" s="92">
        <f>C246*R246</f>
        <v>4.0767272727272728</v>
      </c>
      <c r="F246" s="98">
        <f>VLOOKUP(A246,ГрафикЖД!$B$4:$C$55,2,0)</f>
        <v>14300</v>
      </c>
      <c r="G246" s="99">
        <f>E246*F246</f>
        <v>58297.2</v>
      </c>
      <c r="H246" s="106"/>
      <c r="I246" s="100">
        <f>C232/E246*C246</f>
        <v>0.98117919900098116</v>
      </c>
      <c r="J246" s="186">
        <f>C232*11.211/C246/11</f>
        <v>4.0767272727272728</v>
      </c>
      <c r="K246" s="186"/>
      <c r="L246" s="186"/>
      <c r="M246" s="122"/>
      <c r="N246" s="186"/>
      <c r="O246" s="186"/>
      <c r="P246" s="186"/>
      <c r="Q246" s="122"/>
      <c r="R246" s="248">
        <f>SUM(J246:Q246)</f>
        <v>4.0767272727272728</v>
      </c>
    </row>
    <row r="247" spans="1:18" s="244" customFormat="1" ht="20.25" customHeight="1" x14ac:dyDescent="0.25">
      <c r="A247" s="469" t="s">
        <v>246</v>
      </c>
      <c r="B247" s="376" t="s">
        <v>35</v>
      </c>
      <c r="C247" s="121">
        <v>1</v>
      </c>
      <c r="D247" s="106"/>
      <c r="E247" s="92">
        <f>C247*R247</f>
        <v>0.19272727272727275</v>
      </c>
      <c r="F247" s="98">
        <f>VLOOKUP(A247,ГрафикЖД!$B$4:$C$55,2,0)</f>
        <v>18000</v>
      </c>
      <c r="G247" s="99">
        <f>E247*F247</f>
        <v>3469.0909090909095</v>
      </c>
      <c r="H247" s="106"/>
      <c r="I247" s="100">
        <f>C232/E247*C247</f>
        <v>20.754716981132074</v>
      </c>
      <c r="J247" s="186">
        <f>C232*0.53/C247/11</f>
        <v>0.19272727272727275</v>
      </c>
      <c r="K247" s="186"/>
      <c r="L247" s="186"/>
      <c r="M247" s="122"/>
      <c r="N247" s="186"/>
      <c r="O247" s="186"/>
      <c r="P247" s="186"/>
      <c r="Q247" s="122"/>
      <c r="R247" s="248">
        <f>SUM(J247:Q247)</f>
        <v>0.19272727272727275</v>
      </c>
    </row>
    <row r="248" spans="1:18" s="244" customFormat="1" ht="42.75" customHeight="1" x14ac:dyDescent="0.25">
      <c r="A248" s="409" t="s">
        <v>378</v>
      </c>
      <c r="B248" s="378" t="s">
        <v>198</v>
      </c>
      <c r="C248" s="215">
        <f>10+2</f>
        <v>12</v>
      </c>
      <c r="D248" s="209"/>
      <c r="E248" s="216">
        <f>E252</f>
        <v>32.727272727272727</v>
      </c>
      <c r="F248" s="197" t="e">
        <f>G248/C248</f>
        <v>#N/A</v>
      </c>
      <c r="G248" s="217" t="e">
        <f>G249+G251+G254</f>
        <v>#N/A</v>
      </c>
      <c r="H248" s="209"/>
      <c r="I248" s="218"/>
      <c r="J248" s="216">
        <f>J252*$I252</f>
        <v>12</v>
      </c>
      <c r="K248" s="216"/>
      <c r="L248" s="216"/>
      <c r="M248" s="216"/>
      <c r="N248" s="216"/>
      <c r="O248" s="216"/>
      <c r="P248" s="216"/>
      <c r="Q248" s="216"/>
      <c r="R248" s="285"/>
    </row>
    <row r="249" spans="1:18" s="244" customFormat="1" ht="20.25" customHeight="1" x14ac:dyDescent="0.2">
      <c r="A249" s="468" t="s">
        <v>167</v>
      </c>
      <c r="B249" s="384"/>
      <c r="C249" s="206"/>
      <c r="D249" s="204"/>
      <c r="E249" s="210"/>
      <c r="F249" s="214">
        <f>G249/C248</f>
        <v>55000</v>
      </c>
      <c r="G249" s="214">
        <f>SUM(G250:G250)</f>
        <v>660000</v>
      </c>
      <c r="H249" s="204"/>
      <c r="I249" s="220"/>
      <c r="J249" s="220"/>
      <c r="K249" s="220"/>
      <c r="L249" s="220"/>
      <c r="M249" s="213"/>
      <c r="N249" s="220"/>
      <c r="O249" s="220"/>
      <c r="P249" s="220"/>
      <c r="Q249" s="213"/>
      <c r="R249" s="255"/>
    </row>
    <row r="250" spans="1:18" s="244" customFormat="1" ht="20.25" customHeight="1" x14ac:dyDescent="0.25">
      <c r="A250" s="445" t="s">
        <v>379</v>
      </c>
      <c r="B250" s="365" t="s">
        <v>198</v>
      </c>
      <c r="C250" s="320">
        <f>C248</f>
        <v>12</v>
      </c>
      <c r="D250" s="106"/>
      <c r="E250" s="92"/>
      <c r="F250" s="98">
        <v>55000</v>
      </c>
      <c r="G250" s="99">
        <f>C250*F250</f>
        <v>660000</v>
      </c>
      <c r="H250" s="106"/>
      <c r="I250" s="186"/>
      <c r="J250" s="186"/>
      <c r="K250" s="186"/>
      <c r="L250" s="186"/>
      <c r="M250" s="122"/>
      <c r="N250" s="186"/>
      <c r="O250" s="186"/>
      <c r="P250" s="186"/>
      <c r="Q250" s="122"/>
      <c r="R250" s="251"/>
    </row>
    <row r="251" spans="1:18" s="244" customFormat="1" ht="20.25" customHeight="1" x14ac:dyDescent="0.25">
      <c r="A251" s="411" t="s">
        <v>0</v>
      </c>
      <c r="B251" s="379"/>
      <c r="C251" s="206"/>
      <c r="D251" s="205"/>
      <c r="E251" s="210"/>
      <c r="F251" s="211" t="e">
        <f>G251/C248</f>
        <v>#N/A</v>
      </c>
      <c r="G251" s="221" t="e">
        <f>SUM(G252:G253)</f>
        <v>#N/A</v>
      </c>
      <c r="H251" s="205"/>
      <c r="I251" s="212"/>
      <c r="J251" s="212"/>
      <c r="K251" s="212"/>
      <c r="L251" s="212"/>
      <c r="M251" s="213"/>
      <c r="N251" s="212"/>
      <c r="O251" s="212"/>
      <c r="P251" s="212"/>
      <c r="Q251" s="213"/>
      <c r="R251" s="255"/>
    </row>
    <row r="252" spans="1:18" s="244" customFormat="1" ht="20.25" customHeight="1" x14ac:dyDescent="0.25">
      <c r="A252" s="412" t="s">
        <v>260</v>
      </c>
      <c r="B252" s="365" t="s">
        <v>33</v>
      </c>
      <c r="C252" s="121">
        <v>6</v>
      </c>
      <c r="D252" s="106"/>
      <c r="E252" s="92">
        <f>C252*R252</f>
        <v>32.727272727272727</v>
      </c>
      <c r="F252" s="98" t="e">
        <f>VLOOKUP(A252,ГрафикЖД!$B$4:$C$55,2,0)</f>
        <v>#N/A</v>
      </c>
      <c r="G252" s="99" t="e">
        <f>E252*F252</f>
        <v>#N/A</v>
      </c>
      <c r="H252" s="106"/>
      <c r="I252" s="100">
        <f>C248/E252*C252</f>
        <v>2.2000000000000002</v>
      </c>
      <c r="J252" s="186">
        <f>C248*30/C252/11</f>
        <v>5.4545454545454541</v>
      </c>
      <c r="K252" s="186"/>
      <c r="L252" s="186"/>
      <c r="M252" s="122"/>
      <c r="N252" s="186"/>
      <c r="O252" s="186"/>
      <c r="P252" s="186"/>
      <c r="Q252" s="122"/>
      <c r="R252" s="78">
        <f>SUM(J252:Q252)</f>
        <v>5.4545454545454541</v>
      </c>
    </row>
    <row r="253" spans="1:18" s="244" customFormat="1" ht="20.25" customHeight="1" x14ac:dyDescent="0.25">
      <c r="A253" s="412" t="s">
        <v>32</v>
      </c>
      <c r="B253" s="375"/>
      <c r="C253" s="121"/>
      <c r="D253" s="106"/>
      <c r="E253" s="92"/>
      <c r="F253" s="98"/>
      <c r="G253" s="99" t="e">
        <f>G252*30.9%</f>
        <v>#N/A</v>
      </c>
      <c r="H253" s="106"/>
      <c r="I253" s="186"/>
      <c r="J253" s="186"/>
      <c r="K253" s="186"/>
      <c r="L253" s="186"/>
      <c r="M253" s="122"/>
      <c r="N253" s="186"/>
      <c r="O253" s="186"/>
      <c r="P253" s="186"/>
      <c r="Q253" s="122"/>
      <c r="R253" s="251"/>
    </row>
    <row r="254" spans="1:18" s="244" customFormat="1" ht="20.25" customHeight="1" x14ac:dyDescent="0.25">
      <c r="A254" s="411" t="s">
        <v>1</v>
      </c>
      <c r="B254" s="379"/>
      <c r="C254" s="206"/>
      <c r="D254" s="205"/>
      <c r="E254" s="210"/>
      <c r="F254" s="211">
        <f>G254/C248</f>
        <v>8250</v>
      </c>
      <c r="G254" s="221">
        <f>G255</f>
        <v>99000</v>
      </c>
      <c r="H254" s="205"/>
      <c r="I254" s="212"/>
      <c r="J254" s="212"/>
      <c r="K254" s="212"/>
      <c r="L254" s="212"/>
      <c r="M254" s="213"/>
      <c r="N254" s="212"/>
      <c r="O254" s="212"/>
      <c r="P254" s="212"/>
      <c r="Q254" s="213"/>
      <c r="R254" s="255"/>
    </row>
    <row r="255" spans="1:18" s="244" customFormat="1" ht="20.25" customHeight="1" x14ac:dyDescent="0.25">
      <c r="A255" s="469" t="s">
        <v>246</v>
      </c>
      <c r="B255" s="376" t="s">
        <v>35</v>
      </c>
      <c r="C255" s="121">
        <v>1</v>
      </c>
      <c r="D255" s="106"/>
      <c r="E255" s="92">
        <f>C255*R255</f>
        <v>5.5</v>
      </c>
      <c r="F255" s="98">
        <f>VLOOKUP(A255,ГрафикЖД!$B$4:$C$55,2,0)</f>
        <v>18000</v>
      </c>
      <c r="G255" s="99">
        <f>E255*F255</f>
        <v>99000</v>
      </c>
      <c r="H255" s="106"/>
      <c r="I255" s="100">
        <f>C240/E255*C255</f>
        <v>0.72727272727272729</v>
      </c>
      <c r="J255" s="186">
        <v>5.5</v>
      </c>
      <c r="K255" s="186"/>
      <c r="L255" s="186"/>
      <c r="M255" s="122"/>
      <c r="N255" s="186"/>
      <c r="O255" s="186"/>
      <c r="P255" s="186"/>
      <c r="Q255" s="122"/>
      <c r="R255" s="248">
        <f>SUM(J255:Q255)</f>
        <v>5.5</v>
      </c>
    </row>
    <row r="256" spans="1:18" s="123" customFormat="1" ht="39.75" customHeight="1" x14ac:dyDescent="0.2">
      <c r="A256" s="470" t="s">
        <v>395</v>
      </c>
      <c r="B256" s="378" t="s">
        <v>380</v>
      </c>
      <c r="C256" s="224">
        <f>(5.211+0.331+0.0525)+3.369+0.08+0.036</f>
        <v>9.0795000000000012</v>
      </c>
      <c r="D256" s="194"/>
      <c r="E256" s="216">
        <f>E275</f>
        <v>1006.3123505454546</v>
      </c>
      <c r="F256" s="197" t="e">
        <f>G256/C256</f>
        <v>#N/A</v>
      </c>
      <c r="G256" s="217" t="e">
        <f>G257+G274+G277</f>
        <v>#N/A</v>
      </c>
      <c r="H256" s="194"/>
      <c r="I256" s="196"/>
      <c r="J256" s="216">
        <f>J275*$I275</f>
        <v>9.0794999999999995</v>
      </c>
      <c r="K256" s="216"/>
      <c r="L256" s="216"/>
      <c r="M256" s="216"/>
      <c r="N256" s="216"/>
      <c r="O256" s="216"/>
      <c r="P256" s="216"/>
      <c r="Q256" s="216"/>
      <c r="R256" s="285"/>
    </row>
    <row r="257" spans="1:18" s="429" customFormat="1" ht="20.25" customHeight="1" x14ac:dyDescent="0.2">
      <c r="A257" s="468" t="s">
        <v>167</v>
      </c>
      <c r="B257" s="422"/>
      <c r="C257" s="423"/>
      <c r="D257" s="424"/>
      <c r="E257" s="425"/>
      <c r="F257" s="204">
        <f>G257/C256</f>
        <v>13446648.262128973</v>
      </c>
      <c r="G257" s="204">
        <f>SUM(G258:G273)</f>
        <v>122088842.89600003</v>
      </c>
      <c r="H257" s="424"/>
      <c r="I257" s="426"/>
      <c r="J257" s="426"/>
      <c r="K257" s="426"/>
      <c r="L257" s="426"/>
      <c r="M257" s="427"/>
      <c r="N257" s="426"/>
      <c r="O257" s="426"/>
      <c r="P257" s="426"/>
      <c r="Q257" s="427"/>
      <c r="R257" s="428"/>
    </row>
    <row r="258" spans="1:18" s="244" customFormat="1" ht="20.25" customHeight="1" x14ac:dyDescent="0.25">
      <c r="A258" s="445" t="s">
        <v>381</v>
      </c>
      <c r="B258" s="365" t="s">
        <v>188</v>
      </c>
      <c r="C258" s="235">
        <f>C256*129.76</f>
        <v>1178.1559200000002</v>
      </c>
      <c r="D258" s="106"/>
      <c r="E258" s="92"/>
      <c r="F258" s="98">
        <v>45000</v>
      </c>
      <c r="G258" s="99">
        <f>C258*F258</f>
        <v>53017016.400000006</v>
      </c>
      <c r="H258" s="106"/>
      <c r="I258" s="186"/>
      <c r="J258" s="186"/>
      <c r="K258" s="186"/>
      <c r="L258" s="186"/>
      <c r="M258" s="122"/>
      <c r="N258" s="186"/>
      <c r="O258" s="186"/>
      <c r="P258" s="186"/>
      <c r="Q258" s="122"/>
      <c r="R258" s="251"/>
    </row>
    <row r="259" spans="1:18" s="244" customFormat="1" ht="20.25" customHeight="1" x14ac:dyDescent="0.25">
      <c r="A259" s="445" t="s">
        <v>382</v>
      </c>
      <c r="B259" s="365" t="s">
        <v>145</v>
      </c>
      <c r="C259" s="235">
        <f>ROUNDUP(C256*1600,0)</f>
        <v>14528</v>
      </c>
      <c r="D259" s="106"/>
      <c r="E259" s="92"/>
      <c r="F259" s="98">
        <v>850</v>
      </c>
      <c r="G259" s="99">
        <f>C259*F259</f>
        <v>12348800</v>
      </c>
      <c r="H259" s="106"/>
      <c r="I259" s="186"/>
      <c r="J259" s="186"/>
      <c r="K259" s="186"/>
      <c r="L259" s="186"/>
      <c r="M259" s="122"/>
      <c r="N259" s="186"/>
      <c r="O259" s="186"/>
      <c r="P259" s="186"/>
      <c r="Q259" s="122"/>
      <c r="R259" s="251"/>
    </row>
    <row r="260" spans="1:18" s="244" customFormat="1" ht="20.25" customHeight="1" x14ac:dyDescent="0.25">
      <c r="A260" s="445" t="s">
        <v>360</v>
      </c>
      <c r="B260" s="365" t="s">
        <v>188</v>
      </c>
      <c r="C260" s="235">
        <f>C259*2*7/1000</f>
        <v>203.392</v>
      </c>
      <c r="D260" s="106"/>
      <c r="E260" s="92"/>
      <c r="F260" s="98">
        <v>130000</v>
      </c>
      <c r="G260" s="99">
        <f t="shared" ref="G260:G273" si="24">C260*F260</f>
        <v>26440960</v>
      </c>
      <c r="H260" s="106"/>
      <c r="I260" s="186"/>
      <c r="J260" s="186"/>
      <c r="K260" s="186"/>
      <c r="L260" s="186"/>
      <c r="M260" s="122"/>
      <c r="N260" s="186"/>
      <c r="O260" s="186"/>
      <c r="P260" s="186"/>
      <c r="Q260" s="122"/>
      <c r="R260" s="251"/>
    </row>
    <row r="261" spans="1:18" s="244" customFormat="1" ht="20.25" customHeight="1" x14ac:dyDescent="0.25">
      <c r="A261" s="445" t="s">
        <v>383</v>
      </c>
      <c r="B261" s="365" t="s">
        <v>145</v>
      </c>
      <c r="C261" s="235">
        <f>C259*2</f>
        <v>29056</v>
      </c>
      <c r="D261" s="106"/>
      <c r="E261" s="92"/>
      <c r="F261" s="98">
        <v>30</v>
      </c>
      <c r="G261" s="99">
        <f t="shared" si="24"/>
        <v>871680</v>
      </c>
      <c r="H261" s="106"/>
      <c r="I261" s="186"/>
      <c r="J261" s="186"/>
      <c r="K261" s="186"/>
      <c r="L261" s="186"/>
      <c r="M261" s="122"/>
      <c r="N261" s="186"/>
      <c r="O261" s="186"/>
      <c r="P261" s="186"/>
      <c r="Q261" s="122"/>
      <c r="R261" s="251"/>
    </row>
    <row r="262" spans="1:18" s="244" customFormat="1" ht="20.25" customHeight="1" x14ac:dyDescent="0.25">
      <c r="A262" s="445" t="s">
        <v>384</v>
      </c>
      <c r="B262" s="365" t="s">
        <v>145</v>
      </c>
      <c r="C262" s="235">
        <f>C259*2</f>
        <v>29056</v>
      </c>
      <c r="D262" s="106"/>
      <c r="E262" s="92"/>
      <c r="F262" s="98">
        <v>45</v>
      </c>
      <c r="G262" s="99">
        <f t="shared" si="24"/>
        <v>1307520</v>
      </c>
      <c r="H262" s="106"/>
      <c r="I262" s="186"/>
      <c r="J262" s="186"/>
      <c r="K262" s="186"/>
      <c r="L262" s="186"/>
      <c r="M262" s="122"/>
      <c r="N262" s="186"/>
      <c r="O262" s="186"/>
      <c r="P262" s="186"/>
      <c r="Q262" s="122"/>
      <c r="R262" s="251"/>
    </row>
    <row r="263" spans="1:18" s="244" customFormat="1" ht="20.25" customHeight="1" x14ac:dyDescent="0.25">
      <c r="A263" s="445" t="s">
        <v>363</v>
      </c>
      <c r="B263" s="365" t="s">
        <v>188</v>
      </c>
      <c r="C263" s="235">
        <f>C259*4*0.345/1000</f>
        <v>20.048639999999999</v>
      </c>
      <c r="D263" s="106"/>
      <c r="E263" s="92"/>
      <c r="F263" s="98">
        <v>125000</v>
      </c>
      <c r="G263" s="99">
        <f t="shared" si="24"/>
        <v>2506080</v>
      </c>
      <c r="H263" s="106"/>
      <c r="I263" s="186"/>
      <c r="J263" s="186"/>
      <c r="K263" s="186"/>
      <c r="L263" s="186"/>
      <c r="M263" s="122"/>
      <c r="N263" s="186"/>
      <c r="O263" s="186"/>
      <c r="P263" s="186"/>
      <c r="Q263" s="122"/>
      <c r="R263" s="251"/>
    </row>
    <row r="264" spans="1:18" s="244" customFormat="1" ht="20.25" customHeight="1" x14ac:dyDescent="0.25">
      <c r="A264" s="445" t="s">
        <v>364</v>
      </c>
      <c r="B264" s="365" t="s">
        <v>188</v>
      </c>
      <c r="C264" s="235">
        <f>C259*4*0.64/1000</f>
        <v>37.191679999999998</v>
      </c>
      <c r="D264" s="106"/>
      <c r="E264" s="92"/>
      <c r="F264" s="98">
        <v>140000</v>
      </c>
      <c r="G264" s="99">
        <f t="shared" si="24"/>
        <v>5206835.2000000002</v>
      </c>
      <c r="H264" s="106"/>
      <c r="I264" s="186"/>
      <c r="J264" s="186"/>
      <c r="K264" s="186"/>
      <c r="L264" s="186"/>
      <c r="M264" s="122"/>
      <c r="N264" s="186"/>
      <c r="O264" s="186"/>
      <c r="P264" s="186"/>
      <c r="Q264" s="122"/>
      <c r="R264" s="251"/>
    </row>
    <row r="265" spans="1:18" s="244" customFormat="1" ht="20.25" customHeight="1" x14ac:dyDescent="0.25">
      <c r="A265" s="445" t="s">
        <v>365</v>
      </c>
      <c r="B265" s="365" t="s">
        <v>188</v>
      </c>
      <c r="C265" s="235">
        <f>C259*4*0.635/1000</f>
        <v>36.901120000000006</v>
      </c>
      <c r="D265" s="106"/>
      <c r="E265" s="92"/>
      <c r="F265" s="98">
        <v>95000</v>
      </c>
      <c r="G265" s="99">
        <f t="shared" si="24"/>
        <v>3505606.4000000004</v>
      </c>
      <c r="H265" s="106"/>
      <c r="I265" s="186"/>
      <c r="J265" s="186"/>
      <c r="K265" s="186"/>
      <c r="L265" s="186"/>
      <c r="M265" s="122"/>
      <c r="N265" s="186"/>
      <c r="O265" s="186"/>
      <c r="P265" s="186"/>
      <c r="Q265" s="122"/>
      <c r="R265" s="251"/>
    </row>
    <row r="266" spans="1:18" s="244" customFormat="1" ht="20.25" customHeight="1" x14ac:dyDescent="0.25">
      <c r="A266" s="445" t="s">
        <v>366</v>
      </c>
      <c r="B266" s="365" t="s">
        <v>145</v>
      </c>
      <c r="C266" s="235">
        <f>C259*4</f>
        <v>58112</v>
      </c>
      <c r="D266" s="106"/>
      <c r="E266" s="92"/>
      <c r="F266" s="98">
        <v>7</v>
      </c>
      <c r="G266" s="99">
        <f t="shared" si="24"/>
        <v>406784</v>
      </c>
      <c r="H266" s="106"/>
      <c r="I266" s="186"/>
      <c r="J266" s="186"/>
      <c r="K266" s="186"/>
      <c r="L266" s="186"/>
      <c r="M266" s="122"/>
      <c r="N266" s="186"/>
      <c r="O266" s="186"/>
      <c r="P266" s="186"/>
      <c r="Q266" s="122"/>
      <c r="R266" s="251"/>
    </row>
    <row r="267" spans="1:18" s="244" customFormat="1" ht="20.25" customHeight="1" x14ac:dyDescent="0.25">
      <c r="A267" s="445" t="s">
        <v>367</v>
      </c>
      <c r="B267" s="365" t="s">
        <v>145</v>
      </c>
      <c r="C267" s="235">
        <f>C259*4</f>
        <v>58112</v>
      </c>
      <c r="D267" s="106"/>
      <c r="E267" s="92"/>
      <c r="F267" s="98">
        <v>10</v>
      </c>
      <c r="G267" s="99">
        <f t="shared" si="24"/>
        <v>581120</v>
      </c>
      <c r="H267" s="106"/>
      <c r="I267" s="186"/>
      <c r="J267" s="186"/>
      <c r="K267" s="186"/>
      <c r="L267" s="186"/>
      <c r="M267" s="122"/>
      <c r="N267" s="186"/>
      <c r="O267" s="186"/>
      <c r="P267" s="186"/>
      <c r="Q267" s="122"/>
      <c r="R267" s="251"/>
    </row>
    <row r="268" spans="1:18" s="244" customFormat="1" ht="20.25" customHeight="1" x14ac:dyDescent="0.25">
      <c r="A268" s="445" t="s">
        <v>385</v>
      </c>
      <c r="B268" s="365" t="s">
        <v>188</v>
      </c>
      <c r="C268" s="235">
        <f>C259*8*0.12/1000</f>
        <v>13.946879999999998</v>
      </c>
      <c r="D268" s="106"/>
      <c r="E268" s="92"/>
      <c r="F268" s="98">
        <v>105000</v>
      </c>
      <c r="G268" s="99">
        <f t="shared" si="24"/>
        <v>1464422.3999999999</v>
      </c>
      <c r="H268" s="106"/>
      <c r="I268" s="186"/>
      <c r="J268" s="186"/>
      <c r="K268" s="186"/>
      <c r="L268" s="186"/>
      <c r="M268" s="122"/>
      <c r="N268" s="186"/>
      <c r="O268" s="186"/>
      <c r="P268" s="186"/>
      <c r="Q268" s="122"/>
      <c r="R268" s="251"/>
    </row>
    <row r="269" spans="1:18" s="244" customFormat="1" ht="20.25" customHeight="1" x14ac:dyDescent="0.25">
      <c r="A269" s="445" t="s">
        <v>369</v>
      </c>
      <c r="B269" s="365" t="s">
        <v>188</v>
      </c>
      <c r="C269" s="235">
        <f>C259*8*0.126/1000</f>
        <v>14.644223999999999</v>
      </c>
      <c r="D269" s="106"/>
      <c r="E269" s="92"/>
      <c r="F269" s="98">
        <v>145000</v>
      </c>
      <c r="G269" s="99">
        <f t="shared" si="24"/>
        <v>2123412.48</v>
      </c>
      <c r="H269" s="106"/>
      <c r="I269" s="186"/>
      <c r="J269" s="186"/>
      <c r="K269" s="186"/>
      <c r="L269" s="186"/>
      <c r="M269" s="122"/>
      <c r="N269" s="186"/>
      <c r="O269" s="186"/>
      <c r="P269" s="186"/>
      <c r="Q269" s="122"/>
      <c r="R269" s="251"/>
    </row>
    <row r="270" spans="1:18" s="244" customFormat="1" ht="20.25" customHeight="1" x14ac:dyDescent="0.25">
      <c r="A270" s="445" t="s">
        <v>386</v>
      </c>
      <c r="B270" s="365"/>
      <c r="C270" s="235">
        <f>C256*320*29.5/1000</f>
        <v>85.710480000000004</v>
      </c>
      <c r="D270" s="106"/>
      <c r="E270" s="92"/>
      <c r="F270" s="98">
        <v>130000</v>
      </c>
      <c r="G270" s="99">
        <f t="shared" si="24"/>
        <v>11142362.4</v>
      </c>
      <c r="H270" s="106"/>
      <c r="I270" s="186"/>
      <c r="J270" s="186"/>
      <c r="K270" s="186"/>
      <c r="L270" s="186"/>
      <c r="M270" s="122"/>
      <c r="N270" s="186"/>
      <c r="O270" s="186"/>
      <c r="P270" s="186"/>
      <c r="Q270" s="122"/>
      <c r="R270" s="251"/>
    </row>
    <row r="271" spans="1:18" s="244" customFormat="1" ht="20.25" customHeight="1" x14ac:dyDescent="0.25">
      <c r="A271" s="445" t="s">
        <v>387</v>
      </c>
      <c r="B271" s="365"/>
      <c r="C271" s="235">
        <f>C256*320/2*6*0.818/1000</f>
        <v>7.1299497600000006</v>
      </c>
      <c r="D271" s="106"/>
      <c r="E271" s="92"/>
      <c r="F271" s="98">
        <v>110000</v>
      </c>
      <c r="G271" s="99">
        <f t="shared" si="24"/>
        <v>784294.47360000003</v>
      </c>
      <c r="H271" s="106"/>
      <c r="I271" s="186"/>
      <c r="J271" s="186"/>
      <c r="K271" s="186"/>
      <c r="L271" s="186"/>
      <c r="M271" s="122"/>
      <c r="N271" s="186"/>
      <c r="O271" s="186"/>
      <c r="P271" s="186"/>
      <c r="Q271" s="122"/>
      <c r="R271" s="251"/>
    </row>
    <row r="272" spans="1:18" s="244" customFormat="1" ht="20.25" customHeight="1" x14ac:dyDescent="0.25">
      <c r="A272" s="445" t="s">
        <v>388</v>
      </c>
      <c r="B272" s="365"/>
      <c r="C272" s="235">
        <f>C256*320/2*6*0.22/1000</f>
        <v>1.9175904000000004</v>
      </c>
      <c r="D272" s="106"/>
      <c r="E272" s="92"/>
      <c r="F272" s="98">
        <v>140000</v>
      </c>
      <c r="G272" s="99">
        <f t="shared" si="24"/>
        <v>268462.65600000008</v>
      </c>
      <c r="H272" s="106"/>
      <c r="I272" s="186"/>
      <c r="J272" s="186"/>
      <c r="K272" s="186"/>
      <c r="L272" s="186"/>
      <c r="M272" s="122"/>
      <c r="N272" s="186"/>
      <c r="O272" s="186"/>
      <c r="P272" s="186"/>
      <c r="Q272" s="122"/>
      <c r="R272" s="251"/>
    </row>
    <row r="273" spans="1:18" s="244" customFormat="1" ht="20.25" customHeight="1" x14ac:dyDescent="0.25">
      <c r="A273" s="445" t="s">
        <v>389</v>
      </c>
      <c r="B273" s="365"/>
      <c r="C273" s="235">
        <f>C256*320/2*6*0.093/1000</f>
        <v>0.81061776000000008</v>
      </c>
      <c r="D273" s="106"/>
      <c r="E273" s="92"/>
      <c r="F273" s="98">
        <v>140000</v>
      </c>
      <c r="G273" s="99">
        <f t="shared" si="24"/>
        <v>113486.48640000001</v>
      </c>
      <c r="H273" s="106"/>
      <c r="I273" s="186"/>
      <c r="J273" s="186"/>
      <c r="K273" s="186"/>
      <c r="L273" s="186"/>
      <c r="M273" s="122"/>
      <c r="N273" s="186"/>
      <c r="O273" s="186"/>
      <c r="P273" s="186"/>
      <c r="Q273" s="122"/>
      <c r="R273" s="251"/>
    </row>
    <row r="274" spans="1:18" s="244" customFormat="1" ht="20.25" customHeight="1" x14ac:dyDescent="0.25">
      <c r="A274" s="411" t="s">
        <v>0</v>
      </c>
      <c r="B274" s="379"/>
      <c r="C274" s="206"/>
      <c r="D274" s="205"/>
      <c r="E274" s="210"/>
      <c r="F274" s="204" t="e">
        <f>G274/C256</f>
        <v>#N/A</v>
      </c>
      <c r="G274" s="221" t="e">
        <f>SUM(G275:G276)</f>
        <v>#N/A</v>
      </c>
      <c r="H274" s="205"/>
      <c r="I274" s="212"/>
      <c r="J274" s="212"/>
      <c r="K274" s="212"/>
      <c r="L274" s="212"/>
      <c r="M274" s="213"/>
      <c r="N274" s="212"/>
      <c r="O274" s="212"/>
      <c r="P274" s="212"/>
      <c r="Q274" s="213"/>
      <c r="R274" s="255"/>
    </row>
    <row r="275" spans="1:18" s="244" customFormat="1" ht="20.25" customHeight="1" x14ac:dyDescent="0.25">
      <c r="A275" s="412" t="s">
        <v>260</v>
      </c>
      <c r="B275" s="365" t="s">
        <v>33</v>
      </c>
      <c r="C275" s="121">
        <v>10</v>
      </c>
      <c r="D275" s="106"/>
      <c r="E275" s="92">
        <f>C275*R275</f>
        <v>1006.3123505454546</v>
      </c>
      <c r="F275" s="98" t="e">
        <f>VLOOKUP(A275,ГрафикЖД!$B$4:$C$55,2,0)</f>
        <v>#N/A</v>
      </c>
      <c r="G275" s="99" t="e">
        <f>E275*F275</f>
        <v>#N/A</v>
      </c>
      <c r="H275" s="106"/>
      <c r="I275" s="100">
        <f>C256/E275*C275</f>
        <v>9.0225465235308014E-2</v>
      </c>
      <c r="J275" s="186">
        <f>C256*1219.168/C275/11</f>
        <v>100.63123505454546</v>
      </c>
      <c r="K275" s="186"/>
      <c r="L275" s="186"/>
      <c r="M275" s="122"/>
      <c r="N275" s="186"/>
      <c r="O275" s="186"/>
      <c r="P275" s="186"/>
      <c r="Q275" s="122"/>
      <c r="R275" s="78">
        <f>SUM(J275:Q275)</f>
        <v>100.63123505454546</v>
      </c>
    </row>
    <row r="276" spans="1:18" s="244" customFormat="1" ht="20.25" customHeight="1" x14ac:dyDescent="0.25">
      <c r="A276" s="412" t="s">
        <v>32</v>
      </c>
      <c r="B276" s="375"/>
      <c r="C276" s="121"/>
      <c r="D276" s="106"/>
      <c r="E276" s="92"/>
      <c r="F276" s="98"/>
      <c r="G276" s="99" t="e">
        <f>G275*30.9%</f>
        <v>#N/A</v>
      </c>
      <c r="H276" s="106"/>
      <c r="I276" s="186"/>
      <c r="J276" s="186"/>
      <c r="K276" s="186"/>
      <c r="L276" s="186"/>
      <c r="M276" s="122"/>
      <c r="N276" s="186"/>
      <c r="O276" s="186"/>
      <c r="P276" s="186"/>
      <c r="Q276" s="122"/>
      <c r="R276" s="251"/>
    </row>
    <row r="277" spans="1:18" s="244" customFormat="1" ht="20.25" customHeight="1" x14ac:dyDescent="0.25">
      <c r="A277" s="411" t="s">
        <v>1</v>
      </c>
      <c r="B277" s="379"/>
      <c r="C277" s="206"/>
      <c r="D277" s="205"/>
      <c r="E277" s="210"/>
      <c r="F277" s="204">
        <f>G277/C256</f>
        <v>583665.28181818186</v>
      </c>
      <c r="G277" s="221">
        <f>SUM(G278:G280)</f>
        <v>5299388.9262681827</v>
      </c>
      <c r="H277" s="205"/>
      <c r="I277" s="212"/>
      <c r="J277" s="212"/>
      <c r="K277" s="212"/>
      <c r="L277" s="212"/>
      <c r="M277" s="213"/>
      <c r="N277" s="212"/>
      <c r="O277" s="212"/>
      <c r="P277" s="212"/>
      <c r="Q277" s="213"/>
      <c r="R277" s="255"/>
    </row>
    <row r="278" spans="1:18" s="244" customFormat="1" ht="20.25" customHeight="1" x14ac:dyDescent="0.25">
      <c r="A278" s="469" t="s">
        <v>240</v>
      </c>
      <c r="B278" s="376" t="s">
        <v>35</v>
      </c>
      <c r="C278" s="121">
        <v>1</v>
      </c>
      <c r="D278" s="106"/>
      <c r="E278" s="92">
        <f>C278*R278</f>
        <v>122.18448231818184</v>
      </c>
      <c r="F278" s="98">
        <f>VLOOKUP(A278,ГрафикЖД!$B$4:$C$55,2,0)</f>
        <v>20900</v>
      </c>
      <c r="G278" s="99">
        <f>E278*F278</f>
        <v>2553655.6804500003</v>
      </c>
      <c r="H278" s="106"/>
      <c r="I278" s="100">
        <f>C256/E278*C278</f>
        <v>7.4309763627397329E-2</v>
      </c>
      <c r="J278" s="186">
        <f>C256*148.029/C278/11</f>
        <v>122.18448231818184</v>
      </c>
      <c r="K278" s="186"/>
      <c r="L278" s="186"/>
      <c r="M278" s="122"/>
      <c r="N278" s="186"/>
      <c r="O278" s="186"/>
      <c r="P278" s="186"/>
      <c r="Q278" s="122"/>
      <c r="R278" s="248">
        <f>SUM(J278:Q278)</f>
        <v>122.18448231818184</v>
      </c>
    </row>
    <row r="279" spans="1:18" s="244" customFormat="1" ht="20.25" customHeight="1" x14ac:dyDescent="0.25">
      <c r="A279" s="469" t="s">
        <v>245</v>
      </c>
      <c r="B279" s="376" t="s">
        <v>35</v>
      </c>
      <c r="C279" s="121">
        <v>1</v>
      </c>
      <c r="D279" s="106"/>
      <c r="E279" s="92">
        <f>C279*R279</f>
        <v>151.95781363636365</v>
      </c>
      <c r="F279" s="98">
        <f>VLOOKUP(A279,ГрафикЖД!$B$4:$C$55,2,0)</f>
        <v>14300</v>
      </c>
      <c r="G279" s="99">
        <f>E279*F279</f>
        <v>2172996.7350000003</v>
      </c>
      <c r="H279" s="106"/>
      <c r="I279" s="100">
        <f>C256/E279*C279</f>
        <v>5.9750135795763173E-2</v>
      </c>
      <c r="J279" s="186">
        <f>C256*184.1/C279/11</f>
        <v>151.95781363636365</v>
      </c>
      <c r="K279" s="186"/>
      <c r="L279" s="186"/>
      <c r="M279" s="122"/>
      <c r="N279" s="186"/>
      <c r="O279" s="186"/>
      <c r="P279" s="186"/>
      <c r="Q279" s="122"/>
      <c r="R279" s="248">
        <f>SUM(J279:Q279)</f>
        <v>151.95781363636365</v>
      </c>
    </row>
    <row r="280" spans="1:18" s="244" customFormat="1" ht="20.25" customHeight="1" x14ac:dyDescent="0.25">
      <c r="A280" s="469" t="s">
        <v>246</v>
      </c>
      <c r="B280" s="376" t="s">
        <v>35</v>
      </c>
      <c r="C280" s="121">
        <v>1</v>
      </c>
      <c r="D280" s="106"/>
      <c r="E280" s="92">
        <f>C280*R280</f>
        <v>31.81869504545455</v>
      </c>
      <c r="F280" s="98">
        <f>VLOOKUP(A280,ГрафикЖД!$B$4:$C$55,2,0)</f>
        <v>18000</v>
      </c>
      <c r="G280" s="99">
        <f>E280*F280</f>
        <v>572736.51081818191</v>
      </c>
      <c r="H280" s="106"/>
      <c r="I280" s="100">
        <f>C256/E280*C280</f>
        <v>0.2853511115722846</v>
      </c>
      <c r="J280" s="186">
        <f>C256*38.549/C280/11</f>
        <v>31.81869504545455</v>
      </c>
      <c r="K280" s="186"/>
      <c r="L280" s="186"/>
      <c r="M280" s="122"/>
      <c r="N280" s="186"/>
      <c r="O280" s="186"/>
      <c r="P280" s="186"/>
      <c r="Q280" s="122"/>
      <c r="R280" s="248">
        <f>SUM(J280:Q280)</f>
        <v>31.81869504545455</v>
      </c>
    </row>
    <row r="281" spans="1:18" s="123" customFormat="1" ht="39.75" customHeight="1" x14ac:dyDescent="0.2">
      <c r="A281" s="470" t="s">
        <v>394</v>
      </c>
      <c r="B281" s="378" t="s">
        <v>380</v>
      </c>
      <c r="C281" s="224">
        <f>0.452+0.361+0.062+0.115</f>
        <v>0.99</v>
      </c>
      <c r="D281" s="194"/>
      <c r="E281" s="216">
        <f>E298</f>
        <v>83.382749999999987</v>
      </c>
      <c r="F281" s="197" t="e">
        <f>G281/C281</f>
        <v>#N/A</v>
      </c>
      <c r="G281" s="217" t="e">
        <f>G282+G297+G300</f>
        <v>#N/A</v>
      </c>
      <c r="H281" s="194"/>
      <c r="I281" s="196"/>
      <c r="J281" s="216">
        <f>J298*$I298</f>
        <v>0.9900000000000001</v>
      </c>
      <c r="K281" s="216"/>
      <c r="L281" s="216"/>
      <c r="M281" s="216"/>
      <c r="N281" s="216"/>
      <c r="O281" s="216"/>
      <c r="P281" s="216"/>
      <c r="Q281" s="216"/>
      <c r="R281" s="285"/>
    </row>
    <row r="282" spans="1:18" s="429" customFormat="1" ht="20.25" customHeight="1" x14ac:dyDescent="0.2">
      <c r="A282" s="468" t="s">
        <v>167</v>
      </c>
      <c r="B282" s="422"/>
      <c r="C282" s="423"/>
      <c r="D282" s="424"/>
      <c r="E282" s="425"/>
      <c r="F282" s="204">
        <f>SUM(F283:F296)</f>
        <v>1312035</v>
      </c>
      <c r="G282" s="204">
        <f>SUM(G283:G296)</f>
        <v>16967427.84</v>
      </c>
      <c r="H282" s="424"/>
      <c r="I282" s="426"/>
      <c r="J282" s="426"/>
      <c r="K282" s="426"/>
      <c r="L282" s="426"/>
      <c r="M282" s="427"/>
      <c r="N282" s="426"/>
      <c r="O282" s="426"/>
      <c r="P282" s="426"/>
      <c r="Q282" s="427"/>
      <c r="R282" s="428"/>
    </row>
    <row r="283" spans="1:18" s="244" customFormat="1" ht="20.25" customHeight="1" x14ac:dyDescent="0.25">
      <c r="A283" s="445" t="s">
        <v>381</v>
      </c>
      <c r="B283" s="365" t="s">
        <v>188</v>
      </c>
      <c r="C283" s="121">
        <f>C281*129.76</f>
        <v>128.4624</v>
      </c>
      <c r="D283" s="106"/>
      <c r="E283" s="92"/>
      <c r="F283" s="98">
        <v>45000</v>
      </c>
      <c r="G283" s="99">
        <f>C283*F283</f>
        <v>5780808</v>
      </c>
      <c r="H283" s="106"/>
      <c r="I283" s="186"/>
      <c r="J283" s="186"/>
      <c r="K283" s="186"/>
      <c r="L283" s="186"/>
      <c r="M283" s="122"/>
      <c r="N283" s="186"/>
      <c r="O283" s="186"/>
      <c r="P283" s="186"/>
      <c r="Q283" s="122"/>
      <c r="R283" s="251"/>
    </row>
    <row r="284" spans="1:18" s="244" customFormat="1" ht="20.25" customHeight="1" x14ac:dyDescent="0.25">
      <c r="A284" s="445" t="s">
        <v>442</v>
      </c>
      <c r="B284" s="365" t="s">
        <v>145</v>
      </c>
      <c r="C284" s="151">
        <f>ROUNDUP(C281*1600,0)</f>
        <v>1584</v>
      </c>
      <c r="D284" s="106"/>
      <c r="E284" s="92"/>
      <c r="F284" s="98">
        <v>1900</v>
      </c>
      <c r="G284" s="99">
        <f>C284*F284</f>
        <v>3009600</v>
      </c>
      <c r="H284" s="106"/>
      <c r="I284" s="186"/>
      <c r="J284" s="186"/>
      <c r="K284" s="186"/>
      <c r="L284" s="186"/>
      <c r="M284" s="122"/>
      <c r="N284" s="186"/>
      <c r="O284" s="186"/>
      <c r="P284" s="186"/>
      <c r="Q284" s="122"/>
      <c r="R284" s="251"/>
    </row>
    <row r="285" spans="1:18" s="244" customFormat="1" ht="20.25" customHeight="1" x14ac:dyDescent="0.25">
      <c r="A285" s="445" t="s">
        <v>391</v>
      </c>
      <c r="B285" s="365" t="s">
        <v>188</v>
      </c>
      <c r="C285" s="121">
        <f>C281*1600*2*9.7/1000</f>
        <v>30.729599999999998</v>
      </c>
      <c r="D285" s="106"/>
      <c r="E285" s="92"/>
      <c r="F285" s="98">
        <v>140000</v>
      </c>
      <c r="G285" s="99">
        <f t="shared" ref="G285:G296" si="25">C285*F285</f>
        <v>4302144</v>
      </c>
      <c r="H285" s="106"/>
      <c r="I285" s="186"/>
      <c r="J285" s="186"/>
      <c r="K285" s="186"/>
      <c r="L285" s="186"/>
      <c r="M285" s="122"/>
      <c r="N285" s="186"/>
      <c r="O285" s="186"/>
      <c r="P285" s="186"/>
      <c r="Q285" s="122"/>
      <c r="R285" s="251"/>
    </row>
    <row r="286" spans="1:18" s="244" customFormat="1" ht="20.25" customHeight="1" x14ac:dyDescent="0.25">
      <c r="A286" s="445" t="s">
        <v>392</v>
      </c>
      <c r="B286" s="365" t="s">
        <v>145</v>
      </c>
      <c r="C286" s="151">
        <f>C284*2</f>
        <v>3168</v>
      </c>
      <c r="D286" s="106"/>
      <c r="E286" s="92"/>
      <c r="F286" s="98">
        <v>80</v>
      </c>
      <c r="G286" s="99">
        <f t="shared" si="25"/>
        <v>253440</v>
      </c>
      <c r="H286" s="106"/>
      <c r="I286" s="186"/>
      <c r="J286" s="186"/>
      <c r="K286" s="186"/>
      <c r="L286" s="186"/>
      <c r="M286" s="122"/>
      <c r="N286" s="186"/>
      <c r="O286" s="186"/>
      <c r="P286" s="186"/>
      <c r="Q286" s="122"/>
      <c r="R286" s="251"/>
    </row>
    <row r="287" spans="1:18" s="244" customFormat="1" ht="20.25" customHeight="1" x14ac:dyDescent="0.25">
      <c r="A287" s="445" t="s">
        <v>393</v>
      </c>
      <c r="B287" s="365" t="s">
        <v>145</v>
      </c>
      <c r="C287" s="151">
        <f>C284*2</f>
        <v>3168</v>
      </c>
      <c r="D287" s="106"/>
      <c r="E287" s="92"/>
      <c r="F287" s="98">
        <v>55</v>
      </c>
      <c r="G287" s="99">
        <f t="shared" si="25"/>
        <v>174240</v>
      </c>
      <c r="H287" s="106"/>
      <c r="I287" s="186"/>
      <c r="J287" s="186"/>
      <c r="K287" s="186"/>
      <c r="L287" s="186"/>
      <c r="M287" s="122"/>
      <c r="N287" s="186"/>
      <c r="O287" s="186"/>
      <c r="P287" s="186"/>
      <c r="Q287" s="122"/>
      <c r="R287" s="251"/>
    </row>
    <row r="288" spans="1:18" s="244" customFormat="1" ht="20.25" customHeight="1" x14ac:dyDescent="0.25">
      <c r="A288" s="445" t="s">
        <v>363</v>
      </c>
      <c r="B288" s="365" t="s">
        <v>188</v>
      </c>
      <c r="C288" s="121">
        <f>C284*4*0.345/1000</f>
        <v>2.1859199999999994</v>
      </c>
      <c r="D288" s="106"/>
      <c r="E288" s="92"/>
      <c r="F288" s="98">
        <v>125000</v>
      </c>
      <c r="G288" s="99">
        <f t="shared" si="25"/>
        <v>273239.99999999994</v>
      </c>
      <c r="H288" s="106"/>
      <c r="I288" s="186"/>
      <c r="J288" s="186"/>
      <c r="K288" s="186"/>
      <c r="L288" s="186"/>
      <c r="M288" s="122"/>
      <c r="N288" s="186"/>
      <c r="O288" s="186"/>
      <c r="P288" s="186"/>
      <c r="Q288" s="122"/>
      <c r="R288" s="251"/>
    </row>
    <row r="289" spans="1:18" s="244" customFormat="1" ht="20.25" customHeight="1" x14ac:dyDescent="0.25">
      <c r="A289" s="445" t="s">
        <v>364</v>
      </c>
      <c r="B289" s="365" t="s">
        <v>188</v>
      </c>
      <c r="C289" s="121">
        <f>C284*4*0.64/1000</f>
        <v>4.05504</v>
      </c>
      <c r="D289" s="106"/>
      <c r="E289" s="92"/>
      <c r="F289" s="98">
        <v>135000</v>
      </c>
      <c r="G289" s="99">
        <f t="shared" si="25"/>
        <v>547430.40000000002</v>
      </c>
      <c r="H289" s="106"/>
      <c r="I289" s="186"/>
      <c r="J289" s="186"/>
      <c r="K289" s="186"/>
      <c r="L289" s="186"/>
      <c r="M289" s="122"/>
      <c r="N289" s="186"/>
      <c r="O289" s="186"/>
      <c r="P289" s="186"/>
      <c r="Q289" s="122"/>
      <c r="R289" s="251"/>
    </row>
    <row r="290" spans="1:18" s="244" customFormat="1" ht="20.25" customHeight="1" x14ac:dyDescent="0.25">
      <c r="A290" s="445" t="s">
        <v>385</v>
      </c>
      <c r="B290" s="365" t="s">
        <v>188</v>
      </c>
      <c r="C290" s="121">
        <f>C284*12*0.12/1000</f>
        <v>2.2809599999999999</v>
      </c>
      <c r="D290" s="106"/>
      <c r="E290" s="92"/>
      <c r="F290" s="98">
        <v>105000</v>
      </c>
      <c r="G290" s="99">
        <f t="shared" si="25"/>
        <v>239500.79999999999</v>
      </c>
      <c r="H290" s="106"/>
      <c r="I290" s="186"/>
      <c r="J290" s="186"/>
      <c r="K290" s="186"/>
      <c r="L290" s="186"/>
      <c r="M290" s="122"/>
      <c r="N290" s="186"/>
      <c r="O290" s="186"/>
      <c r="P290" s="186"/>
      <c r="Q290" s="122"/>
      <c r="R290" s="251"/>
    </row>
    <row r="291" spans="1:18" s="244" customFormat="1" ht="20.25" customHeight="1" x14ac:dyDescent="0.25">
      <c r="A291" s="445" t="s">
        <v>369</v>
      </c>
      <c r="B291" s="365" t="s">
        <v>145</v>
      </c>
      <c r="C291" s="121">
        <f>C284*12*0.126/1000</f>
        <v>2.3950079999999998</v>
      </c>
      <c r="D291" s="106"/>
      <c r="E291" s="92"/>
      <c r="F291" s="98">
        <v>140000</v>
      </c>
      <c r="G291" s="99">
        <f t="shared" si="25"/>
        <v>335301.12</v>
      </c>
      <c r="H291" s="106"/>
      <c r="I291" s="186"/>
      <c r="J291" s="186"/>
      <c r="K291" s="186"/>
      <c r="L291" s="186"/>
      <c r="M291" s="122"/>
      <c r="N291" s="186"/>
      <c r="O291" s="186"/>
      <c r="P291" s="186"/>
      <c r="Q291" s="122"/>
      <c r="R291" s="251"/>
    </row>
    <row r="292" spans="1:18" s="244" customFormat="1" ht="20.25" customHeight="1" x14ac:dyDescent="0.25">
      <c r="A292" s="445" t="s">
        <v>373</v>
      </c>
      <c r="B292" s="365" t="s">
        <v>145</v>
      </c>
      <c r="C292" s="121">
        <f>C284*8*0.56/1000</f>
        <v>7.0963200000000004</v>
      </c>
      <c r="D292" s="106"/>
      <c r="E292" s="92"/>
      <c r="F292" s="98">
        <v>100000</v>
      </c>
      <c r="G292" s="99">
        <f t="shared" si="25"/>
        <v>709632</v>
      </c>
      <c r="H292" s="106"/>
      <c r="I292" s="186"/>
      <c r="J292" s="186"/>
      <c r="K292" s="186"/>
      <c r="L292" s="186"/>
      <c r="M292" s="122"/>
      <c r="N292" s="186"/>
      <c r="O292" s="186"/>
      <c r="P292" s="186"/>
      <c r="Q292" s="122"/>
      <c r="R292" s="251"/>
    </row>
    <row r="293" spans="1:18" s="244" customFormat="1" ht="20.25" customHeight="1" x14ac:dyDescent="0.25">
      <c r="A293" s="445" t="s">
        <v>386</v>
      </c>
      <c r="B293" s="365" t="s">
        <v>188</v>
      </c>
      <c r="C293" s="121">
        <f>C281*320*29.5/1000</f>
        <v>9.345600000000001</v>
      </c>
      <c r="D293" s="106"/>
      <c r="E293" s="92"/>
      <c r="F293" s="98">
        <v>130000</v>
      </c>
      <c r="G293" s="99">
        <f t="shared" si="25"/>
        <v>1214928.0000000002</v>
      </c>
      <c r="H293" s="106"/>
      <c r="I293" s="186"/>
      <c r="J293" s="186"/>
      <c r="K293" s="186"/>
      <c r="L293" s="186"/>
      <c r="M293" s="122"/>
      <c r="N293" s="186"/>
      <c r="O293" s="186"/>
      <c r="P293" s="186"/>
      <c r="Q293" s="122"/>
      <c r="R293" s="251"/>
    </row>
    <row r="294" spans="1:18" s="244" customFormat="1" ht="20.25" customHeight="1" x14ac:dyDescent="0.25">
      <c r="A294" s="445" t="s">
        <v>387</v>
      </c>
      <c r="B294" s="365" t="s">
        <v>188</v>
      </c>
      <c r="C294" s="121">
        <f>C281*320/2*6*0.818/1000</f>
        <v>0.77742719999999998</v>
      </c>
      <c r="D294" s="106"/>
      <c r="E294" s="92"/>
      <c r="F294" s="98">
        <v>110000</v>
      </c>
      <c r="G294" s="99">
        <f t="shared" si="25"/>
        <v>85516.991999999998</v>
      </c>
      <c r="H294" s="106"/>
      <c r="I294" s="186"/>
      <c r="J294" s="186"/>
      <c r="K294" s="186"/>
      <c r="L294" s="186"/>
      <c r="M294" s="122"/>
      <c r="N294" s="186"/>
      <c r="O294" s="186"/>
      <c r="P294" s="186"/>
      <c r="Q294" s="122"/>
      <c r="R294" s="251"/>
    </row>
    <row r="295" spans="1:18" s="244" customFormat="1" ht="20.25" customHeight="1" x14ac:dyDescent="0.25">
      <c r="A295" s="445" t="s">
        <v>388</v>
      </c>
      <c r="B295" s="365" t="s">
        <v>188</v>
      </c>
      <c r="C295" s="121">
        <f>C281*320/2*6*0.22/1000</f>
        <v>0.20908800000000002</v>
      </c>
      <c r="D295" s="106"/>
      <c r="E295" s="92"/>
      <c r="F295" s="98">
        <v>140000</v>
      </c>
      <c r="G295" s="99">
        <f t="shared" si="25"/>
        <v>29272.320000000003</v>
      </c>
      <c r="H295" s="106"/>
      <c r="I295" s="186"/>
      <c r="J295" s="186"/>
      <c r="K295" s="186"/>
      <c r="L295" s="186"/>
      <c r="M295" s="122"/>
      <c r="N295" s="186"/>
      <c r="O295" s="186"/>
      <c r="P295" s="186"/>
      <c r="Q295" s="122"/>
      <c r="R295" s="251"/>
    </row>
    <row r="296" spans="1:18" s="244" customFormat="1" ht="20.25" customHeight="1" x14ac:dyDescent="0.25">
      <c r="A296" s="445" t="s">
        <v>389</v>
      </c>
      <c r="B296" s="365" t="s">
        <v>188</v>
      </c>
      <c r="C296" s="121">
        <f>C281*320/2*6*0.093/1000</f>
        <v>8.8387200000000013E-2</v>
      </c>
      <c r="D296" s="106"/>
      <c r="E296" s="92"/>
      <c r="F296" s="98">
        <v>140000</v>
      </c>
      <c r="G296" s="99">
        <f t="shared" si="25"/>
        <v>12374.208000000002</v>
      </c>
      <c r="H296" s="106"/>
      <c r="I296" s="186"/>
      <c r="J296" s="186"/>
      <c r="K296" s="186"/>
      <c r="L296" s="186"/>
      <c r="M296" s="122"/>
      <c r="N296" s="186"/>
      <c r="O296" s="186"/>
      <c r="P296" s="186"/>
      <c r="Q296" s="122"/>
      <c r="R296" s="251"/>
    </row>
    <row r="297" spans="1:18" s="244" customFormat="1" ht="20.25" customHeight="1" x14ac:dyDescent="0.25">
      <c r="A297" s="411" t="s">
        <v>0</v>
      </c>
      <c r="B297" s="379"/>
      <c r="C297" s="206"/>
      <c r="D297" s="205"/>
      <c r="E297" s="210"/>
      <c r="F297" s="204" t="e">
        <f>G297/C281</f>
        <v>#N/A</v>
      </c>
      <c r="G297" s="221" t="e">
        <f>SUM(G298:G299)</f>
        <v>#N/A</v>
      </c>
      <c r="H297" s="205"/>
      <c r="I297" s="212"/>
      <c r="J297" s="212"/>
      <c r="K297" s="212"/>
      <c r="L297" s="212"/>
      <c r="M297" s="213"/>
      <c r="N297" s="212"/>
      <c r="O297" s="212"/>
      <c r="P297" s="212"/>
      <c r="Q297" s="213"/>
      <c r="R297" s="255"/>
    </row>
    <row r="298" spans="1:18" s="244" customFormat="1" ht="20.25" customHeight="1" x14ac:dyDescent="0.25">
      <c r="A298" s="412" t="s">
        <v>260</v>
      </c>
      <c r="B298" s="365" t="s">
        <v>33</v>
      </c>
      <c r="C298" s="121">
        <v>10</v>
      </c>
      <c r="D298" s="106"/>
      <c r="E298" s="92">
        <f>C298*R298</f>
        <v>83.382749999999987</v>
      </c>
      <c r="F298" s="98" t="e">
        <f>VLOOKUP(A298,ГрафикЖД!$B$4:$C$55,2,0)</f>
        <v>#N/A</v>
      </c>
      <c r="G298" s="99" t="e">
        <f>E298*F298</f>
        <v>#N/A</v>
      </c>
      <c r="H298" s="106"/>
      <c r="I298" s="100">
        <f>C281/E298*C298</f>
        <v>0.11872959335114279</v>
      </c>
      <c r="J298" s="186">
        <f>C281*926.475/C298/11</f>
        <v>8.3382749999999994</v>
      </c>
      <c r="K298" s="186"/>
      <c r="L298" s="186"/>
      <c r="M298" s="122"/>
      <c r="N298" s="186"/>
      <c r="O298" s="186"/>
      <c r="P298" s="186"/>
      <c r="Q298" s="122"/>
      <c r="R298" s="78">
        <f>SUM(J298:Q298)</f>
        <v>8.3382749999999994</v>
      </c>
    </row>
    <row r="299" spans="1:18" s="244" customFormat="1" ht="20.25" customHeight="1" x14ac:dyDescent="0.25">
      <c r="A299" s="412" t="s">
        <v>32</v>
      </c>
      <c r="B299" s="375"/>
      <c r="C299" s="121"/>
      <c r="D299" s="106"/>
      <c r="E299" s="92"/>
      <c r="F299" s="98"/>
      <c r="G299" s="99" t="e">
        <f>G298*30.9%</f>
        <v>#N/A</v>
      </c>
      <c r="H299" s="106"/>
      <c r="I299" s="186"/>
      <c r="J299" s="186"/>
      <c r="K299" s="186"/>
      <c r="L299" s="186"/>
      <c r="M299" s="122"/>
      <c r="N299" s="186"/>
      <c r="O299" s="186"/>
      <c r="P299" s="186"/>
      <c r="Q299" s="122"/>
      <c r="R299" s="251"/>
    </row>
    <row r="300" spans="1:18" s="244" customFormat="1" ht="20.25" customHeight="1" x14ac:dyDescent="0.25">
      <c r="A300" s="411" t="s">
        <v>1</v>
      </c>
      <c r="B300" s="379"/>
      <c r="C300" s="206"/>
      <c r="D300" s="205"/>
      <c r="E300" s="210"/>
      <c r="F300" s="204">
        <f>G300/C281</f>
        <v>404350.04545454535</v>
      </c>
      <c r="G300" s="221">
        <f>SUM(G301:G303)</f>
        <v>400306.54499999993</v>
      </c>
      <c r="H300" s="205"/>
      <c r="I300" s="212"/>
      <c r="J300" s="212"/>
      <c r="K300" s="212"/>
      <c r="L300" s="212"/>
      <c r="M300" s="213"/>
      <c r="N300" s="212"/>
      <c r="O300" s="212"/>
      <c r="P300" s="212"/>
      <c r="Q300" s="213"/>
      <c r="R300" s="255"/>
    </row>
    <row r="301" spans="1:18" s="244" customFormat="1" ht="20.25" customHeight="1" x14ac:dyDescent="0.25">
      <c r="A301" s="469" t="s">
        <v>240</v>
      </c>
      <c r="B301" s="376" t="s">
        <v>35</v>
      </c>
      <c r="C301" s="121">
        <v>1</v>
      </c>
      <c r="D301" s="106"/>
      <c r="E301" s="92">
        <f>C301*R301</f>
        <v>9.9410399999999992</v>
      </c>
      <c r="F301" s="98">
        <f>VLOOKUP(A301,ГрафикЖД!$B$4:$C$55,2,0)</f>
        <v>20900</v>
      </c>
      <c r="G301" s="99">
        <f>E301*F301</f>
        <v>207767.73599999998</v>
      </c>
      <c r="H301" s="106"/>
      <c r="I301" s="100">
        <f>C281/E301*C301</f>
        <v>9.9587165930325211E-2</v>
      </c>
      <c r="J301" s="186">
        <f>C281*110.456/C301/11</f>
        <v>9.9410399999999992</v>
      </c>
      <c r="K301" s="186"/>
      <c r="L301" s="186"/>
      <c r="M301" s="122"/>
      <c r="N301" s="186"/>
      <c r="O301" s="186"/>
      <c r="P301" s="186"/>
      <c r="Q301" s="122"/>
      <c r="R301" s="248">
        <f>SUM(J301:Q301)</f>
        <v>9.9410399999999992</v>
      </c>
    </row>
    <row r="302" spans="1:18" s="244" customFormat="1" ht="20.25" customHeight="1" x14ac:dyDescent="0.25">
      <c r="A302" s="469" t="s">
        <v>245</v>
      </c>
      <c r="B302" s="376" t="s">
        <v>35</v>
      </c>
      <c r="C302" s="121">
        <v>1</v>
      </c>
      <c r="D302" s="106"/>
      <c r="E302" s="92">
        <f>C302*R302</f>
        <v>11.963429999999999</v>
      </c>
      <c r="F302" s="98">
        <f>VLOOKUP(A302,ГрафикЖД!$B$4:$C$55,2,0)</f>
        <v>14300</v>
      </c>
      <c r="G302" s="99">
        <f>E302*F302</f>
        <v>171077.04899999997</v>
      </c>
      <c r="H302" s="106"/>
      <c r="I302" s="100">
        <f>C281/E302*C302</f>
        <v>8.2752187290768622E-2</v>
      </c>
      <c r="J302" s="186">
        <f>C281*132.927/C302/11</f>
        <v>11.963429999999999</v>
      </c>
      <c r="K302" s="186"/>
      <c r="L302" s="186"/>
      <c r="M302" s="122"/>
      <c r="N302" s="186"/>
      <c r="O302" s="186"/>
      <c r="P302" s="186"/>
      <c r="Q302" s="122"/>
      <c r="R302" s="248">
        <f>SUM(J302:Q302)</f>
        <v>11.963429999999999</v>
      </c>
    </row>
    <row r="303" spans="1:18" s="244" customFormat="1" ht="20.25" customHeight="1" x14ac:dyDescent="0.25">
      <c r="A303" s="469" t="s">
        <v>246</v>
      </c>
      <c r="B303" s="376" t="s">
        <v>35</v>
      </c>
      <c r="C303" s="121">
        <v>1</v>
      </c>
      <c r="D303" s="106"/>
      <c r="E303" s="92">
        <f>C303*R303</f>
        <v>1.19232</v>
      </c>
      <c r="F303" s="98">
        <f>VLOOKUP(A303,ГрафикЖД!$B$4:$C$55,2,0)</f>
        <v>18000</v>
      </c>
      <c r="G303" s="99">
        <f>E303*F303</f>
        <v>21461.760000000002</v>
      </c>
      <c r="H303" s="106"/>
      <c r="I303" s="100">
        <f>C281/E303*C303</f>
        <v>0.83031400966183566</v>
      </c>
      <c r="J303" s="186">
        <f>C281*13.248/C303/11</f>
        <v>1.19232</v>
      </c>
      <c r="K303" s="186"/>
      <c r="L303" s="186"/>
      <c r="M303" s="122"/>
      <c r="N303" s="186"/>
      <c r="O303" s="186"/>
      <c r="P303" s="186"/>
      <c r="Q303" s="122"/>
      <c r="R303" s="248">
        <f>SUM(J303:Q303)</f>
        <v>1.19232</v>
      </c>
    </row>
    <row r="304" spans="1:18" s="123" customFormat="1" ht="39.75" customHeight="1" x14ac:dyDescent="0.2">
      <c r="A304" s="470" t="s">
        <v>396</v>
      </c>
      <c r="B304" s="378" t="s">
        <v>380</v>
      </c>
      <c r="C304" s="224">
        <f>0.98</f>
        <v>0.98</v>
      </c>
      <c r="D304" s="194"/>
      <c r="E304" s="216">
        <f>E320</f>
        <v>65.226929090909096</v>
      </c>
      <c r="F304" s="197" t="e">
        <f>G304/C304</f>
        <v>#N/A</v>
      </c>
      <c r="G304" s="217" t="e">
        <f>G305+G319+G322</f>
        <v>#N/A</v>
      </c>
      <c r="H304" s="194"/>
      <c r="I304" s="196"/>
      <c r="J304" s="216">
        <f>J320*$I320</f>
        <v>0.97999999999999987</v>
      </c>
      <c r="K304" s="216"/>
      <c r="L304" s="216"/>
      <c r="M304" s="216"/>
      <c r="N304" s="216"/>
      <c r="O304" s="216"/>
      <c r="P304" s="216"/>
      <c r="Q304" s="216"/>
      <c r="R304" s="285"/>
    </row>
    <row r="305" spans="1:18" s="429" customFormat="1" ht="20.25" customHeight="1" x14ac:dyDescent="0.2">
      <c r="A305" s="468" t="s">
        <v>167</v>
      </c>
      <c r="B305" s="422"/>
      <c r="C305" s="423"/>
      <c r="D305" s="424"/>
      <c r="E305" s="425"/>
      <c r="F305" s="204">
        <f>SUM(F306:F318)</f>
        <v>1310135</v>
      </c>
      <c r="G305" s="204">
        <f>SUM(G306:G318)</f>
        <v>13816839.68</v>
      </c>
      <c r="H305" s="424"/>
      <c r="I305" s="426"/>
      <c r="J305" s="426"/>
      <c r="K305" s="426"/>
      <c r="L305" s="426"/>
      <c r="M305" s="427"/>
      <c r="N305" s="426"/>
      <c r="O305" s="426"/>
      <c r="P305" s="426"/>
      <c r="Q305" s="427"/>
      <c r="R305" s="428"/>
    </row>
    <row r="306" spans="1:18" s="244" customFormat="1" ht="20.25" customHeight="1" x14ac:dyDescent="0.25">
      <c r="A306" s="445" t="s">
        <v>449</v>
      </c>
      <c r="B306" s="365" t="s">
        <v>188</v>
      </c>
      <c r="C306" s="121">
        <f>C304*129.76</f>
        <v>127.16479999999999</v>
      </c>
      <c r="D306" s="106"/>
      <c r="E306" s="92"/>
      <c r="F306" s="98">
        <v>45000</v>
      </c>
      <c r="G306" s="99">
        <f>C306*F306</f>
        <v>5722415.9999999991</v>
      </c>
      <c r="H306" s="106"/>
      <c r="I306" s="186"/>
      <c r="J306" s="186"/>
      <c r="K306" s="186"/>
      <c r="L306" s="186"/>
      <c r="M306" s="122"/>
      <c r="N306" s="186"/>
      <c r="O306" s="186"/>
      <c r="P306" s="186"/>
      <c r="Q306" s="122"/>
      <c r="R306" s="251"/>
    </row>
    <row r="307" spans="1:18" s="244" customFormat="1" ht="20.25" customHeight="1" x14ac:dyDescent="0.25">
      <c r="A307" s="445" t="s">
        <v>391</v>
      </c>
      <c r="B307" s="365" t="s">
        <v>188</v>
      </c>
      <c r="C307" s="121">
        <f>C304*1600*2*9.7/1000</f>
        <v>30.419199999999996</v>
      </c>
      <c r="D307" s="106"/>
      <c r="E307" s="92"/>
      <c r="F307" s="98">
        <v>140000</v>
      </c>
      <c r="G307" s="99">
        <f t="shared" ref="G307:G318" si="26">C307*F307</f>
        <v>4258687.9999999991</v>
      </c>
      <c r="H307" s="106"/>
      <c r="I307" s="186"/>
      <c r="J307" s="186"/>
      <c r="K307" s="186"/>
      <c r="L307" s="186"/>
      <c r="M307" s="122"/>
      <c r="N307" s="186"/>
      <c r="O307" s="186"/>
      <c r="P307" s="186"/>
      <c r="Q307" s="122"/>
      <c r="R307" s="251"/>
    </row>
    <row r="308" spans="1:18" s="244" customFormat="1" ht="20.25" customHeight="1" x14ac:dyDescent="0.25">
      <c r="A308" s="445" t="s">
        <v>392</v>
      </c>
      <c r="B308" s="365" t="s">
        <v>145</v>
      </c>
      <c r="C308" s="151">
        <f>C304*1600*2</f>
        <v>3136</v>
      </c>
      <c r="D308" s="106"/>
      <c r="E308" s="92"/>
      <c r="F308" s="98">
        <v>80</v>
      </c>
      <c r="G308" s="99">
        <f t="shared" si="26"/>
        <v>250880</v>
      </c>
      <c r="H308" s="106"/>
      <c r="I308" s="186"/>
      <c r="J308" s="186"/>
      <c r="K308" s="186"/>
      <c r="L308" s="186"/>
      <c r="M308" s="122"/>
      <c r="N308" s="186"/>
      <c r="O308" s="186"/>
      <c r="P308" s="186"/>
      <c r="Q308" s="122"/>
      <c r="R308" s="251"/>
    </row>
    <row r="309" spans="1:18" s="244" customFormat="1" ht="20.25" customHeight="1" x14ac:dyDescent="0.25">
      <c r="A309" s="445" t="s">
        <v>393</v>
      </c>
      <c r="B309" s="365" t="s">
        <v>145</v>
      </c>
      <c r="C309" s="151">
        <f>C304*1600*2</f>
        <v>3136</v>
      </c>
      <c r="D309" s="106"/>
      <c r="E309" s="92"/>
      <c r="F309" s="98">
        <v>55</v>
      </c>
      <c r="G309" s="99">
        <f t="shared" si="26"/>
        <v>172480</v>
      </c>
      <c r="H309" s="106"/>
      <c r="I309" s="186"/>
      <c r="J309" s="186"/>
      <c r="K309" s="186"/>
      <c r="L309" s="186"/>
      <c r="M309" s="122"/>
      <c r="N309" s="186"/>
      <c r="O309" s="186"/>
      <c r="P309" s="186"/>
      <c r="Q309" s="122"/>
      <c r="R309" s="251"/>
    </row>
    <row r="310" spans="1:18" s="244" customFormat="1" ht="20.25" customHeight="1" x14ac:dyDescent="0.25">
      <c r="A310" s="445" t="s">
        <v>363</v>
      </c>
      <c r="B310" s="365" t="s">
        <v>188</v>
      </c>
      <c r="C310" s="121">
        <f>C304*1600*4*0.345/1000</f>
        <v>2.1638399999999995</v>
      </c>
      <c r="D310" s="106"/>
      <c r="E310" s="92"/>
      <c r="F310" s="98">
        <v>125000</v>
      </c>
      <c r="G310" s="99">
        <f t="shared" si="26"/>
        <v>270479.99999999994</v>
      </c>
      <c r="H310" s="106"/>
      <c r="I310" s="186"/>
      <c r="J310" s="186"/>
      <c r="K310" s="186"/>
      <c r="L310" s="186"/>
      <c r="M310" s="122"/>
      <c r="N310" s="186"/>
      <c r="O310" s="186"/>
      <c r="P310" s="186"/>
      <c r="Q310" s="122"/>
      <c r="R310" s="251"/>
    </row>
    <row r="311" spans="1:18" s="244" customFormat="1" ht="20.25" customHeight="1" x14ac:dyDescent="0.25">
      <c r="A311" s="445" t="s">
        <v>364</v>
      </c>
      <c r="B311" s="365" t="s">
        <v>188</v>
      </c>
      <c r="C311" s="121">
        <f>C304*1600*4*0.64/1000</f>
        <v>4.0140799999999999</v>
      </c>
      <c r="D311" s="106"/>
      <c r="E311" s="92"/>
      <c r="F311" s="98">
        <v>135000</v>
      </c>
      <c r="G311" s="99">
        <f t="shared" si="26"/>
        <v>541900.79999999993</v>
      </c>
      <c r="H311" s="106"/>
      <c r="I311" s="186"/>
      <c r="J311" s="186"/>
      <c r="K311" s="186"/>
      <c r="L311" s="186"/>
      <c r="M311" s="122"/>
      <c r="N311" s="186"/>
      <c r="O311" s="186"/>
      <c r="P311" s="186"/>
      <c r="Q311" s="122"/>
      <c r="R311" s="251"/>
    </row>
    <row r="312" spans="1:18" s="244" customFormat="1" ht="20.25" customHeight="1" x14ac:dyDescent="0.25">
      <c r="A312" s="445" t="s">
        <v>385</v>
      </c>
      <c r="B312" s="365" t="s">
        <v>188</v>
      </c>
      <c r="C312" s="121">
        <f>C304*1600*12*0.12/1000</f>
        <v>2.2579199999999999</v>
      </c>
      <c r="D312" s="106"/>
      <c r="E312" s="92"/>
      <c r="F312" s="98">
        <v>105000</v>
      </c>
      <c r="G312" s="99">
        <f t="shared" si="26"/>
        <v>237081.60000000001</v>
      </c>
      <c r="H312" s="106"/>
      <c r="I312" s="186"/>
      <c r="J312" s="186"/>
      <c r="K312" s="186"/>
      <c r="L312" s="186"/>
      <c r="M312" s="122"/>
      <c r="N312" s="186"/>
      <c r="O312" s="186"/>
      <c r="P312" s="186"/>
      <c r="Q312" s="122"/>
      <c r="R312" s="251"/>
    </row>
    <row r="313" spans="1:18" s="244" customFormat="1" ht="20.25" customHeight="1" x14ac:dyDescent="0.25">
      <c r="A313" s="445" t="s">
        <v>369</v>
      </c>
      <c r="B313" s="365" t="s">
        <v>145</v>
      </c>
      <c r="C313" s="121">
        <f>C304*1600*12*0.126/1000</f>
        <v>2.3708159999999996</v>
      </c>
      <c r="D313" s="106"/>
      <c r="E313" s="92"/>
      <c r="F313" s="98">
        <v>140000</v>
      </c>
      <c r="G313" s="99">
        <f t="shared" si="26"/>
        <v>331914.23999999993</v>
      </c>
      <c r="H313" s="106"/>
      <c r="I313" s="186"/>
      <c r="J313" s="186"/>
      <c r="K313" s="186"/>
      <c r="L313" s="186"/>
      <c r="M313" s="122"/>
      <c r="N313" s="186"/>
      <c r="O313" s="186"/>
      <c r="P313" s="186"/>
      <c r="Q313" s="122"/>
      <c r="R313" s="251"/>
    </row>
    <row r="314" spans="1:18" s="244" customFormat="1" ht="20.25" customHeight="1" x14ac:dyDescent="0.25">
      <c r="A314" s="445" t="s">
        <v>373</v>
      </c>
      <c r="B314" s="365" t="s">
        <v>145</v>
      </c>
      <c r="C314" s="121">
        <f>C304*1600*8*0.56/1000</f>
        <v>7.0246400000000007</v>
      </c>
      <c r="D314" s="106"/>
      <c r="E314" s="92"/>
      <c r="F314" s="98">
        <v>100000</v>
      </c>
      <c r="G314" s="99">
        <f t="shared" si="26"/>
        <v>702464.00000000012</v>
      </c>
      <c r="H314" s="106"/>
      <c r="I314" s="186"/>
      <c r="J314" s="186"/>
      <c r="K314" s="186"/>
      <c r="L314" s="186"/>
      <c r="M314" s="122"/>
      <c r="N314" s="186"/>
      <c r="O314" s="186"/>
      <c r="P314" s="186"/>
      <c r="Q314" s="122"/>
      <c r="R314" s="251"/>
    </row>
    <row r="315" spans="1:18" s="244" customFormat="1" ht="20.25" customHeight="1" x14ac:dyDescent="0.25">
      <c r="A315" s="445" t="s">
        <v>386</v>
      </c>
      <c r="B315" s="365" t="s">
        <v>188</v>
      </c>
      <c r="C315" s="121">
        <f>C304*320*29.5/1000</f>
        <v>9.2512000000000008</v>
      </c>
      <c r="D315" s="106"/>
      <c r="E315" s="92"/>
      <c r="F315" s="98">
        <v>130000</v>
      </c>
      <c r="G315" s="99">
        <f t="shared" si="26"/>
        <v>1202656</v>
      </c>
      <c r="H315" s="106"/>
      <c r="I315" s="186"/>
      <c r="J315" s="186"/>
      <c r="K315" s="186"/>
      <c r="L315" s="186"/>
      <c r="M315" s="122"/>
      <c r="N315" s="186"/>
      <c r="O315" s="186"/>
      <c r="P315" s="186"/>
      <c r="Q315" s="122"/>
      <c r="R315" s="251"/>
    </row>
    <row r="316" spans="1:18" s="244" customFormat="1" ht="20.25" customHeight="1" x14ac:dyDescent="0.25">
      <c r="A316" s="445" t="s">
        <v>387</v>
      </c>
      <c r="B316" s="365" t="s">
        <v>188</v>
      </c>
      <c r="C316" s="121">
        <f>C304*320/2*6*0.818/1000</f>
        <v>0.76957439999999999</v>
      </c>
      <c r="D316" s="106"/>
      <c r="E316" s="92"/>
      <c r="F316" s="98">
        <v>110000</v>
      </c>
      <c r="G316" s="99">
        <f t="shared" si="26"/>
        <v>84653.183999999994</v>
      </c>
      <c r="H316" s="106"/>
      <c r="I316" s="186"/>
      <c r="J316" s="186"/>
      <c r="K316" s="186"/>
      <c r="L316" s="186"/>
      <c r="M316" s="122"/>
      <c r="N316" s="186"/>
      <c r="O316" s="186"/>
      <c r="P316" s="186"/>
      <c r="Q316" s="122"/>
      <c r="R316" s="251"/>
    </row>
    <row r="317" spans="1:18" s="244" customFormat="1" ht="20.25" customHeight="1" x14ac:dyDescent="0.25">
      <c r="A317" s="445" t="s">
        <v>388</v>
      </c>
      <c r="B317" s="365" t="s">
        <v>188</v>
      </c>
      <c r="C317" s="121">
        <f>C304*320/2*6*0.22/1000</f>
        <v>0.20697600000000002</v>
      </c>
      <c r="D317" s="106"/>
      <c r="E317" s="92"/>
      <c r="F317" s="98">
        <v>140000</v>
      </c>
      <c r="G317" s="99">
        <f t="shared" si="26"/>
        <v>28976.640000000003</v>
      </c>
      <c r="H317" s="106"/>
      <c r="I317" s="186"/>
      <c r="J317" s="186"/>
      <c r="K317" s="186"/>
      <c r="L317" s="186"/>
      <c r="M317" s="122"/>
      <c r="N317" s="186"/>
      <c r="O317" s="186"/>
      <c r="P317" s="186"/>
      <c r="Q317" s="122"/>
      <c r="R317" s="251"/>
    </row>
    <row r="318" spans="1:18" s="244" customFormat="1" ht="20.25" customHeight="1" x14ac:dyDescent="0.25">
      <c r="A318" s="445" t="s">
        <v>389</v>
      </c>
      <c r="B318" s="365" t="s">
        <v>188</v>
      </c>
      <c r="C318" s="121">
        <f>C304*320/2*6*0.093/1000</f>
        <v>8.74944E-2</v>
      </c>
      <c r="D318" s="106"/>
      <c r="E318" s="92"/>
      <c r="F318" s="98">
        <v>140000</v>
      </c>
      <c r="G318" s="99">
        <f t="shared" si="26"/>
        <v>12249.216</v>
      </c>
      <c r="H318" s="106"/>
      <c r="I318" s="186"/>
      <c r="J318" s="186"/>
      <c r="K318" s="186"/>
      <c r="L318" s="186"/>
      <c r="M318" s="122"/>
      <c r="N318" s="186"/>
      <c r="O318" s="186"/>
      <c r="P318" s="186"/>
      <c r="Q318" s="122"/>
      <c r="R318" s="251"/>
    </row>
    <row r="319" spans="1:18" s="244" customFormat="1" ht="20.25" customHeight="1" x14ac:dyDescent="0.25">
      <c r="A319" s="411" t="s">
        <v>0</v>
      </c>
      <c r="B319" s="379"/>
      <c r="C319" s="206"/>
      <c r="D319" s="205"/>
      <c r="E319" s="210"/>
      <c r="F319" s="204" t="e">
        <f>G319/C304</f>
        <v>#N/A</v>
      </c>
      <c r="G319" s="221" t="e">
        <f>SUM(G320:G321)</f>
        <v>#N/A</v>
      </c>
      <c r="H319" s="205"/>
      <c r="I319" s="212"/>
      <c r="J319" s="212"/>
      <c r="K319" s="212"/>
      <c r="L319" s="212"/>
      <c r="M319" s="213"/>
      <c r="N319" s="212"/>
      <c r="O319" s="212"/>
      <c r="P319" s="212"/>
      <c r="Q319" s="213"/>
      <c r="R319" s="255"/>
    </row>
    <row r="320" spans="1:18" s="244" customFormat="1" ht="20.25" customHeight="1" x14ac:dyDescent="0.25">
      <c r="A320" s="412" t="s">
        <v>260</v>
      </c>
      <c r="B320" s="365" t="s">
        <v>33</v>
      </c>
      <c r="C320" s="121">
        <v>10</v>
      </c>
      <c r="D320" s="106"/>
      <c r="E320" s="92">
        <f>C320*R320</f>
        <v>65.226929090909096</v>
      </c>
      <c r="F320" s="98" t="e">
        <f>VLOOKUP(A320,ГрафикЖД!$B$4:$C$55,2,0)</f>
        <v>#N/A</v>
      </c>
      <c r="G320" s="99" t="e">
        <f>E320*F320</f>
        <v>#N/A</v>
      </c>
      <c r="H320" s="106"/>
      <c r="I320" s="100">
        <f>C304/E320*C320</f>
        <v>0.15024469397204626</v>
      </c>
      <c r="J320" s="186">
        <f>C304*732.139/C320/11</f>
        <v>6.5226929090909094</v>
      </c>
      <c r="K320" s="186"/>
      <c r="L320" s="186"/>
      <c r="M320" s="122"/>
      <c r="N320" s="186"/>
      <c r="O320" s="186"/>
      <c r="P320" s="186"/>
      <c r="Q320" s="122"/>
      <c r="R320" s="78">
        <f>SUM(J320:Q320)</f>
        <v>6.5226929090909094</v>
      </c>
    </row>
    <row r="321" spans="1:18" s="244" customFormat="1" ht="20.25" customHeight="1" x14ac:dyDescent="0.25">
      <c r="A321" s="412" t="s">
        <v>32</v>
      </c>
      <c r="B321" s="375"/>
      <c r="C321" s="121"/>
      <c r="D321" s="106"/>
      <c r="E321" s="92"/>
      <c r="F321" s="98"/>
      <c r="G321" s="99" t="e">
        <f>G320*30.9%</f>
        <v>#N/A</v>
      </c>
      <c r="H321" s="106"/>
      <c r="I321" s="186"/>
      <c r="J321" s="186"/>
      <c r="K321" s="186"/>
      <c r="L321" s="186"/>
      <c r="M321" s="122"/>
      <c r="N321" s="186"/>
      <c r="O321" s="186"/>
      <c r="P321" s="186"/>
      <c r="Q321" s="122"/>
      <c r="R321" s="251"/>
    </row>
    <row r="322" spans="1:18" s="244" customFormat="1" ht="20.25" customHeight="1" x14ac:dyDescent="0.25">
      <c r="A322" s="411" t="s">
        <v>1</v>
      </c>
      <c r="B322" s="379"/>
      <c r="C322" s="206"/>
      <c r="D322" s="205"/>
      <c r="E322" s="210"/>
      <c r="F322" s="204">
        <f>G322/C304</f>
        <v>404350.04545454541</v>
      </c>
      <c r="G322" s="221">
        <f>SUM(G323:G325)</f>
        <v>396263.0445454545</v>
      </c>
      <c r="H322" s="205"/>
      <c r="I322" s="212"/>
      <c r="J322" s="212"/>
      <c r="K322" s="212"/>
      <c r="L322" s="212"/>
      <c r="M322" s="213"/>
      <c r="N322" s="212"/>
      <c r="O322" s="212"/>
      <c r="P322" s="212"/>
      <c r="Q322" s="213"/>
      <c r="R322" s="255"/>
    </row>
    <row r="323" spans="1:18" s="244" customFormat="1" ht="20.25" customHeight="1" x14ac:dyDescent="0.25">
      <c r="A323" s="469" t="s">
        <v>240</v>
      </c>
      <c r="B323" s="376" t="s">
        <v>35</v>
      </c>
      <c r="C323" s="121">
        <v>1</v>
      </c>
      <c r="D323" s="106"/>
      <c r="E323" s="92">
        <f>C323*R323</f>
        <v>9.8406254545454548</v>
      </c>
      <c r="F323" s="98">
        <f>VLOOKUP(A323,ГрафикЖД!$B$4:$C$55,2,0)</f>
        <v>20900</v>
      </c>
      <c r="G323" s="99">
        <f>E323*F323</f>
        <v>205669.07200000001</v>
      </c>
      <c r="H323" s="106"/>
      <c r="I323" s="100">
        <f>C304/E323*C323</f>
        <v>9.9587165930325197E-2</v>
      </c>
      <c r="J323" s="186">
        <f>C304*110.456/C323/11</f>
        <v>9.8406254545454548</v>
      </c>
      <c r="K323" s="186"/>
      <c r="L323" s="186"/>
      <c r="M323" s="122"/>
      <c r="N323" s="186"/>
      <c r="O323" s="186"/>
      <c r="P323" s="186"/>
      <c r="Q323" s="122"/>
      <c r="R323" s="248">
        <f>SUM(J323:Q323)</f>
        <v>9.8406254545454548</v>
      </c>
    </row>
    <row r="324" spans="1:18" s="244" customFormat="1" ht="20.25" customHeight="1" x14ac:dyDescent="0.25">
      <c r="A324" s="469" t="s">
        <v>245</v>
      </c>
      <c r="B324" s="376" t="s">
        <v>35</v>
      </c>
      <c r="C324" s="121">
        <v>1</v>
      </c>
      <c r="D324" s="106"/>
      <c r="E324" s="92">
        <f>C324*R324</f>
        <v>11.84258727272727</v>
      </c>
      <c r="F324" s="98">
        <f>VLOOKUP(A324,ГрафикЖД!$B$4:$C$55,2,0)</f>
        <v>14300</v>
      </c>
      <c r="G324" s="99">
        <f>E324*F324</f>
        <v>169348.99799999996</v>
      </c>
      <c r="H324" s="106"/>
      <c r="I324" s="100">
        <f>C304/E324*C324</f>
        <v>8.2752187290768636E-2</v>
      </c>
      <c r="J324" s="186">
        <f>C304*132.927/C324/11</f>
        <v>11.84258727272727</v>
      </c>
      <c r="K324" s="186"/>
      <c r="L324" s="186"/>
      <c r="M324" s="122"/>
      <c r="N324" s="186"/>
      <c r="O324" s="186"/>
      <c r="P324" s="186"/>
      <c r="Q324" s="122"/>
      <c r="R324" s="248">
        <f>SUM(J324:Q324)</f>
        <v>11.84258727272727</v>
      </c>
    </row>
    <row r="325" spans="1:18" s="244" customFormat="1" ht="20.25" customHeight="1" x14ac:dyDescent="0.25">
      <c r="A325" s="469" t="s">
        <v>246</v>
      </c>
      <c r="B325" s="376" t="s">
        <v>35</v>
      </c>
      <c r="C325" s="121">
        <v>1</v>
      </c>
      <c r="D325" s="106"/>
      <c r="E325" s="92">
        <f>C325*R325</f>
        <v>1.1802763636363636</v>
      </c>
      <c r="F325" s="98">
        <f>VLOOKUP(A325,ГрафикЖД!$B$4:$C$55,2,0)</f>
        <v>18000</v>
      </c>
      <c r="G325" s="99">
        <f>E325*F325</f>
        <v>21244.974545454545</v>
      </c>
      <c r="H325" s="106"/>
      <c r="I325" s="100">
        <f>C304/E325*C325</f>
        <v>0.83031400966183577</v>
      </c>
      <c r="J325" s="186">
        <f>C304*13.248/C325/11</f>
        <v>1.1802763636363636</v>
      </c>
      <c r="K325" s="186"/>
      <c r="L325" s="186"/>
      <c r="M325" s="122"/>
      <c r="N325" s="186"/>
      <c r="O325" s="186"/>
      <c r="P325" s="186"/>
      <c r="Q325" s="122"/>
      <c r="R325" s="248">
        <f>SUM(J325:Q325)</f>
        <v>1.1802763636363636</v>
      </c>
    </row>
    <row r="326" spans="1:18" s="123" customFormat="1" ht="39.75" customHeight="1" x14ac:dyDescent="0.2">
      <c r="A326" s="470" t="s">
        <v>397</v>
      </c>
      <c r="B326" s="378" t="s">
        <v>380</v>
      </c>
      <c r="C326" s="224">
        <f>1.459+0.589</f>
        <v>2.048</v>
      </c>
      <c r="D326" s="194"/>
      <c r="E326" s="216">
        <f>E345</f>
        <v>251.45548799999997</v>
      </c>
      <c r="F326" s="197" t="e">
        <f>G326/C326</f>
        <v>#N/A</v>
      </c>
      <c r="G326" s="217" t="e">
        <f>G327+G344+G347</f>
        <v>#N/A</v>
      </c>
      <c r="H326" s="194"/>
      <c r="I326" s="196"/>
      <c r="J326" s="216">
        <f>J345*$I345</f>
        <v>2.048</v>
      </c>
      <c r="K326" s="216"/>
      <c r="L326" s="216"/>
      <c r="M326" s="216"/>
      <c r="N326" s="216"/>
      <c r="O326" s="216"/>
      <c r="P326" s="216"/>
      <c r="Q326" s="216"/>
      <c r="R326" s="285"/>
    </row>
    <row r="327" spans="1:18" s="429" customFormat="1" ht="20.25" customHeight="1" x14ac:dyDescent="0.2">
      <c r="A327" s="468" t="s">
        <v>167</v>
      </c>
      <c r="B327" s="422"/>
      <c r="C327" s="423"/>
      <c r="D327" s="424"/>
      <c r="E327" s="425"/>
      <c r="F327" s="204">
        <f>G327/C326</f>
        <v>14366916.378906252</v>
      </c>
      <c r="G327" s="204">
        <f>SUM(G328:G343)</f>
        <v>29423444.744000003</v>
      </c>
      <c r="H327" s="424"/>
      <c r="I327" s="426"/>
      <c r="J327" s="426"/>
      <c r="K327" s="426"/>
      <c r="L327" s="426"/>
      <c r="M327" s="427"/>
      <c r="N327" s="426"/>
      <c r="O327" s="426"/>
      <c r="P327" s="426"/>
      <c r="Q327" s="427"/>
      <c r="R327" s="428"/>
    </row>
    <row r="328" spans="1:18" s="244" customFormat="1" ht="20.25" customHeight="1" x14ac:dyDescent="0.25">
      <c r="A328" s="445" t="s">
        <v>449</v>
      </c>
      <c r="B328" s="365" t="s">
        <v>188</v>
      </c>
      <c r="C328" s="121">
        <f>C326*129.76</f>
        <v>265.74847999999997</v>
      </c>
      <c r="D328" s="106"/>
      <c r="E328" s="92"/>
      <c r="F328" s="98">
        <v>45000</v>
      </c>
      <c r="G328" s="99">
        <f>C328*F328</f>
        <v>11958681.6</v>
      </c>
      <c r="H328" s="106"/>
      <c r="I328" s="186"/>
      <c r="J328" s="186"/>
      <c r="K328" s="186"/>
      <c r="L328" s="186"/>
      <c r="M328" s="122"/>
      <c r="N328" s="186"/>
      <c r="O328" s="186"/>
      <c r="P328" s="186"/>
      <c r="Q328" s="122"/>
      <c r="R328" s="251"/>
    </row>
    <row r="329" spans="1:18" s="244" customFormat="1" ht="20.25" customHeight="1" x14ac:dyDescent="0.25">
      <c r="A329" s="445" t="s">
        <v>382</v>
      </c>
      <c r="B329" s="365" t="s">
        <v>145</v>
      </c>
      <c r="C329" s="121">
        <f>ROUNDUP(C326*1840,0)</f>
        <v>3769</v>
      </c>
      <c r="D329" s="106"/>
      <c r="E329" s="92"/>
      <c r="F329" s="98">
        <v>850</v>
      </c>
      <c r="G329" s="99">
        <f>C329*F329</f>
        <v>3203650</v>
      </c>
      <c r="H329" s="106"/>
      <c r="I329" s="186"/>
      <c r="J329" s="186"/>
      <c r="K329" s="186"/>
      <c r="L329" s="186"/>
      <c r="M329" s="122"/>
      <c r="N329" s="186"/>
      <c r="O329" s="186"/>
      <c r="P329" s="186"/>
      <c r="Q329" s="122"/>
      <c r="R329" s="251"/>
    </row>
    <row r="330" spans="1:18" s="244" customFormat="1" ht="20.25" customHeight="1" x14ac:dyDescent="0.25">
      <c r="A330" s="445" t="s">
        <v>360</v>
      </c>
      <c r="B330" s="365" t="s">
        <v>188</v>
      </c>
      <c r="C330" s="121">
        <f>C329*2*7/1000</f>
        <v>52.765999999999998</v>
      </c>
      <c r="D330" s="106"/>
      <c r="E330" s="92"/>
      <c r="F330" s="98">
        <v>130000</v>
      </c>
      <c r="G330" s="99">
        <f t="shared" ref="G330:G343" si="27">C330*F330</f>
        <v>6859580</v>
      </c>
      <c r="H330" s="106"/>
      <c r="I330" s="186"/>
      <c r="J330" s="186"/>
      <c r="K330" s="186"/>
      <c r="L330" s="186"/>
      <c r="M330" s="122"/>
      <c r="N330" s="186"/>
      <c r="O330" s="186"/>
      <c r="P330" s="186"/>
      <c r="Q330" s="122"/>
      <c r="R330" s="251"/>
    </row>
    <row r="331" spans="1:18" s="244" customFormat="1" ht="20.25" customHeight="1" x14ac:dyDescent="0.25">
      <c r="A331" s="445" t="s">
        <v>383</v>
      </c>
      <c r="B331" s="365" t="s">
        <v>145</v>
      </c>
      <c r="C331" s="121">
        <f>C329*2</f>
        <v>7538</v>
      </c>
      <c r="D331" s="106"/>
      <c r="E331" s="92"/>
      <c r="F331" s="98">
        <v>30</v>
      </c>
      <c r="G331" s="99">
        <f t="shared" si="27"/>
        <v>226140</v>
      </c>
      <c r="H331" s="106"/>
      <c r="I331" s="186"/>
      <c r="J331" s="186"/>
      <c r="K331" s="186"/>
      <c r="L331" s="186"/>
      <c r="M331" s="122"/>
      <c r="N331" s="186"/>
      <c r="O331" s="186"/>
      <c r="P331" s="186"/>
      <c r="Q331" s="122"/>
      <c r="R331" s="251"/>
    </row>
    <row r="332" spans="1:18" s="244" customFormat="1" ht="20.25" customHeight="1" x14ac:dyDescent="0.25">
      <c r="A332" s="445" t="s">
        <v>384</v>
      </c>
      <c r="B332" s="365" t="s">
        <v>145</v>
      </c>
      <c r="C332" s="151">
        <f>C329*2</f>
        <v>7538</v>
      </c>
      <c r="D332" s="106"/>
      <c r="E332" s="92"/>
      <c r="F332" s="98">
        <v>40</v>
      </c>
      <c r="G332" s="99">
        <f t="shared" si="27"/>
        <v>301520</v>
      </c>
      <c r="H332" s="106"/>
      <c r="I332" s="186"/>
      <c r="J332" s="186"/>
      <c r="K332" s="186"/>
      <c r="L332" s="186"/>
      <c r="M332" s="122"/>
      <c r="N332" s="186"/>
      <c r="O332" s="186"/>
      <c r="P332" s="186"/>
      <c r="Q332" s="122"/>
      <c r="R332" s="251"/>
    </row>
    <row r="333" spans="1:18" s="244" customFormat="1" ht="20.25" customHeight="1" x14ac:dyDescent="0.25">
      <c r="A333" s="445" t="s">
        <v>363</v>
      </c>
      <c r="B333" s="365" t="s">
        <v>188</v>
      </c>
      <c r="C333" s="121">
        <f>C329*4*0.345/1000</f>
        <v>5.2012199999999993</v>
      </c>
      <c r="D333" s="106"/>
      <c r="E333" s="92"/>
      <c r="F333" s="98">
        <v>125000</v>
      </c>
      <c r="G333" s="99">
        <f t="shared" si="27"/>
        <v>650152.49999999988</v>
      </c>
      <c r="H333" s="106"/>
      <c r="I333" s="186"/>
      <c r="J333" s="186"/>
      <c r="K333" s="186"/>
      <c r="L333" s="186"/>
      <c r="M333" s="122"/>
      <c r="N333" s="186"/>
      <c r="O333" s="186"/>
      <c r="P333" s="186"/>
      <c r="Q333" s="122"/>
      <c r="R333" s="251"/>
    </row>
    <row r="334" spans="1:18" s="244" customFormat="1" ht="20.25" customHeight="1" x14ac:dyDescent="0.25">
      <c r="A334" s="445" t="s">
        <v>364</v>
      </c>
      <c r="B334" s="365" t="s">
        <v>188</v>
      </c>
      <c r="C334" s="121">
        <f>C329*4*0.64/1000</f>
        <v>9.6486399999999986</v>
      </c>
      <c r="D334" s="106"/>
      <c r="E334" s="92"/>
      <c r="F334" s="98">
        <v>140000</v>
      </c>
      <c r="G334" s="99">
        <f t="shared" si="27"/>
        <v>1350809.5999999999</v>
      </c>
      <c r="H334" s="106"/>
      <c r="I334" s="186"/>
      <c r="J334" s="186"/>
      <c r="K334" s="186"/>
      <c r="L334" s="186"/>
      <c r="M334" s="122"/>
      <c r="N334" s="186"/>
      <c r="O334" s="186"/>
      <c r="P334" s="186"/>
      <c r="Q334" s="122"/>
      <c r="R334" s="251"/>
    </row>
    <row r="335" spans="1:18" s="244" customFormat="1" ht="20.25" customHeight="1" x14ac:dyDescent="0.25">
      <c r="A335" s="445" t="s">
        <v>365</v>
      </c>
      <c r="B335" s="365" t="s">
        <v>188</v>
      </c>
      <c r="C335" s="121">
        <f>C329*4*0.635/1000</f>
        <v>9.5732599999999994</v>
      </c>
      <c r="D335" s="106"/>
      <c r="E335" s="92"/>
      <c r="F335" s="98">
        <v>95000</v>
      </c>
      <c r="G335" s="99">
        <f t="shared" si="27"/>
        <v>909459.7</v>
      </c>
      <c r="H335" s="106"/>
      <c r="I335" s="186"/>
      <c r="J335" s="186"/>
      <c r="K335" s="186"/>
      <c r="L335" s="186"/>
      <c r="M335" s="122"/>
      <c r="N335" s="186"/>
      <c r="O335" s="186"/>
      <c r="P335" s="186"/>
      <c r="Q335" s="122"/>
      <c r="R335" s="251"/>
    </row>
    <row r="336" spans="1:18" s="244" customFormat="1" ht="20.25" customHeight="1" x14ac:dyDescent="0.25">
      <c r="A336" s="445" t="s">
        <v>366</v>
      </c>
      <c r="B336" s="365" t="s">
        <v>145</v>
      </c>
      <c r="C336" s="121">
        <f>C329*4</f>
        <v>15076</v>
      </c>
      <c r="D336" s="106"/>
      <c r="E336" s="92"/>
      <c r="F336" s="98">
        <v>7</v>
      </c>
      <c r="G336" s="99">
        <f t="shared" si="27"/>
        <v>105532</v>
      </c>
      <c r="H336" s="106"/>
      <c r="I336" s="186"/>
      <c r="J336" s="186"/>
      <c r="K336" s="186"/>
      <c r="L336" s="186"/>
      <c r="M336" s="122"/>
      <c r="N336" s="186"/>
      <c r="O336" s="186"/>
      <c r="P336" s="186"/>
      <c r="Q336" s="122"/>
      <c r="R336" s="251"/>
    </row>
    <row r="337" spans="1:18" s="244" customFormat="1" ht="20.25" customHeight="1" x14ac:dyDescent="0.25">
      <c r="A337" s="445" t="s">
        <v>367</v>
      </c>
      <c r="B337" s="365" t="s">
        <v>145</v>
      </c>
      <c r="C337" s="121">
        <f>C329*4</f>
        <v>15076</v>
      </c>
      <c r="D337" s="106"/>
      <c r="E337" s="92"/>
      <c r="F337" s="98">
        <v>10</v>
      </c>
      <c r="G337" s="99">
        <f t="shared" si="27"/>
        <v>150760</v>
      </c>
      <c r="H337" s="106"/>
      <c r="I337" s="186"/>
      <c r="J337" s="186"/>
      <c r="K337" s="186"/>
      <c r="L337" s="186"/>
      <c r="M337" s="122"/>
      <c r="N337" s="186"/>
      <c r="O337" s="186"/>
      <c r="P337" s="186"/>
      <c r="Q337" s="122"/>
      <c r="R337" s="251"/>
    </row>
    <row r="338" spans="1:18" s="244" customFormat="1" ht="20.25" customHeight="1" x14ac:dyDescent="0.25">
      <c r="A338" s="445" t="s">
        <v>385</v>
      </c>
      <c r="B338" s="365" t="s">
        <v>188</v>
      </c>
      <c r="C338" s="121">
        <f>C329*8*0.12/1000</f>
        <v>3.6182399999999997</v>
      </c>
      <c r="D338" s="106"/>
      <c r="E338" s="92"/>
      <c r="F338" s="98">
        <v>105000</v>
      </c>
      <c r="G338" s="99">
        <f t="shared" si="27"/>
        <v>379915.19999999995</v>
      </c>
      <c r="H338" s="106"/>
      <c r="I338" s="186"/>
      <c r="J338" s="186"/>
      <c r="K338" s="186"/>
      <c r="L338" s="186"/>
      <c r="M338" s="122"/>
      <c r="N338" s="186"/>
      <c r="O338" s="186"/>
      <c r="P338" s="186"/>
      <c r="Q338" s="122"/>
      <c r="R338" s="251"/>
    </row>
    <row r="339" spans="1:18" s="244" customFormat="1" ht="20.25" customHeight="1" x14ac:dyDescent="0.25">
      <c r="A339" s="445" t="s">
        <v>369</v>
      </c>
      <c r="B339" s="365" t="s">
        <v>188</v>
      </c>
      <c r="C339" s="121">
        <f>C329*8*0.126/1000</f>
        <v>3.7991519999999999</v>
      </c>
      <c r="D339" s="106"/>
      <c r="E339" s="92"/>
      <c r="F339" s="98">
        <v>145000</v>
      </c>
      <c r="G339" s="99">
        <f t="shared" si="27"/>
        <v>550877.04</v>
      </c>
      <c r="H339" s="106"/>
      <c r="I339" s="186"/>
      <c r="J339" s="186"/>
      <c r="K339" s="186"/>
      <c r="L339" s="186"/>
      <c r="M339" s="122"/>
      <c r="N339" s="186"/>
      <c r="O339" s="186"/>
      <c r="P339" s="186"/>
      <c r="Q339" s="122"/>
      <c r="R339" s="251"/>
    </row>
    <row r="340" spans="1:18" s="244" customFormat="1" ht="20.25" customHeight="1" x14ac:dyDescent="0.25">
      <c r="A340" s="445" t="s">
        <v>386</v>
      </c>
      <c r="B340" s="365"/>
      <c r="C340" s="121">
        <f>C326*320*29.5/1000</f>
        <v>19.333119999999997</v>
      </c>
      <c r="D340" s="106"/>
      <c r="E340" s="92"/>
      <c r="F340" s="98">
        <v>130000</v>
      </c>
      <c r="G340" s="99">
        <f t="shared" si="27"/>
        <v>2513305.5999999996</v>
      </c>
      <c r="H340" s="106"/>
      <c r="I340" s="186"/>
      <c r="J340" s="186"/>
      <c r="K340" s="186"/>
      <c r="L340" s="186"/>
      <c r="M340" s="122"/>
      <c r="N340" s="186"/>
      <c r="O340" s="186"/>
      <c r="P340" s="186"/>
      <c r="Q340" s="122"/>
      <c r="R340" s="251"/>
    </row>
    <row r="341" spans="1:18" s="244" customFormat="1" ht="20.25" customHeight="1" x14ac:dyDescent="0.25">
      <c r="A341" s="445" t="s">
        <v>387</v>
      </c>
      <c r="B341" s="365"/>
      <c r="C341" s="121">
        <f>C326*320/2*6*0.818/1000</f>
        <v>1.6082534399999997</v>
      </c>
      <c r="D341" s="106"/>
      <c r="E341" s="92"/>
      <c r="F341" s="98">
        <v>110000</v>
      </c>
      <c r="G341" s="99">
        <f t="shared" si="27"/>
        <v>176907.87839999996</v>
      </c>
      <c r="H341" s="106"/>
      <c r="I341" s="186"/>
      <c r="J341" s="186"/>
      <c r="K341" s="186"/>
      <c r="L341" s="186"/>
      <c r="M341" s="122"/>
      <c r="N341" s="186"/>
      <c r="O341" s="186"/>
      <c r="P341" s="186"/>
      <c r="Q341" s="122"/>
      <c r="R341" s="251"/>
    </row>
    <row r="342" spans="1:18" s="244" customFormat="1" ht="20.25" customHeight="1" x14ac:dyDescent="0.25">
      <c r="A342" s="445" t="s">
        <v>388</v>
      </c>
      <c r="B342" s="365"/>
      <c r="C342" s="121">
        <f>C326*320/2*6*0.22/1000</f>
        <v>0.43253760000000002</v>
      </c>
      <c r="D342" s="106"/>
      <c r="E342" s="92"/>
      <c r="F342" s="98">
        <v>140000</v>
      </c>
      <c r="G342" s="99">
        <f t="shared" si="27"/>
        <v>60555.264000000003</v>
      </c>
      <c r="H342" s="106"/>
      <c r="I342" s="186"/>
      <c r="J342" s="186"/>
      <c r="K342" s="186"/>
      <c r="L342" s="186"/>
      <c r="M342" s="122"/>
      <c r="N342" s="186"/>
      <c r="O342" s="186"/>
      <c r="P342" s="186"/>
      <c r="Q342" s="122"/>
      <c r="R342" s="251"/>
    </row>
    <row r="343" spans="1:18" s="244" customFormat="1" ht="20.25" customHeight="1" x14ac:dyDescent="0.25">
      <c r="A343" s="445" t="s">
        <v>389</v>
      </c>
      <c r="B343" s="365"/>
      <c r="C343" s="121">
        <f>C326*320/2*6*0.093/1000</f>
        <v>0.18284544</v>
      </c>
      <c r="D343" s="106"/>
      <c r="E343" s="92"/>
      <c r="F343" s="98">
        <v>140000</v>
      </c>
      <c r="G343" s="99">
        <f t="shared" si="27"/>
        <v>25598.3616</v>
      </c>
      <c r="H343" s="106"/>
      <c r="I343" s="186"/>
      <c r="J343" s="186"/>
      <c r="K343" s="186"/>
      <c r="L343" s="186"/>
      <c r="M343" s="122"/>
      <c r="N343" s="186"/>
      <c r="O343" s="186"/>
      <c r="P343" s="186"/>
      <c r="Q343" s="122"/>
      <c r="R343" s="251"/>
    </row>
    <row r="344" spans="1:18" s="244" customFormat="1" ht="20.25" customHeight="1" x14ac:dyDescent="0.25">
      <c r="A344" s="411" t="s">
        <v>0</v>
      </c>
      <c r="B344" s="379"/>
      <c r="C344" s="206"/>
      <c r="D344" s="205"/>
      <c r="E344" s="210"/>
      <c r="F344" s="204" t="e">
        <f>G344/C326</f>
        <v>#N/A</v>
      </c>
      <c r="G344" s="221" t="e">
        <f>SUM(G345:G346)</f>
        <v>#N/A</v>
      </c>
      <c r="H344" s="205"/>
      <c r="I344" s="212"/>
      <c r="J344" s="212"/>
      <c r="K344" s="212"/>
      <c r="L344" s="212"/>
      <c r="M344" s="213"/>
      <c r="N344" s="212"/>
      <c r="O344" s="212"/>
      <c r="P344" s="212"/>
      <c r="Q344" s="213"/>
      <c r="R344" s="255"/>
    </row>
    <row r="345" spans="1:18" s="244" customFormat="1" ht="20.25" customHeight="1" x14ac:dyDescent="0.25">
      <c r="A345" s="412" t="s">
        <v>260</v>
      </c>
      <c r="B345" s="365" t="s">
        <v>33</v>
      </c>
      <c r="C345" s="121">
        <v>10</v>
      </c>
      <c r="D345" s="106"/>
      <c r="E345" s="92">
        <f>C345*R345</f>
        <v>251.45548799999997</v>
      </c>
      <c r="F345" s="98" t="e">
        <f>VLOOKUP(A345,ГрафикЖД!$B$4:$C$55,2,0)</f>
        <v>#N/A</v>
      </c>
      <c r="G345" s="99" t="e">
        <f>E345*F345</f>
        <v>#N/A</v>
      </c>
      <c r="H345" s="106"/>
      <c r="I345" s="100">
        <f>C326/E345*C345</f>
        <v>8.1445826308630828E-2</v>
      </c>
      <c r="J345" s="186">
        <f>C326*1350.591/C345/11</f>
        <v>25.145548799999997</v>
      </c>
      <c r="K345" s="186"/>
      <c r="L345" s="186"/>
      <c r="M345" s="122"/>
      <c r="N345" s="186"/>
      <c r="O345" s="186"/>
      <c r="P345" s="186"/>
      <c r="Q345" s="122"/>
      <c r="R345" s="78">
        <f>SUM(J345:Q345)</f>
        <v>25.145548799999997</v>
      </c>
    </row>
    <row r="346" spans="1:18" s="244" customFormat="1" ht="20.25" customHeight="1" x14ac:dyDescent="0.25">
      <c r="A346" s="412" t="s">
        <v>32</v>
      </c>
      <c r="B346" s="375"/>
      <c r="C346" s="121"/>
      <c r="D346" s="106"/>
      <c r="E346" s="92"/>
      <c r="F346" s="98"/>
      <c r="G346" s="99" t="e">
        <f>G345*30.9%</f>
        <v>#N/A</v>
      </c>
      <c r="H346" s="106"/>
      <c r="I346" s="186"/>
      <c r="J346" s="186"/>
      <c r="K346" s="186"/>
      <c r="L346" s="186"/>
      <c r="M346" s="122"/>
      <c r="N346" s="186"/>
      <c r="O346" s="186"/>
      <c r="P346" s="186"/>
      <c r="Q346" s="122"/>
      <c r="R346" s="251"/>
    </row>
    <row r="347" spans="1:18" s="244" customFormat="1" ht="20.25" customHeight="1" x14ac:dyDescent="0.25">
      <c r="A347" s="411" t="s">
        <v>1</v>
      </c>
      <c r="B347" s="379"/>
      <c r="C347" s="206"/>
      <c r="D347" s="205"/>
      <c r="E347" s="210"/>
      <c r="F347" s="204">
        <f>G347/C326</f>
        <v>643864.09090909094</v>
      </c>
      <c r="G347" s="221">
        <f>SUM(G348:G350)</f>
        <v>1318633.6581818182</v>
      </c>
      <c r="H347" s="205"/>
      <c r="I347" s="212"/>
      <c r="J347" s="212"/>
      <c r="K347" s="212"/>
      <c r="L347" s="212"/>
      <c r="M347" s="213"/>
      <c r="N347" s="212"/>
      <c r="O347" s="212"/>
      <c r="P347" s="212"/>
      <c r="Q347" s="213"/>
      <c r="R347" s="255"/>
    </row>
    <row r="348" spans="1:18" s="244" customFormat="1" ht="20.25" customHeight="1" x14ac:dyDescent="0.25">
      <c r="A348" s="469" t="s">
        <v>240</v>
      </c>
      <c r="B348" s="376" t="s">
        <v>35</v>
      </c>
      <c r="C348" s="121">
        <v>1</v>
      </c>
      <c r="D348" s="106"/>
      <c r="E348" s="92">
        <f>C348*R348</f>
        <v>30.403863272727275</v>
      </c>
      <c r="F348" s="98">
        <f>VLOOKUP(A348,ГрафикЖД!$B$4:$C$55,2,0)</f>
        <v>20900</v>
      </c>
      <c r="G348" s="99">
        <f>E348*F348</f>
        <v>635440.74239999999</v>
      </c>
      <c r="H348" s="106"/>
      <c r="I348" s="100">
        <f>C326/E348*C348</f>
        <v>6.7359860871269175E-2</v>
      </c>
      <c r="J348" s="186">
        <f>C326*163.302/C348/11</f>
        <v>30.403863272727275</v>
      </c>
      <c r="K348" s="186"/>
      <c r="L348" s="186"/>
      <c r="M348" s="122"/>
      <c r="N348" s="186"/>
      <c r="O348" s="186"/>
      <c r="P348" s="186"/>
      <c r="Q348" s="122"/>
      <c r="R348" s="248">
        <f>SUM(J348:Q348)</f>
        <v>30.403863272727275</v>
      </c>
    </row>
    <row r="349" spans="1:18" s="244" customFormat="1" ht="20.25" customHeight="1" x14ac:dyDescent="0.25">
      <c r="A349" s="469" t="s">
        <v>245</v>
      </c>
      <c r="B349" s="376" t="s">
        <v>35</v>
      </c>
      <c r="C349" s="121">
        <v>1</v>
      </c>
      <c r="D349" s="106"/>
      <c r="E349" s="92">
        <f>C349*R349</f>
        <v>37.549893818181822</v>
      </c>
      <c r="F349" s="98">
        <f>VLOOKUP(A349,ГрафикЖД!$B$4:$C$55,2,0)</f>
        <v>14300</v>
      </c>
      <c r="G349" s="99">
        <f>E349*F349</f>
        <v>536963.48160000006</v>
      </c>
      <c r="H349" s="106"/>
      <c r="I349" s="100">
        <f>C326/E349*C349</f>
        <v>5.4540766744015388E-2</v>
      </c>
      <c r="J349" s="186">
        <f>C326*201.684/C349/11</f>
        <v>37.549893818181822</v>
      </c>
      <c r="K349" s="186"/>
      <c r="L349" s="186"/>
      <c r="M349" s="122"/>
      <c r="N349" s="186"/>
      <c r="O349" s="186"/>
      <c r="P349" s="186"/>
      <c r="Q349" s="122"/>
      <c r="R349" s="248">
        <f>SUM(J349:Q349)</f>
        <v>37.549893818181822</v>
      </c>
    </row>
    <row r="350" spans="1:18" s="244" customFormat="1" ht="20.25" customHeight="1" x14ac:dyDescent="0.25">
      <c r="A350" s="469" t="s">
        <v>246</v>
      </c>
      <c r="B350" s="376" t="s">
        <v>35</v>
      </c>
      <c r="C350" s="121">
        <v>1</v>
      </c>
      <c r="D350" s="106"/>
      <c r="E350" s="92">
        <f>C350*R350</f>
        <v>8.1238574545454547</v>
      </c>
      <c r="F350" s="98">
        <f>VLOOKUP(A350,ГрафикЖД!$B$4:$C$55,2,0)</f>
        <v>18000</v>
      </c>
      <c r="G350" s="99">
        <f>E350*F350</f>
        <v>146229.43418181819</v>
      </c>
      <c r="H350" s="106"/>
      <c r="I350" s="100">
        <f>C326/E350*C350</f>
        <v>0.25209698858688179</v>
      </c>
      <c r="J350" s="186">
        <f>C326*43.634/C350/11</f>
        <v>8.1238574545454547</v>
      </c>
      <c r="K350" s="186"/>
      <c r="L350" s="186"/>
      <c r="M350" s="122"/>
      <c r="N350" s="186"/>
      <c r="O350" s="186"/>
      <c r="P350" s="186"/>
      <c r="Q350" s="122"/>
      <c r="R350" s="248">
        <f>SUM(J350:Q350)</f>
        <v>8.1238574545454547</v>
      </c>
    </row>
    <row r="351" spans="1:18" s="123" customFormat="1" ht="39.75" customHeight="1" x14ac:dyDescent="0.2">
      <c r="A351" s="470" t="s">
        <v>398</v>
      </c>
      <c r="B351" s="378" t="s">
        <v>380</v>
      </c>
      <c r="C351" s="224">
        <f>0.851+0.029+0.404+0.023</f>
        <v>1.3069999999999999</v>
      </c>
      <c r="D351" s="194"/>
      <c r="E351" s="216">
        <f>E368</f>
        <v>126.02711854545454</v>
      </c>
      <c r="F351" s="197" t="e">
        <f>G351/C351</f>
        <v>#N/A</v>
      </c>
      <c r="G351" s="217" t="e">
        <f>G352+G367+G370</f>
        <v>#N/A</v>
      </c>
      <c r="H351" s="194"/>
      <c r="I351" s="196"/>
      <c r="J351" s="216">
        <f>J368*$I368</f>
        <v>1.3069999999999999</v>
      </c>
      <c r="K351" s="216"/>
      <c r="L351" s="216"/>
      <c r="M351" s="216"/>
      <c r="N351" s="216"/>
      <c r="O351" s="216"/>
      <c r="P351" s="216"/>
      <c r="Q351" s="216"/>
      <c r="R351" s="285"/>
    </row>
    <row r="352" spans="1:18" s="429" customFormat="1" ht="20.25" customHeight="1" x14ac:dyDescent="0.2">
      <c r="A352" s="468" t="s">
        <v>167</v>
      </c>
      <c r="B352" s="422"/>
      <c r="C352" s="423"/>
      <c r="D352" s="424"/>
      <c r="E352" s="425"/>
      <c r="F352" s="204">
        <f>G352/C351</f>
        <v>18654534.993113998</v>
      </c>
      <c r="G352" s="204">
        <f>SUM(G353:G366)</f>
        <v>24381477.235999994</v>
      </c>
      <c r="H352" s="424"/>
      <c r="I352" s="426"/>
      <c r="J352" s="426"/>
      <c r="K352" s="426"/>
      <c r="L352" s="426"/>
      <c r="M352" s="427"/>
      <c r="N352" s="426"/>
      <c r="O352" s="426"/>
      <c r="P352" s="426"/>
      <c r="Q352" s="427"/>
      <c r="R352" s="428"/>
    </row>
    <row r="353" spans="1:18" s="244" customFormat="1" ht="20.25" customHeight="1" x14ac:dyDescent="0.25">
      <c r="A353" s="445" t="s">
        <v>381</v>
      </c>
      <c r="B353" s="365" t="s">
        <v>188</v>
      </c>
      <c r="C353" s="121">
        <f>C351*129.76</f>
        <v>169.59631999999999</v>
      </c>
      <c r="D353" s="106"/>
      <c r="E353" s="92"/>
      <c r="F353" s="98">
        <v>45000</v>
      </c>
      <c r="G353" s="99">
        <f>C353*F353</f>
        <v>7631834.3999999994</v>
      </c>
      <c r="H353" s="106"/>
      <c r="I353" s="186"/>
      <c r="J353" s="186"/>
      <c r="K353" s="186"/>
      <c r="L353" s="186"/>
      <c r="M353" s="122"/>
      <c r="N353" s="186"/>
      <c r="O353" s="186"/>
      <c r="P353" s="186"/>
      <c r="Q353" s="122"/>
      <c r="R353" s="251"/>
    </row>
    <row r="354" spans="1:18" s="244" customFormat="1" ht="20.25" customHeight="1" x14ac:dyDescent="0.25">
      <c r="A354" s="445" t="s">
        <v>442</v>
      </c>
      <c r="B354" s="365" t="s">
        <v>145</v>
      </c>
      <c r="C354" s="121">
        <f>ROUNDUP(C351*1840,0)</f>
        <v>2405</v>
      </c>
      <c r="D354" s="106"/>
      <c r="E354" s="92"/>
      <c r="F354" s="98">
        <v>1900</v>
      </c>
      <c r="G354" s="99">
        <f>C354*F354</f>
        <v>4569500</v>
      </c>
      <c r="H354" s="106"/>
      <c r="I354" s="186"/>
      <c r="J354" s="186"/>
      <c r="K354" s="186"/>
      <c r="L354" s="186"/>
      <c r="M354" s="122"/>
      <c r="N354" s="186"/>
      <c r="O354" s="186"/>
      <c r="P354" s="186"/>
      <c r="Q354" s="122"/>
      <c r="R354" s="251"/>
    </row>
    <row r="355" spans="1:18" s="244" customFormat="1" ht="20.25" customHeight="1" x14ac:dyDescent="0.25">
      <c r="A355" s="445" t="s">
        <v>391</v>
      </c>
      <c r="B355" s="365" t="s">
        <v>188</v>
      </c>
      <c r="C355" s="121">
        <f>C354*2*9.7/1000</f>
        <v>46.656999999999996</v>
      </c>
      <c r="D355" s="106"/>
      <c r="E355" s="92"/>
      <c r="F355" s="98">
        <v>140000</v>
      </c>
      <c r="G355" s="99">
        <f t="shared" ref="G355:G366" si="28">C355*F355</f>
        <v>6531979.9999999991</v>
      </c>
      <c r="H355" s="106"/>
      <c r="I355" s="186"/>
      <c r="J355" s="186"/>
      <c r="K355" s="186"/>
      <c r="L355" s="186"/>
      <c r="M355" s="122"/>
      <c r="N355" s="186"/>
      <c r="O355" s="186"/>
      <c r="P355" s="186"/>
      <c r="Q355" s="122"/>
      <c r="R355" s="251"/>
    </row>
    <row r="356" spans="1:18" s="244" customFormat="1" ht="20.25" customHeight="1" x14ac:dyDescent="0.25">
      <c r="A356" s="445" t="s">
        <v>392</v>
      </c>
      <c r="B356" s="365" t="s">
        <v>145</v>
      </c>
      <c r="C356" s="151">
        <f>C354*2</f>
        <v>4810</v>
      </c>
      <c r="D356" s="106"/>
      <c r="E356" s="92"/>
      <c r="F356" s="98">
        <v>80</v>
      </c>
      <c r="G356" s="99">
        <f t="shared" si="28"/>
        <v>384800</v>
      </c>
      <c r="H356" s="106"/>
      <c r="I356" s="186"/>
      <c r="J356" s="186"/>
      <c r="K356" s="186"/>
      <c r="L356" s="186"/>
      <c r="M356" s="122"/>
      <c r="N356" s="186"/>
      <c r="O356" s="186"/>
      <c r="P356" s="186"/>
      <c r="Q356" s="122"/>
      <c r="R356" s="251"/>
    </row>
    <row r="357" spans="1:18" s="244" customFormat="1" ht="20.25" customHeight="1" x14ac:dyDescent="0.25">
      <c r="A357" s="445" t="s">
        <v>393</v>
      </c>
      <c r="B357" s="365" t="s">
        <v>145</v>
      </c>
      <c r="C357" s="151">
        <f>C354*2</f>
        <v>4810</v>
      </c>
      <c r="D357" s="106"/>
      <c r="E357" s="92"/>
      <c r="F357" s="98">
        <v>55</v>
      </c>
      <c r="G357" s="99">
        <f t="shared" si="28"/>
        <v>264550</v>
      </c>
      <c r="H357" s="106"/>
      <c r="I357" s="186"/>
      <c r="J357" s="186"/>
      <c r="K357" s="186"/>
      <c r="L357" s="186"/>
      <c r="M357" s="122"/>
      <c r="N357" s="186"/>
      <c r="O357" s="186"/>
      <c r="P357" s="186"/>
      <c r="Q357" s="122"/>
      <c r="R357" s="251"/>
    </row>
    <row r="358" spans="1:18" s="244" customFormat="1" ht="20.25" customHeight="1" x14ac:dyDescent="0.25">
      <c r="A358" s="445" t="s">
        <v>363</v>
      </c>
      <c r="B358" s="365" t="s">
        <v>188</v>
      </c>
      <c r="C358" s="121">
        <f>C354*4*0.345/1000</f>
        <v>3.3188999999999997</v>
      </c>
      <c r="D358" s="106"/>
      <c r="E358" s="92"/>
      <c r="F358" s="98">
        <v>125000</v>
      </c>
      <c r="G358" s="99">
        <f t="shared" si="28"/>
        <v>414862.49999999994</v>
      </c>
      <c r="H358" s="106"/>
      <c r="I358" s="186"/>
      <c r="J358" s="186"/>
      <c r="K358" s="186"/>
      <c r="L358" s="186"/>
      <c r="M358" s="122"/>
      <c r="N358" s="186"/>
      <c r="O358" s="186"/>
      <c r="P358" s="186"/>
      <c r="Q358" s="122"/>
      <c r="R358" s="251"/>
    </row>
    <row r="359" spans="1:18" s="244" customFormat="1" ht="20.25" customHeight="1" x14ac:dyDescent="0.25">
      <c r="A359" s="445" t="s">
        <v>364</v>
      </c>
      <c r="B359" s="365" t="s">
        <v>188</v>
      </c>
      <c r="C359" s="121">
        <f>C354*4*0.64/1000</f>
        <v>6.1568000000000005</v>
      </c>
      <c r="D359" s="106"/>
      <c r="E359" s="92"/>
      <c r="F359" s="98">
        <v>140000</v>
      </c>
      <c r="G359" s="99">
        <f t="shared" si="28"/>
        <v>861952.00000000012</v>
      </c>
      <c r="H359" s="106"/>
      <c r="I359" s="186"/>
      <c r="J359" s="186"/>
      <c r="K359" s="186"/>
      <c r="L359" s="186"/>
      <c r="M359" s="122"/>
      <c r="N359" s="186"/>
      <c r="O359" s="186"/>
      <c r="P359" s="186"/>
      <c r="Q359" s="122"/>
      <c r="R359" s="251"/>
    </row>
    <row r="360" spans="1:18" s="244" customFormat="1" ht="20.25" customHeight="1" x14ac:dyDescent="0.25">
      <c r="A360" s="445" t="s">
        <v>385</v>
      </c>
      <c r="B360" s="365" t="s">
        <v>188</v>
      </c>
      <c r="C360" s="121">
        <f>C354*12*0.12/1000</f>
        <v>3.4631999999999996</v>
      </c>
      <c r="D360" s="106"/>
      <c r="E360" s="92"/>
      <c r="F360" s="98">
        <v>105000</v>
      </c>
      <c r="G360" s="99">
        <f t="shared" si="28"/>
        <v>363635.99999999994</v>
      </c>
      <c r="H360" s="106"/>
      <c r="I360" s="186"/>
      <c r="J360" s="186"/>
      <c r="K360" s="186"/>
      <c r="L360" s="186"/>
      <c r="M360" s="122"/>
      <c r="N360" s="186"/>
      <c r="O360" s="186"/>
      <c r="P360" s="186"/>
      <c r="Q360" s="122"/>
      <c r="R360" s="251"/>
    </row>
    <row r="361" spans="1:18" s="244" customFormat="1" ht="20.25" customHeight="1" x14ac:dyDescent="0.25">
      <c r="A361" s="445" t="s">
        <v>369</v>
      </c>
      <c r="B361" s="365" t="s">
        <v>145</v>
      </c>
      <c r="C361" s="121">
        <f>C354*12*0.126/1000</f>
        <v>3.6363600000000003</v>
      </c>
      <c r="D361" s="106"/>
      <c r="E361" s="92"/>
      <c r="F361" s="98">
        <v>140000</v>
      </c>
      <c r="G361" s="99">
        <f t="shared" si="28"/>
        <v>509090.4</v>
      </c>
      <c r="H361" s="106"/>
      <c r="I361" s="186"/>
      <c r="J361" s="186"/>
      <c r="K361" s="186"/>
      <c r="L361" s="186"/>
      <c r="M361" s="122"/>
      <c r="N361" s="186"/>
      <c r="O361" s="186"/>
      <c r="P361" s="186"/>
      <c r="Q361" s="122"/>
      <c r="R361" s="251"/>
    </row>
    <row r="362" spans="1:18" s="244" customFormat="1" ht="20.25" customHeight="1" x14ac:dyDescent="0.25">
      <c r="A362" s="445" t="s">
        <v>373</v>
      </c>
      <c r="B362" s="365" t="s">
        <v>145</v>
      </c>
      <c r="C362" s="121">
        <f>C354*8*0.56/1000</f>
        <v>10.774400000000002</v>
      </c>
      <c r="D362" s="106"/>
      <c r="E362" s="92"/>
      <c r="F362" s="98">
        <v>100000</v>
      </c>
      <c r="G362" s="99">
        <f t="shared" si="28"/>
        <v>1077440.0000000002</v>
      </c>
      <c r="H362" s="106"/>
      <c r="I362" s="186"/>
      <c r="J362" s="186"/>
      <c r="K362" s="186"/>
      <c r="L362" s="186"/>
      <c r="M362" s="122"/>
      <c r="N362" s="186"/>
      <c r="O362" s="186"/>
      <c r="P362" s="186"/>
      <c r="Q362" s="122"/>
      <c r="R362" s="251"/>
    </row>
    <row r="363" spans="1:18" s="244" customFormat="1" ht="20.25" customHeight="1" x14ac:dyDescent="0.25">
      <c r="A363" s="445" t="s">
        <v>386</v>
      </c>
      <c r="B363" s="365" t="s">
        <v>188</v>
      </c>
      <c r="C363" s="121">
        <f>C351*320*29.5/1000</f>
        <v>12.33808</v>
      </c>
      <c r="D363" s="106"/>
      <c r="E363" s="92"/>
      <c r="F363" s="98">
        <v>130000</v>
      </c>
      <c r="G363" s="99">
        <f t="shared" si="28"/>
        <v>1603950.4</v>
      </c>
      <c r="H363" s="106"/>
      <c r="I363" s="186"/>
      <c r="J363" s="186"/>
      <c r="K363" s="186"/>
      <c r="L363" s="186"/>
      <c r="M363" s="122"/>
      <c r="N363" s="186"/>
      <c r="O363" s="186"/>
      <c r="P363" s="186"/>
      <c r="Q363" s="122"/>
      <c r="R363" s="251"/>
    </row>
    <row r="364" spans="1:18" s="244" customFormat="1" ht="20.25" customHeight="1" x14ac:dyDescent="0.25">
      <c r="A364" s="445" t="s">
        <v>387</v>
      </c>
      <c r="B364" s="365" t="s">
        <v>188</v>
      </c>
      <c r="C364" s="121">
        <f>C351*320/2*6*0.818/1000</f>
        <v>1.0263609599999999</v>
      </c>
      <c r="D364" s="106"/>
      <c r="E364" s="92"/>
      <c r="F364" s="98">
        <v>110000</v>
      </c>
      <c r="G364" s="99">
        <f t="shared" si="28"/>
        <v>112899.70559999999</v>
      </c>
      <c r="H364" s="106"/>
      <c r="I364" s="186"/>
      <c r="J364" s="186"/>
      <c r="K364" s="186"/>
      <c r="L364" s="186"/>
      <c r="M364" s="122"/>
      <c r="N364" s="186"/>
      <c r="O364" s="186"/>
      <c r="P364" s="186"/>
      <c r="Q364" s="122"/>
      <c r="R364" s="251"/>
    </row>
    <row r="365" spans="1:18" s="244" customFormat="1" ht="20.25" customHeight="1" x14ac:dyDescent="0.25">
      <c r="A365" s="445" t="s">
        <v>388</v>
      </c>
      <c r="B365" s="365" t="s">
        <v>188</v>
      </c>
      <c r="C365" s="121">
        <f>C351*320/2*6*0.22/1000</f>
        <v>0.27603840000000002</v>
      </c>
      <c r="D365" s="106"/>
      <c r="E365" s="92"/>
      <c r="F365" s="98">
        <v>140000</v>
      </c>
      <c r="G365" s="99">
        <f t="shared" si="28"/>
        <v>38645.376000000004</v>
      </c>
      <c r="H365" s="106"/>
      <c r="I365" s="186"/>
      <c r="J365" s="186"/>
      <c r="K365" s="186"/>
      <c r="L365" s="186"/>
      <c r="M365" s="122"/>
      <c r="N365" s="186"/>
      <c r="O365" s="186"/>
      <c r="P365" s="186"/>
      <c r="Q365" s="122"/>
      <c r="R365" s="251"/>
    </row>
    <row r="366" spans="1:18" s="244" customFormat="1" ht="20.25" customHeight="1" x14ac:dyDescent="0.25">
      <c r="A366" s="445" t="s">
        <v>389</v>
      </c>
      <c r="B366" s="365" t="s">
        <v>188</v>
      </c>
      <c r="C366" s="121">
        <f>C351*320/2*6*0.093/1000</f>
        <v>0.11668896000000001</v>
      </c>
      <c r="D366" s="106"/>
      <c r="E366" s="92"/>
      <c r="F366" s="98">
        <v>140000</v>
      </c>
      <c r="G366" s="99">
        <f t="shared" si="28"/>
        <v>16336.454400000001</v>
      </c>
      <c r="H366" s="106"/>
      <c r="I366" s="186"/>
      <c r="J366" s="186"/>
      <c r="K366" s="186"/>
      <c r="L366" s="186"/>
      <c r="M366" s="122"/>
      <c r="N366" s="186"/>
      <c r="O366" s="186"/>
      <c r="P366" s="186"/>
      <c r="Q366" s="122"/>
      <c r="R366" s="251"/>
    </row>
    <row r="367" spans="1:18" s="244" customFormat="1" ht="20.25" customHeight="1" x14ac:dyDescent="0.25">
      <c r="A367" s="411" t="s">
        <v>0</v>
      </c>
      <c r="B367" s="379"/>
      <c r="C367" s="206"/>
      <c r="D367" s="205"/>
      <c r="E367" s="210"/>
      <c r="F367" s="204" t="e">
        <f>G367/C351</f>
        <v>#N/A</v>
      </c>
      <c r="G367" s="221" t="e">
        <f>SUM(G368:G369)</f>
        <v>#N/A</v>
      </c>
      <c r="H367" s="205"/>
      <c r="I367" s="212"/>
      <c r="J367" s="212"/>
      <c r="K367" s="212"/>
      <c r="L367" s="212"/>
      <c r="M367" s="213"/>
      <c r="N367" s="212"/>
      <c r="O367" s="212"/>
      <c r="P367" s="212"/>
      <c r="Q367" s="213"/>
      <c r="R367" s="255"/>
    </row>
    <row r="368" spans="1:18" s="244" customFormat="1" ht="20.25" customHeight="1" x14ac:dyDescent="0.25">
      <c r="A368" s="412" t="s">
        <v>260</v>
      </c>
      <c r="B368" s="365" t="s">
        <v>33</v>
      </c>
      <c r="C368" s="121">
        <v>10</v>
      </c>
      <c r="D368" s="106"/>
      <c r="E368" s="92">
        <f>C368*R368</f>
        <v>126.02711854545454</v>
      </c>
      <c r="F368" s="98" t="e">
        <f>VLOOKUP(A368,ГрафикЖД!$B$4:$C$55,2,0)</f>
        <v>#N/A</v>
      </c>
      <c r="G368" s="99" t="e">
        <f>E368*F368</f>
        <v>#N/A</v>
      </c>
      <c r="H368" s="106"/>
      <c r="I368" s="100">
        <f>C351/E368*C368</f>
        <v>0.1037078380498401</v>
      </c>
      <c r="J368" s="186">
        <f>C351*1060.672/C368/11</f>
        <v>12.602711854545454</v>
      </c>
      <c r="K368" s="186"/>
      <c r="L368" s="186"/>
      <c r="M368" s="122"/>
      <c r="N368" s="186"/>
      <c r="O368" s="186"/>
      <c r="P368" s="186"/>
      <c r="Q368" s="122"/>
      <c r="R368" s="78">
        <f>SUM(J368:Q368)</f>
        <v>12.602711854545454</v>
      </c>
    </row>
    <row r="369" spans="1:18" s="244" customFormat="1" ht="20.25" customHeight="1" x14ac:dyDescent="0.25">
      <c r="A369" s="412" t="s">
        <v>32</v>
      </c>
      <c r="B369" s="375"/>
      <c r="C369" s="121"/>
      <c r="D369" s="106"/>
      <c r="E369" s="92"/>
      <c r="F369" s="98"/>
      <c r="G369" s="99" t="e">
        <f>G368*30.9%</f>
        <v>#N/A</v>
      </c>
      <c r="H369" s="106"/>
      <c r="I369" s="186"/>
      <c r="J369" s="186"/>
      <c r="K369" s="186"/>
      <c r="L369" s="186"/>
      <c r="M369" s="122"/>
      <c r="N369" s="186"/>
      <c r="O369" s="186"/>
      <c r="P369" s="186"/>
      <c r="Q369" s="122"/>
      <c r="R369" s="251"/>
    </row>
    <row r="370" spans="1:18" s="244" customFormat="1" ht="20.25" customHeight="1" x14ac:dyDescent="0.25">
      <c r="A370" s="411" t="s">
        <v>1</v>
      </c>
      <c r="B370" s="379"/>
      <c r="C370" s="206"/>
      <c r="D370" s="205"/>
      <c r="E370" s="210"/>
      <c r="F370" s="204">
        <f>G370/C351</f>
        <v>441941.65454545466</v>
      </c>
      <c r="G370" s="221">
        <f>SUM(G371:G373)</f>
        <v>577617.74249090918</v>
      </c>
      <c r="H370" s="205"/>
      <c r="I370" s="212"/>
      <c r="J370" s="212"/>
      <c r="K370" s="212"/>
      <c r="L370" s="212"/>
      <c r="M370" s="213"/>
      <c r="N370" s="212"/>
      <c r="O370" s="212"/>
      <c r="P370" s="212"/>
      <c r="Q370" s="213"/>
      <c r="R370" s="255"/>
    </row>
    <row r="371" spans="1:18" s="244" customFormat="1" ht="20.25" customHeight="1" x14ac:dyDescent="0.25">
      <c r="A371" s="469" t="s">
        <v>240</v>
      </c>
      <c r="B371" s="376" t="s">
        <v>35</v>
      </c>
      <c r="C371" s="121">
        <v>1</v>
      </c>
      <c r="D371" s="106"/>
      <c r="E371" s="92">
        <f>C371*R371</f>
        <v>14.423695545454546</v>
      </c>
      <c r="F371" s="98">
        <f>VLOOKUP(A371,ГрафикЖД!$B$4:$C$55,2,0)</f>
        <v>20900</v>
      </c>
      <c r="G371" s="99">
        <f>E371*F371</f>
        <v>301455.23690000002</v>
      </c>
      <c r="H371" s="106"/>
      <c r="I371" s="100">
        <f>C351/E371*C371</f>
        <v>9.0614780094404115E-2</v>
      </c>
      <c r="J371" s="186">
        <f>C351*121.393/C371/11</f>
        <v>14.423695545454546</v>
      </c>
      <c r="K371" s="186"/>
      <c r="L371" s="186"/>
      <c r="M371" s="122"/>
      <c r="N371" s="186"/>
      <c r="O371" s="186"/>
      <c r="P371" s="186"/>
      <c r="Q371" s="122"/>
      <c r="R371" s="248">
        <f>SUM(J371:Q371)</f>
        <v>14.423695545454546</v>
      </c>
    </row>
    <row r="372" spans="1:18" s="244" customFormat="1" ht="20.25" customHeight="1" x14ac:dyDescent="0.25">
      <c r="A372" s="469" t="s">
        <v>245</v>
      </c>
      <c r="B372" s="376" t="s">
        <v>35</v>
      </c>
      <c r="C372" s="121">
        <v>1</v>
      </c>
      <c r="D372" s="106"/>
      <c r="E372" s="92">
        <f>C372*R372</f>
        <v>17.137740454545455</v>
      </c>
      <c r="F372" s="98">
        <f>VLOOKUP(A372,ГрафикЖД!$B$4:$C$55,2,0)</f>
        <v>14300</v>
      </c>
      <c r="G372" s="99">
        <f>E372*F372</f>
        <v>245069.68849999999</v>
      </c>
      <c r="H372" s="106"/>
      <c r="I372" s="100">
        <f>C351/E372*C372</f>
        <v>7.6264429576732407E-2</v>
      </c>
      <c r="J372" s="186">
        <f>C351*144.235/C372/11</f>
        <v>17.137740454545455</v>
      </c>
      <c r="K372" s="186"/>
      <c r="L372" s="186"/>
      <c r="M372" s="122"/>
      <c r="N372" s="186"/>
      <c r="O372" s="186"/>
      <c r="P372" s="186"/>
      <c r="Q372" s="122"/>
      <c r="R372" s="248">
        <f>SUM(J372:Q372)</f>
        <v>17.137740454545455</v>
      </c>
    </row>
    <row r="373" spans="1:18" s="244" customFormat="1" ht="20.25" customHeight="1" x14ac:dyDescent="0.25">
      <c r="A373" s="469" t="s">
        <v>246</v>
      </c>
      <c r="B373" s="376" t="s">
        <v>35</v>
      </c>
      <c r="C373" s="121">
        <v>1</v>
      </c>
      <c r="D373" s="106"/>
      <c r="E373" s="92">
        <f>C373*R373</f>
        <v>1.727378727272727</v>
      </c>
      <c r="F373" s="98">
        <f>VLOOKUP(A373,ГрафикЖД!$B$4:$C$55,2,0)</f>
        <v>18000</v>
      </c>
      <c r="G373" s="99">
        <f>E373*F373</f>
        <v>31092.817090909088</v>
      </c>
      <c r="H373" s="106"/>
      <c r="I373" s="100">
        <f>C351/E373*C373</f>
        <v>0.75663777686064115</v>
      </c>
      <c r="J373" s="186">
        <f>C351*14.538/C373/11</f>
        <v>1.727378727272727</v>
      </c>
      <c r="K373" s="186"/>
      <c r="L373" s="186"/>
      <c r="M373" s="122"/>
      <c r="N373" s="186"/>
      <c r="O373" s="186"/>
      <c r="P373" s="186"/>
      <c r="Q373" s="122"/>
      <c r="R373" s="248">
        <f>SUM(J373:Q373)</f>
        <v>1.727378727272727</v>
      </c>
    </row>
    <row r="374" spans="1:18" s="244" customFormat="1" ht="45" customHeight="1" x14ac:dyDescent="0.25">
      <c r="A374" s="470" t="s">
        <v>399</v>
      </c>
      <c r="B374" s="378" t="s">
        <v>34</v>
      </c>
      <c r="C374" s="196">
        <f>17029+1680+7853+700</f>
        <v>27262</v>
      </c>
      <c r="D374" s="209"/>
      <c r="E374" s="216">
        <v>0</v>
      </c>
      <c r="F374" s="194">
        <f>G374/C374</f>
        <v>39.00709219858156</v>
      </c>
      <c r="G374" s="217">
        <f>G375+G377+G378</f>
        <v>1063411.3475177304</v>
      </c>
      <c r="H374" s="209"/>
      <c r="I374" s="218"/>
      <c r="J374" s="216">
        <f>J377*$I377</f>
        <v>0</v>
      </c>
      <c r="K374" s="216"/>
      <c r="L374" s="216"/>
      <c r="M374" s="216"/>
      <c r="N374" s="216"/>
      <c r="O374" s="216"/>
      <c r="P374" s="216"/>
      <c r="Q374" s="216"/>
      <c r="R374" s="285"/>
    </row>
    <row r="375" spans="1:18" s="244" customFormat="1" ht="21.75" customHeight="1" x14ac:dyDescent="0.2">
      <c r="A375" s="468" t="s">
        <v>167</v>
      </c>
      <c r="B375" s="385"/>
      <c r="C375" s="231"/>
      <c r="D375" s="204"/>
      <c r="E375" s="222"/>
      <c r="F375" s="214"/>
      <c r="G375" s="221">
        <f>G376</f>
        <v>0</v>
      </c>
      <c r="H375" s="204"/>
      <c r="I375" s="232"/>
      <c r="J375" s="232"/>
      <c r="K375" s="232"/>
      <c r="L375" s="232"/>
      <c r="M375" s="219"/>
      <c r="N375" s="232"/>
      <c r="O375" s="232"/>
      <c r="P375" s="232"/>
      <c r="Q375" s="219"/>
      <c r="R375" s="255"/>
    </row>
    <row r="376" spans="1:18" s="244" customFormat="1" ht="20.25" customHeight="1" x14ac:dyDescent="0.25">
      <c r="A376" s="415" t="s">
        <v>370</v>
      </c>
      <c r="B376" s="376" t="s">
        <v>34</v>
      </c>
      <c r="C376" s="235">
        <f>C374*1.17</f>
        <v>31896.539999999997</v>
      </c>
      <c r="D376" s="106"/>
      <c r="E376" s="92"/>
      <c r="F376" s="319">
        <v>0</v>
      </c>
      <c r="G376" s="99">
        <f>C376*F376</f>
        <v>0</v>
      </c>
      <c r="H376" s="106"/>
      <c r="I376" s="186"/>
      <c r="J376" s="186"/>
      <c r="K376" s="186"/>
      <c r="L376" s="186"/>
      <c r="M376" s="122"/>
      <c r="N376" s="186"/>
      <c r="O376" s="186"/>
      <c r="P376" s="186"/>
      <c r="Q376" s="122"/>
      <c r="R376" s="251"/>
    </row>
    <row r="377" spans="1:18" s="244" customFormat="1" ht="20.25" customHeight="1" x14ac:dyDescent="0.25">
      <c r="A377" s="411" t="s">
        <v>0</v>
      </c>
      <c r="B377" s="379"/>
      <c r="C377" s="206"/>
      <c r="D377" s="205"/>
      <c r="E377" s="210"/>
      <c r="F377" s="204">
        <f>G377/C351</f>
        <v>0</v>
      </c>
      <c r="G377" s="221">
        <v>0</v>
      </c>
      <c r="H377" s="205"/>
      <c r="I377" s="212"/>
      <c r="J377" s="212"/>
      <c r="K377" s="212"/>
      <c r="L377" s="212"/>
      <c r="M377" s="213"/>
      <c r="N377" s="212"/>
      <c r="O377" s="212"/>
      <c r="P377" s="212"/>
      <c r="Q377" s="213"/>
      <c r="R377" s="255"/>
    </row>
    <row r="378" spans="1:18" s="244" customFormat="1" ht="20.25" customHeight="1" x14ac:dyDescent="0.25">
      <c r="A378" s="411" t="s">
        <v>1</v>
      </c>
      <c r="B378" s="379"/>
      <c r="C378" s="206"/>
      <c r="D378" s="205"/>
      <c r="E378" s="210"/>
      <c r="F378" s="204">
        <f>G378/C351</f>
        <v>813627.65686130873</v>
      </c>
      <c r="G378" s="221">
        <f>SUM(G379:G379)</f>
        <v>1063411.3475177304</v>
      </c>
      <c r="H378" s="205"/>
      <c r="I378" s="212"/>
      <c r="J378" s="212"/>
      <c r="K378" s="212"/>
      <c r="L378" s="212"/>
      <c r="M378" s="213"/>
      <c r="N378" s="212"/>
      <c r="O378" s="212"/>
      <c r="P378" s="212"/>
      <c r="Q378" s="213"/>
      <c r="R378" s="255"/>
    </row>
    <row r="379" spans="1:18" s="244" customFormat="1" ht="20.25" customHeight="1" x14ac:dyDescent="0.25">
      <c r="A379" s="469" t="s">
        <v>243</v>
      </c>
      <c r="B379" s="376" t="s">
        <v>35</v>
      </c>
      <c r="C379" s="121">
        <v>3</v>
      </c>
      <c r="D379" s="106"/>
      <c r="E379" s="92">
        <f>C379*R379</f>
        <v>96.673758865248232</v>
      </c>
      <c r="F379" s="98">
        <f>VLOOKUP(A379,ГрафикЖД!$B$4:$C$55,2,0)</f>
        <v>11000</v>
      </c>
      <c r="G379" s="99">
        <f>E379*F379</f>
        <v>1063411.3475177304</v>
      </c>
      <c r="H379" s="106"/>
      <c r="I379" s="100">
        <f>C374/E379*C379</f>
        <v>846</v>
      </c>
      <c r="J379" s="186">
        <f>C374/282/C379</f>
        <v>32.224586288416077</v>
      </c>
      <c r="K379" s="186"/>
      <c r="L379" s="186"/>
      <c r="M379" s="122"/>
      <c r="N379" s="186"/>
      <c r="O379" s="186"/>
      <c r="P379" s="186"/>
      <c r="Q379" s="122"/>
      <c r="R379" s="248">
        <f>SUM(J379:Q379)</f>
        <v>32.224586288416077</v>
      </c>
    </row>
    <row r="380" spans="1:18" s="244" customFormat="1" ht="40.5" customHeight="1" x14ac:dyDescent="0.2">
      <c r="A380" s="470" t="s">
        <v>443</v>
      </c>
      <c r="B380" s="378" t="s">
        <v>34</v>
      </c>
      <c r="C380" s="196">
        <f>(17029+7853)*0.65</f>
        <v>16173.300000000001</v>
      </c>
      <c r="D380" s="194"/>
      <c r="E380" s="216">
        <f>E384</f>
        <v>352.651455</v>
      </c>
      <c r="F380" s="194" t="e">
        <f>G380/C380</f>
        <v>#N/A</v>
      </c>
      <c r="G380" s="217" t="e">
        <f>G381+G383+G386</f>
        <v>#N/A</v>
      </c>
      <c r="H380" s="194"/>
      <c r="I380" s="196"/>
      <c r="J380" s="216">
        <f>J384*$I384</f>
        <v>18922.760999999999</v>
      </c>
      <c r="K380" s="216"/>
      <c r="L380" s="216"/>
      <c r="M380" s="216"/>
      <c r="N380" s="216"/>
      <c r="O380" s="216"/>
      <c r="P380" s="216"/>
      <c r="Q380" s="216"/>
      <c r="R380" s="285"/>
    </row>
    <row r="381" spans="1:18" s="244" customFormat="1" ht="21.75" customHeight="1" x14ac:dyDescent="0.2">
      <c r="A381" s="468" t="s">
        <v>167</v>
      </c>
      <c r="B381" s="385"/>
      <c r="C381" s="231"/>
      <c r="D381" s="204"/>
      <c r="E381" s="222"/>
      <c r="F381" s="214">
        <f>G381/C382</f>
        <v>1750</v>
      </c>
      <c r="G381" s="221">
        <f>G382</f>
        <v>33114831.749999996</v>
      </c>
      <c r="H381" s="204"/>
      <c r="I381" s="232"/>
      <c r="J381" s="232"/>
      <c r="K381" s="232"/>
      <c r="L381" s="232"/>
      <c r="M381" s="219"/>
      <c r="N381" s="232"/>
      <c r="O381" s="232"/>
      <c r="P381" s="232"/>
      <c r="Q381" s="219"/>
      <c r="R381" s="255"/>
    </row>
    <row r="382" spans="1:18" s="244" customFormat="1" ht="21.75" customHeight="1" x14ac:dyDescent="0.2">
      <c r="A382" s="445" t="s">
        <v>429</v>
      </c>
      <c r="B382" s="365" t="s">
        <v>34</v>
      </c>
      <c r="C382" s="235">
        <f>C380*1.17</f>
        <v>18922.760999999999</v>
      </c>
      <c r="D382" s="110"/>
      <c r="E382" s="92"/>
      <c r="F382" s="98">
        <v>1750</v>
      </c>
      <c r="G382" s="99">
        <f>C382*F382</f>
        <v>33114831.749999996</v>
      </c>
      <c r="H382" s="110"/>
      <c r="I382" s="235"/>
      <c r="J382" s="235"/>
      <c r="K382" s="235"/>
      <c r="L382" s="235"/>
      <c r="M382" s="122"/>
      <c r="N382" s="235"/>
      <c r="O382" s="235"/>
      <c r="P382" s="235"/>
      <c r="Q382" s="122"/>
      <c r="R382" s="254"/>
    </row>
    <row r="383" spans="1:18" s="244" customFormat="1" ht="20.25" customHeight="1" x14ac:dyDescent="0.25">
      <c r="A383" s="411" t="s">
        <v>0</v>
      </c>
      <c r="B383" s="379"/>
      <c r="C383" s="206"/>
      <c r="D383" s="205"/>
      <c r="E383" s="210"/>
      <c r="F383" s="204" t="e">
        <f>G383/C380</f>
        <v>#N/A</v>
      </c>
      <c r="G383" s="221" t="e">
        <f>SUM(G384:G385)</f>
        <v>#N/A</v>
      </c>
      <c r="H383" s="205"/>
      <c r="I383" s="212"/>
      <c r="J383" s="212"/>
      <c r="K383" s="212"/>
      <c r="L383" s="212"/>
      <c r="M383" s="213"/>
      <c r="N383" s="212"/>
      <c r="O383" s="212"/>
      <c r="P383" s="212"/>
      <c r="Q383" s="213"/>
      <c r="R383" s="255"/>
    </row>
    <row r="384" spans="1:18" s="244" customFormat="1" ht="20.25" customHeight="1" x14ac:dyDescent="0.25">
      <c r="A384" s="412" t="s">
        <v>260</v>
      </c>
      <c r="B384" s="365" t="s">
        <v>33</v>
      </c>
      <c r="C384" s="121">
        <v>15</v>
      </c>
      <c r="D384" s="106"/>
      <c r="E384" s="92">
        <f>C384*R384</f>
        <v>352.651455</v>
      </c>
      <c r="F384" s="98" t="e">
        <f>VLOOKUP(A384,ГрафикЖД!$B$4:$C$55,2,0)</f>
        <v>#N/A</v>
      </c>
      <c r="G384" s="99" t="e">
        <f>E384*F384</f>
        <v>#N/A</v>
      </c>
      <c r="H384" s="106"/>
      <c r="I384" s="100">
        <f>C382/E384*C384</f>
        <v>804.8780487804878</v>
      </c>
      <c r="J384" s="186">
        <f>C382*0.205/C384/11</f>
        <v>23.510096999999998</v>
      </c>
      <c r="K384" s="186"/>
      <c r="L384" s="186"/>
      <c r="M384" s="122"/>
      <c r="N384" s="186"/>
      <c r="O384" s="186"/>
      <c r="P384" s="186"/>
      <c r="Q384" s="122"/>
      <c r="R384" s="78">
        <f>SUM(J384:Q384)</f>
        <v>23.510096999999998</v>
      </c>
    </row>
    <row r="385" spans="1:18" s="244" customFormat="1" ht="20.25" customHeight="1" x14ac:dyDescent="0.25">
      <c r="A385" s="412" t="s">
        <v>32</v>
      </c>
      <c r="B385" s="375"/>
      <c r="C385" s="121"/>
      <c r="D385" s="106"/>
      <c r="E385" s="92"/>
      <c r="F385" s="98"/>
      <c r="G385" s="99" t="e">
        <f>G384*30.9%</f>
        <v>#N/A</v>
      </c>
      <c r="H385" s="106"/>
      <c r="I385" s="186"/>
      <c r="J385" s="186"/>
      <c r="K385" s="186"/>
      <c r="L385" s="186"/>
      <c r="M385" s="122"/>
      <c r="N385" s="186"/>
      <c r="O385" s="186"/>
      <c r="P385" s="186"/>
      <c r="Q385" s="122"/>
      <c r="R385" s="251"/>
    </row>
    <row r="386" spans="1:18" s="244" customFormat="1" ht="20.25" customHeight="1" x14ac:dyDescent="0.25">
      <c r="A386" s="411" t="s">
        <v>1</v>
      </c>
      <c r="B386" s="379"/>
      <c r="C386" s="206"/>
      <c r="D386" s="205"/>
      <c r="E386" s="210"/>
      <c r="F386" s="204">
        <f>G386/C380</f>
        <v>290.6796886008172</v>
      </c>
      <c r="G386" s="221">
        <f>SUM(G387:G389)</f>
        <v>4701249.807647597</v>
      </c>
      <c r="H386" s="205"/>
      <c r="I386" s="212"/>
      <c r="J386" s="212"/>
      <c r="K386" s="212"/>
      <c r="L386" s="212"/>
      <c r="M386" s="213"/>
      <c r="N386" s="212"/>
      <c r="O386" s="212"/>
      <c r="P386" s="212"/>
      <c r="Q386" s="213"/>
      <c r="R386" s="255"/>
    </row>
    <row r="387" spans="1:18" s="244" customFormat="1" ht="20.25" customHeight="1" x14ac:dyDescent="0.25">
      <c r="A387" s="469" t="s">
        <v>241</v>
      </c>
      <c r="B387" s="376" t="s">
        <v>35</v>
      </c>
      <c r="C387" s="121">
        <v>5</v>
      </c>
      <c r="D387" s="106"/>
      <c r="E387" s="92">
        <f>C387*R387</f>
        <v>156.64537251655628</v>
      </c>
      <c r="F387" s="98">
        <f>VLOOKUP(A387,ГрафикЖД!$B$4:$C$55,2,0)</f>
        <v>16500</v>
      </c>
      <c r="G387" s="99">
        <f>E387*F387</f>
        <v>2584648.6465231786</v>
      </c>
      <c r="H387" s="106"/>
      <c r="I387" s="100">
        <f>C380/E387*C387</f>
        <v>516.23931623931628</v>
      </c>
      <c r="J387" s="186">
        <f>J388</f>
        <v>31.329074503311254</v>
      </c>
      <c r="K387" s="186"/>
      <c r="L387" s="186"/>
      <c r="M387" s="122"/>
      <c r="N387" s="186"/>
      <c r="O387" s="186"/>
      <c r="P387" s="186"/>
      <c r="Q387" s="122"/>
      <c r="R387" s="248">
        <f>SUM(J387:Q387)</f>
        <v>31.329074503311254</v>
      </c>
    </row>
    <row r="388" spans="1:18" s="244" customFormat="1" ht="20.25" customHeight="1" x14ac:dyDescent="0.25">
      <c r="A388" s="415" t="s">
        <v>251</v>
      </c>
      <c r="B388" s="376" t="s">
        <v>35</v>
      </c>
      <c r="C388" s="121">
        <v>2</v>
      </c>
      <c r="D388" s="106"/>
      <c r="E388" s="92">
        <f>C388*R388</f>
        <v>62.658149006622509</v>
      </c>
      <c r="F388" s="98">
        <f>VLOOKUP(A388,ГрафикЖД!$B$4:$C$55,2,0)</f>
        <v>22000</v>
      </c>
      <c r="G388" s="99">
        <f>E388*F388</f>
        <v>1378479.2781456951</v>
      </c>
      <c r="H388" s="106"/>
      <c r="I388" s="100">
        <f>C380/E388*C388</f>
        <v>516.23931623931639</v>
      </c>
      <c r="J388" s="186">
        <f>C382/302/C388</f>
        <v>31.329074503311254</v>
      </c>
      <c r="K388" s="186"/>
      <c r="L388" s="186"/>
      <c r="M388" s="122"/>
      <c r="N388" s="186"/>
      <c r="O388" s="186"/>
      <c r="P388" s="186"/>
      <c r="Q388" s="122"/>
      <c r="R388" s="248">
        <f>SUM(J388:Q388)</f>
        <v>31.329074503311254</v>
      </c>
    </row>
    <row r="389" spans="1:18" s="244" customFormat="1" ht="20.25" customHeight="1" x14ac:dyDescent="0.25">
      <c r="A389" s="469" t="s">
        <v>243</v>
      </c>
      <c r="B389" s="376" t="s">
        <v>35</v>
      </c>
      <c r="C389" s="121">
        <v>2</v>
      </c>
      <c r="D389" s="106"/>
      <c r="E389" s="92">
        <f>C389*R389</f>
        <v>67.101989361702124</v>
      </c>
      <c r="F389" s="98">
        <f>VLOOKUP(A389,ГрафикЖД!$B$4:$C$55,2,0)</f>
        <v>11000</v>
      </c>
      <c r="G389" s="99">
        <f>E389*F389</f>
        <v>738121.88297872338</v>
      </c>
      <c r="H389" s="106"/>
      <c r="I389" s="100">
        <f>C384/E389*C389</f>
        <v>0.44708063479742732</v>
      </c>
      <c r="J389" s="186">
        <f>C382/282/C389</f>
        <v>33.550994680851062</v>
      </c>
      <c r="K389" s="186"/>
      <c r="L389" s="186"/>
      <c r="M389" s="122"/>
      <c r="N389" s="186"/>
      <c r="O389" s="186"/>
      <c r="P389" s="186"/>
      <c r="Q389" s="122"/>
      <c r="R389" s="248">
        <f>SUM(J389:Q389)</f>
        <v>33.550994680851062</v>
      </c>
    </row>
    <row r="390" spans="1:18" s="244" customFormat="1" ht="40.5" customHeight="1" x14ac:dyDescent="0.2">
      <c r="A390" s="470" t="s">
        <v>400</v>
      </c>
      <c r="B390" s="378" t="s">
        <v>34</v>
      </c>
      <c r="C390" s="196">
        <f>(17029+7853)*0.35</f>
        <v>8708.6999999999989</v>
      </c>
      <c r="D390" s="194"/>
      <c r="E390" s="216">
        <f>E394</f>
        <v>62.987651999999997</v>
      </c>
      <c r="F390" s="194" t="e">
        <f>G390/C390</f>
        <v>#N/A</v>
      </c>
      <c r="G390" s="217" t="e">
        <f>G391+G393+G396</f>
        <v>#N/A</v>
      </c>
      <c r="H390" s="194"/>
      <c r="I390" s="196"/>
      <c r="J390" s="216">
        <f>J394*$I394</f>
        <v>8708.6999999999989</v>
      </c>
      <c r="K390" s="216"/>
      <c r="L390" s="216"/>
      <c r="M390" s="216"/>
      <c r="N390" s="216"/>
      <c r="O390" s="216"/>
      <c r="P390" s="216"/>
      <c r="Q390" s="216"/>
      <c r="R390" s="285"/>
    </row>
    <row r="391" spans="1:18" s="244" customFormat="1" ht="20.25" customHeight="1" x14ac:dyDescent="0.2">
      <c r="A391" s="468" t="s">
        <v>167</v>
      </c>
      <c r="B391" s="385"/>
      <c r="C391" s="232"/>
      <c r="D391" s="204"/>
      <c r="E391" s="222"/>
      <c r="F391" s="214"/>
      <c r="G391" s="221">
        <f>G392</f>
        <v>17831063.249999996</v>
      </c>
      <c r="H391" s="204"/>
      <c r="I391" s="232"/>
      <c r="J391" s="232"/>
      <c r="K391" s="232"/>
      <c r="L391" s="232"/>
      <c r="M391" s="219"/>
      <c r="N391" s="232"/>
      <c r="O391" s="232"/>
      <c r="P391" s="232"/>
      <c r="Q391" s="219"/>
      <c r="R391" s="255"/>
    </row>
    <row r="392" spans="1:18" s="244" customFormat="1" ht="21.75" customHeight="1" x14ac:dyDescent="0.2">
      <c r="A392" s="445" t="s">
        <v>429</v>
      </c>
      <c r="B392" s="365" t="s">
        <v>34</v>
      </c>
      <c r="C392" s="235">
        <f>C390*1.17</f>
        <v>10189.178999999998</v>
      </c>
      <c r="D392" s="110"/>
      <c r="E392" s="92"/>
      <c r="F392" s="98">
        <v>1750</v>
      </c>
      <c r="G392" s="99">
        <f>C392*F392</f>
        <v>17831063.249999996</v>
      </c>
      <c r="H392" s="110"/>
      <c r="I392" s="235"/>
      <c r="J392" s="235"/>
      <c r="K392" s="235"/>
      <c r="L392" s="235"/>
      <c r="M392" s="122"/>
      <c r="N392" s="235"/>
      <c r="O392" s="235"/>
      <c r="P392" s="235"/>
      <c r="Q392" s="122"/>
      <c r="R392" s="254"/>
    </row>
    <row r="393" spans="1:18" s="244" customFormat="1" ht="20.25" customHeight="1" x14ac:dyDescent="0.25">
      <c r="A393" s="411" t="s">
        <v>0</v>
      </c>
      <c r="B393" s="379"/>
      <c r="C393" s="206"/>
      <c r="D393" s="205"/>
      <c r="E393" s="210"/>
      <c r="F393" s="204" t="e">
        <f>G393/C390</f>
        <v>#N/A</v>
      </c>
      <c r="G393" s="221" t="e">
        <f>SUM(G394:G395)</f>
        <v>#N/A</v>
      </c>
      <c r="H393" s="205"/>
      <c r="I393" s="212"/>
      <c r="J393" s="212"/>
      <c r="K393" s="212"/>
      <c r="L393" s="212"/>
      <c r="M393" s="213"/>
      <c r="N393" s="212"/>
      <c r="O393" s="212"/>
      <c r="P393" s="212"/>
      <c r="Q393" s="213"/>
      <c r="R393" s="255"/>
    </row>
    <row r="394" spans="1:18" s="244" customFormat="1" ht="20.25" customHeight="1" x14ac:dyDescent="0.25">
      <c r="A394" s="412" t="s">
        <v>260</v>
      </c>
      <c r="B394" s="365" t="s">
        <v>33</v>
      </c>
      <c r="C394" s="121">
        <v>2</v>
      </c>
      <c r="D394" s="106"/>
      <c r="E394" s="92">
        <f>C394*R394</f>
        <v>62.987651999999997</v>
      </c>
      <c r="F394" s="98" t="e">
        <f>VLOOKUP(A394,ГрафикЖД!$B$4:$C$55,2,0)</f>
        <v>#N/A</v>
      </c>
      <c r="G394" s="99" t="e">
        <f>E394*F394</f>
        <v>#N/A</v>
      </c>
      <c r="H394" s="106"/>
      <c r="I394" s="100">
        <f>C390/E394*C394</f>
        <v>276.52086475615886</v>
      </c>
      <c r="J394" s="186">
        <f>C392*0.068/C394/11</f>
        <v>31.493825999999999</v>
      </c>
      <c r="K394" s="186"/>
      <c r="L394" s="186"/>
      <c r="M394" s="122"/>
      <c r="N394" s="186"/>
      <c r="O394" s="186"/>
      <c r="P394" s="186"/>
      <c r="Q394" s="122"/>
      <c r="R394" s="78">
        <f>SUM(J394:Q394)</f>
        <v>31.493825999999999</v>
      </c>
    </row>
    <row r="395" spans="1:18" s="244" customFormat="1" ht="20.25" customHeight="1" x14ac:dyDescent="0.25">
      <c r="A395" s="412" t="s">
        <v>32</v>
      </c>
      <c r="B395" s="375"/>
      <c r="C395" s="121"/>
      <c r="D395" s="106"/>
      <c r="E395" s="92"/>
      <c r="F395" s="98"/>
      <c r="G395" s="99" t="e">
        <f>G394*30.9%</f>
        <v>#N/A</v>
      </c>
      <c r="H395" s="106"/>
      <c r="I395" s="186"/>
      <c r="J395" s="186"/>
      <c r="K395" s="186"/>
      <c r="L395" s="186"/>
      <c r="M395" s="122"/>
      <c r="N395" s="186"/>
      <c r="O395" s="186"/>
      <c r="P395" s="186"/>
      <c r="Q395" s="122"/>
      <c r="R395" s="251"/>
    </row>
    <row r="396" spans="1:18" s="244" customFormat="1" ht="20.25" customHeight="1" x14ac:dyDescent="0.25">
      <c r="A396" s="411" t="s">
        <v>1</v>
      </c>
      <c r="B396" s="379"/>
      <c r="C396" s="206"/>
      <c r="D396" s="205"/>
      <c r="E396" s="210"/>
      <c r="F396" s="204">
        <f>G396/C390</f>
        <v>121.48429090909092</v>
      </c>
      <c r="G396" s="221">
        <f>SUM(G397:G399)</f>
        <v>1057970.2442399999</v>
      </c>
      <c r="H396" s="205"/>
      <c r="I396" s="212"/>
      <c r="J396" s="212"/>
      <c r="K396" s="212"/>
      <c r="L396" s="212"/>
      <c r="M396" s="213"/>
      <c r="N396" s="212"/>
      <c r="O396" s="212"/>
      <c r="P396" s="212"/>
      <c r="Q396" s="213"/>
      <c r="R396" s="255"/>
    </row>
    <row r="397" spans="1:18" s="244" customFormat="1" ht="20.25" customHeight="1" x14ac:dyDescent="0.25">
      <c r="A397" s="469" t="s">
        <v>247</v>
      </c>
      <c r="B397" s="376" t="s">
        <v>145</v>
      </c>
      <c r="C397" s="121">
        <v>1</v>
      </c>
      <c r="D397" s="106"/>
      <c r="E397" s="92">
        <f>C397*R397</f>
        <v>12.597530399999998</v>
      </c>
      <c r="F397" s="98">
        <f>VLOOKUP(A397,ГрафикЖД!$B$4:$C$55,2,0)</f>
        <v>55600</v>
      </c>
      <c r="G397" s="99">
        <f>E397*F397</f>
        <v>700422.69023999991</v>
      </c>
      <c r="H397" s="106"/>
      <c r="I397" s="100">
        <f>C390/E397*C397</f>
        <v>691.3021618903972</v>
      </c>
      <c r="J397" s="186">
        <f>J399</f>
        <v>12.597530399999998</v>
      </c>
      <c r="K397" s="186"/>
      <c r="L397" s="186"/>
      <c r="M397" s="122"/>
      <c r="N397" s="186"/>
      <c r="O397" s="186"/>
      <c r="P397" s="186"/>
      <c r="Q397" s="122"/>
      <c r="R397" s="248">
        <f>SUM(J397:Q397)</f>
        <v>12.597530399999998</v>
      </c>
    </row>
    <row r="398" spans="1:18" s="244" customFormat="1" ht="20.25" customHeight="1" x14ac:dyDescent="0.25">
      <c r="A398" s="415" t="s">
        <v>246</v>
      </c>
      <c r="B398" s="376" t="s">
        <v>145</v>
      </c>
      <c r="C398" s="121">
        <v>1</v>
      </c>
      <c r="D398" s="106"/>
      <c r="E398" s="92">
        <f>C398*R398</f>
        <v>11.115467999999998</v>
      </c>
      <c r="F398" s="98">
        <f>VLOOKUP(A398,ГрафикЖД!$B$4:$C$55,2,0)</f>
        <v>18000</v>
      </c>
      <c r="G398" s="99">
        <f>E398*F398</f>
        <v>200078.42399999997</v>
      </c>
      <c r="H398" s="106"/>
      <c r="I398" s="100">
        <f>C390/E398*C398</f>
        <v>783.47578347578349</v>
      </c>
      <c r="J398" s="186">
        <f>C392*0.012/C398/11</f>
        <v>11.115467999999998</v>
      </c>
      <c r="K398" s="186"/>
      <c r="L398" s="186"/>
      <c r="M398" s="122"/>
      <c r="N398" s="186"/>
      <c r="O398" s="186"/>
      <c r="P398" s="186"/>
      <c r="Q398" s="122"/>
      <c r="R398" s="248">
        <f>SUM(J398:Q398)</f>
        <v>11.115467999999998</v>
      </c>
    </row>
    <row r="399" spans="1:18" s="244" customFormat="1" ht="20.25" customHeight="1" x14ac:dyDescent="0.25">
      <c r="A399" s="415" t="s">
        <v>256</v>
      </c>
      <c r="B399" s="376" t="s">
        <v>145</v>
      </c>
      <c r="C399" s="121">
        <v>5</v>
      </c>
      <c r="D399" s="106"/>
      <c r="E399" s="92">
        <f>C399*R399</f>
        <v>62.98765199999999</v>
      </c>
      <c r="F399" s="98">
        <f>VLOOKUP(A399,ГрафикЖД!$B$4:$C$55,2,0)</f>
        <v>2500</v>
      </c>
      <c r="G399" s="99">
        <f>E399*F399</f>
        <v>157469.12999999998</v>
      </c>
      <c r="H399" s="106"/>
      <c r="I399" s="100">
        <f>C390/E399*C399</f>
        <v>691.3021618903972</v>
      </c>
      <c r="J399" s="186">
        <f>C392*0.068/C399/11</f>
        <v>12.597530399999998</v>
      </c>
      <c r="K399" s="186"/>
      <c r="L399" s="186"/>
      <c r="M399" s="122"/>
      <c r="N399" s="186"/>
      <c r="O399" s="186"/>
      <c r="P399" s="186"/>
      <c r="Q399" s="122"/>
      <c r="R399" s="248">
        <f>SUM(J399:Q399)</f>
        <v>12.597530399999998</v>
      </c>
    </row>
    <row r="400" spans="1:18" s="244" customFormat="1" ht="40.5" customHeight="1" x14ac:dyDescent="0.2">
      <c r="A400" s="470" t="s">
        <v>444</v>
      </c>
      <c r="B400" s="378" t="s">
        <v>34</v>
      </c>
      <c r="C400" s="215">
        <f>(1680+404)</f>
        <v>2084</v>
      </c>
      <c r="D400" s="194"/>
      <c r="E400" s="216">
        <f>E404</f>
        <v>455.72709090909092</v>
      </c>
      <c r="F400" s="194" t="e">
        <f>G400/C400</f>
        <v>#N/A</v>
      </c>
      <c r="G400" s="217" t="e">
        <f>G401+G403+G406</f>
        <v>#N/A</v>
      </c>
      <c r="H400" s="194"/>
      <c r="I400" s="196"/>
      <c r="J400" s="216">
        <f>J404*$I404</f>
        <v>2438.2799999999997</v>
      </c>
      <c r="K400" s="216"/>
      <c r="L400" s="216"/>
      <c r="M400" s="216"/>
      <c r="N400" s="216"/>
      <c r="O400" s="216"/>
      <c r="P400" s="216"/>
      <c r="Q400" s="216"/>
      <c r="R400" s="285"/>
    </row>
    <row r="401" spans="1:18" s="244" customFormat="1" ht="21.75" customHeight="1" x14ac:dyDescent="0.2">
      <c r="A401" s="468" t="s">
        <v>167</v>
      </c>
      <c r="B401" s="385"/>
      <c r="C401" s="231"/>
      <c r="D401" s="204"/>
      <c r="E401" s="222"/>
      <c r="F401" s="214">
        <f>G401/C402</f>
        <v>1750.0000000000002</v>
      </c>
      <c r="G401" s="221">
        <f>G402</f>
        <v>4266990</v>
      </c>
      <c r="H401" s="204"/>
      <c r="I401" s="232"/>
      <c r="J401" s="232"/>
      <c r="K401" s="232"/>
      <c r="L401" s="232"/>
      <c r="M401" s="219"/>
      <c r="N401" s="232"/>
      <c r="O401" s="232"/>
      <c r="P401" s="232"/>
      <c r="Q401" s="219"/>
      <c r="R401" s="255"/>
    </row>
    <row r="402" spans="1:18" s="244" customFormat="1" ht="21.75" customHeight="1" x14ac:dyDescent="0.2">
      <c r="A402" s="445" t="s">
        <v>370</v>
      </c>
      <c r="B402" s="365" t="s">
        <v>34</v>
      </c>
      <c r="C402" s="121">
        <f>C400*1.17</f>
        <v>2438.2799999999997</v>
      </c>
      <c r="D402" s="110"/>
      <c r="E402" s="92"/>
      <c r="F402" s="98">
        <v>1750</v>
      </c>
      <c r="G402" s="99">
        <f>C402*F402</f>
        <v>4266990</v>
      </c>
      <c r="H402" s="142"/>
      <c r="I402" s="230"/>
      <c r="J402" s="230"/>
      <c r="K402" s="230"/>
      <c r="L402" s="230"/>
      <c r="M402" s="226"/>
      <c r="N402" s="230"/>
      <c r="O402" s="230"/>
      <c r="P402" s="230"/>
      <c r="Q402" s="226"/>
      <c r="R402" s="251"/>
    </row>
    <row r="403" spans="1:18" s="244" customFormat="1" ht="20.25" customHeight="1" x14ac:dyDescent="0.25">
      <c r="A403" s="411" t="s">
        <v>0</v>
      </c>
      <c r="B403" s="379"/>
      <c r="C403" s="206"/>
      <c r="D403" s="205"/>
      <c r="E403" s="210"/>
      <c r="F403" s="204" t="e">
        <f>G403/C400</f>
        <v>#N/A</v>
      </c>
      <c r="G403" s="221" t="e">
        <f>SUM(G404:G405)</f>
        <v>#N/A</v>
      </c>
      <c r="H403" s="205"/>
      <c r="I403" s="212"/>
      <c r="J403" s="212"/>
      <c r="K403" s="212"/>
      <c r="L403" s="212"/>
      <c r="M403" s="213"/>
      <c r="N403" s="212"/>
      <c r="O403" s="212"/>
      <c r="P403" s="212"/>
      <c r="Q403" s="213"/>
      <c r="R403" s="255"/>
    </row>
    <row r="404" spans="1:18" s="244" customFormat="1" ht="20.25" customHeight="1" x14ac:dyDescent="0.25">
      <c r="A404" s="412" t="s">
        <v>260</v>
      </c>
      <c r="B404" s="365" t="s">
        <v>33</v>
      </c>
      <c r="C404" s="121">
        <v>15</v>
      </c>
      <c r="D404" s="106"/>
      <c r="E404" s="92">
        <f>C404*R404</f>
        <v>455.72709090909092</v>
      </c>
      <c r="F404" s="98" t="e">
        <f>VLOOKUP(A404,ГрафикЖД!$B$4:$C$55,2,0)</f>
        <v>#N/A</v>
      </c>
      <c r="G404" s="99" t="e">
        <f>E404*F404</f>
        <v>#N/A</v>
      </c>
      <c r="H404" s="106"/>
      <c r="I404" s="100">
        <f>C402/E404*C404</f>
        <v>80.254610115543628</v>
      </c>
      <c r="J404" s="186">
        <f>((12*212.928)+(11*121.474)+(11*101.968))/C404/11</f>
        <v>30.38180606060606</v>
      </c>
      <c r="K404" s="186"/>
      <c r="L404" s="186"/>
      <c r="M404" s="122"/>
      <c r="N404" s="186"/>
      <c r="O404" s="186"/>
      <c r="P404" s="186"/>
      <c r="Q404" s="122"/>
      <c r="R404" s="78">
        <f>SUM(J404:Q404)</f>
        <v>30.38180606060606</v>
      </c>
    </row>
    <row r="405" spans="1:18" s="244" customFormat="1" ht="20.25" customHeight="1" x14ac:dyDescent="0.25">
      <c r="A405" s="412" t="s">
        <v>32</v>
      </c>
      <c r="B405" s="375"/>
      <c r="C405" s="121"/>
      <c r="D405" s="106"/>
      <c r="E405" s="92"/>
      <c r="F405" s="98"/>
      <c r="G405" s="99" t="e">
        <f>G404*30.9%</f>
        <v>#N/A</v>
      </c>
      <c r="H405" s="106"/>
      <c r="I405" s="186"/>
      <c r="J405" s="186"/>
      <c r="K405" s="186"/>
      <c r="L405" s="186"/>
      <c r="M405" s="122"/>
      <c r="N405" s="186"/>
      <c r="O405" s="186"/>
      <c r="P405" s="186"/>
      <c r="Q405" s="122"/>
      <c r="R405" s="251"/>
    </row>
    <row r="406" spans="1:18" s="244" customFormat="1" ht="20.25" customHeight="1" x14ac:dyDescent="0.25">
      <c r="A406" s="411" t="s">
        <v>1</v>
      </c>
      <c r="B406" s="379"/>
      <c r="C406" s="206"/>
      <c r="D406" s="205"/>
      <c r="E406" s="210"/>
      <c r="F406" s="204">
        <f>G406/C400</f>
        <v>616.07183913913514</v>
      </c>
      <c r="G406" s="221">
        <f>SUM(G408:G411)</f>
        <v>1283893.7127659577</v>
      </c>
      <c r="H406" s="205"/>
      <c r="I406" s="212"/>
      <c r="J406" s="212"/>
      <c r="K406" s="212"/>
      <c r="L406" s="212"/>
      <c r="M406" s="213"/>
      <c r="N406" s="212"/>
      <c r="O406" s="212"/>
      <c r="P406" s="212"/>
      <c r="Q406" s="213"/>
      <c r="R406" s="255"/>
    </row>
    <row r="407" spans="1:18" s="244" customFormat="1" ht="20.25" customHeight="1" x14ac:dyDescent="0.25">
      <c r="A407" s="469" t="s">
        <v>247</v>
      </c>
      <c r="B407" s="376" t="s">
        <v>145</v>
      </c>
      <c r="C407" s="121">
        <v>1</v>
      </c>
      <c r="D407" s="106"/>
      <c r="E407" s="92">
        <f>C407*R407</f>
        <v>7.2434545454545454</v>
      </c>
      <c r="F407" s="98">
        <f>VLOOKUP(A407,ГрафикЖД!$B$4:$C$55,2,0)</f>
        <v>55600</v>
      </c>
      <c r="G407" s="99">
        <f>E407*F407</f>
        <v>402736.07272727269</v>
      </c>
      <c r="H407" s="106"/>
      <c r="I407" s="100">
        <f>C402/E407*C407</f>
        <v>336.61838901578852</v>
      </c>
      <c r="J407" s="186">
        <f>((12*2.491)+(11*2.275)+(11*2.251))/C407/11</f>
        <v>7.2434545454545454</v>
      </c>
      <c r="K407" s="186"/>
      <c r="L407" s="186"/>
      <c r="M407" s="122"/>
      <c r="N407" s="186"/>
      <c r="O407" s="186"/>
      <c r="P407" s="186"/>
      <c r="Q407" s="122"/>
      <c r="R407" s="248">
        <f>SUM(J407:Q407)</f>
        <v>7.2434545454545454</v>
      </c>
    </row>
    <row r="408" spans="1:18" s="244" customFormat="1" ht="20.25" customHeight="1" x14ac:dyDescent="0.25">
      <c r="A408" s="469" t="s">
        <v>241</v>
      </c>
      <c r="B408" s="376" t="s">
        <v>145</v>
      </c>
      <c r="C408" s="121">
        <v>2</v>
      </c>
      <c r="D408" s="106"/>
      <c r="E408" s="92">
        <f>C408*R408</f>
        <v>26.627545454545455</v>
      </c>
      <c r="F408" s="98">
        <f>VLOOKUP(A408,ГрафикЖД!$B$4:$C$55,2,0)</f>
        <v>16500</v>
      </c>
      <c r="G408" s="99">
        <f>E408*F408</f>
        <v>439354.5</v>
      </c>
      <c r="H408" s="106"/>
      <c r="I408" s="100">
        <f>C402/E408*C408</f>
        <v>183.13967422662108</v>
      </c>
      <c r="J408" s="186">
        <f>((12*12.766)+(11*6.381)+(11*6.32))/C408/11</f>
        <v>13.313772727272728</v>
      </c>
      <c r="K408" s="186"/>
      <c r="L408" s="186"/>
      <c r="M408" s="122"/>
      <c r="N408" s="186"/>
      <c r="O408" s="186"/>
      <c r="P408" s="186"/>
      <c r="Q408" s="122"/>
      <c r="R408" s="248">
        <f>SUM(J408:Q408)</f>
        <v>13.313772727272728</v>
      </c>
    </row>
    <row r="409" spans="1:18" s="244" customFormat="1" ht="20.25" customHeight="1" x14ac:dyDescent="0.25">
      <c r="A409" s="415" t="s">
        <v>246</v>
      </c>
      <c r="B409" s="376" t="s">
        <v>145</v>
      </c>
      <c r="C409" s="121">
        <v>3</v>
      </c>
      <c r="D409" s="106"/>
      <c r="E409" s="92">
        <f>C409*R409</f>
        <v>40.62890909090909</v>
      </c>
      <c r="F409" s="98">
        <f>VLOOKUP(A409,ГрафикЖД!$B$4:$C$55,2,0)</f>
        <v>18000</v>
      </c>
      <c r="G409" s="99">
        <f>E409*F409</f>
        <v>731320.36363636365</v>
      </c>
      <c r="H409" s="106"/>
      <c r="I409" s="100">
        <f>C402/E409*C409</f>
        <v>180.04027584478581</v>
      </c>
      <c r="J409" s="186">
        <f>((12*19.777)+(11*9.836)+(11*9.218))/C409/11</f>
        <v>13.542969696969697</v>
      </c>
      <c r="K409" s="186"/>
      <c r="L409" s="186"/>
      <c r="M409" s="122"/>
      <c r="N409" s="186"/>
      <c r="O409" s="186"/>
      <c r="P409" s="186"/>
      <c r="Q409" s="122"/>
      <c r="R409" s="248">
        <f>SUM(J409:Q409)</f>
        <v>13.542969696969697</v>
      </c>
    </row>
    <row r="410" spans="1:18" s="244" customFormat="1" ht="20.25" customHeight="1" x14ac:dyDescent="0.25">
      <c r="A410" s="415" t="s">
        <v>256</v>
      </c>
      <c r="B410" s="376" t="s">
        <v>145</v>
      </c>
      <c r="C410" s="121">
        <v>4</v>
      </c>
      <c r="D410" s="106"/>
      <c r="E410" s="92">
        <f>C410*R410</f>
        <v>7.2434545454545454</v>
      </c>
      <c r="F410" s="98">
        <f>VLOOKUP(A410,ГрафикЖД!$B$4:$C$55,2,0)</f>
        <v>2500</v>
      </c>
      <c r="G410" s="99">
        <f>E410*F410</f>
        <v>18108.636363636364</v>
      </c>
      <c r="H410" s="106"/>
      <c r="I410" s="100">
        <f>C402/E410*C410</f>
        <v>1346.4735560631541</v>
      </c>
      <c r="J410" s="186">
        <f>((12*2.491)+(11*2.275)+(11*2.251))/C410/11</f>
        <v>1.8108636363636363</v>
      </c>
      <c r="K410" s="186"/>
      <c r="L410" s="186"/>
      <c r="M410" s="122"/>
      <c r="N410" s="186"/>
      <c r="O410" s="186"/>
      <c r="P410" s="186"/>
      <c r="Q410" s="122"/>
      <c r="R410" s="248">
        <f>SUM(J410:Q410)</f>
        <v>1.8108636363636363</v>
      </c>
    </row>
    <row r="411" spans="1:18" s="244" customFormat="1" ht="20.25" customHeight="1" x14ac:dyDescent="0.25">
      <c r="A411" s="469" t="s">
        <v>243</v>
      </c>
      <c r="B411" s="376" t="s">
        <v>35</v>
      </c>
      <c r="C411" s="121">
        <v>2</v>
      </c>
      <c r="D411" s="106"/>
      <c r="E411" s="92">
        <f>C411*R411</f>
        <v>8.6463829787234037</v>
      </c>
      <c r="F411" s="98">
        <f>VLOOKUP(A411,ГрафикЖД!$B$4:$C$55,2,0)</f>
        <v>11000</v>
      </c>
      <c r="G411" s="99">
        <f>E411*F411</f>
        <v>95110.212765957447</v>
      </c>
      <c r="H411" s="106"/>
      <c r="I411" s="100">
        <f>C402/E411*C411</f>
        <v>564</v>
      </c>
      <c r="J411" s="186">
        <f>C402/282/C411</f>
        <v>4.3231914893617018</v>
      </c>
      <c r="K411" s="186"/>
      <c r="L411" s="186"/>
      <c r="M411" s="122"/>
      <c r="N411" s="186"/>
      <c r="O411" s="186"/>
      <c r="P411" s="186"/>
      <c r="Q411" s="122"/>
      <c r="R411" s="248">
        <f>SUM(J411:Q411)</f>
        <v>4.3231914893617018</v>
      </c>
    </row>
    <row r="412" spans="1:18" s="244" customFormat="1" ht="40.5" customHeight="1" x14ac:dyDescent="0.25">
      <c r="A412" s="470" t="s">
        <v>402</v>
      </c>
      <c r="B412" s="378" t="s">
        <v>34</v>
      </c>
      <c r="C412" s="215">
        <f>140+47</f>
        <v>187</v>
      </c>
      <c r="D412" s="209"/>
      <c r="E412" s="216">
        <v>0</v>
      </c>
      <c r="F412" s="194">
        <f>G412/C412</f>
        <v>2470.2838427947599</v>
      </c>
      <c r="G412" s="217">
        <f>G413+G415+G416</f>
        <v>461943.07860262011</v>
      </c>
      <c r="H412" s="209"/>
      <c r="I412" s="225"/>
      <c r="J412" s="216">
        <f>J415*$I415</f>
        <v>0</v>
      </c>
      <c r="K412" s="216"/>
      <c r="L412" s="216"/>
      <c r="M412" s="216"/>
      <c r="N412" s="216"/>
      <c r="O412" s="216"/>
      <c r="P412" s="216"/>
      <c r="Q412" s="216"/>
      <c r="R412" s="285"/>
    </row>
    <row r="413" spans="1:18" s="244" customFormat="1" ht="21.75" customHeight="1" x14ac:dyDescent="0.2">
      <c r="A413" s="468" t="s">
        <v>167</v>
      </c>
      <c r="B413" s="385"/>
      <c r="C413" s="231"/>
      <c r="D413" s="204"/>
      <c r="E413" s="222"/>
      <c r="F413" s="214">
        <f>G413/C414</f>
        <v>2000</v>
      </c>
      <c r="G413" s="221">
        <f>G414</f>
        <v>437580</v>
      </c>
      <c r="H413" s="204"/>
      <c r="I413" s="232"/>
      <c r="J413" s="232"/>
      <c r="K413" s="232"/>
      <c r="L413" s="232"/>
      <c r="M413" s="219"/>
      <c r="N413" s="232"/>
      <c r="O413" s="232"/>
      <c r="P413" s="232"/>
      <c r="Q413" s="219"/>
      <c r="R413" s="255"/>
    </row>
    <row r="414" spans="1:18" s="244" customFormat="1" ht="21.75" customHeight="1" x14ac:dyDescent="0.2">
      <c r="A414" s="445" t="s">
        <v>418</v>
      </c>
      <c r="B414" s="365" t="s">
        <v>34</v>
      </c>
      <c r="C414" s="121">
        <f>C412*1.17</f>
        <v>218.79</v>
      </c>
      <c r="D414" s="110"/>
      <c r="E414" s="92"/>
      <c r="F414" s="98">
        <v>2000</v>
      </c>
      <c r="G414" s="99">
        <f>C414*F414</f>
        <v>437580</v>
      </c>
      <c r="H414" s="110"/>
      <c r="I414" s="235"/>
      <c r="J414" s="235"/>
      <c r="K414" s="235"/>
      <c r="L414" s="235"/>
      <c r="M414" s="122"/>
      <c r="N414" s="235"/>
      <c r="O414" s="235"/>
      <c r="P414" s="235"/>
      <c r="Q414" s="122"/>
      <c r="R414" s="254"/>
    </row>
    <row r="415" spans="1:18" s="244" customFormat="1" ht="20.25" customHeight="1" x14ac:dyDescent="0.25">
      <c r="A415" s="411" t="s">
        <v>0</v>
      </c>
      <c r="B415" s="379"/>
      <c r="C415" s="206"/>
      <c r="D415" s="205"/>
      <c r="E415" s="210"/>
      <c r="F415" s="204">
        <f>G415/C412</f>
        <v>0</v>
      </c>
      <c r="G415" s="221">
        <v>0</v>
      </c>
      <c r="H415" s="205"/>
      <c r="I415" s="212"/>
      <c r="J415" s="212"/>
      <c r="K415" s="212"/>
      <c r="L415" s="212"/>
      <c r="M415" s="213"/>
      <c r="N415" s="212"/>
      <c r="O415" s="212"/>
      <c r="P415" s="212"/>
      <c r="Q415" s="213"/>
      <c r="R415" s="255"/>
    </row>
    <row r="416" spans="1:18" s="244" customFormat="1" ht="20.25" customHeight="1" x14ac:dyDescent="0.25">
      <c r="A416" s="411" t="s">
        <v>1</v>
      </c>
      <c r="B416" s="379"/>
      <c r="C416" s="206"/>
      <c r="D416" s="205"/>
      <c r="E416" s="210"/>
      <c r="F416" s="204">
        <f>G416/C412</f>
        <v>130.28384279475983</v>
      </c>
      <c r="G416" s="221">
        <f>SUM(G417:G418)</f>
        <v>24363.078602620088</v>
      </c>
      <c r="H416" s="205"/>
      <c r="I416" s="212"/>
      <c r="J416" s="212"/>
      <c r="K416" s="212"/>
      <c r="L416" s="212"/>
      <c r="M416" s="213"/>
      <c r="N416" s="212"/>
      <c r="O416" s="212"/>
      <c r="P416" s="212"/>
      <c r="Q416" s="213"/>
      <c r="R416" s="255"/>
    </row>
    <row r="417" spans="1:18" s="244" customFormat="1" ht="20.25" customHeight="1" x14ac:dyDescent="0.25">
      <c r="A417" s="469" t="s">
        <v>241</v>
      </c>
      <c r="B417" s="376" t="s">
        <v>145</v>
      </c>
      <c r="C417" s="121">
        <v>2</v>
      </c>
      <c r="D417" s="106"/>
      <c r="E417" s="92">
        <f>C417*R417</f>
        <v>0.95541484716157199</v>
      </c>
      <c r="F417" s="98">
        <f>VLOOKUP(A417,ГрафикЖД!$B$4:$C$55,2,0)</f>
        <v>16500</v>
      </c>
      <c r="G417" s="99">
        <f>E417*F417</f>
        <v>15764.344978165938</v>
      </c>
      <c r="H417" s="106"/>
      <c r="I417" s="100">
        <f>C412/E417*C417</f>
        <v>391.45299145299145</v>
      </c>
      <c r="J417" s="186">
        <f>J418</f>
        <v>0.47770742358078599</v>
      </c>
      <c r="K417" s="186"/>
      <c r="L417" s="186"/>
      <c r="M417" s="122"/>
      <c r="N417" s="186"/>
      <c r="O417" s="186"/>
      <c r="P417" s="186"/>
      <c r="Q417" s="122"/>
      <c r="R417" s="248">
        <f>SUM(J417:Q417)</f>
        <v>0.47770742358078599</v>
      </c>
    </row>
    <row r="418" spans="1:18" s="244" customFormat="1" ht="20.25" customHeight="1" x14ac:dyDescent="0.25">
      <c r="A418" s="415" t="s">
        <v>246</v>
      </c>
      <c r="B418" s="376" t="s">
        <v>145</v>
      </c>
      <c r="C418" s="121">
        <v>1</v>
      </c>
      <c r="D418" s="106"/>
      <c r="E418" s="92">
        <f>C418*R418</f>
        <v>0.47770742358078599</v>
      </c>
      <c r="F418" s="98">
        <f>VLOOKUP(A418,ГрафикЖД!$B$4:$C$55,2,0)</f>
        <v>18000</v>
      </c>
      <c r="G418" s="99">
        <f>E418*F418</f>
        <v>8598.7336244541475</v>
      </c>
      <c r="H418" s="106"/>
      <c r="I418" s="100">
        <f>C412/E418*C418</f>
        <v>391.45299145299145</v>
      </c>
      <c r="J418" s="186">
        <f>C414/458/C418</f>
        <v>0.47770742358078599</v>
      </c>
      <c r="K418" s="186"/>
      <c r="L418" s="186"/>
      <c r="M418" s="122"/>
      <c r="N418" s="186"/>
      <c r="O418" s="186"/>
      <c r="P418" s="186"/>
      <c r="Q418" s="122"/>
      <c r="R418" s="248">
        <f>SUM(J418:Q418)</f>
        <v>0.47770742358078599</v>
      </c>
    </row>
    <row r="419" spans="1:18" s="244" customFormat="1" ht="40.5" customHeight="1" x14ac:dyDescent="0.25">
      <c r="A419" s="470" t="s">
        <v>445</v>
      </c>
      <c r="B419" s="378" t="s">
        <v>380</v>
      </c>
      <c r="C419" s="233">
        <f>9.7345+4.68</f>
        <v>14.4145</v>
      </c>
      <c r="D419" s="209"/>
      <c r="E419" s="216">
        <f>E422</f>
        <v>94.349454545454549</v>
      </c>
      <c r="F419" s="194" t="e">
        <f>G419/C419</f>
        <v>#N/A</v>
      </c>
      <c r="G419" s="217" t="e">
        <f>G420+G421+G424</f>
        <v>#N/A</v>
      </c>
      <c r="H419" s="209"/>
      <c r="I419" s="225"/>
      <c r="J419" s="216">
        <f>J422*$I422</f>
        <v>14.414499999999999</v>
      </c>
      <c r="K419" s="216"/>
      <c r="L419" s="216"/>
      <c r="M419" s="216"/>
      <c r="N419" s="216"/>
      <c r="O419" s="216"/>
      <c r="P419" s="216"/>
      <c r="Q419" s="216"/>
      <c r="R419" s="285"/>
    </row>
    <row r="420" spans="1:18" s="244" customFormat="1" ht="21.75" customHeight="1" x14ac:dyDescent="0.2">
      <c r="A420" s="468" t="s">
        <v>167</v>
      </c>
      <c r="B420" s="385"/>
      <c r="C420" s="231"/>
      <c r="D420" s="204"/>
      <c r="E420" s="222"/>
      <c r="F420" s="214"/>
      <c r="G420" s="221">
        <v>0</v>
      </c>
      <c r="H420" s="204"/>
      <c r="I420" s="232"/>
      <c r="J420" s="232"/>
      <c r="K420" s="232"/>
      <c r="L420" s="232"/>
      <c r="M420" s="219"/>
      <c r="N420" s="232"/>
      <c r="O420" s="232"/>
      <c r="P420" s="232"/>
      <c r="Q420" s="219"/>
      <c r="R420" s="255"/>
    </row>
    <row r="421" spans="1:18" s="244" customFormat="1" ht="20.25" customHeight="1" x14ac:dyDescent="0.25">
      <c r="A421" s="411" t="s">
        <v>0</v>
      </c>
      <c r="B421" s="379"/>
      <c r="C421" s="206"/>
      <c r="D421" s="205"/>
      <c r="E421" s="210"/>
      <c r="F421" s="204" t="e">
        <f>G421/C419</f>
        <v>#N/A</v>
      </c>
      <c r="G421" s="221" t="e">
        <f>SUM(G422:G423)</f>
        <v>#N/A</v>
      </c>
      <c r="H421" s="205"/>
      <c r="I421" s="212"/>
      <c r="J421" s="212"/>
      <c r="K421" s="212"/>
      <c r="L421" s="212"/>
      <c r="M421" s="213"/>
      <c r="N421" s="212"/>
      <c r="O421" s="212"/>
      <c r="P421" s="212"/>
      <c r="Q421" s="213"/>
      <c r="R421" s="255"/>
    </row>
    <row r="422" spans="1:18" s="244" customFormat="1" ht="20.25" customHeight="1" x14ac:dyDescent="0.25">
      <c r="A422" s="412" t="s">
        <v>260</v>
      </c>
      <c r="B422" s="365" t="s">
        <v>33</v>
      </c>
      <c r="C422" s="121">
        <v>6</v>
      </c>
      <c r="D422" s="106"/>
      <c r="E422" s="92">
        <f>C422*R422</f>
        <v>94.349454545454549</v>
      </c>
      <c r="F422" s="98" t="e">
        <f>VLOOKUP(A422,ГрафикЖД!$B$4:$C$55,2,0)</f>
        <v>#N/A</v>
      </c>
      <c r="G422" s="99" t="e">
        <f>E422*F422</f>
        <v>#N/A</v>
      </c>
      <c r="H422" s="106"/>
      <c r="I422" s="100">
        <f>C419/E422*C422</f>
        <v>0.91666666666666652</v>
      </c>
      <c r="J422" s="186">
        <f>C419*72/C422/11</f>
        <v>15.724909090909092</v>
      </c>
      <c r="K422" s="186"/>
      <c r="L422" s="186"/>
      <c r="M422" s="122"/>
      <c r="N422" s="186"/>
      <c r="O422" s="186"/>
      <c r="P422" s="186"/>
      <c r="Q422" s="122"/>
      <c r="R422" s="78">
        <f>SUM(J422:Q422)</f>
        <v>15.724909090909092</v>
      </c>
    </row>
    <row r="423" spans="1:18" s="244" customFormat="1" ht="20.25" customHeight="1" x14ac:dyDescent="0.25">
      <c r="A423" s="412" t="s">
        <v>32</v>
      </c>
      <c r="B423" s="375"/>
      <c r="C423" s="121"/>
      <c r="D423" s="106"/>
      <c r="E423" s="92"/>
      <c r="F423" s="98"/>
      <c r="G423" s="99" t="e">
        <f>G422*30.9%</f>
        <v>#N/A</v>
      </c>
      <c r="H423" s="106"/>
      <c r="I423" s="186"/>
      <c r="J423" s="186"/>
      <c r="K423" s="186"/>
      <c r="L423" s="186"/>
      <c r="M423" s="122"/>
      <c r="N423" s="186"/>
      <c r="O423" s="186"/>
      <c r="P423" s="186"/>
      <c r="Q423" s="122"/>
      <c r="R423" s="251"/>
    </row>
    <row r="424" spans="1:18" s="244" customFormat="1" ht="20.25" customHeight="1" x14ac:dyDescent="0.25">
      <c r="A424" s="411" t="s">
        <v>1</v>
      </c>
      <c r="B424" s="379"/>
      <c r="C424" s="206"/>
      <c r="D424" s="205"/>
      <c r="E424" s="210"/>
      <c r="F424" s="204">
        <f>G424/C419</f>
        <v>37871.4</v>
      </c>
      <c r="G424" s="221">
        <f>SUM(G425:G426)</f>
        <v>545897.2953</v>
      </c>
      <c r="H424" s="205"/>
      <c r="I424" s="212"/>
      <c r="J424" s="212"/>
      <c r="K424" s="212"/>
      <c r="L424" s="212"/>
      <c r="M424" s="213"/>
      <c r="N424" s="212"/>
      <c r="O424" s="212"/>
      <c r="P424" s="212"/>
      <c r="Q424" s="213"/>
      <c r="R424" s="255"/>
    </row>
    <row r="425" spans="1:18" s="244" customFormat="1" ht="20.25" customHeight="1" x14ac:dyDescent="0.25">
      <c r="A425" s="469" t="s">
        <v>258</v>
      </c>
      <c r="B425" s="376" t="s">
        <v>145</v>
      </c>
      <c r="C425" s="121">
        <v>1</v>
      </c>
      <c r="D425" s="106"/>
      <c r="E425" s="92">
        <f>C425*R425</f>
        <v>3.2760227272727271</v>
      </c>
      <c r="F425" s="98">
        <f>VLOOKUP(A425,ГрафикЖД!$B$4:$C$55,2,0)</f>
        <v>150000</v>
      </c>
      <c r="G425" s="99">
        <f>E425*F425</f>
        <v>491403.40909090906</v>
      </c>
      <c r="H425" s="106"/>
      <c r="I425" s="100">
        <f>C419/E425*C425</f>
        <v>4.4000000000000004</v>
      </c>
      <c r="J425" s="186">
        <f>C419/4.4/C425</f>
        <v>3.2760227272727271</v>
      </c>
      <c r="K425" s="186"/>
      <c r="L425" s="186"/>
      <c r="M425" s="122"/>
      <c r="N425" s="186"/>
      <c r="O425" s="186"/>
      <c r="P425" s="186"/>
      <c r="Q425" s="122"/>
      <c r="R425" s="248">
        <f>SUM(J425:Q425)</f>
        <v>3.2760227272727271</v>
      </c>
    </row>
    <row r="426" spans="1:18" s="244" customFormat="1" ht="20.25" customHeight="1" x14ac:dyDescent="0.25">
      <c r="A426" s="415" t="s">
        <v>257</v>
      </c>
      <c r="B426" s="376" t="s">
        <v>145</v>
      </c>
      <c r="C426" s="121">
        <v>1</v>
      </c>
      <c r="D426" s="106"/>
      <c r="E426" s="92">
        <f>C426*R426</f>
        <v>3.6088666363636364</v>
      </c>
      <c r="F426" s="98">
        <f>VLOOKUP(A426,ГрафикЖД!$B$4:$C$55,2,0)</f>
        <v>15100</v>
      </c>
      <c r="G426" s="99">
        <f>E426*F426</f>
        <v>54493.88620909091</v>
      </c>
      <c r="H426" s="106"/>
      <c r="I426" s="100">
        <f>C419/E426*C426</f>
        <v>3.9941902687000725</v>
      </c>
      <c r="J426" s="186">
        <f>C419*2.754/C426/11</f>
        <v>3.6088666363636364</v>
      </c>
      <c r="K426" s="186"/>
      <c r="L426" s="186"/>
      <c r="M426" s="122"/>
      <c r="N426" s="186"/>
      <c r="O426" s="186"/>
      <c r="P426" s="186"/>
      <c r="Q426" s="122"/>
      <c r="R426" s="248">
        <f>SUM(J426:Q426)</f>
        <v>3.6088666363636364</v>
      </c>
    </row>
    <row r="427" spans="1:18" s="244" customFormat="1" ht="40.5" customHeight="1" x14ac:dyDescent="0.25">
      <c r="A427" s="470" t="s">
        <v>446</v>
      </c>
      <c r="B427" s="378" t="s">
        <v>145</v>
      </c>
      <c r="C427" s="234">
        <f>24+10</f>
        <v>34</v>
      </c>
      <c r="D427" s="209"/>
      <c r="E427" s="216">
        <f>E430</f>
        <v>162.3129090909091</v>
      </c>
      <c r="F427" s="194" t="e">
        <f>G427/C427</f>
        <v>#N/A</v>
      </c>
      <c r="G427" s="217" t="e">
        <f>G428+G429+G432</f>
        <v>#N/A</v>
      </c>
      <c r="H427" s="209"/>
      <c r="I427" s="225"/>
      <c r="J427" s="216">
        <f>J430*$I430</f>
        <v>34</v>
      </c>
      <c r="K427" s="216"/>
      <c r="L427" s="216"/>
      <c r="M427" s="216"/>
      <c r="N427" s="216"/>
      <c r="O427" s="216"/>
      <c r="P427" s="216"/>
      <c r="Q427" s="216"/>
      <c r="R427" s="285"/>
    </row>
    <row r="428" spans="1:18" s="244" customFormat="1" ht="21.75" customHeight="1" x14ac:dyDescent="0.2">
      <c r="A428" s="468" t="s">
        <v>167</v>
      </c>
      <c r="B428" s="385"/>
      <c r="C428" s="231"/>
      <c r="D428" s="204"/>
      <c r="E428" s="222"/>
      <c r="F428" s="214"/>
      <c r="G428" s="221">
        <v>0</v>
      </c>
      <c r="H428" s="204"/>
      <c r="I428" s="232"/>
      <c r="J428" s="232"/>
      <c r="K428" s="232"/>
      <c r="L428" s="232"/>
      <c r="M428" s="219"/>
      <c r="N428" s="232"/>
      <c r="O428" s="232"/>
      <c r="P428" s="232"/>
      <c r="Q428" s="219"/>
      <c r="R428" s="255"/>
    </row>
    <row r="429" spans="1:18" s="244" customFormat="1" ht="20.25" customHeight="1" x14ac:dyDescent="0.25">
      <c r="A429" s="411" t="s">
        <v>0</v>
      </c>
      <c r="B429" s="379"/>
      <c r="C429" s="206"/>
      <c r="D429" s="205"/>
      <c r="E429" s="210"/>
      <c r="F429" s="204" t="e">
        <f>G429/C427</f>
        <v>#N/A</v>
      </c>
      <c r="G429" s="221" t="e">
        <f>SUM(G430:G431)</f>
        <v>#N/A</v>
      </c>
      <c r="H429" s="205"/>
      <c r="I429" s="212"/>
      <c r="J429" s="212"/>
      <c r="K429" s="212"/>
      <c r="L429" s="212"/>
      <c r="M429" s="213"/>
      <c r="N429" s="212"/>
      <c r="O429" s="212"/>
      <c r="P429" s="212"/>
      <c r="Q429" s="213"/>
      <c r="R429" s="255"/>
    </row>
    <row r="430" spans="1:18" s="244" customFormat="1" ht="20.25" customHeight="1" x14ac:dyDescent="0.25">
      <c r="A430" s="412" t="s">
        <v>260</v>
      </c>
      <c r="B430" s="365" t="s">
        <v>33</v>
      </c>
      <c r="C430" s="121">
        <v>6</v>
      </c>
      <c r="D430" s="106"/>
      <c r="E430" s="92">
        <f>C430*R430</f>
        <v>162.3129090909091</v>
      </c>
      <c r="F430" s="98" t="e">
        <f>VLOOKUP(A430,ГрафикЖД!$B$4:$C$55,2,0)</f>
        <v>#N/A</v>
      </c>
      <c r="G430" s="99" t="e">
        <f>E430*F430</f>
        <v>#N/A</v>
      </c>
      <c r="H430" s="106"/>
      <c r="I430" s="100">
        <f>C427/E430*C430</f>
        <v>1.2568316416887246</v>
      </c>
      <c r="J430" s="186">
        <f>C427*52.513/C430/11</f>
        <v>27.052151515151515</v>
      </c>
      <c r="K430" s="186"/>
      <c r="L430" s="186"/>
      <c r="M430" s="122"/>
      <c r="N430" s="186"/>
      <c r="O430" s="186"/>
      <c r="P430" s="186"/>
      <c r="Q430" s="122"/>
      <c r="R430" s="78">
        <f>SUM(J430:Q430)</f>
        <v>27.052151515151515</v>
      </c>
    </row>
    <row r="431" spans="1:18" s="244" customFormat="1" ht="20.25" customHeight="1" x14ac:dyDescent="0.25">
      <c r="A431" s="412" t="s">
        <v>32</v>
      </c>
      <c r="B431" s="375"/>
      <c r="C431" s="121"/>
      <c r="D431" s="106"/>
      <c r="E431" s="92"/>
      <c r="F431" s="98"/>
      <c r="G431" s="99" t="e">
        <f>G430*30.9%</f>
        <v>#N/A</v>
      </c>
      <c r="H431" s="106"/>
      <c r="I431" s="186"/>
      <c r="J431" s="186"/>
      <c r="K431" s="186"/>
      <c r="L431" s="186"/>
      <c r="M431" s="122"/>
      <c r="N431" s="186"/>
      <c r="O431" s="186"/>
      <c r="P431" s="186"/>
      <c r="Q431" s="122"/>
      <c r="R431" s="251"/>
    </row>
    <row r="432" spans="1:18" s="244" customFormat="1" ht="20.25" customHeight="1" x14ac:dyDescent="0.25">
      <c r="A432" s="411" t="s">
        <v>1</v>
      </c>
      <c r="B432" s="379"/>
      <c r="C432" s="206"/>
      <c r="D432" s="205"/>
      <c r="E432" s="210"/>
      <c r="F432" s="204">
        <f>G432/C427</f>
        <v>82550</v>
      </c>
      <c r="G432" s="221">
        <f>SUM(G433:G434)</f>
        <v>2806700</v>
      </c>
      <c r="H432" s="205"/>
      <c r="I432" s="212"/>
      <c r="J432" s="212"/>
      <c r="K432" s="212"/>
      <c r="L432" s="212"/>
      <c r="M432" s="213"/>
      <c r="N432" s="212"/>
      <c r="O432" s="212"/>
      <c r="P432" s="212"/>
      <c r="Q432" s="213"/>
      <c r="R432" s="255"/>
    </row>
    <row r="433" spans="1:18" s="244" customFormat="1" ht="20.25" customHeight="1" x14ac:dyDescent="0.25">
      <c r="A433" s="469" t="s">
        <v>258</v>
      </c>
      <c r="B433" s="376" t="s">
        <v>145</v>
      </c>
      <c r="C433" s="121">
        <v>1</v>
      </c>
      <c r="D433" s="106"/>
      <c r="E433" s="92">
        <f>C433*R433</f>
        <v>17</v>
      </c>
      <c r="F433" s="98">
        <f>VLOOKUP(A433,ГрафикЖД!$B$4:$C$55,2,0)</f>
        <v>150000</v>
      </c>
      <c r="G433" s="99">
        <f>E433*F433</f>
        <v>2550000</v>
      </c>
      <c r="H433" s="106"/>
      <c r="I433" s="100">
        <f>C427/E433*C433</f>
        <v>2</v>
      </c>
      <c r="J433" s="186">
        <f>C427/2</f>
        <v>17</v>
      </c>
      <c r="K433" s="186"/>
      <c r="L433" s="186"/>
      <c r="M433" s="122"/>
      <c r="N433" s="186"/>
      <c r="O433" s="186"/>
      <c r="P433" s="186"/>
      <c r="Q433" s="122"/>
      <c r="R433" s="248">
        <f>SUM(J433:Q433)</f>
        <v>17</v>
      </c>
    </row>
    <row r="434" spans="1:18" s="244" customFormat="1" ht="20.25" customHeight="1" x14ac:dyDescent="0.25">
      <c r="A434" s="415" t="s">
        <v>257</v>
      </c>
      <c r="B434" s="376" t="s">
        <v>145</v>
      </c>
      <c r="C434" s="121">
        <v>1</v>
      </c>
      <c r="D434" s="106"/>
      <c r="E434" s="92">
        <f>C434*R434</f>
        <v>17</v>
      </c>
      <c r="F434" s="98">
        <f>VLOOKUP(A434,ГрафикЖД!$B$4:$C$55,2,0)</f>
        <v>15100</v>
      </c>
      <c r="G434" s="99">
        <f>E434*F434</f>
        <v>256700</v>
      </c>
      <c r="H434" s="106"/>
      <c r="I434" s="100">
        <f>C427/E434*C434</f>
        <v>2</v>
      </c>
      <c r="J434" s="186">
        <f>C427/2</f>
        <v>17</v>
      </c>
      <c r="K434" s="186"/>
      <c r="L434" s="186"/>
      <c r="M434" s="122"/>
      <c r="N434" s="186"/>
      <c r="O434" s="186"/>
      <c r="P434" s="186"/>
      <c r="Q434" s="122"/>
      <c r="R434" s="248">
        <f>SUM(J434:Q434)</f>
        <v>17</v>
      </c>
    </row>
    <row r="435" spans="1:18" s="244" customFormat="1" ht="40.5" customHeight="1" x14ac:dyDescent="0.25">
      <c r="A435" s="470" t="s">
        <v>447</v>
      </c>
      <c r="B435" s="378" t="s">
        <v>380</v>
      </c>
      <c r="C435" s="233">
        <f>C419</f>
        <v>14.4145</v>
      </c>
      <c r="D435" s="209"/>
      <c r="E435" s="216">
        <f>E438</f>
        <v>94.349454545454549</v>
      </c>
      <c r="F435" s="194" t="e">
        <f>G435/C435</f>
        <v>#N/A</v>
      </c>
      <c r="G435" s="217" t="e">
        <f>G436+G437+G440</f>
        <v>#N/A</v>
      </c>
      <c r="H435" s="209"/>
      <c r="I435" s="225"/>
      <c r="J435" s="216">
        <f>J438*$I438</f>
        <v>14.414499999999999</v>
      </c>
      <c r="K435" s="216"/>
      <c r="L435" s="216"/>
      <c r="M435" s="216"/>
      <c r="N435" s="216"/>
      <c r="O435" s="216"/>
      <c r="P435" s="216"/>
      <c r="Q435" s="216"/>
      <c r="R435" s="285"/>
    </row>
    <row r="436" spans="1:18" s="244" customFormat="1" ht="21.75" customHeight="1" x14ac:dyDescent="0.2">
      <c r="A436" s="468" t="s">
        <v>167</v>
      </c>
      <c r="B436" s="385"/>
      <c r="C436" s="231"/>
      <c r="D436" s="204"/>
      <c r="E436" s="222"/>
      <c r="F436" s="214"/>
      <c r="G436" s="221">
        <v>0</v>
      </c>
      <c r="H436" s="204"/>
      <c r="I436" s="232"/>
      <c r="J436" s="232"/>
      <c r="K436" s="232"/>
      <c r="L436" s="232"/>
      <c r="M436" s="219"/>
      <c r="N436" s="232"/>
      <c r="O436" s="232"/>
      <c r="P436" s="232"/>
      <c r="Q436" s="219"/>
      <c r="R436" s="255"/>
    </row>
    <row r="437" spans="1:18" s="244" customFormat="1" ht="20.25" customHeight="1" x14ac:dyDescent="0.25">
      <c r="A437" s="411" t="s">
        <v>0</v>
      </c>
      <c r="B437" s="379"/>
      <c r="C437" s="206"/>
      <c r="D437" s="205"/>
      <c r="E437" s="210"/>
      <c r="F437" s="204" t="e">
        <f>G437/C435</f>
        <v>#N/A</v>
      </c>
      <c r="G437" s="221" t="e">
        <f>SUM(G438:G439)</f>
        <v>#N/A</v>
      </c>
      <c r="H437" s="205"/>
      <c r="I437" s="212"/>
      <c r="J437" s="212"/>
      <c r="K437" s="212"/>
      <c r="L437" s="212"/>
      <c r="M437" s="213"/>
      <c r="N437" s="212"/>
      <c r="O437" s="212"/>
      <c r="P437" s="212"/>
      <c r="Q437" s="213"/>
      <c r="R437" s="255"/>
    </row>
    <row r="438" spans="1:18" s="244" customFormat="1" ht="20.25" customHeight="1" x14ac:dyDescent="0.25">
      <c r="A438" s="412" t="s">
        <v>260</v>
      </c>
      <c r="B438" s="365" t="s">
        <v>33</v>
      </c>
      <c r="C438" s="121">
        <v>6</v>
      </c>
      <c r="D438" s="106"/>
      <c r="E438" s="92">
        <f>C438*R438</f>
        <v>94.349454545454549</v>
      </c>
      <c r="F438" s="98" t="e">
        <f>VLOOKUP(A438,ГрафикЖД!$B$4:$C$55,2,0)</f>
        <v>#N/A</v>
      </c>
      <c r="G438" s="99" t="e">
        <f>E438*F438</f>
        <v>#N/A</v>
      </c>
      <c r="H438" s="106"/>
      <c r="I438" s="100">
        <f>C435/E438*C438</f>
        <v>0.91666666666666652</v>
      </c>
      <c r="J438" s="186">
        <f>C435*72/C438/11</f>
        <v>15.724909090909092</v>
      </c>
      <c r="K438" s="186"/>
      <c r="L438" s="186"/>
      <c r="M438" s="122"/>
      <c r="N438" s="186"/>
      <c r="O438" s="186"/>
      <c r="P438" s="186"/>
      <c r="Q438" s="122"/>
      <c r="R438" s="78">
        <f>SUM(J438:Q438)</f>
        <v>15.724909090909092</v>
      </c>
    </row>
    <row r="439" spans="1:18" s="244" customFormat="1" ht="20.25" customHeight="1" x14ac:dyDescent="0.25">
      <c r="A439" s="412" t="s">
        <v>32</v>
      </c>
      <c r="B439" s="375"/>
      <c r="C439" s="121"/>
      <c r="D439" s="106"/>
      <c r="E439" s="92"/>
      <c r="F439" s="98"/>
      <c r="G439" s="99" t="e">
        <f>G438*30.9%</f>
        <v>#N/A</v>
      </c>
      <c r="H439" s="106"/>
      <c r="I439" s="186"/>
      <c r="J439" s="186"/>
      <c r="K439" s="186"/>
      <c r="L439" s="186"/>
      <c r="M439" s="122"/>
      <c r="N439" s="186"/>
      <c r="O439" s="186"/>
      <c r="P439" s="186"/>
      <c r="Q439" s="122"/>
      <c r="R439" s="251"/>
    </row>
    <row r="440" spans="1:18" s="244" customFormat="1" ht="20.25" customHeight="1" x14ac:dyDescent="0.25">
      <c r="A440" s="411" t="s">
        <v>1</v>
      </c>
      <c r="B440" s="379"/>
      <c r="C440" s="206"/>
      <c r="D440" s="205"/>
      <c r="E440" s="210"/>
      <c r="F440" s="204">
        <f>G440/C435</f>
        <v>34090.909090909088</v>
      </c>
      <c r="G440" s="221">
        <f>SUM(G441)</f>
        <v>491403.40909090906</v>
      </c>
      <c r="H440" s="205"/>
      <c r="I440" s="212"/>
      <c r="J440" s="212"/>
      <c r="K440" s="212"/>
      <c r="L440" s="212"/>
      <c r="M440" s="213"/>
      <c r="N440" s="212"/>
      <c r="O440" s="212"/>
      <c r="P440" s="212"/>
      <c r="Q440" s="213"/>
      <c r="R440" s="255"/>
    </row>
    <row r="441" spans="1:18" s="244" customFormat="1" ht="20.25" customHeight="1" x14ac:dyDescent="0.25">
      <c r="A441" s="469" t="s">
        <v>258</v>
      </c>
      <c r="B441" s="376" t="s">
        <v>145</v>
      </c>
      <c r="C441" s="121">
        <v>1</v>
      </c>
      <c r="D441" s="106"/>
      <c r="E441" s="92">
        <f>C441*R441</f>
        <v>3.2760227272727271</v>
      </c>
      <c r="F441" s="98">
        <f>VLOOKUP(A441,ГрафикЖД!$B$4:$C$55,2,0)</f>
        <v>150000</v>
      </c>
      <c r="G441" s="99">
        <f>E441*F441</f>
        <v>491403.40909090906</v>
      </c>
      <c r="H441" s="106"/>
      <c r="I441" s="100">
        <f>C435/E441*C441</f>
        <v>4.4000000000000004</v>
      </c>
      <c r="J441" s="186">
        <f>C435/4.4</f>
        <v>3.2760227272727271</v>
      </c>
      <c r="K441" s="186"/>
      <c r="L441" s="186"/>
      <c r="M441" s="122"/>
      <c r="N441" s="186"/>
      <c r="O441" s="186"/>
      <c r="P441" s="186"/>
      <c r="Q441" s="122"/>
      <c r="R441" s="248">
        <f>SUM(J441:Q441)</f>
        <v>3.2760227272727271</v>
      </c>
    </row>
    <row r="442" spans="1:18" s="244" customFormat="1" ht="40.5" customHeight="1" x14ac:dyDescent="0.25">
      <c r="A442" s="470" t="s">
        <v>448</v>
      </c>
      <c r="B442" s="378" t="s">
        <v>145</v>
      </c>
      <c r="C442" s="234">
        <f>24+10</f>
        <v>34</v>
      </c>
      <c r="D442" s="209"/>
      <c r="E442" s="216">
        <f>E445</f>
        <v>162.3129090909091</v>
      </c>
      <c r="F442" s="194" t="e">
        <f>G442/C442</f>
        <v>#N/A</v>
      </c>
      <c r="G442" s="217" t="e">
        <f>G443+G444+G447</f>
        <v>#N/A</v>
      </c>
      <c r="H442" s="209"/>
      <c r="I442" s="225"/>
      <c r="J442" s="216">
        <f>J445*$I445</f>
        <v>34</v>
      </c>
      <c r="K442" s="216"/>
      <c r="L442" s="216"/>
      <c r="M442" s="216"/>
      <c r="N442" s="216"/>
      <c r="O442" s="216"/>
      <c r="P442" s="216"/>
      <c r="Q442" s="216"/>
      <c r="R442" s="285"/>
    </row>
    <row r="443" spans="1:18" s="244" customFormat="1" ht="21.75" customHeight="1" x14ac:dyDescent="0.2">
      <c r="A443" s="468" t="s">
        <v>167</v>
      </c>
      <c r="B443" s="385"/>
      <c r="C443" s="231"/>
      <c r="D443" s="204"/>
      <c r="E443" s="222"/>
      <c r="F443" s="214"/>
      <c r="G443" s="221">
        <v>0</v>
      </c>
      <c r="H443" s="204"/>
      <c r="I443" s="232"/>
      <c r="J443" s="232"/>
      <c r="K443" s="232"/>
      <c r="L443" s="232"/>
      <c r="M443" s="219"/>
      <c r="N443" s="232"/>
      <c r="O443" s="232"/>
      <c r="P443" s="232"/>
      <c r="Q443" s="219"/>
      <c r="R443" s="255"/>
    </row>
    <row r="444" spans="1:18" s="244" customFormat="1" ht="20.25" customHeight="1" x14ac:dyDescent="0.25">
      <c r="A444" s="411" t="s">
        <v>0</v>
      </c>
      <c r="B444" s="379"/>
      <c r="C444" s="206"/>
      <c r="D444" s="205"/>
      <c r="E444" s="210"/>
      <c r="F444" s="204" t="e">
        <f>G444/C442</f>
        <v>#N/A</v>
      </c>
      <c r="G444" s="221" t="e">
        <f>SUM(G445:G446)</f>
        <v>#N/A</v>
      </c>
      <c r="H444" s="205"/>
      <c r="I444" s="212"/>
      <c r="J444" s="212"/>
      <c r="K444" s="212"/>
      <c r="L444" s="212"/>
      <c r="M444" s="213"/>
      <c r="N444" s="212"/>
      <c r="O444" s="212"/>
      <c r="P444" s="212"/>
      <c r="Q444" s="213"/>
      <c r="R444" s="255"/>
    </row>
    <row r="445" spans="1:18" s="244" customFormat="1" ht="20.25" customHeight="1" x14ac:dyDescent="0.25">
      <c r="A445" s="412" t="s">
        <v>260</v>
      </c>
      <c r="B445" s="365" t="s">
        <v>33</v>
      </c>
      <c r="C445" s="121">
        <v>6</v>
      </c>
      <c r="D445" s="106"/>
      <c r="E445" s="92">
        <f>C445*R445</f>
        <v>162.3129090909091</v>
      </c>
      <c r="F445" s="98" t="e">
        <f>VLOOKUP(A445,ГрафикЖД!$B$4:$C$55,2,0)</f>
        <v>#N/A</v>
      </c>
      <c r="G445" s="99" t="e">
        <f>E445*F445</f>
        <v>#N/A</v>
      </c>
      <c r="H445" s="106"/>
      <c r="I445" s="100">
        <f>C442/E445*C445</f>
        <v>1.2568316416887246</v>
      </c>
      <c r="J445" s="186">
        <f>C442*52.513/C445/11</f>
        <v>27.052151515151515</v>
      </c>
      <c r="K445" s="186"/>
      <c r="L445" s="186"/>
      <c r="M445" s="122"/>
      <c r="N445" s="186"/>
      <c r="O445" s="186"/>
      <c r="P445" s="186"/>
      <c r="Q445" s="122"/>
      <c r="R445" s="78">
        <f>SUM(J445:Q445)</f>
        <v>27.052151515151515</v>
      </c>
    </row>
    <row r="446" spans="1:18" s="244" customFormat="1" ht="20.25" customHeight="1" x14ac:dyDescent="0.25">
      <c r="A446" s="412" t="s">
        <v>32</v>
      </c>
      <c r="B446" s="375"/>
      <c r="C446" s="121"/>
      <c r="D446" s="106"/>
      <c r="E446" s="92"/>
      <c r="F446" s="98"/>
      <c r="G446" s="99" t="e">
        <f>G445*30.9%</f>
        <v>#N/A</v>
      </c>
      <c r="H446" s="106"/>
      <c r="I446" s="186"/>
      <c r="J446" s="186"/>
      <c r="K446" s="186"/>
      <c r="L446" s="186"/>
      <c r="M446" s="122"/>
      <c r="N446" s="274"/>
      <c r="O446" s="186"/>
      <c r="P446" s="186"/>
      <c r="Q446" s="122"/>
      <c r="R446" s="142"/>
    </row>
    <row r="447" spans="1:18" s="244" customFormat="1" ht="20.25" customHeight="1" x14ac:dyDescent="0.25">
      <c r="A447" s="411" t="s">
        <v>1</v>
      </c>
      <c r="B447" s="379"/>
      <c r="C447" s="206"/>
      <c r="D447" s="205"/>
      <c r="E447" s="210"/>
      <c r="F447" s="204">
        <f>G447/C442</f>
        <v>75000</v>
      </c>
      <c r="G447" s="221">
        <f>SUM(G448:G448)</f>
        <v>2550000</v>
      </c>
      <c r="H447" s="205"/>
      <c r="I447" s="212"/>
      <c r="J447" s="212"/>
      <c r="K447" s="212"/>
      <c r="L447" s="212"/>
      <c r="M447" s="213"/>
      <c r="N447" s="275"/>
      <c r="O447" s="212"/>
      <c r="P447" s="212"/>
      <c r="Q447" s="213"/>
      <c r="R447" s="204"/>
    </row>
    <row r="448" spans="1:18" s="244" customFormat="1" ht="20.25" customHeight="1" x14ac:dyDescent="0.25">
      <c r="A448" s="471" t="s">
        <v>258</v>
      </c>
      <c r="B448" s="386" t="s">
        <v>145</v>
      </c>
      <c r="C448" s="236">
        <v>1</v>
      </c>
      <c r="D448" s="237"/>
      <c r="E448" s="238">
        <f>C448*R448</f>
        <v>17</v>
      </c>
      <c r="F448" s="239">
        <f>VLOOKUP(A448,ГрафикЖД!$B$4:$C$55,2,0)</f>
        <v>150000</v>
      </c>
      <c r="G448" s="240">
        <f>E448*F448</f>
        <v>2550000</v>
      </c>
      <c r="H448" s="237"/>
      <c r="I448" s="241">
        <f>C442/E448*C448</f>
        <v>2</v>
      </c>
      <c r="J448" s="242">
        <f>C442/2</f>
        <v>17</v>
      </c>
      <c r="K448" s="242"/>
      <c r="L448" s="242"/>
      <c r="M448" s="243"/>
      <c r="N448" s="276"/>
      <c r="O448" s="186"/>
      <c r="P448" s="186"/>
      <c r="Q448" s="122"/>
      <c r="R448" s="78">
        <f>SUM(J448:Q448)</f>
        <v>17</v>
      </c>
    </row>
    <row r="449" spans="1:18" s="244" customFormat="1" ht="40.5" customHeight="1" x14ac:dyDescent="0.25">
      <c r="A449" s="470" t="s">
        <v>403</v>
      </c>
      <c r="B449" s="378" t="s">
        <v>198</v>
      </c>
      <c r="C449" s="215">
        <f>7+4</f>
        <v>11</v>
      </c>
      <c r="D449" s="209"/>
      <c r="E449" s="216">
        <f>E454</f>
        <v>28</v>
      </c>
      <c r="F449" s="194" t="e">
        <f>G449/C449</f>
        <v>#N/A</v>
      </c>
      <c r="G449" s="217" t="e">
        <f>G450+G453+G456</f>
        <v>#N/A</v>
      </c>
      <c r="H449" s="209"/>
      <c r="I449" s="225"/>
      <c r="J449" s="216">
        <f>J454*$I454</f>
        <v>11</v>
      </c>
      <c r="K449" s="216"/>
      <c r="L449" s="216"/>
      <c r="M449" s="216"/>
      <c r="N449" s="216"/>
      <c r="O449" s="216"/>
      <c r="P449" s="216"/>
      <c r="Q449" s="216"/>
      <c r="R449" s="285"/>
    </row>
    <row r="450" spans="1:18" s="244" customFormat="1" ht="21.75" customHeight="1" x14ac:dyDescent="0.2">
      <c r="A450" s="468" t="s">
        <v>167</v>
      </c>
      <c r="B450" s="385"/>
      <c r="C450" s="231"/>
      <c r="D450" s="204"/>
      <c r="E450" s="222"/>
      <c r="F450" s="214">
        <f>G450/C449</f>
        <v>301480</v>
      </c>
      <c r="G450" s="221">
        <f>SUM(G451:G452)</f>
        <v>3316280</v>
      </c>
      <c r="H450" s="204"/>
      <c r="I450" s="232"/>
      <c r="J450" s="232"/>
      <c r="K450" s="232"/>
      <c r="L450" s="232"/>
      <c r="M450" s="219"/>
      <c r="N450" s="277"/>
      <c r="O450" s="232"/>
      <c r="P450" s="232"/>
      <c r="Q450" s="219"/>
      <c r="R450" s="204"/>
    </row>
    <row r="451" spans="1:18" s="244" customFormat="1" ht="21.75" customHeight="1" x14ac:dyDescent="0.2">
      <c r="A451" s="445" t="s">
        <v>404</v>
      </c>
      <c r="B451" s="365" t="s">
        <v>198</v>
      </c>
      <c r="C451" s="121">
        <f>C449</f>
        <v>11</v>
      </c>
      <c r="D451" s="110"/>
      <c r="E451" s="92"/>
      <c r="F451" s="98">
        <v>150000</v>
      </c>
      <c r="G451" s="99">
        <f>C451*F451</f>
        <v>1650000</v>
      </c>
      <c r="H451" s="110"/>
      <c r="I451" s="235"/>
      <c r="J451" s="235"/>
      <c r="K451" s="235"/>
      <c r="L451" s="235"/>
      <c r="M451" s="122"/>
      <c r="N451" s="278"/>
      <c r="O451" s="235"/>
      <c r="P451" s="235"/>
      <c r="Q451" s="122"/>
      <c r="R451" s="110"/>
    </row>
    <row r="452" spans="1:18" s="244" customFormat="1" ht="21.75" customHeight="1" x14ac:dyDescent="0.2">
      <c r="A452" s="445" t="s">
        <v>370</v>
      </c>
      <c r="B452" s="365" t="s">
        <v>34</v>
      </c>
      <c r="C452" s="121">
        <f>86.56*C451</f>
        <v>952.16000000000008</v>
      </c>
      <c r="D452" s="110"/>
      <c r="E452" s="92"/>
      <c r="F452" s="98">
        <v>1750</v>
      </c>
      <c r="G452" s="99">
        <f>C452*F452</f>
        <v>1666280.0000000002</v>
      </c>
      <c r="H452" s="110"/>
      <c r="I452" s="235"/>
      <c r="J452" s="235"/>
      <c r="K452" s="235"/>
      <c r="L452" s="235"/>
      <c r="M452" s="122"/>
      <c r="N452" s="278"/>
      <c r="O452" s="235"/>
      <c r="P452" s="235"/>
      <c r="Q452" s="122"/>
      <c r="R452" s="110"/>
    </row>
    <row r="453" spans="1:18" s="244" customFormat="1" ht="20.25" customHeight="1" x14ac:dyDescent="0.25">
      <c r="A453" s="411" t="s">
        <v>0</v>
      </c>
      <c r="B453" s="379"/>
      <c r="C453" s="206"/>
      <c r="D453" s="205"/>
      <c r="E453" s="210"/>
      <c r="F453" s="204" t="e">
        <f>G453/C449</f>
        <v>#N/A</v>
      </c>
      <c r="G453" s="221" t="e">
        <f>SUM(G454:G455)</f>
        <v>#N/A</v>
      </c>
      <c r="H453" s="205"/>
      <c r="I453" s="212"/>
      <c r="J453" s="212"/>
      <c r="K453" s="212"/>
      <c r="L453" s="212"/>
      <c r="M453" s="213"/>
      <c r="N453" s="275"/>
      <c r="O453" s="212"/>
      <c r="P453" s="212"/>
      <c r="Q453" s="213"/>
      <c r="R453" s="204"/>
    </row>
    <row r="454" spans="1:18" s="244" customFormat="1" ht="20.25" customHeight="1" x14ac:dyDescent="0.25">
      <c r="A454" s="412" t="s">
        <v>260</v>
      </c>
      <c r="B454" s="365" t="s">
        <v>33</v>
      </c>
      <c r="C454" s="121">
        <v>4</v>
      </c>
      <c r="D454" s="106"/>
      <c r="E454" s="92">
        <f>C454*R454</f>
        <v>28</v>
      </c>
      <c r="F454" s="98" t="e">
        <f>VLOOKUP(A454,ГрафикЖД!$B$4:$C$55,2,0)</f>
        <v>#N/A</v>
      </c>
      <c r="G454" s="99" t="e">
        <f>E454*F454</f>
        <v>#N/A</v>
      </c>
      <c r="H454" s="106"/>
      <c r="I454" s="100">
        <f>C449/E454*C454</f>
        <v>1.5714285714285714</v>
      </c>
      <c r="J454" s="186">
        <v>7</v>
      </c>
      <c r="K454" s="186"/>
      <c r="L454" s="186"/>
      <c r="M454" s="122"/>
      <c r="N454" s="186"/>
      <c r="O454" s="186"/>
      <c r="P454" s="186"/>
      <c r="Q454" s="122"/>
      <c r="R454" s="78">
        <f>SUM(J454:Q454)</f>
        <v>7</v>
      </c>
    </row>
    <row r="455" spans="1:18" s="244" customFormat="1" ht="20.25" customHeight="1" x14ac:dyDescent="0.25">
      <c r="A455" s="412" t="s">
        <v>32</v>
      </c>
      <c r="B455" s="375"/>
      <c r="C455" s="121"/>
      <c r="D455" s="106"/>
      <c r="E455" s="92"/>
      <c r="F455" s="98"/>
      <c r="G455" s="99" t="e">
        <f>G454*30.9%</f>
        <v>#N/A</v>
      </c>
      <c r="H455" s="106"/>
      <c r="I455" s="186"/>
      <c r="J455" s="186"/>
      <c r="K455" s="186"/>
      <c r="L455" s="186"/>
      <c r="M455" s="122"/>
      <c r="N455" s="274"/>
      <c r="O455" s="186"/>
      <c r="P455" s="186"/>
      <c r="Q455" s="122"/>
      <c r="R455" s="142"/>
    </row>
    <row r="456" spans="1:18" s="244" customFormat="1" ht="20.25" customHeight="1" x14ac:dyDescent="0.25">
      <c r="A456" s="411" t="s">
        <v>1</v>
      </c>
      <c r="B456" s="379"/>
      <c r="C456" s="206"/>
      <c r="D456" s="205"/>
      <c r="E456" s="210"/>
      <c r="F456" s="204">
        <f>G456/C449</f>
        <v>38900</v>
      </c>
      <c r="G456" s="221">
        <f>SUM(G457:G458)</f>
        <v>427900</v>
      </c>
      <c r="H456" s="205"/>
      <c r="I456" s="212"/>
      <c r="J456" s="212"/>
      <c r="K456" s="212"/>
      <c r="L456" s="212"/>
      <c r="M456" s="213"/>
      <c r="N456" s="275"/>
      <c r="O456" s="212"/>
      <c r="P456" s="212"/>
      <c r="Q456" s="213"/>
      <c r="R456" s="204"/>
    </row>
    <row r="457" spans="1:18" s="244" customFormat="1" ht="20.25" customHeight="1" x14ac:dyDescent="0.25">
      <c r="A457" s="469" t="s">
        <v>240</v>
      </c>
      <c r="B457" s="376" t="s">
        <v>145</v>
      </c>
      <c r="C457" s="121">
        <v>1</v>
      </c>
      <c r="D457" s="106"/>
      <c r="E457" s="92">
        <f>C457*R457</f>
        <v>11</v>
      </c>
      <c r="F457" s="98">
        <f>VLOOKUP(A457,ГрафикЖД!$B$4:$C$55,2,0)</f>
        <v>20900</v>
      </c>
      <c r="G457" s="99">
        <f>E457*F457</f>
        <v>229900</v>
      </c>
      <c r="H457" s="106"/>
      <c r="I457" s="100">
        <f>C449/E457*C457</f>
        <v>1</v>
      </c>
      <c r="J457" s="186">
        <v>11</v>
      </c>
      <c r="K457" s="186"/>
      <c r="L457" s="186"/>
      <c r="M457" s="122"/>
      <c r="N457" s="274"/>
      <c r="O457" s="186"/>
      <c r="P457" s="186"/>
      <c r="Q457" s="122"/>
      <c r="R457" s="78">
        <f>SUM(J457:Q457)</f>
        <v>11</v>
      </c>
    </row>
    <row r="458" spans="1:18" s="244" customFormat="1" ht="20.25" customHeight="1" x14ac:dyDescent="0.25">
      <c r="A458" s="415" t="s">
        <v>246</v>
      </c>
      <c r="B458" s="376" t="s">
        <v>145</v>
      </c>
      <c r="C458" s="121">
        <v>1</v>
      </c>
      <c r="D458" s="106"/>
      <c r="E458" s="92">
        <f>C458*R458</f>
        <v>11</v>
      </c>
      <c r="F458" s="98">
        <f>VLOOKUP(A458,ГрафикЖД!$B$4:$C$55,2,0)</f>
        <v>18000</v>
      </c>
      <c r="G458" s="99">
        <f>E458*F458</f>
        <v>198000</v>
      </c>
      <c r="H458" s="106"/>
      <c r="I458" s="100">
        <f>C449/E458*C458</f>
        <v>1</v>
      </c>
      <c r="J458" s="186">
        <v>11</v>
      </c>
      <c r="K458" s="186"/>
      <c r="L458" s="186"/>
      <c r="M458" s="122"/>
      <c r="N458" s="274"/>
      <c r="O458" s="186"/>
      <c r="P458" s="186"/>
      <c r="Q458" s="122"/>
      <c r="R458" s="78">
        <f>SUM(J458:Q458)</f>
        <v>11</v>
      </c>
    </row>
    <row r="459" spans="1:18" s="244" customFormat="1" ht="40.5" customHeight="1" x14ac:dyDescent="0.25">
      <c r="A459" s="470" t="s">
        <v>405</v>
      </c>
      <c r="B459" s="378" t="s">
        <v>198</v>
      </c>
      <c r="C459" s="234">
        <v>20</v>
      </c>
      <c r="D459" s="209"/>
      <c r="E459" s="216">
        <f>E476</f>
        <v>483.63636363636368</v>
      </c>
      <c r="F459" s="194" t="e">
        <f>G459/C459</f>
        <v>#N/A</v>
      </c>
      <c r="G459" s="217" t="e">
        <f>G460+G475+G478</f>
        <v>#N/A</v>
      </c>
      <c r="H459" s="209"/>
      <c r="I459" s="225"/>
      <c r="J459" s="216">
        <f>J476*$I476</f>
        <v>20</v>
      </c>
      <c r="K459" s="216"/>
      <c r="L459" s="216"/>
      <c r="M459" s="216"/>
      <c r="N459" s="216"/>
      <c r="O459" s="216"/>
      <c r="P459" s="216"/>
      <c r="Q459" s="216"/>
      <c r="R459" s="285"/>
    </row>
    <row r="460" spans="1:18" s="429" customFormat="1" ht="21.75" customHeight="1" x14ac:dyDescent="0.2">
      <c r="A460" s="468" t="s">
        <v>167</v>
      </c>
      <c r="B460" s="430"/>
      <c r="C460" s="423"/>
      <c r="D460" s="424"/>
      <c r="E460" s="425"/>
      <c r="F460" s="204">
        <f>G460/C459</f>
        <v>761990</v>
      </c>
      <c r="G460" s="204">
        <f>SUM(G461:G474)</f>
        <v>15239800</v>
      </c>
      <c r="H460" s="424"/>
      <c r="I460" s="426"/>
      <c r="J460" s="426"/>
      <c r="K460" s="426"/>
      <c r="L460" s="426"/>
      <c r="M460" s="427"/>
      <c r="N460" s="431"/>
      <c r="O460" s="426"/>
      <c r="P460" s="426"/>
      <c r="Q460" s="427"/>
      <c r="R460" s="424"/>
    </row>
    <row r="461" spans="1:18" s="244" customFormat="1" ht="21.75" customHeight="1" x14ac:dyDescent="0.2">
      <c r="A461" s="445" t="s">
        <v>406</v>
      </c>
      <c r="B461" s="365" t="s">
        <v>145</v>
      </c>
      <c r="C461" s="121">
        <v>284</v>
      </c>
      <c r="D461" s="110"/>
      <c r="E461" s="92"/>
      <c r="F461" s="98">
        <v>18000</v>
      </c>
      <c r="G461" s="99">
        <f>C461*F461</f>
        <v>5112000</v>
      </c>
      <c r="H461" s="110"/>
      <c r="I461" s="235"/>
      <c r="J461" s="235"/>
      <c r="K461" s="235"/>
      <c r="L461" s="235"/>
      <c r="M461" s="122"/>
      <c r="N461" s="278"/>
      <c r="O461" s="235"/>
      <c r="P461" s="235"/>
      <c r="Q461" s="122"/>
      <c r="R461" s="110"/>
    </row>
    <row r="462" spans="1:18" s="244" customFormat="1" ht="21.75" customHeight="1" x14ac:dyDescent="0.2">
      <c r="A462" s="445" t="s">
        <v>407</v>
      </c>
      <c r="B462" s="365" t="s">
        <v>145</v>
      </c>
      <c r="C462" s="121">
        <v>107</v>
      </c>
      <c r="D462" s="110"/>
      <c r="E462" s="92"/>
      <c r="F462" s="98">
        <v>40000</v>
      </c>
      <c r="G462" s="99">
        <f>C462*F462</f>
        <v>4280000</v>
      </c>
      <c r="H462" s="110"/>
      <c r="I462" s="235"/>
      <c r="J462" s="235"/>
      <c r="K462" s="235"/>
      <c r="L462" s="235"/>
      <c r="M462" s="122"/>
      <c r="N462" s="278"/>
      <c r="O462" s="235"/>
      <c r="P462" s="235"/>
      <c r="Q462" s="122"/>
      <c r="R462" s="110"/>
    </row>
    <row r="463" spans="1:18" s="244" customFormat="1" ht="21.75" customHeight="1" x14ac:dyDescent="0.2">
      <c r="A463" s="445" t="s">
        <v>408</v>
      </c>
      <c r="B463" s="365" t="s">
        <v>145</v>
      </c>
      <c r="C463" s="121">
        <v>40</v>
      </c>
      <c r="D463" s="110"/>
      <c r="E463" s="92"/>
      <c r="F463" s="98">
        <v>42000</v>
      </c>
      <c r="G463" s="99">
        <f>C463*F463</f>
        <v>1680000</v>
      </c>
      <c r="H463" s="110"/>
      <c r="I463" s="235"/>
      <c r="J463" s="235"/>
      <c r="K463" s="235"/>
      <c r="L463" s="235"/>
      <c r="M463" s="122"/>
      <c r="N463" s="278"/>
      <c r="O463" s="235"/>
      <c r="P463" s="235"/>
      <c r="Q463" s="122"/>
      <c r="R463" s="110"/>
    </row>
    <row r="464" spans="1:18" s="244" customFormat="1" ht="21.75" customHeight="1" x14ac:dyDescent="0.2">
      <c r="A464" s="445" t="s">
        <v>409</v>
      </c>
      <c r="B464" s="365" t="s">
        <v>145</v>
      </c>
      <c r="C464" s="121">
        <v>470</v>
      </c>
      <c r="D464" s="110"/>
      <c r="E464" s="92"/>
      <c r="F464" s="98">
        <v>300</v>
      </c>
      <c r="G464" s="99">
        <f>C464*F464</f>
        <v>141000</v>
      </c>
      <c r="H464" s="110"/>
      <c r="I464" s="235"/>
      <c r="J464" s="235"/>
      <c r="K464" s="235"/>
      <c r="L464" s="235"/>
      <c r="M464" s="122"/>
      <c r="N464" s="278"/>
      <c r="O464" s="235"/>
      <c r="P464" s="235"/>
      <c r="Q464" s="122"/>
      <c r="R464" s="110"/>
    </row>
    <row r="465" spans="1:18" s="244" customFormat="1" ht="21.75" customHeight="1" x14ac:dyDescent="0.2">
      <c r="A465" s="445" t="s">
        <v>410</v>
      </c>
      <c r="B465" s="365" t="s">
        <v>145</v>
      </c>
      <c r="C465" s="110">
        <v>468</v>
      </c>
      <c r="D465" s="110"/>
      <c r="E465" s="92"/>
      <c r="F465" s="98">
        <v>650</v>
      </c>
      <c r="G465" s="99">
        <f>C465*F465</f>
        <v>304200</v>
      </c>
      <c r="H465" s="110"/>
      <c r="I465" s="235"/>
      <c r="J465" s="235"/>
      <c r="K465" s="235"/>
      <c r="L465" s="235"/>
      <c r="M465" s="122"/>
      <c r="N465" s="278"/>
      <c r="O465" s="235"/>
      <c r="P465" s="235"/>
      <c r="Q465" s="122"/>
      <c r="R465" s="110"/>
    </row>
    <row r="466" spans="1:18" s="244" customFormat="1" ht="21.75" customHeight="1" x14ac:dyDescent="0.2">
      <c r="A466" s="445" t="s">
        <v>411</v>
      </c>
      <c r="B466" s="365" t="s">
        <v>145</v>
      </c>
      <c r="C466" s="110">
        <v>12</v>
      </c>
      <c r="D466" s="110"/>
      <c r="E466" s="92"/>
      <c r="F466" s="98">
        <v>1100</v>
      </c>
      <c r="G466" s="99">
        <f t="shared" ref="G466:G474" si="29">C466*F466</f>
        <v>13200</v>
      </c>
      <c r="H466" s="110"/>
      <c r="I466" s="235"/>
      <c r="J466" s="235"/>
      <c r="K466" s="235"/>
      <c r="L466" s="235"/>
      <c r="M466" s="122"/>
      <c r="N466" s="278"/>
      <c r="O466" s="235"/>
      <c r="P466" s="235"/>
      <c r="Q466" s="122"/>
      <c r="R466" s="110"/>
    </row>
    <row r="467" spans="1:18" s="244" customFormat="1" ht="21.75" customHeight="1" x14ac:dyDescent="0.2">
      <c r="A467" s="445" t="s">
        <v>412</v>
      </c>
      <c r="B467" s="365" t="s">
        <v>145</v>
      </c>
      <c r="C467" s="110">
        <v>12</v>
      </c>
      <c r="D467" s="110"/>
      <c r="E467" s="92"/>
      <c r="F467" s="98">
        <v>2300</v>
      </c>
      <c r="G467" s="99">
        <f t="shared" si="29"/>
        <v>27600</v>
      </c>
      <c r="H467" s="110"/>
      <c r="I467" s="235"/>
      <c r="J467" s="235"/>
      <c r="K467" s="235"/>
      <c r="L467" s="235"/>
      <c r="M467" s="122"/>
      <c r="N467" s="278"/>
      <c r="O467" s="235"/>
      <c r="P467" s="235"/>
      <c r="Q467" s="122"/>
      <c r="R467" s="110"/>
    </row>
    <row r="468" spans="1:18" s="244" customFormat="1" ht="21.75" customHeight="1" x14ac:dyDescent="0.2">
      <c r="A468" s="445" t="s">
        <v>413</v>
      </c>
      <c r="B468" s="365" t="s">
        <v>145</v>
      </c>
      <c r="C468" s="110">
        <v>12</v>
      </c>
      <c r="D468" s="110"/>
      <c r="E468" s="92"/>
      <c r="F468" s="98">
        <v>1250</v>
      </c>
      <c r="G468" s="99">
        <f t="shared" si="29"/>
        <v>15000</v>
      </c>
      <c r="H468" s="110"/>
      <c r="I468" s="235"/>
      <c r="J468" s="235"/>
      <c r="K468" s="235"/>
      <c r="L468" s="235"/>
      <c r="M468" s="122"/>
      <c r="N468" s="278"/>
      <c r="O468" s="235"/>
      <c r="P468" s="235"/>
      <c r="Q468" s="122"/>
      <c r="R468" s="110"/>
    </row>
    <row r="469" spans="1:18" s="244" customFormat="1" ht="21.75" customHeight="1" x14ac:dyDescent="0.2">
      <c r="A469" s="445" t="s">
        <v>414</v>
      </c>
      <c r="B469" s="365" t="s">
        <v>145</v>
      </c>
      <c r="C469" s="110">
        <v>15</v>
      </c>
      <c r="D469" s="110"/>
      <c r="E469" s="92"/>
      <c r="F469" s="98">
        <v>1300</v>
      </c>
      <c r="G469" s="99">
        <f t="shared" si="29"/>
        <v>19500</v>
      </c>
      <c r="H469" s="110"/>
      <c r="I469" s="235"/>
      <c r="J469" s="235"/>
      <c r="K469" s="235"/>
      <c r="L469" s="235"/>
      <c r="M469" s="122"/>
      <c r="N469" s="278"/>
      <c r="O469" s="235"/>
      <c r="P469" s="235"/>
      <c r="Q469" s="122"/>
      <c r="R469" s="110"/>
    </row>
    <row r="470" spans="1:18" s="244" customFormat="1" ht="21.75" customHeight="1" x14ac:dyDescent="0.2">
      <c r="A470" s="445" t="s">
        <v>415</v>
      </c>
      <c r="B470" s="365" t="s">
        <v>145</v>
      </c>
      <c r="C470" s="110">
        <v>12</v>
      </c>
      <c r="D470" s="110"/>
      <c r="E470" s="92"/>
      <c r="F470" s="98">
        <v>4200</v>
      </c>
      <c r="G470" s="99">
        <f t="shared" si="29"/>
        <v>50400</v>
      </c>
      <c r="H470" s="110"/>
      <c r="I470" s="235"/>
      <c r="J470" s="235"/>
      <c r="K470" s="235"/>
      <c r="L470" s="235"/>
      <c r="M470" s="122"/>
      <c r="N470" s="278"/>
      <c r="O470" s="235"/>
      <c r="P470" s="235"/>
      <c r="Q470" s="122"/>
      <c r="R470" s="110"/>
    </row>
    <row r="471" spans="1:18" s="244" customFormat="1" ht="21.75" customHeight="1" x14ac:dyDescent="0.2">
      <c r="A471" s="445" t="s">
        <v>416</v>
      </c>
      <c r="B471" s="365" t="s">
        <v>145</v>
      </c>
      <c r="C471" s="110">
        <v>12</v>
      </c>
      <c r="D471" s="110"/>
      <c r="E471" s="92"/>
      <c r="F471" s="98">
        <v>4400</v>
      </c>
      <c r="G471" s="99">
        <f t="shared" si="29"/>
        <v>52800</v>
      </c>
      <c r="H471" s="110"/>
      <c r="I471" s="235"/>
      <c r="J471" s="235"/>
      <c r="K471" s="235"/>
      <c r="L471" s="235"/>
      <c r="M471" s="122"/>
      <c r="N471" s="278"/>
      <c r="O471" s="235"/>
      <c r="P471" s="235"/>
      <c r="Q471" s="122"/>
      <c r="R471" s="110"/>
    </row>
    <row r="472" spans="1:18" s="244" customFormat="1" ht="21.75" customHeight="1" x14ac:dyDescent="0.2">
      <c r="A472" s="445" t="s">
        <v>353</v>
      </c>
      <c r="B472" s="365" t="s">
        <v>34</v>
      </c>
      <c r="C472" s="319">
        <v>3</v>
      </c>
      <c r="D472" s="110"/>
      <c r="E472" s="92"/>
      <c r="F472" s="98">
        <v>6500</v>
      </c>
      <c r="G472" s="99">
        <f t="shared" si="29"/>
        <v>19500</v>
      </c>
      <c r="H472" s="110"/>
      <c r="I472" s="235"/>
      <c r="J472" s="235"/>
      <c r="K472" s="235"/>
      <c r="L472" s="235"/>
      <c r="M472" s="122"/>
      <c r="N472" s="278"/>
      <c r="O472" s="235"/>
      <c r="P472" s="235"/>
      <c r="Q472" s="122"/>
      <c r="R472" s="110"/>
    </row>
    <row r="473" spans="1:18" s="244" customFormat="1" ht="21.75" customHeight="1" x14ac:dyDescent="0.2">
      <c r="A473" s="445" t="s">
        <v>417</v>
      </c>
      <c r="B473" s="365" t="s">
        <v>145</v>
      </c>
      <c r="C473" s="110">
        <v>203</v>
      </c>
      <c r="D473" s="110"/>
      <c r="E473" s="92"/>
      <c r="F473" s="98">
        <v>4200</v>
      </c>
      <c r="G473" s="99">
        <f t="shared" si="29"/>
        <v>852600</v>
      </c>
      <c r="H473" s="110"/>
      <c r="I473" s="235"/>
      <c r="J473" s="235"/>
      <c r="K473" s="235"/>
      <c r="L473" s="235"/>
      <c r="M473" s="122"/>
      <c r="N473" s="278"/>
      <c r="O473" s="235"/>
      <c r="P473" s="235"/>
      <c r="Q473" s="122"/>
      <c r="R473" s="110"/>
    </row>
    <row r="474" spans="1:18" s="244" customFormat="1" ht="21.75" customHeight="1" x14ac:dyDescent="0.2">
      <c r="A474" s="445" t="s">
        <v>418</v>
      </c>
      <c r="B474" s="365" t="s">
        <v>34</v>
      </c>
      <c r="C474" s="110">
        <v>1336</v>
      </c>
      <c r="D474" s="110"/>
      <c r="E474" s="92"/>
      <c r="F474" s="98">
        <v>2000</v>
      </c>
      <c r="G474" s="99">
        <f t="shared" si="29"/>
        <v>2672000</v>
      </c>
      <c r="H474" s="110"/>
      <c r="I474" s="235"/>
      <c r="J474" s="235"/>
      <c r="K474" s="235"/>
      <c r="L474" s="235"/>
      <c r="M474" s="122"/>
      <c r="N474" s="278"/>
      <c r="O474" s="235"/>
      <c r="P474" s="235"/>
      <c r="Q474" s="122"/>
      <c r="R474" s="110"/>
    </row>
    <row r="475" spans="1:18" s="244" customFormat="1" ht="20.25" customHeight="1" x14ac:dyDescent="0.25">
      <c r="A475" s="411" t="s">
        <v>0</v>
      </c>
      <c r="B475" s="379"/>
      <c r="C475" s="206"/>
      <c r="D475" s="205"/>
      <c r="E475" s="210"/>
      <c r="F475" s="204" t="e">
        <f>G475/C459</f>
        <v>#N/A</v>
      </c>
      <c r="G475" s="221" t="e">
        <f>SUM(G476:G477)</f>
        <v>#N/A</v>
      </c>
      <c r="H475" s="205"/>
      <c r="I475" s="212"/>
      <c r="J475" s="212"/>
      <c r="K475" s="212"/>
      <c r="L475" s="212"/>
      <c r="M475" s="213"/>
      <c r="N475" s="275"/>
      <c r="O475" s="212"/>
      <c r="P475" s="212"/>
      <c r="Q475" s="213"/>
      <c r="R475" s="204"/>
    </row>
    <row r="476" spans="1:18" s="244" customFormat="1" ht="20.25" customHeight="1" x14ac:dyDescent="0.25">
      <c r="A476" s="412" t="s">
        <v>260</v>
      </c>
      <c r="B476" s="365" t="s">
        <v>33</v>
      </c>
      <c r="C476" s="121">
        <v>10</v>
      </c>
      <c r="D476" s="106"/>
      <c r="E476" s="92">
        <f>C476*R476</f>
        <v>483.63636363636368</v>
      </c>
      <c r="F476" s="98" t="e">
        <f>VLOOKUP(A476,ГрафикЖД!$B$4:$C$55,2,0)</f>
        <v>#N/A</v>
      </c>
      <c r="G476" s="99" t="e">
        <f>E476*F476</f>
        <v>#N/A</v>
      </c>
      <c r="H476" s="106"/>
      <c r="I476" s="100">
        <f>C459/E476*C476</f>
        <v>0.41353383458646614</v>
      </c>
      <c r="J476" s="186">
        <f>C459*266/C476/11</f>
        <v>48.363636363636367</v>
      </c>
      <c r="K476" s="186"/>
      <c r="L476" s="186"/>
      <c r="M476" s="122"/>
      <c r="N476" s="186"/>
      <c r="O476" s="186"/>
      <c r="P476" s="186"/>
      <c r="Q476" s="122"/>
      <c r="R476" s="78">
        <f>SUM(J476:Q476)</f>
        <v>48.363636363636367</v>
      </c>
    </row>
    <row r="477" spans="1:18" s="244" customFormat="1" ht="20.25" customHeight="1" x14ac:dyDescent="0.25">
      <c r="A477" s="412" t="s">
        <v>32</v>
      </c>
      <c r="B477" s="375"/>
      <c r="C477" s="121"/>
      <c r="D477" s="106"/>
      <c r="E477" s="92"/>
      <c r="F477" s="98"/>
      <c r="G477" s="99" t="e">
        <f>G476*30.9%</f>
        <v>#N/A</v>
      </c>
      <c r="H477" s="106"/>
      <c r="I477" s="186"/>
      <c r="J477" s="186"/>
      <c r="K477" s="186"/>
      <c r="L477" s="186"/>
      <c r="M477" s="122"/>
      <c r="N477" s="274"/>
      <c r="O477" s="186"/>
      <c r="P477" s="186"/>
      <c r="Q477" s="122"/>
      <c r="R477" s="142"/>
    </row>
    <row r="478" spans="1:18" s="244" customFormat="1" ht="20.25" customHeight="1" x14ac:dyDescent="0.25">
      <c r="A478" s="411" t="s">
        <v>1</v>
      </c>
      <c r="B478" s="379"/>
      <c r="C478" s="206"/>
      <c r="D478" s="205"/>
      <c r="E478" s="210"/>
      <c r="F478" s="204">
        <f>G478/C459</f>
        <v>39065.818181818184</v>
      </c>
      <c r="G478" s="221">
        <f>SUM(G479:G481)</f>
        <v>781316.36363636365</v>
      </c>
      <c r="H478" s="205"/>
      <c r="I478" s="212"/>
      <c r="J478" s="212"/>
      <c r="K478" s="212"/>
      <c r="L478" s="212"/>
      <c r="M478" s="213"/>
      <c r="N478" s="275"/>
      <c r="O478" s="212"/>
      <c r="P478" s="212"/>
      <c r="Q478" s="213"/>
      <c r="R478" s="204"/>
    </row>
    <row r="479" spans="1:18" s="244" customFormat="1" ht="20.25" customHeight="1" x14ac:dyDescent="0.25">
      <c r="A479" s="469" t="s">
        <v>240</v>
      </c>
      <c r="B479" s="376" t="s">
        <v>145</v>
      </c>
      <c r="C479" s="121">
        <v>1</v>
      </c>
      <c r="D479" s="106"/>
      <c r="E479" s="92">
        <f>C479*R479</f>
        <v>10.290909090909091</v>
      </c>
      <c r="F479" s="98">
        <f>VLOOKUP(A479,ГрафикЖД!$B$4:$C$55,2,0)</f>
        <v>20900</v>
      </c>
      <c r="G479" s="99">
        <f>E479*F479</f>
        <v>215080</v>
      </c>
      <c r="H479" s="106"/>
      <c r="I479" s="100">
        <f>C459/E479*C479</f>
        <v>1.9434628975265018</v>
      </c>
      <c r="J479" s="186">
        <f>C459*5.66/C479/11</f>
        <v>10.290909090909091</v>
      </c>
      <c r="K479" s="186"/>
      <c r="L479" s="186"/>
      <c r="M479" s="122"/>
      <c r="N479" s="186"/>
      <c r="O479" s="186"/>
      <c r="P479" s="186"/>
      <c r="Q479" s="122"/>
      <c r="R479" s="78">
        <f>SUM(J479:Q479)</f>
        <v>10.290909090909091</v>
      </c>
    </row>
    <row r="480" spans="1:18" s="244" customFormat="1" ht="20.25" customHeight="1" x14ac:dyDescent="0.25">
      <c r="A480" s="415" t="s">
        <v>246</v>
      </c>
      <c r="B480" s="376" t="s">
        <v>145</v>
      </c>
      <c r="C480" s="121">
        <v>1</v>
      </c>
      <c r="D480" s="106"/>
      <c r="E480" s="92">
        <f>C480*R480</f>
        <v>6.290909090909091</v>
      </c>
      <c r="F480" s="98">
        <f>VLOOKUP(A480,ГрафикЖД!$B$4:$C$55,2,0)</f>
        <v>18000</v>
      </c>
      <c r="G480" s="99">
        <f>E480*F480</f>
        <v>113236.36363636363</v>
      </c>
      <c r="H480" s="106"/>
      <c r="I480" s="100">
        <f>C459/E480*C480</f>
        <v>3.1791907514450868</v>
      </c>
      <c r="J480" s="186">
        <f>C459*3.46/C480/11</f>
        <v>6.290909090909091</v>
      </c>
      <c r="K480" s="186"/>
      <c r="L480" s="186"/>
      <c r="M480" s="122"/>
      <c r="N480" s="186"/>
      <c r="O480" s="186"/>
      <c r="P480" s="186"/>
      <c r="Q480" s="122"/>
      <c r="R480" s="78">
        <f>SUM(J480:Q480)</f>
        <v>6.290909090909091</v>
      </c>
    </row>
    <row r="481" spans="1:18" s="244" customFormat="1" ht="20.25" customHeight="1" x14ac:dyDescent="0.25">
      <c r="A481" s="415" t="s">
        <v>241</v>
      </c>
      <c r="B481" s="376" t="s">
        <v>145</v>
      </c>
      <c r="C481" s="121">
        <v>1</v>
      </c>
      <c r="D481" s="106"/>
      <c r="E481" s="92">
        <f>C481*R481</f>
        <v>27.454545454545453</v>
      </c>
      <c r="F481" s="98">
        <f>VLOOKUP(A481,ГрафикЖД!$B$4:$C$55,2,0)</f>
        <v>16500</v>
      </c>
      <c r="G481" s="99">
        <f>E481*F481</f>
        <v>453000</v>
      </c>
      <c r="H481" s="106"/>
      <c r="I481" s="100">
        <f>C460/E481*C481</f>
        <v>0</v>
      </c>
      <c r="J481" s="186">
        <f>C459*15.1/C481/11</f>
        <v>27.454545454545453</v>
      </c>
      <c r="K481" s="186"/>
      <c r="L481" s="186"/>
      <c r="M481" s="122"/>
      <c r="N481" s="186"/>
      <c r="O481" s="186"/>
      <c r="P481" s="186"/>
      <c r="Q481" s="122"/>
      <c r="R481" s="78">
        <f>SUM(J481:Q481)</f>
        <v>27.454545454545453</v>
      </c>
    </row>
    <row r="482" spans="1:18" s="244" customFormat="1" ht="40.5" customHeight="1" x14ac:dyDescent="0.25">
      <c r="A482" s="470" t="s">
        <v>405</v>
      </c>
      <c r="B482" s="378" t="s">
        <v>198</v>
      </c>
      <c r="C482" s="215">
        <f>10+2</f>
        <v>12</v>
      </c>
      <c r="D482" s="209"/>
      <c r="E482" s="216">
        <f>E490</f>
        <v>290.18181818181813</v>
      </c>
      <c r="F482" s="194" t="e">
        <f>G482/C482</f>
        <v>#N/A</v>
      </c>
      <c r="G482" s="217" t="e">
        <f>G483+G489+G492</f>
        <v>#N/A</v>
      </c>
      <c r="H482" s="209"/>
      <c r="I482" s="225"/>
      <c r="J482" s="216">
        <f>J490*$I490</f>
        <v>12</v>
      </c>
      <c r="K482" s="216"/>
      <c r="L482" s="216"/>
      <c r="M482" s="216"/>
      <c r="N482" s="216"/>
      <c r="O482" s="216"/>
      <c r="P482" s="216"/>
      <c r="Q482" s="216"/>
      <c r="R482" s="285"/>
    </row>
    <row r="483" spans="1:18" s="429" customFormat="1" ht="21.75" customHeight="1" x14ac:dyDescent="0.2">
      <c r="A483" s="468" t="s">
        <v>167</v>
      </c>
      <c r="B483" s="430"/>
      <c r="C483" s="423"/>
      <c r="D483" s="424"/>
      <c r="E483" s="425"/>
      <c r="F483" s="204">
        <f>G483/C482</f>
        <v>112591.66666666667</v>
      </c>
      <c r="G483" s="204">
        <f>SUM(G484:G488)</f>
        <v>1351100</v>
      </c>
      <c r="H483" s="424"/>
      <c r="I483" s="426"/>
      <c r="J483" s="426"/>
      <c r="K483" s="426"/>
      <c r="L483" s="426"/>
      <c r="M483" s="427"/>
      <c r="N483" s="431"/>
      <c r="O483" s="426"/>
      <c r="P483" s="426"/>
      <c r="Q483" s="427"/>
      <c r="R483" s="424"/>
    </row>
    <row r="484" spans="1:18" s="244" customFormat="1" ht="21.75" customHeight="1" x14ac:dyDescent="0.2">
      <c r="A484" s="445" t="s">
        <v>406</v>
      </c>
      <c r="B484" s="365" t="s">
        <v>145</v>
      </c>
      <c r="C484" s="121">
        <f>20+4+5</f>
        <v>29</v>
      </c>
      <c r="D484" s="110"/>
      <c r="E484" s="92"/>
      <c r="F484" s="98">
        <v>18000</v>
      </c>
      <c r="G484" s="99">
        <f>C484*F484</f>
        <v>522000</v>
      </c>
      <c r="H484" s="110"/>
      <c r="I484" s="235"/>
      <c r="J484" s="235"/>
      <c r="K484" s="235"/>
      <c r="L484" s="235"/>
      <c r="M484" s="122"/>
      <c r="N484" s="278"/>
      <c r="O484" s="235"/>
      <c r="P484" s="235"/>
      <c r="Q484" s="122"/>
      <c r="R484" s="110"/>
    </row>
    <row r="485" spans="1:18" s="244" customFormat="1" ht="21.75" customHeight="1" x14ac:dyDescent="0.2">
      <c r="A485" s="445" t="s">
        <v>407</v>
      </c>
      <c r="B485" s="365" t="s">
        <v>145</v>
      </c>
      <c r="C485" s="121">
        <f>10+2+3</f>
        <v>15</v>
      </c>
      <c r="D485" s="110"/>
      <c r="E485" s="92"/>
      <c r="F485" s="98">
        <v>40000</v>
      </c>
      <c r="G485" s="99">
        <f>C485*F485</f>
        <v>600000</v>
      </c>
      <c r="H485" s="110"/>
      <c r="I485" s="235"/>
      <c r="J485" s="235"/>
      <c r="K485" s="235"/>
      <c r="L485" s="235"/>
      <c r="M485" s="122"/>
      <c r="N485" s="278"/>
      <c r="O485" s="235"/>
      <c r="P485" s="235"/>
      <c r="Q485" s="122"/>
      <c r="R485" s="110"/>
    </row>
    <row r="486" spans="1:18" s="244" customFormat="1" ht="21.75" customHeight="1" x14ac:dyDescent="0.2">
      <c r="A486" s="445" t="s">
        <v>409</v>
      </c>
      <c r="B486" s="365" t="s">
        <v>145</v>
      </c>
      <c r="C486" s="121">
        <f>40+8+10</f>
        <v>58</v>
      </c>
      <c r="D486" s="110"/>
      <c r="E486" s="92"/>
      <c r="F486" s="98">
        <v>300</v>
      </c>
      <c r="G486" s="99">
        <f>C486*F486</f>
        <v>17400</v>
      </c>
      <c r="H486" s="110"/>
      <c r="I486" s="235"/>
      <c r="J486" s="235"/>
      <c r="K486" s="235"/>
      <c r="L486" s="235"/>
      <c r="M486" s="122"/>
      <c r="N486" s="278"/>
      <c r="O486" s="235"/>
      <c r="P486" s="235"/>
      <c r="Q486" s="122"/>
      <c r="R486" s="110"/>
    </row>
    <row r="487" spans="1:18" s="244" customFormat="1" ht="21.75" customHeight="1" x14ac:dyDescent="0.2">
      <c r="A487" s="445" t="s">
        <v>410</v>
      </c>
      <c r="B487" s="365" t="s">
        <v>145</v>
      </c>
      <c r="C487" s="110">
        <f>40+8+10</f>
        <v>58</v>
      </c>
      <c r="D487" s="110"/>
      <c r="E487" s="92"/>
      <c r="F487" s="98">
        <v>650</v>
      </c>
      <c r="G487" s="99">
        <f>C487*F487</f>
        <v>37700</v>
      </c>
      <c r="H487" s="110"/>
      <c r="I487" s="235"/>
      <c r="J487" s="235"/>
      <c r="K487" s="235"/>
      <c r="L487" s="235"/>
      <c r="M487" s="122"/>
      <c r="N487" s="278"/>
      <c r="O487" s="235"/>
      <c r="P487" s="235"/>
      <c r="Q487" s="122"/>
      <c r="R487" s="110"/>
    </row>
    <row r="488" spans="1:18" s="244" customFormat="1" ht="21.75" customHeight="1" x14ac:dyDescent="0.2">
      <c r="A488" s="445" t="s">
        <v>418</v>
      </c>
      <c r="B488" s="365" t="s">
        <v>34</v>
      </c>
      <c r="C488" s="110">
        <f>60+12+15</f>
        <v>87</v>
      </c>
      <c r="D488" s="110"/>
      <c r="E488" s="92"/>
      <c r="F488" s="98">
        <v>2000</v>
      </c>
      <c r="G488" s="99">
        <f>C488*F488</f>
        <v>174000</v>
      </c>
      <c r="H488" s="110"/>
      <c r="I488" s="235"/>
      <c r="J488" s="235"/>
      <c r="K488" s="235"/>
      <c r="L488" s="235"/>
      <c r="M488" s="122"/>
      <c r="N488" s="278"/>
      <c r="O488" s="235"/>
      <c r="P488" s="235"/>
      <c r="Q488" s="122"/>
      <c r="R488" s="110"/>
    </row>
    <row r="489" spans="1:18" s="244" customFormat="1" ht="20.25" customHeight="1" x14ac:dyDescent="0.25">
      <c r="A489" s="411" t="s">
        <v>0</v>
      </c>
      <c r="B489" s="379"/>
      <c r="C489" s="206"/>
      <c r="D489" s="205"/>
      <c r="E489" s="210"/>
      <c r="F489" s="204" t="e">
        <f>G489/C482</f>
        <v>#N/A</v>
      </c>
      <c r="G489" s="221" t="e">
        <f>SUM(G490:G491)</f>
        <v>#N/A</v>
      </c>
      <c r="H489" s="205"/>
      <c r="I489" s="212"/>
      <c r="J489" s="212"/>
      <c r="K489" s="212"/>
      <c r="L489" s="212"/>
      <c r="M489" s="213"/>
      <c r="N489" s="275"/>
      <c r="O489" s="212"/>
      <c r="P489" s="212"/>
      <c r="Q489" s="213"/>
      <c r="R489" s="204"/>
    </row>
    <row r="490" spans="1:18" s="244" customFormat="1" ht="20.25" customHeight="1" x14ac:dyDescent="0.25">
      <c r="A490" s="412" t="s">
        <v>260</v>
      </c>
      <c r="B490" s="365" t="s">
        <v>33</v>
      </c>
      <c r="C490" s="121">
        <v>10</v>
      </c>
      <c r="D490" s="106"/>
      <c r="E490" s="92">
        <f>C490*R490</f>
        <v>290.18181818181813</v>
      </c>
      <c r="F490" s="98" t="e">
        <f>VLOOKUP(A490,ГрафикЖД!$B$4:$C$55,2,0)</f>
        <v>#N/A</v>
      </c>
      <c r="G490" s="99" t="e">
        <f>E490*F490</f>
        <v>#N/A</v>
      </c>
      <c r="H490" s="106"/>
      <c r="I490" s="100">
        <f>C482/E490*C490</f>
        <v>0.4135338345864662</v>
      </c>
      <c r="J490" s="186">
        <f>C482*266/C490/11</f>
        <v>29.018181818181816</v>
      </c>
      <c r="K490" s="186"/>
      <c r="L490" s="186"/>
      <c r="M490" s="122"/>
      <c r="N490" s="186"/>
      <c r="O490" s="186"/>
      <c r="P490" s="186"/>
      <c r="Q490" s="122"/>
      <c r="R490" s="78">
        <f>SUM(J490:Q490)</f>
        <v>29.018181818181816</v>
      </c>
    </row>
    <row r="491" spans="1:18" s="244" customFormat="1" ht="20.25" customHeight="1" x14ac:dyDescent="0.25">
      <c r="A491" s="412" t="s">
        <v>32</v>
      </c>
      <c r="B491" s="375"/>
      <c r="C491" s="121"/>
      <c r="D491" s="106"/>
      <c r="E491" s="92"/>
      <c r="F491" s="98"/>
      <c r="G491" s="99" t="e">
        <f>G490*30.9%</f>
        <v>#N/A</v>
      </c>
      <c r="H491" s="106"/>
      <c r="I491" s="186"/>
      <c r="J491" s="186"/>
      <c r="K491" s="186"/>
      <c r="L491" s="186"/>
      <c r="M491" s="122"/>
      <c r="N491" s="274"/>
      <c r="O491" s="186"/>
      <c r="P491" s="186"/>
      <c r="Q491" s="122"/>
      <c r="R491" s="142"/>
    </row>
    <row r="492" spans="1:18" s="244" customFormat="1" ht="20.25" customHeight="1" x14ac:dyDescent="0.25">
      <c r="A492" s="411" t="s">
        <v>1</v>
      </c>
      <c r="B492" s="379"/>
      <c r="C492" s="206"/>
      <c r="D492" s="205"/>
      <c r="E492" s="210"/>
      <c r="F492" s="204">
        <f>G492/C482</f>
        <v>39065.818181818184</v>
      </c>
      <c r="G492" s="221">
        <f>SUM(G493:G495)</f>
        <v>468789.81818181818</v>
      </c>
      <c r="H492" s="205"/>
      <c r="I492" s="212"/>
      <c r="J492" s="212"/>
      <c r="K492" s="212"/>
      <c r="L492" s="212"/>
      <c r="M492" s="213"/>
      <c r="N492" s="275"/>
      <c r="O492" s="212"/>
      <c r="P492" s="212"/>
      <c r="Q492" s="213"/>
      <c r="R492" s="204"/>
    </row>
    <row r="493" spans="1:18" s="244" customFormat="1" ht="20.25" customHeight="1" x14ac:dyDescent="0.25">
      <c r="A493" s="469" t="s">
        <v>240</v>
      </c>
      <c r="B493" s="376" t="s">
        <v>145</v>
      </c>
      <c r="C493" s="121">
        <v>1</v>
      </c>
      <c r="D493" s="106"/>
      <c r="E493" s="92">
        <f>C493*R493</f>
        <v>6.1745454545454548</v>
      </c>
      <c r="F493" s="98">
        <f>VLOOKUP(A493,ГрафикЖД!$B$4:$C$55,2,0)</f>
        <v>20900</v>
      </c>
      <c r="G493" s="99">
        <f>E493*F493</f>
        <v>129048</v>
      </c>
      <c r="H493" s="106"/>
      <c r="I493" s="100">
        <f>C482/E493*C493</f>
        <v>1.9434628975265016</v>
      </c>
      <c r="J493" s="186">
        <f>C482*5.66/C493/11</f>
        <v>6.1745454545454548</v>
      </c>
      <c r="K493" s="186"/>
      <c r="L493" s="186"/>
      <c r="M493" s="122"/>
      <c r="N493" s="186"/>
      <c r="O493" s="186"/>
      <c r="P493" s="186"/>
      <c r="Q493" s="122"/>
      <c r="R493" s="78">
        <f>SUM(J493:Q493)</f>
        <v>6.1745454545454548</v>
      </c>
    </row>
    <row r="494" spans="1:18" s="244" customFormat="1" ht="20.25" customHeight="1" x14ac:dyDescent="0.25">
      <c r="A494" s="415" t="s">
        <v>246</v>
      </c>
      <c r="B494" s="376" t="s">
        <v>145</v>
      </c>
      <c r="C494" s="121">
        <v>1</v>
      </c>
      <c r="D494" s="106"/>
      <c r="E494" s="92">
        <f>C494*R494</f>
        <v>3.774545454545454</v>
      </c>
      <c r="F494" s="98">
        <f>VLOOKUP(A494,ГрафикЖД!$B$4:$C$55,2,0)</f>
        <v>18000</v>
      </c>
      <c r="G494" s="99">
        <f>E494*F494</f>
        <v>67941.818181818177</v>
      </c>
      <c r="H494" s="106"/>
      <c r="I494" s="100">
        <f>C482/E494*C494</f>
        <v>3.1791907514450872</v>
      </c>
      <c r="J494" s="186">
        <f>C482*3.46/C494/11</f>
        <v>3.774545454545454</v>
      </c>
      <c r="K494" s="186"/>
      <c r="L494" s="186"/>
      <c r="M494" s="122"/>
      <c r="N494" s="186"/>
      <c r="O494" s="186"/>
      <c r="P494" s="186"/>
      <c r="Q494" s="122"/>
      <c r="R494" s="78">
        <f>SUM(J494:Q494)</f>
        <v>3.774545454545454</v>
      </c>
    </row>
    <row r="495" spans="1:18" s="244" customFormat="1" ht="20.25" customHeight="1" x14ac:dyDescent="0.25">
      <c r="A495" s="415" t="s">
        <v>241</v>
      </c>
      <c r="B495" s="376" t="s">
        <v>145</v>
      </c>
      <c r="C495" s="121">
        <v>1</v>
      </c>
      <c r="D495" s="106"/>
      <c r="E495" s="92">
        <f>C495*R495</f>
        <v>16.472727272727273</v>
      </c>
      <c r="F495" s="98">
        <f>VLOOKUP(A495,ГрафикЖД!$B$4:$C$55,2,0)</f>
        <v>16500</v>
      </c>
      <c r="G495" s="99">
        <f>E495*F495</f>
        <v>271800</v>
      </c>
      <c r="H495" s="106"/>
      <c r="I495" s="100">
        <f>C482/E495*C495</f>
        <v>0.72847682119205304</v>
      </c>
      <c r="J495" s="186">
        <f>C482*15.1/C495/11</f>
        <v>16.472727272727273</v>
      </c>
      <c r="K495" s="186"/>
      <c r="L495" s="186"/>
      <c r="M495" s="122"/>
      <c r="N495" s="186"/>
      <c r="O495" s="186"/>
      <c r="P495" s="186"/>
      <c r="Q495" s="122"/>
      <c r="R495" s="78">
        <f>SUM(J495:Q495)</f>
        <v>16.472727272727273</v>
      </c>
    </row>
    <row r="496" spans="1:18" s="244" customFormat="1" ht="40.5" customHeight="1" x14ac:dyDescent="0.25">
      <c r="A496" s="470" t="s">
        <v>419</v>
      </c>
      <c r="B496" s="378" t="s">
        <v>380</v>
      </c>
      <c r="C496" s="224">
        <v>6.3E-2</v>
      </c>
      <c r="D496" s="209"/>
      <c r="E496" s="216">
        <f>E499</f>
        <v>5.8286569090909088</v>
      </c>
      <c r="F496" s="194" t="e">
        <f>G496/C496</f>
        <v>#N/A</v>
      </c>
      <c r="G496" s="217" t="e">
        <f>G497+G498+G501</f>
        <v>#N/A</v>
      </c>
      <c r="H496" s="209"/>
      <c r="I496" s="225"/>
      <c r="J496" s="216">
        <f>J499*$I499</f>
        <v>6.3000000000000014E-2</v>
      </c>
      <c r="K496" s="216"/>
      <c r="L496" s="216"/>
      <c r="M496" s="216"/>
      <c r="N496" s="216"/>
      <c r="O496" s="216"/>
      <c r="P496" s="216"/>
      <c r="Q496" s="216"/>
      <c r="R496" s="285"/>
    </row>
    <row r="497" spans="1:18" s="244" customFormat="1" ht="21.75" customHeight="1" x14ac:dyDescent="0.2">
      <c r="A497" s="468" t="s">
        <v>167</v>
      </c>
      <c r="B497" s="385"/>
      <c r="C497" s="231"/>
      <c r="D497" s="204"/>
      <c r="E497" s="222"/>
      <c r="F497" s="204">
        <f>G497/C496</f>
        <v>0</v>
      </c>
      <c r="G497" s="221">
        <v>0</v>
      </c>
      <c r="H497" s="204"/>
      <c r="I497" s="232"/>
      <c r="J497" s="232"/>
      <c r="K497" s="232"/>
      <c r="L497" s="232"/>
      <c r="M497" s="219"/>
      <c r="N497" s="277"/>
      <c r="O497" s="232"/>
      <c r="P497" s="232"/>
      <c r="Q497" s="219"/>
      <c r="R497" s="204"/>
    </row>
    <row r="498" spans="1:18" s="244" customFormat="1" ht="20.25" customHeight="1" x14ac:dyDescent="0.25">
      <c r="A498" s="411" t="s">
        <v>0</v>
      </c>
      <c r="B498" s="379"/>
      <c r="C498" s="206"/>
      <c r="D498" s="205"/>
      <c r="E498" s="210"/>
      <c r="F498" s="204" t="e">
        <f>G498/C496</f>
        <v>#N/A</v>
      </c>
      <c r="G498" s="221" t="e">
        <f>SUM(G499:G500)</f>
        <v>#N/A</v>
      </c>
      <c r="H498" s="205"/>
      <c r="I498" s="212"/>
      <c r="J498" s="212"/>
      <c r="K498" s="212"/>
      <c r="L498" s="212"/>
      <c r="M498" s="213"/>
      <c r="N498" s="275"/>
      <c r="O498" s="212"/>
      <c r="P498" s="212"/>
      <c r="Q498" s="213"/>
      <c r="R498" s="204"/>
    </row>
    <row r="499" spans="1:18" s="244" customFormat="1" ht="20.25" customHeight="1" x14ac:dyDescent="0.25">
      <c r="A499" s="412" t="s">
        <v>260</v>
      </c>
      <c r="B499" s="365" t="s">
        <v>33</v>
      </c>
      <c r="C499" s="121">
        <v>10</v>
      </c>
      <c r="D499" s="106"/>
      <c r="E499" s="92">
        <f>C499*R499</f>
        <v>5.8286569090909088</v>
      </c>
      <c r="F499" s="98" t="e">
        <f>VLOOKUP(A499,ГрафикЖД!$B$4:$C$55,2,0)</f>
        <v>#N/A</v>
      </c>
      <c r="G499" s="99" t="e">
        <f>E499*F499</f>
        <v>#N/A</v>
      </c>
      <c r="H499" s="106"/>
      <c r="I499" s="100">
        <f>C496/E499*C499</f>
        <v>0.10808665011958316</v>
      </c>
      <c r="J499" s="186">
        <f>C496*1017.702/C499/11</f>
        <v>0.58286569090909091</v>
      </c>
      <c r="K499" s="186"/>
      <c r="L499" s="186"/>
      <c r="M499" s="122"/>
      <c r="N499" s="186"/>
      <c r="O499" s="186"/>
      <c r="P499" s="186"/>
      <c r="Q499" s="122"/>
      <c r="R499" s="78">
        <f>SUM(J499:Q499)</f>
        <v>0.58286569090909091</v>
      </c>
    </row>
    <row r="500" spans="1:18" s="244" customFormat="1" ht="20.25" customHeight="1" x14ac:dyDescent="0.25">
      <c r="A500" s="412" t="s">
        <v>32</v>
      </c>
      <c r="B500" s="375"/>
      <c r="C500" s="121"/>
      <c r="D500" s="106"/>
      <c r="E500" s="92"/>
      <c r="F500" s="98"/>
      <c r="G500" s="99" t="e">
        <f>G499*30.9%</f>
        <v>#N/A</v>
      </c>
      <c r="H500" s="106"/>
      <c r="I500" s="186"/>
      <c r="J500" s="186"/>
      <c r="K500" s="186"/>
      <c r="L500" s="186"/>
      <c r="M500" s="122"/>
      <c r="N500" s="274"/>
      <c r="O500" s="186"/>
      <c r="P500" s="186"/>
      <c r="Q500" s="122"/>
      <c r="R500" s="142"/>
    </row>
    <row r="501" spans="1:18" s="244" customFormat="1" ht="20.25" customHeight="1" x14ac:dyDescent="0.25">
      <c r="A501" s="411" t="s">
        <v>1</v>
      </c>
      <c r="B501" s="379"/>
      <c r="C501" s="206"/>
      <c r="D501" s="205"/>
      <c r="E501" s="210"/>
      <c r="F501" s="204">
        <f>G501/C496</f>
        <v>375402.72727272729</v>
      </c>
      <c r="G501" s="221">
        <f>SUM(G502:G504)</f>
        <v>23650.371818181819</v>
      </c>
      <c r="H501" s="205"/>
      <c r="I501" s="212"/>
      <c r="J501" s="212"/>
      <c r="K501" s="212"/>
      <c r="L501" s="212"/>
      <c r="M501" s="213"/>
      <c r="N501" s="275"/>
      <c r="O501" s="212"/>
      <c r="P501" s="212"/>
      <c r="Q501" s="213"/>
      <c r="R501" s="204"/>
    </row>
    <row r="502" spans="1:18" s="244" customFormat="1" ht="20.25" customHeight="1" x14ac:dyDescent="0.25">
      <c r="A502" s="469" t="s">
        <v>240</v>
      </c>
      <c r="B502" s="376" t="s">
        <v>145</v>
      </c>
      <c r="C502" s="121">
        <v>1</v>
      </c>
      <c r="D502" s="106"/>
      <c r="E502" s="92">
        <f>C502*R502</f>
        <v>0.2953898181818182</v>
      </c>
      <c r="F502" s="98">
        <f>VLOOKUP(A502,ГрафикЖД!$B$4:$C$55,2,0)</f>
        <v>20900</v>
      </c>
      <c r="G502" s="99">
        <f>E502*F502</f>
        <v>6173.6472000000003</v>
      </c>
      <c r="H502" s="106"/>
      <c r="I502" s="100">
        <f>C496/E502*C502</f>
        <v>0.21327749340778657</v>
      </c>
      <c r="J502" s="186">
        <f>C496*51.576/C502/11</f>
        <v>0.2953898181818182</v>
      </c>
      <c r="K502" s="186"/>
      <c r="L502" s="186"/>
      <c r="M502" s="122"/>
      <c r="N502" s="186"/>
      <c r="O502" s="186"/>
      <c r="P502" s="186"/>
      <c r="Q502" s="122"/>
      <c r="R502" s="78">
        <f>SUM(J502:Q502)</f>
        <v>0.2953898181818182</v>
      </c>
    </row>
    <row r="503" spans="1:18" s="244" customFormat="1" ht="20.25" customHeight="1" x14ac:dyDescent="0.25">
      <c r="A503" s="415" t="s">
        <v>246</v>
      </c>
      <c r="B503" s="376" t="s">
        <v>145</v>
      </c>
      <c r="C503" s="121">
        <v>1</v>
      </c>
      <c r="D503" s="106"/>
      <c r="E503" s="92">
        <f>C503*R503</f>
        <v>0.55627854545454547</v>
      </c>
      <c r="F503" s="98">
        <f>VLOOKUP(A503,ГрафикЖД!$B$4:$C$55,2,0)</f>
        <v>18000</v>
      </c>
      <c r="G503" s="99">
        <f>E503*F503</f>
        <v>10013.013818181818</v>
      </c>
      <c r="H503" s="106"/>
      <c r="I503" s="100">
        <f>C496/E503*C503</f>
        <v>0.11325261510583971</v>
      </c>
      <c r="J503" s="186">
        <f>C496*97.128/C503/11</f>
        <v>0.55627854545454547</v>
      </c>
      <c r="K503" s="186"/>
      <c r="L503" s="186"/>
      <c r="M503" s="122"/>
      <c r="N503" s="186"/>
      <c r="O503" s="186"/>
      <c r="P503" s="186"/>
      <c r="Q503" s="122"/>
      <c r="R503" s="78">
        <f>SUM(J503:Q503)</f>
        <v>0.55627854545454547</v>
      </c>
    </row>
    <row r="504" spans="1:18" s="244" customFormat="1" ht="20.25" customHeight="1" x14ac:dyDescent="0.25">
      <c r="A504" s="415" t="s">
        <v>245</v>
      </c>
      <c r="B504" s="376" t="s">
        <v>145</v>
      </c>
      <c r="C504" s="121">
        <v>1</v>
      </c>
      <c r="D504" s="106"/>
      <c r="E504" s="92">
        <f>C504*R504</f>
        <v>0.52193781818181817</v>
      </c>
      <c r="F504" s="98">
        <f>VLOOKUP(A504,ГрафикЖД!$B$4:$C$55,2,0)</f>
        <v>14300</v>
      </c>
      <c r="G504" s="99">
        <f>E504*F504</f>
        <v>7463.7107999999998</v>
      </c>
      <c r="H504" s="106"/>
      <c r="I504" s="100">
        <f>C497/E504*C504</f>
        <v>0</v>
      </c>
      <c r="J504" s="186">
        <f>C496*91.132/C504/11</f>
        <v>0.52193781818181817</v>
      </c>
      <c r="K504" s="186"/>
      <c r="L504" s="186"/>
      <c r="M504" s="122"/>
      <c r="N504" s="186"/>
      <c r="O504" s="186"/>
      <c r="P504" s="186"/>
      <c r="Q504" s="122"/>
      <c r="R504" s="78">
        <f>SUM(J504:Q504)</f>
        <v>0.52193781818181817</v>
      </c>
    </row>
    <row r="505" spans="1:18" s="244" customFormat="1" ht="40.5" customHeight="1" x14ac:dyDescent="0.25">
      <c r="A505" s="470" t="s">
        <v>420</v>
      </c>
      <c r="B505" s="378" t="s">
        <v>380</v>
      </c>
      <c r="C505" s="224">
        <v>3.2000000000000001E-2</v>
      </c>
      <c r="D505" s="209"/>
      <c r="E505" s="216">
        <f>E508</f>
        <v>3.2011636363636367</v>
      </c>
      <c r="F505" s="194" t="e">
        <f>G505/C505</f>
        <v>#N/A</v>
      </c>
      <c r="G505" s="217" t="e">
        <f>G506+G507+G510</f>
        <v>#N/A</v>
      </c>
      <c r="H505" s="209"/>
      <c r="I505" s="225"/>
      <c r="J505" s="216">
        <f>J508*$I508</f>
        <v>3.2000000000000001E-2</v>
      </c>
      <c r="K505" s="216"/>
      <c r="L505" s="216"/>
      <c r="M505" s="216"/>
      <c r="N505" s="216"/>
      <c r="O505" s="216"/>
      <c r="P505" s="216"/>
      <c r="Q505" s="216"/>
      <c r="R505" s="285"/>
    </row>
    <row r="506" spans="1:18" s="244" customFormat="1" ht="21.75" customHeight="1" x14ac:dyDescent="0.2">
      <c r="A506" s="468" t="s">
        <v>167</v>
      </c>
      <c r="B506" s="385"/>
      <c r="C506" s="231"/>
      <c r="D506" s="204"/>
      <c r="E506" s="222"/>
      <c r="F506" s="204">
        <f>G506/C505</f>
        <v>0</v>
      </c>
      <c r="G506" s="221">
        <v>0</v>
      </c>
      <c r="H506" s="204"/>
      <c r="I506" s="232"/>
      <c r="J506" s="232"/>
      <c r="K506" s="232"/>
      <c r="L506" s="232"/>
      <c r="M506" s="219"/>
      <c r="N506" s="277"/>
      <c r="O506" s="232"/>
      <c r="P506" s="232"/>
      <c r="Q506" s="219"/>
      <c r="R506" s="204"/>
    </row>
    <row r="507" spans="1:18" s="244" customFormat="1" ht="20.25" customHeight="1" x14ac:dyDescent="0.25">
      <c r="A507" s="411" t="s">
        <v>0</v>
      </c>
      <c r="B507" s="379"/>
      <c r="C507" s="206"/>
      <c r="D507" s="205"/>
      <c r="E507" s="210"/>
      <c r="F507" s="204" t="e">
        <f>G507/C505</f>
        <v>#N/A</v>
      </c>
      <c r="G507" s="221" t="e">
        <f>SUM(G508:G509)</f>
        <v>#N/A</v>
      </c>
      <c r="H507" s="205"/>
      <c r="I507" s="212"/>
      <c r="J507" s="212"/>
      <c r="K507" s="212"/>
      <c r="L507" s="212"/>
      <c r="M507" s="213"/>
      <c r="N507" s="275"/>
      <c r="O507" s="212"/>
      <c r="P507" s="212"/>
      <c r="Q507" s="213"/>
      <c r="R507" s="204"/>
    </row>
    <row r="508" spans="1:18" s="244" customFormat="1" ht="20.25" customHeight="1" x14ac:dyDescent="0.25">
      <c r="A508" s="412" t="s">
        <v>260</v>
      </c>
      <c r="B508" s="365" t="s">
        <v>33</v>
      </c>
      <c r="C508" s="121">
        <v>10</v>
      </c>
      <c r="D508" s="106"/>
      <c r="E508" s="92">
        <f>C508*R508</f>
        <v>3.2011636363636367</v>
      </c>
      <c r="F508" s="98" t="e">
        <f>VLOOKUP(A508,ГрафикЖД!$B$4:$C$55,2,0)</f>
        <v>#N/A</v>
      </c>
      <c r="G508" s="99" t="e">
        <f>E508*F508</f>
        <v>#N/A</v>
      </c>
      <c r="H508" s="106"/>
      <c r="I508" s="100">
        <f>C505/E508*C508</f>
        <v>9.9963649581970182E-2</v>
      </c>
      <c r="J508" s="186">
        <f>C505*1100.4/C508/11</f>
        <v>0.32011636363636364</v>
      </c>
      <c r="K508" s="186"/>
      <c r="L508" s="186"/>
      <c r="M508" s="122"/>
      <c r="N508" s="186"/>
      <c r="O508" s="186"/>
      <c r="P508" s="186"/>
      <c r="Q508" s="122"/>
      <c r="R508" s="78">
        <f>SUM(J508:Q508)</f>
        <v>0.32011636363636364</v>
      </c>
    </row>
    <row r="509" spans="1:18" s="244" customFormat="1" ht="20.25" customHeight="1" x14ac:dyDescent="0.25">
      <c r="A509" s="412" t="s">
        <v>32</v>
      </c>
      <c r="B509" s="375"/>
      <c r="C509" s="121"/>
      <c r="D509" s="106"/>
      <c r="E509" s="92"/>
      <c r="F509" s="98"/>
      <c r="G509" s="99" t="e">
        <f>G508*30.9%</f>
        <v>#N/A</v>
      </c>
      <c r="H509" s="106"/>
      <c r="I509" s="186"/>
      <c r="J509" s="186"/>
      <c r="K509" s="186"/>
      <c r="L509" s="186"/>
      <c r="M509" s="122"/>
      <c r="N509" s="274"/>
      <c r="O509" s="186"/>
      <c r="P509" s="186"/>
      <c r="Q509" s="122"/>
      <c r="R509" s="142"/>
    </row>
    <row r="510" spans="1:18" s="244" customFormat="1" ht="20.25" customHeight="1" x14ac:dyDescent="0.25">
      <c r="A510" s="411" t="s">
        <v>1</v>
      </c>
      <c r="B510" s="379"/>
      <c r="C510" s="206"/>
      <c r="D510" s="205"/>
      <c r="E510" s="210"/>
      <c r="F510" s="204">
        <f>G510/C505</f>
        <v>488185.45454545447</v>
      </c>
      <c r="G510" s="221">
        <f>SUM(G511:G513)</f>
        <v>15621.934545454544</v>
      </c>
      <c r="H510" s="205"/>
      <c r="I510" s="212"/>
      <c r="J510" s="212"/>
      <c r="K510" s="212"/>
      <c r="L510" s="212"/>
      <c r="M510" s="213"/>
      <c r="N510" s="275"/>
      <c r="O510" s="212"/>
      <c r="P510" s="212"/>
      <c r="Q510" s="213"/>
      <c r="R510" s="204"/>
    </row>
    <row r="511" spans="1:18" s="244" customFormat="1" ht="20.25" customHeight="1" x14ac:dyDescent="0.25">
      <c r="A511" s="469" t="s">
        <v>240</v>
      </c>
      <c r="B511" s="376" t="s">
        <v>145</v>
      </c>
      <c r="C511" s="121">
        <v>1</v>
      </c>
      <c r="D511" s="106"/>
      <c r="E511" s="92">
        <f>C511*R511</f>
        <v>0.24901818181818181</v>
      </c>
      <c r="F511" s="98">
        <f>VLOOKUP(A511,ГрафикЖД!$B$4:$C$55,2,0)</f>
        <v>20900</v>
      </c>
      <c r="G511" s="99">
        <f>E511*F511</f>
        <v>5204.4799999999996</v>
      </c>
      <c r="H511" s="106"/>
      <c r="I511" s="100">
        <f>C505/E511*C511</f>
        <v>0.12850467289719628</v>
      </c>
      <c r="J511" s="186">
        <f>C505*85.6/C511/11</f>
        <v>0.24901818181818181</v>
      </c>
      <c r="K511" s="186"/>
      <c r="L511" s="186"/>
      <c r="M511" s="122"/>
      <c r="N511" s="186"/>
      <c r="O511" s="186"/>
      <c r="P511" s="186"/>
      <c r="Q511" s="122"/>
      <c r="R511" s="78">
        <f>SUM(J511:Q511)</f>
        <v>0.24901818181818181</v>
      </c>
    </row>
    <row r="512" spans="1:18" s="244" customFormat="1" ht="20.25" customHeight="1" x14ac:dyDescent="0.25">
      <c r="A512" s="415" t="s">
        <v>246</v>
      </c>
      <c r="B512" s="376" t="s">
        <v>145</v>
      </c>
      <c r="C512" s="121">
        <v>1</v>
      </c>
      <c r="D512" s="106"/>
      <c r="E512" s="92">
        <f>C512*R512</f>
        <v>0.30603636363636366</v>
      </c>
      <c r="F512" s="98">
        <f>VLOOKUP(A512,ГрафикЖД!$B$4:$C$55,2,0)</f>
        <v>18000</v>
      </c>
      <c r="G512" s="99">
        <f>E512*F512</f>
        <v>5508.6545454545458</v>
      </c>
      <c r="H512" s="106"/>
      <c r="I512" s="100">
        <f>C505/E512*C512</f>
        <v>0.10456273764258554</v>
      </c>
      <c r="J512" s="186">
        <f>C505*105.2/C512/11</f>
        <v>0.30603636363636366</v>
      </c>
      <c r="K512" s="186"/>
      <c r="L512" s="186"/>
      <c r="M512" s="122"/>
      <c r="N512" s="186"/>
      <c r="O512" s="186"/>
      <c r="P512" s="186"/>
      <c r="Q512" s="122"/>
      <c r="R512" s="78">
        <f>SUM(J512:Q512)</f>
        <v>0.30603636363636366</v>
      </c>
    </row>
    <row r="513" spans="1:18" s="244" customFormat="1" ht="20.25" customHeight="1" x14ac:dyDescent="0.25">
      <c r="A513" s="415" t="s">
        <v>245</v>
      </c>
      <c r="B513" s="376" t="s">
        <v>145</v>
      </c>
      <c r="C513" s="121">
        <v>1</v>
      </c>
      <c r="D513" s="106"/>
      <c r="E513" s="92">
        <f>C513*R513</f>
        <v>0.34327272727272728</v>
      </c>
      <c r="F513" s="98">
        <f>VLOOKUP(A513,ГрафикЖД!$B$4:$C$55,2,0)</f>
        <v>14300</v>
      </c>
      <c r="G513" s="99">
        <f>E513*F513</f>
        <v>4908.8</v>
      </c>
      <c r="H513" s="106"/>
      <c r="I513" s="100">
        <f>C506/E513*C513</f>
        <v>0</v>
      </c>
      <c r="J513" s="186">
        <f>C505*118/C513/11</f>
        <v>0.34327272727272728</v>
      </c>
      <c r="K513" s="186"/>
      <c r="L513" s="186"/>
      <c r="M513" s="122"/>
      <c r="N513" s="186"/>
      <c r="O513" s="186"/>
      <c r="P513" s="186"/>
      <c r="Q513" s="122"/>
      <c r="R513" s="78">
        <f>SUM(J513:Q513)</f>
        <v>0.34327272727272728</v>
      </c>
    </row>
    <row r="514" spans="1:18" s="244" customFormat="1" ht="40.5" customHeight="1" x14ac:dyDescent="0.25">
      <c r="A514" s="470" t="s">
        <v>421</v>
      </c>
      <c r="B514" s="378" t="s">
        <v>34</v>
      </c>
      <c r="C514" s="234">
        <v>140</v>
      </c>
      <c r="D514" s="209"/>
      <c r="E514" s="216">
        <f>E517</f>
        <v>10</v>
      </c>
      <c r="F514" s="194" t="e">
        <f>G514/C514</f>
        <v>#N/A</v>
      </c>
      <c r="G514" s="217" t="e">
        <f>G515+G516+G519</f>
        <v>#N/A</v>
      </c>
      <c r="H514" s="209"/>
      <c r="I514" s="225"/>
      <c r="J514" s="216">
        <f>J517*$I517</f>
        <v>140</v>
      </c>
      <c r="K514" s="216"/>
      <c r="L514" s="216"/>
      <c r="M514" s="216"/>
      <c r="N514" s="216"/>
      <c r="O514" s="216"/>
      <c r="P514" s="216"/>
      <c r="Q514" s="216"/>
      <c r="R514" s="285"/>
    </row>
    <row r="515" spans="1:18" s="244" customFormat="1" ht="21.75" customHeight="1" x14ac:dyDescent="0.2">
      <c r="A515" s="468" t="s">
        <v>167</v>
      </c>
      <c r="B515" s="385"/>
      <c r="C515" s="231"/>
      <c r="D515" s="204"/>
      <c r="E515" s="222"/>
      <c r="F515" s="204">
        <f>G515/C514</f>
        <v>0</v>
      </c>
      <c r="G515" s="221">
        <v>0</v>
      </c>
      <c r="H515" s="204"/>
      <c r="I515" s="232"/>
      <c r="J515" s="232"/>
      <c r="K515" s="232"/>
      <c r="L515" s="232"/>
      <c r="M515" s="219"/>
      <c r="N515" s="277"/>
      <c r="O515" s="232"/>
      <c r="P515" s="232"/>
      <c r="Q515" s="219"/>
      <c r="R515" s="204"/>
    </row>
    <row r="516" spans="1:18" s="244" customFormat="1" ht="20.25" customHeight="1" x14ac:dyDescent="0.25">
      <c r="A516" s="411" t="s">
        <v>0</v>
      </c>
      <c r="B516" s="379"/>
      <c r="C516" s="206"/>
      <c r="D516" s="205"/>
      <c r="E516" s="210"/>
      <c r="F516" s="204" t="e">
        <f>G516/C514</f>
        <v>#N/A</v>
      </c>
      <c r="G516" s="221" t="e">
        <f>SUM(G517:G518)</f>
        <v>#N/A</v>
      </c>
      <c r="H516" s="205"/>
      <c r="I516" s="212"/>
      <c r="J516" s="212"/>
      <c r="K516" s="212"/>
      <c r="L516" s="212"/>
      <c r="M516" s="213"/>
      <c r="N516" s="275"/>
      <c r="O516" s="212"/>
      <c r="P516" s="212"/>
      <c r="Q516" s="213"/>
      <c r="R516" s="204"/>
    </row>
    <row r="517" spans="1:18" s="244" customFormat="1" ht="20.25" customHeight="1" x14ac:dyDescent="0.25">
      <c r="A517" s="412" t="s">
        <v>260</v>
      </c>
      <c r="B517" s="365" t="s">
        <v>33</v>
      </c>
      <c r="C517" s="121">
        <v>10</v>
      </c>
      <c r="D517" s="106"/>
      <c r="E517" s="92">
        <f>C517*R517</f>
        <v>10</v>
      </c>
      <c r="F517" s="98" t="e">
        <f>VLOOKUP(A517,ГрафикЖД!$B$4:$C$55,2,0)</f>
        <v>#N/A</v>
      </c>
      <c r="G517" s="99" t="e">
        <f>E517*F517</f>
        <v>#N/A</v>
      </c>
      <c r="H517" s="106"/>
      <c r="I517" s="100">
        <f>C514/E517*C517</f>
        <v>140</v>
      </c>
      <c r="J517" s="186">
        <v>1</v>
      </c>
      <c r="K517" s="186"/>
      <c r="L517" s="186"/>
      <c r="M517" s="122"/>
      <c r="N517" s="186"/>
      <c r="O517" s="186"/>
      <c r="P517" s="186"/>
      <c r="Q517" s="122"/>
      <c r="R517" s="78">
        <f>SUM(J517:Q517)</f>
        <v>1</v>
      </c>
    </row>
    <row r="518" spans="1:18" s="244" customFormat="1" ht="20.25" customHeight="1" x14ac:dyDescent="0.25">
      <c r="A518" s="412" t="s">
        <v>32</v>
      </c>
      <c r="B518" s="375"/>
      <c r="C518" s="121"/>
      <c r="D518" s="106"/>
      <c r="E518" s="92"/>
      <c r="F518" s="98"/>
      <c r="G518" s="99" t="e">
        <f>G517*30.9%</f>
        <v>#N/A</v>
      </c>
      <c r="H518" s="106"/>
      <c r="I518" s="186"/>
      <c r="J518" s="186"/>
      <c r="K518" s="186"/>
      <c r="L518" s="186"/>
      <c r="M518" s="122"/>
      <c r="N518" s="274"/>
      <c r="O518" s="186"/>
      <c r="P518" s="186"/>
      <c r="Q518" s="122"/>
      <c r="R518" s="142"/>
    </row>
    <row r="519" spans="1:18" s="244" customFormat="1" ht="20.25" customHeight="1" x14ac:dyDescent="0.25">
      <c r="A519" s="411" t="s">
        <v>1</v>
      </c>
      <c r="B519" s="379"/>
      <c r="C519" s="206"/>
      <c r="D519" s="205"/>
      <c r="E519" s="210"/>
      <c r="F519" s="204">
        <f>G519/C514</f>
        <v>246.42857142857142</v>
      </c>
      <c r="G519" s="221">
        <f>SUM(G520:G521)</f>
        <v>34500</v>
      </c>
      <c r="H519" s="205"/>
      <c r="I519" s="212"/>
      <c r="J519" s="212"/>
      <c r="K519" s="212"/>
      <c r="L519" s="212"/>
      <c r="M519" s="213"/>
      <c r="N519" s="275"/>
      <c r="O519" s="212"/>
      <c r="P519" s="212"/>
      <c r="Q519" s="213"/>
      <c r="R519" s="204"/>
    </row>
    <row r="520" spans="1:18" s="244" customFormat="1" ht="20.25" customHeight="1" x14ac:dyDescent="0.25">
      <c r="A520" s="415" t="s">
        <v>246</v>
      </c>
      <c r="B520" s="376" t="s">
        <v>145</v>
      </c>
      <c r="C520" s="121">
        <v>1</v>
      </c>
      <c r="D520" s="106"/>
      <c r="E520" s="92">
        <f>C520*R520</f>
        <v>1</v>
      </c>
      <c r="F520" s="98">
        <f>VLOOKUP(A520,ГрафикЖД!$B$4:$C$55,2,0)</f>
        <v>18000</v>
      </c>
      <c r="G520" s="99">
        <f>E520*F520</f>
        <v>18000</v>
      </c>
      <c r="H520" s="106"/>
      <c r="I520" s="100">
        <f>C514/E520*C520</f>
        <v>140</v>
      </c>
      <c r="J520" s="186">
        <v>1</v>
      </c>
      <c r="K520" s="186"/>
      <c r="L520" s="186"/>
      <c r="M520" s="122"/>
      <c r="N520" s="186"/>
      <c r="O520" s="186"/>
      <c r="P520" s="186"/>
      <c r="Q520" s="122"/>
      <c r="R520" s="78">
        <f>SUM(J520:Q520)</f>
        <v>1</v>
      </c>
    </row>
    <row r="521" spans="1:18" s="244" customFormat="1" ht="20.25" customHeight="1" x14ac:dyDescent="0.25">
      <c r="A521" s="415" t="s">
        <v>241</v>
      </c>
      <c r="B521" s="376" t="s">
        <v>145</v>
      </c>
      <c r="C521" s="121">
        <v>1</v>
      </c>
      <c r="D521" s="106"/>
      <c r="E521" s="92">
        <f>C521*R521</f>
        <v>1</v>
      </c>
      <c r="F521" s="98">
        <f>VLOOKUP(A521,ГрафикЖД!$B$4:$C$55,2,0)</f>
        <v>16500</v>
      </c>
      <c r="G521" s="99">
        <f>E521*F521</f>
        <v>16500</v>
      </c>
      <c r="H521" s="106"/>
      <c r="I521" s="100">
        <f>C515/E521*C521</f>
        <v>0</v>
      </c>
      <c r="J521" s="186">
        <v>1</v>
      </c>
      <c r="K521" s="186"/>
      <c r="L521" s="186"/>
      <c r="M521" s="122"/>
      <c r="N521" s="186"/>
      <c r="O521" s="186"/>
      <c r="P521" s="186"/>
      <c r="Q521" s="122"/>
      <c r="R521" s="78">
        <f>SUM(J521:Q521)</f>
        <v>1</v>
      </c>
    </row>
    <row r="522" spans="1:18" s="273" customFormat="1" ht="34.5" customHeight="1" x14ac:dyDescent="0.25">
      <c r="A522" s="433" t="s">
        <v>450</v>
      </c>
      <c r="B522" s="377" t="s">
        <v>57</v>
      </c>
      <c r="C522" s="198">
        <v>16</v>
      </c>
      <c r="D522" s="283"/>
      <c r="E522" s="198">
        <f>E526+E618+E700+E729+E757+E822+E850</f>
        <v>404.09209999999996</v>
      </c>
      <c r="F522" s="198" t="e">
        <f t="shared" ref="F522:F530" si="30">G522/C522</f>
        <v>#N/A</v>
      </c>
      <c r="G522" s="198" t="e">
        <f>G526+G618+G700+G729+G757+G822+G850</f>
        <v>#N/A</v>
      </c>
      <c r="H522" s="283"/>
      <c r="I522" s="283"/>
      <c r="J522" s="283" t="e">
        <f>$C$522/$R$526*J524</f>
        <v>#VALUE!</v>
      </c>
      <c r="K522" s="283">
        <f t="shared" ref="K522:Q522" si="31">$C$526/$R$528*K524</f>
        <v>0</v>
      </c>
      <c r="L522" s="283">
        <f t="shared" si="31"/>
        <v>0</v>
      </c>
      <c r="M522" s="283">
        <f t="shared" si="31"/>
        <v>0</v>
      </c>
      <c r="N522" s="283">
        <f t="shared" si="31"/>
        <v>0</v>
      </c>
      <c r="O522" s="283">
        <f t="shared" si="31"/>
        <v>0</v>
      </c>
      <c r="P522" s="283">
        <f t="shared" si="31"/>
        <v>0</v>
      </c>
      <c r="Q522" s="283">
        <f t="shared" si="31"/>
        <v>0</v>
      </c>
      <c r="R522" s="283" t="e">
        <f>SUM(J522:Q522)</f>
        <v>#VALUE!</v>
      </c>
    </row>
    <row r="523" spans="1:18" s="244" customFormat="1" ht="20.25" customHeight="1" x14ac:dyDescent="0.2">
      <c r="A523" s="228" t="s">
        <v>46</v>
      </c>
      <c r="B523" s="387" t="str">
        <f>B522</f>
        <v>м</v>
      </c>
      <c r="C523" s="153">
        <f>C522</f>
        <v>16</v>
      </c>
      <c r="D523" s="292"/>
      <c r="E523" s="293"/>
      <c r="F523" s="229">
        <f t="shared" si="30"/>
        <v>495665.35625000001</v>
      </c>
      <c r="G523" s="142">
        <f>SUMIF($A$526:$A$871,A531,$G$526:$G$871)</f>
        <v>7930645.7000000002</v>
      </c>
      <c r="H523" s="5"/>
      <c r="I523" s="43"/>
      <c r="J523" s="279"/>
      <c r="K523" s="279"/>
      <c r="L523" s="279"/>
      <c r="M523" s="279"/>
      <c r="N523" s="279"/>
      <c r="O523" s="279"/>
      <c r="P523" s="279"/>
      <c r="Q523" s="279"/>
      <c r="R523" s="280"/>
    </row>
    <row r="524" spans="1:18" s="244" customFormat="1" ht="20.25" customHeight="1" x14ac:dyDescent="0.2">
      <c r="A524" s="228" t="s">
        <v>47</v>
      </c>
      <c r="B524" s="387" t="str">
        <f>B523</f>
        <v>м</v>
      </c>
      <c r="C524" s="153">
        <f>C522</f>
        <v>16</v>
      </c>
      <c r="D524" s="292"/>
      <c r="E524" s="293"/>
      <c r="F524" s="229" t="e">
        <f t="shared" si="30"/>
        <v>#N/A</v>
      </c>
      <c r="G524" s="142" t="e">
        <f>SUMIF($A$526:$A$871,A532,$G$526:$G$871)</f>
        <v>#N/A</v>
      </c>
      <c r="H524" s="5"/>
      <c r="I524" s="43"/>
      <c r="J524" s="281" t="e">
        <f>SUMPRODUCT(IF($A$530:$A$872=$A533,J$530:J$872,0),$C$530:$C$872)</f>
        <v>#VALUE!</v>
      </c>
      <c r="K524" s="281">
        <f t="array" ref="K524">SUMPRODUCT(IF($A$530:$A$617=$A529,K$530:K$617,0),$C$530:$C$617)</f>
        <v>0</v>
      </c>
      <c r="L524" s="281">
        <f t="array" ref="L524">SUMPRODUCT(IF($A$530:$A$617=$A529,L$530:L$617,0),$C$530:$C$617)</f>
        <v>0</v>
      </c>
      <c r="M524" s="281">
        <f t="array" ref="M524">SUMPRODUCT(IF($A$530:$A$617=$A529,M$530:M$617,0),$C$530:$C$617)</f>
        <v>0</v>
      </c>
      <c r="N524" s="281">
        <f t="array" ref="N524">SUMPRODUCT(IF($A$530:$A$617=$A529,N$530:N$617,0),$C$530:$C$617)</f>
        <v>0</v>
      </c>
      <c r="O524" s="281">
        <f t="array" ref="O524">SUMPRODUCT(IF($A$530:$A$617=$A529,O$530:O$617,0),$C$530:$C$617)</f>
        <v>0</v>
      </c>
      <c r="P524" s="281">
        <f t="array" ref="P524">SUMPRODUCT(IF($A$530:$A$617=$A529,P$530:P$617,0),$C$530:$C$617)</f>
        <v>0</v>
      </c>
      <c r="Q524" s="281">
        <f t="array" ref="Q524">SUMPRODUCT(IF($A$530:$A$617=$A529,Q$530:Q$617,0),$C$530:$C$617)</f>
        <v>0</v>
      </c>
      <c r="R524" s="282" t="e">
        <f>SUM(J524:Q524)</f>
        <v>#VALUE!</v>
      </c>
    </row>
    <row r="525" spans="1:18" s="244" customFormat="1" ht="20.25" customHeight="1" x14ac:dyDescent="0.2">
      <c r="A525" s="228" t="s">
        <v>48</v>
      </c>
      <c r="B525" s="387" t="str">
        <f>B524</f>
        <v>м</v>
      </c>
      <c r="C525" s="153">
        <f>C522</f>
        <v>16</v>
      </c>
      <c r="D525" s="292"/>
      <c r="E525" s="293"/>
      <c r="F525" s="229">
        <f t="shared" si="30"/>
        <v>184567.74531249999</v>
      </c>
      <c r="G525" s="142">
        <f>SUMIF($A$526:$A$871,A535,$G$526:$G$871)</f>
        <v>2953083.9249999998</v>
      </c>
      <c r="H525" s="5"/>
      <c r="I525" s="43"/>
      <c r="J525" s="279"/>
      <c r="K525" s="279"/>
      <c r="L525" s="279"/>
      <c r="M525" s="279"/>
      <c r="N525" s="279"/>
      <c r="O525" s="279"/>
      <c r="P525" s="279"/>
      <c r="Q525" s="279"/>
      <c r="R525" s="280"/>
    </row>
    <row r="526" spans="1:18" s="273" customFormat="1" ht="34.5" customHeight="1" x14ac:dyDescent="0.25">
      <c r="A526" s="355" t="s">
        <v>278</v>
      </c>
      <c r="B526" s="388" t="s">
        <v>57</v>
      </c>
      <c r="C526" s="350">
        <v>16</v>
      </c>
      <c r="D526" s="351"/>
      <c r="E526" s="350">
        <f>E530+E538+E546+E553+E574+E583+E592+E600+E610</f>
        <v>49</v>
      </c>
      <c r="F526" s="350" t="e">
        <f t="shared" si="30"/>
        <v>#N/A</v>
      </c>
      <c r="G526" s="350" t="e">
        <f>G530+G538+G546+G553+G574+G583+G592+G600+G610</f>
        <v>#N/A</v>
      </c>
      <c r="H526" s="351"/>
      <c r="I526" s="351"/>
      <c r="J526" s="350">
        <f>$C$526/$R$528*J528</f>
        <v>15.999999999999998</v>
      </c>
      <c r="K526" s="351">
        <f t="shared" ref="K526:Q526" si="32">$C$526/$R$528*K528</f>
        <v>0</v>
      </c>
      <c r="L526" s="351">
        <f t="shared" si="32"/>
        <v>0</v>
      </c>
      <c r="M526" s="351">
        <f t="shared" si="32"/>
        <v>0</v>
      </c>
      <c r="N526" s="351">
        <f t="shared" si="32"/>
        <v>0</v>
      </c>
      <c r="O526" s="351">
        <f t="shared" si="32"/>
        <v>0</v>
      </c>
      <c r="P526" s="351">
        <f t="shared" si="32"/>
        <v>0</v>
      </c>
      <c r="Q526" s="351">
        <f t="shared" si="32"/>
        <v>0</v>
      </c>
      <c r="R526" s="351">
        <f>SUM(J526:Q526)</f>
        <v>15.999999999999998</v>
      </c>
    </row>
    <row r="527" spans="1:18" s="244" customFormat="1" ht="20.25" customHeight="1" x14ac:dyDescent="0.2">
      <c r="A527" s="228" t="s">
        <v>46</v>
      </c>
      <c r="B527" s="387" t="str">
        <f>B526</f>
        <v>м</v>
      </c>
      <c r="C527" s="153">
        <f>C526</f>
        <v>16</v>
      </c>
      <c r="D527" s="292"/>
      <c r="E527" s="293"/>
      <c r="F527" s="229">
        <f t="shared" si="30"/>
        <v>75422.737500000003</v>
      </c>
      <c r="G527" s="142">
        <f>SUMIF($A$530:$A$617,A531,$G$530:$G$617)</f>
        <v>1206763.8</v>
      </c>
      <c r="H527" s="5"/>
      <c r="I527" s="43"/>
      <c r="J527" s="279"/>
      <c r="K527" s="279"/>
      <c r="L527" s="279"/>
      <c r="M527" s="279"/>
      <c r="N527" s="279"/>
      <c r="O527" s="279"/>
      <c r="P527" s="279"/>
      <c r="Q527" s="279"/>
      <c r="R527" s="280"/>
    </row>
    <row r="528" spans="1:18" s="244" customFormat="1" ht="20.25" customHeight="1" x14ac:dyDescent="0.2">
      <c r="A528" s="228" t="s">
        <v>47</v>
      </c>
      <c r="B528" s="387" t="str">
        <f>B527</f>
        <v>м</v>
      </c>
      <c r="C528" s="153">
        <f>C526</f>
        <v>16</v>
      </c>
      <c r="D528" s="292"/>
      <c r="E528" s="293"/>
      <c r="F528" s="229" t="e">
        <f t="shared" si="30"/>
        <v>#N/A</v>
      </c>
      <c r="G528" s="142" t="e">
        <f>SUMIF($A$530:$A$617,A532,$G$530:$G$617)</f>
        <v>#N/A</v>
      </c>
      <c r="H528" s="5"/>
      <c r="I528" s="43"/>
      <c r="J528" s="281">
        <f t="array" ref="J528">SUMPRODUCT(IF($A$530:$A$617=$A533,J$530:J$617,0),$C$530:$C$617)</f>
        <v>49</v>
      </c>
      <c r="K528" s="281">
        <f t="array" ref="K528">SUMPRODUCT(IF($A$530:$A$617=$A533,K$530:K$617,0),$C$530:$C$617)</f>
        <v>0</v>
      </c>
      <c r="L528" s="281">
        <f t="array" ref="L528">SUMPRODUCT(IF($A$530:$A$617=$A533,L$530:L$617,0),$C$530:$C$617)</f>
        <v>0</v>
      </c>
      <c r="M528" s="281">
        <f t="array" ref="M528">SUMPRODUCT(IF($A$530:$A$617=$A533,M$530:M$617,0),$C$530:$C$617)</f>
        <v>0</v>
      </c>
      <c r="N528" s="281">
        <f t="array" ref="N528">SUMPRODUCT(IF($A$530:$A$617=$A533,N$530:N$617,0),$C$530:$C$617)</f>
        <v>0</v>
      </c>
      <c r="O528" s="281">
        <f t="array" ref="O528">SUMPRODUCT(IF($A$530:$A$617=$A533,O$530:O$617,0),$C$530:$C$617)</f>
        <v>0</v>
      </c>
      <c r="P528" s="281">
        <f t="array" ref="P528">SUMPRODUCT(IF($A$530:$A$617=$A533,P$530:P$617,0),$C$530:$C$617)</f>
        <v>0</v>
      </c>
      <c r="Q528" s="281">
        <f t="array" ref="Q528">SUMPRODUCT(IF($A$530:$A$617=$A533,Q$530:Q$617,0),$C$530:$C$617)</f>
        <v>0</v>
      </c>
      <c r="R528" s="282">
        <f>SUM(J528:Q528)</f>
        <v>49</v>
      </c>
    </row>
    <row r="529" spans="1:18" s="244" customFormat="1" ht="20.25" customHeight="1" x14ac:dyDescent="0.2">
      <c r="A529" s="228" t="s">
        <v>48</v>
      </c>
      <c r="B529" s="387" t="str">
        <f>B528</f>
        <v>м</v>
      </c>
      <c r="C529" s="153">
        <f>C526</f>
        <v>16</v>
      </c>
      <c r="D529" s="292"/>
      <c r="E529" s="293"/>
      <c r="F529" s="229">
        <f t="shared" si="30"/>
        <v>14575</v>
      </c>
      <c r="G529" s="142">
        <f>SUMIF($A$530:$A$617,A535,$G$530:$G$617)</f>
        <v>233200</v>
      </c>
      <c r="H529" s="5"/>
      <c r="I529" s="43"/>
      <c r="J529" s="279"/>
      <c r="K529" s="279"/>
      <c r="L529" s="279"/>
      <c r="M529" s="279"/>
      <c r="N529" s="279"/>
      <c r="O529" s="279"/>
      <c r="P529" s="279"/>
      <c r="Q529" s="279"/>
      <c r="R529" s="280"/>
    </row>
    <row r="530" spans="1:18" s="244" customFormat="1" ht="40.5" customHeight="1" x14ac:dyDescent="0.2">
      <c r="A530" s="472" t="s">
        <v>279</v>
      </c>
      <c r="B530" s="389" t="s">
        <v>34</v>
      </c>
      <c r="C530" s="288">
        <v>50.7</v>
      </c>
      <c r="D530" s="289"/>
      <c r="E530" s="289">
        <f>E533</f>
        <v>3</v>
      </c>
      <c r="F530" s="289" t="e">
        <f t="shared" si="30"/>
        <v>#N/A</v>
      </c>
      <c r="G530" s="289" t="e">
        <f>G531+G532+G535</f>
        <v>#N/A</v>
      </c>
      <c r="H530" s="289"/>
      <c r="I530" s="289"/>
      <c r="J530" s="290">
        <f>J533*$I533</f>
        <v>5.07</v>
      </c>
      <c r="K530" s="290">
        <f t="shared" ref="K530:Q530" si="33">K533*$I533</f>
        <v>0</v>
      </c>
      <c r="L530" s="290">
        <f t="shared" si="33"/>
        <v>0</v>
      </c>
      <c r="M530" s="290">
        <f t="shared" si="33"/>
        <v>0</v>
      </c>
      <c r="N530" s="290">
        <f t="shared" si="33"/>
        <v>0</v>
      </c>
      <c r="O530" s="290">
        <f t="shared" si="33"/>
        <v>0</v>
      </c>
      <c r="P530" s="290">
        <f t="shared" si="33"/>
        <v>0</v>
      </c>
      <c r="Q530" s="290">
        <f t="shared" si="33"/>
        <v>0</v>
      </c>
      <c r="R530" s="291">
        <f>SUM(J530:Q530)</f>
        <v>5.07</v>
      </c>
    </row>
    <row r="531" spans="1:18" s="244" customFormat="1" ht="20.25" customHeight="1" x14ac:dyDescent="0.25">
      <c r="A531" s="463" t="s">
        <v>167</v>
      </c>
      <c r="B531" s="374"/>
      <c r="C531" s="93"/>
      <c r="D531" s="93"/>
      <c r="E531" s="93"/>
      <c r="F531" s="94"/>
      <c r="G531" s="94">
        <f>0</f>
        <v>0</v>
      </c>
      <c r="H531" s="95"/>
      <c r="I531" s="93"/>
      <c r="J531" s="95"/>
      <c r="K531" s="95"/>
      <c r="L531" s="95"/>
      <c r="M531" s="95"/>
      <c r="N531" s="95"/>
      <c r="O531" s="95"/>
      <c r="P531" s="95"/>
      <c r="Q531" s="95"/>
      <c r="R531" s="245"/>
    </row>
    <row r="532" spans="1:18" s="244" customFormat="1" ht="20.25" customHeight="1" x14ac:dyDescent="0.25">
      <c r="A532" s="462" t="s">
        <v>0</v>
      </c>
      <c r="B532" s="374"/>
      <c r="C532" s="93"/>
      <c r="D532" s="93"/>
      <c r="E532" s="93"/>
      <c r="F532" s="94"/>
      <c r="G532" s="94" t="e">
        <f>SUM(G533:G534)</f>
        <v>#N/A</v>
      </c>
      <c r="H532" s="95"/>
      <c r="I532" s="93"/>
      <c r="J532" s="93"/>
      <c r="K532" s="93"/>
      <c r="L532" s="93"/>
      <c r="M532" s="93"/>
      <c r="N532" s="93"/>
      <c r="O532" s="93"/>
      <c r="P532" s="93"/>
      <c r="Q532" s="93"/>
      <c r="R532" s="247"/>
    </row>
    <row r="533" spans="1:18" s="244" customFormat="1" ht="20.25" customHeight="1" x14ac:dyDescent="0.2">
      <c r="A533" s="412" t="s">
        <v>260</v>
      </c>
      <c r="B533" s="365" t="s">
        <v>33</v>
      </c>
      <c r="C533" s="151">
        <v>3</v>
      </c>
      <c r="D533" s="97"/>
      <c r="E533" s="92">
        <f>C533*R533</f>
        <v>3</v>
      </c>
      <c r="F533" s="98" t="e">
        <f>VLOOKUP(A533,ГрафикЖД!$B$4:$C$55,2,0)</f>
        <v>#N/A</v>
      </c>
      <c r="G533" s="99" t="e">
        <f>E533*F533</f>
        <v>#N/A</v>
      </c>
      <c r="H533" s="97"/>
      <c r="I533" s="100">
        <f>C530/E533*C533/10</f>
        <v>5.07</v>
      </c>
      <c r="J533" s="77">
        <v>1</v>
      </c>
      <c r="K533" s="77"/>
      <c r="L533" s="77"/>
      <c r="M533" s="77"/>
      <c r="N533" s="77"/>
      <c r="O533" s="77"/>
      <c r="P533" s="77"/>
      <c r="Q533" s="77"/>
      <c r="R533" s="78">
        <f>SUM(J533:Q533)</f>
        <v>1</v>
      </c>
    </row>
    <row r="534" spans="1:18" s="244" customFormat="1" ht="20.25" customHeight="1" x14ac:dyDescent="0.2">
      <c r="A534" s="412" t="s">
        <v>32</v>
      </c>
      <c r="B534" s="375"/>
      <c r="C534" s="99"/>
      <c r="D534" s="97"/>
      <c r="E534" s="97"/>
      <c r="F534" s="99"/>
      <c r="G534" s="99" t="e">
        <f>G533*30.9%</f>
        <v>#N/A</v>
      </c>
      <c r="H534" s="97"/>
      <c r="I534" s="97"/>
      <c r="J534" s="101"/>
      <c r="K534" s="101"/>
      <c r="L534" s="101"/>
      <c r="M534" s="101"/>
      <c r="N534" s="101"/>
      <c r="O534" s="101"/>
      <c r="P534" s="101"/>
      <c r="Q534" s="101"/>
      <c r="R534" s="249"/>
    </row>
    <row r="535" spans="1:18" s="244" customFormat="1" ht="20.25" customHeight="1" x14ac:dyDescent="0.25">
      <c r="A535" s="462" t="s">
        <v>1</v>
      </c>
      <c r="B535" s="374"/>
      <c r="C535" s="93"/>
      <c r="D535" s="93"/>
      <c r="E535" s="93"/>
      <c r="F535" s="94"/>
      <c r="G535" s="94">
        <f>SUM(G536:G537)</f>
        <v>17875</v>
      </c>
      <c r="H535" s="95"/>
      <c r="I535" s="93"/>
      <c r="J535" s="103"/>
      <c r="K535" s="103"/>
      <c r="L535" s="103"/>
      <c r="M535" s="103"/>
      <c r="N535" s="103"/>
      <c r="O535" s="103"/>
      <c r="P535" s="103"/>
      <c r="Q535" s="103"/>
      <c r="R535" s="250"/>
    </row>
    <row r="536" spans="1:18" s="244" customFormat="1" ht="20.25" customHeight="1" x14ac:dyDescent="0.25">
      <c r="A536" s="412" t="s">
        <v>242</v>
      </c>
      <c r="B536" s="376" t="s">
        <v>35</v>
      </c>
      <c r="C536" s="121">
        <v>1</v>
      </c>
      <c r="D536" s="106"/>
      <c r="E536" s="92">
        <f>C536*R536</f>
        <v>0.5</v>
      </c>
      <c r="F536" s="98">
        <f>VLOOKUP(A536,ГрафикЖД!$B$4:$C$55,2,0)</f>
        <v>19250</v>
      </c>
      <c r="G536" s="99">
        <f>E536*F536</f>
        <v>9625</v>
      </c>
      <c r="H536" s="106"/>
      <c r="I536" s="100">
        <f>C530/E536*C536</f>
        <v>101.4</v>
      </c>
      <c r="J536" s="100">
        <v>0.5</v>
      </c>
      <c r="K536" s="100"/>
      <c r="L536" s="100"/>
      <c r="M536" s="152"/>
      <c r="N536" s="100"/>
      <c r="O536" s="100"/>
      <c r="P536" s="100"/>
      <c r="Q536" s="152"/>
      <c r="R536" s="248">
        <f>SUM(J536:Q536)</f>
        <v>0.5</v>
      </c>
    </row>
    <row r="537" spans="1:18" s="244" customFormat="1" ht="20.25" customHeight="1" x14ac:dyDescent="0.25">
      <c r="A537" s="415" t="s">
        <v>241</v>
      </c>
      <c r="B537" s="376" t="s">
        <v>35</v>
      </c>
      <c r="C537" s="121">
        <v>1</v>
      </c>
      <c r="D537" s="106"/>
      <c r="E537" s="92">
        <f>C537*R537</f>
        <v>0.5</v>
      </c>
      <c r="F537" s="98">
        <f>VLOOKUP(A537,ГрафикЖД!$B$4:$C$55,2,0)</f>
        <v>16500</v>
      </c>
      <c r="G537" s="99">
        <f>E537*F537</f>
        <v>8250</v>
      </c>
      <c r="H537" s="106"/>
      <c r="I537" s="100">
        <f>C530/E537*C537</f>
        <v>101.4</v>
      </c>
      <c r="J537" s="100">
        <v>0.5</v>
      </c>
      <c r="K537" s="100"/>
      <c r="L537" s="100"/>
      <c r="M537" s="152"/>
      <c r="N537" s="100"/>
      <c r="O537" s="100"/>
      <c r="P537" s="100"/>
      <c r="Q537" s="152"/>
      <c r="R537" s="248">
        <f>SUM(J537:Q537)</f>
        <v>0.5</v>
      </c>
    </row>
    <row r="538" spans="1:18" s="244" customFormat="1" ht="36" customHeight="1" x14ac:dyDescent="0.2">
      <c r="A538" s="470" t="s">
        <v>280</v>
      </c>
      <c r="B538" s="390" t="s">
        <v>34</v>
      </c>
      <c r="C538" s="284">
        <v>12.2</v>
      </c>
      <c r="D538" s="194"/>
      <c r="E538" s="194">
        <f>E542</f>
        <v>1.5</v>
      </c>
      <c r="F538" s="194" t="e">
        <f>G538/C538</f>
        <v>#N/A</v>
      </c>
      <c r="G538" s="194" t="e">
        <f>G539+G541+G544</f>
        <v>#N/A</v>
      </c>
      <c r="H538" s="194"/>
      <c r="I538" s="194"/>
      <c r="J538" s="216">
        <f>J542*$I542</f>
        <v>12.2</v>
      </c>
      <c r="K538" s="216">
        <f t="shared" ref="K538:Q538" si="34">K542*$I542</f>
        <v>0</v>
      </c>
      <c r="L538" s="216">
        <f t="shared" si="34"/>
        <v>0</v>
      </c>
      <c r="M538" s="216">
        <f t="shared" si="34"/>
        <v>0</v>
      </c>
      <c r="N538" s="216">
        <f t="shared" si="34"/>
        <v>0</v>
      </c>
      <c r="O538" s="216">
        <f t="shared" si="34"/>
        <v>0</v>
      </c>
      <c r="P538" s="216">
        <f t="shared" si="34"/>
        <v>0</v>
      </c>
      <c r="Q538" s="216">
        <f t="shared" si="34"/>
        <v>0</v>
      </c>
      <c r="R538" s="285">
        <f>SUM(J538:Q538)</f>
        <v>12.2</v>
      </c>
    </row>
    <row r="539" spans="1:18" s="244" customFormat="1" ht="20.25" customHeight="1" x14ac:dyDescent="0.25">
      <c r="A539" s="463" t="s">
        <v>167</v>
      </c>
      <c r="B539" s="374"/>
      <c r="C539" s="93"/>
      <c r="D539" s="93"/>
      <c r="E539" s="93"/>
      <c r="F539" s="94"/>
      <c r="G539" s="94">
        <f>G540</f>
        <v>19764</v>
      </c>
      <c r="H539" s="95"/>
      <c r="I539" s="93"/>
      <c r="J539" s="95"/>
      <c r="K539" s="95"/>
      <c r="L539" s="95"/>
      <c r="M539" s="95"/>
      <c r="N539" s="95"/>
      <c r="O539" s="95"/>
      <c r="P539" s="95"/>
      <c r="Q539" s="95"/>
      <c r="R539" s="245"/>
    </row>
    <row r="540" spans="1:18" s="244" customFormat="1" ht="20.25" customHeight="1" x14ac:dyDescent="0.25">
      <c r="A540" s="412" t="s">
        <v>309</v>
      </c>
      <c r="B540" s="365" t="s">
        <v>34</v>
      </c>
      <c r="C540" s="151">
        <f>12.2*1.2</f>
        <v>14.639999999999999</v>
      </c>
      <c r="D540" s="96"/>
      <c r="E540" s="151"/>
      <c r="F540" s="96">
        <v>1350</v>
      </c>
      <c r="G540" s="110">
        <f>C540*F540</f>
        <v>19764</v>
      </c>
      <c r="H540" s="96"/>
      <c r="I540" s="108"/>
      <c r="J540" s="106"/>
      <c r="K540" s="106"/>
      <c r="L540" s="106"/>
      <c r="M540" s="106"/>
      <c r="N540" s="106"/>
      <c r="O540" s="106"/>
      <c r="P540" s="106"/>
      <c r="Q540" s="106"/>
      <c r="R540" s="246"/>
    </row>
    <row r="541" spans="1:18" s="244" customFormat="1" ht="20.25" customHeight="1" x14ac:dyDescent="0.25">
      <c r="A541" s="462" t="s">
        <v>0</v>
      </c>
      <c r="B541" s="374"/>
      <c r="C541" s="93"/>
      <c r="D541" s="93"/>
      <c r="E541" s="93"/>
      <c r="F541" s="94"/>
      <c r="G541" s="94" t="e">
        <f>SUM(G542:G543)</f>
        <v>#N/A</v>
      </c>
      <c r="H541" s="95"/>
      <c r="I541" s="93"/>
      <c r="J541" s="93"/>
      <c r="K541" s="93"/>
      <c r="L541" s="93"/>
      <c r="M541" s="93"/>
      <c r="N541" s="93"/>
      <c r="O541" s="93"/>
      <c r="P541" s="93"/>
      <c r="Q541" s="93"/>
      <c r="R541" s="247"/>
    </row>
    <row r="542" spans="1:18" s="244" customFormat="1" ht="20.25" customHeight="1" x14ac:dyDescent="0.2">
      <c r="A542" s="412" t="s">
        <v>260</v>
      </c>
      <c r="B542" s="365" t="s">
        <v>33</v>
      </c>
      <c r="C542" s="151">
        <v>3</v>
      </c>
      <c r="D542" s="97"/>
      <c r="E542" s="92">
        <f>C542*R542</f>
        <v>1.5</v>
      </c>
      <c r="F542" s="98" t="e">
        <f>VLOOKUP(A542,ГрафикЖД!$B$4:$C$55,2,0)</f>
        <v>#N/A</v>
      </c>
      <c r="G542" s="99" t="e">
        <f>E542*F542</f>
        <v>#N/A</v>
      </c>
      <c r="H542" s="97"/>
      <c r="I542" s="100">
        <f>C538/E542*C542</f>
        <v>24.4</v>
      </c>
      <c r="J542" s="77">
        <v>0.5</v>
      </c>
      <c r="K542" s="77"/>
      <c r="L542" s="77"/>
      <c r="M542" s="77"/>
      <c r="N542" s="77"/>
      <c r="O542" s="77"/>
      <c r="P542" s="77"/>
      <c r="Q542" s="77"/>
      <c r="R542" s="78">
        <f>SUM(J542:Q542)</f>
        <v>0.5</v>
      </c>
    </row>
    <row r="543" spans="1:18" s="244" customFormat="1" ht="20.25" customHeight="1" x14ac:dyDescent="0.2">
      <c r="A543" s="412" t="s">
        <v>32</v>
      </c>
      <c r="B543" s="375"/>
      <c r="C543" s="99"/>
      <c r="D543" s="97"/>
      <c r="E543" s="97"/>
      <c r="F543" s="99"/>
      <c r="G543" s="99" t="e">
        <f>G542*30.9%</f>
        <v>#N/A</v>
      </c>
      <c r="H543" s="97"/>
      <c r="I543" s="97"/>
      <c r="J543" s="101"/>
      <c r="K543" s="101"/>
      <c r="L543" s="101"/>
      <c r="M543" s="101"/>
      <c r="N543" s="101"/>
      <c r="O543" s="101"/>
      <c r="P543" s="101"/>
      <c r="Q543" s="101"/>
      <c r="R543" s="249"/>
    </row>
    <row r="544" spans="1:18" s="244" customFormat="1" ht="20.25" customHeight="1" x14ac:dyDescent="0.25">
      <c r="A544" s="462" t="s">
        <v>1</v>
      </c>
      <c r="B544" s="374"/>
      <c r="C544" s="93"/>
      <c r="D544" s="93"/>
      <c r="E544" s="93"/>
      <c r="F544" s="94"/>
      <c r="G544" s="94">
        <f>SUM(G545:G545)</f>
        <v>9625</v>
      </c>
      <c r="H544" s="95"/>
      <c r="I544" s="93"/>
      <c r="J544" s="103"/>
      <c r="K544" s="103"/>
      <c r="L544" s="103"/>
      <c r="M544" s="103"/>
      <c r="N544" s="103"/>
      <c r="O544" s="103"/>
      <c r="P544" s="103"/>
      <c r="Q544" s="103"/>
      <c r="R544" s="250"/>
    </row>
    <row r="545" spans="1:18" s="244" customFormat="1" ht="20.25" customHeight="1" x14ac:dyDescent="0.25">
      <c r="A545" s="412" t="s">
        <v>242</v>
      </c>
      <c r="B545" s="376" t="s">
        <v>35</v>
      </c>
      <c r="C545" s="92">
        <v>1</v>
      </c>
      <c r="D545" s="106"/>
      <c r="E545" s="92">
        <f>C545*R545</f>
        <v>0.5</v>
      </c>
      <c r="F545" s="98">
        <f>VLOOKUP(A545,ГрафикЖД!$B$4:$C$55,2,0)</f>
        <v>19250</v>
      </c>
      <c r="G545" s="99">
        <f>E545*F545</f>
        <v>9625</v>
      </c>
      <c r="H545" s="106"/>
      <c r="I545" s="100">
        <f>C536/E545*C545</f>
        <v>2</v>
      </c>
      <c r="J545" s="100">
        <v>0.5</v>
      </c>
      <c r="K545" s="100"/>
      <c r="L545" s="100"/>
      <c r="M545" s="152"/>
      <c r="N545" s="100"/>
      <c r="O545" s="100"/>
      <c r="P545" s="100"/>
      <c r="Q545" s="152"/>
      <c r="R545" s="248">
        <f>SUM(J545:Q545)</f>
        <v>0.5</v>
      </c>
    </row>
    <row r="546" spans="1:18" s="244" customFormat="1" ht="39" customHeight="1" x14ac:dyDescent="0.2">
      <c r="A546" s="470" t="s">
        <v>315</v>
      </c>
      <c r="B546" s="390" t="s">
        <v>314</v>
      </c>
      <c r="C546" s="284">
        <v>33</v>
      </c>
      <c r="D546" s="194"/>
      <c r="E546" s="194">
        <f>E549</f>
        <v>9</v>
      </c>
      <c r="F546" s="194" t="e">
        <f>G546/C546</f>
        <v>#N/A</v>
      </c>
      <c r="G546" s="194" t="e">
        <f>G547+G548+G551</f>
        <v>#N/A</v>
      </c>
      <c r="H546" s="194"/>
      <c r="I546" s="194"/>
      <c r="J546" s="216">
        <f>J549*$I549</f>
        <v>33</v>
      </c>
      <c r="K546" s="216">
        <f t="shared" ref="K546:Q546" si="35">K549*$I549</f>
        <v>0</v>
      </c>
      <c r="L546" s="216">
        <f t="shared" si="35"/>
        <v>0</v>
      </c>
      <c r="M546" s="216">
        <f t="shared" si="35"/>
        <v>0</v>
      </c>
      <c r="N546" s="216">
        <f t="shared" si="35"/>
        <v>0</v>
      </c>
      <c r="O546" s="216">
        <f t="shared" si="35"/>
        <v>0</v>
      </c>
      <c r="P546" s="216">
        <f t="shared" si="35"/>
        <v>0</v>
      </c>
      <c r="Q546" s="216">
        <f t="shared" si="35"/>
        <v>0</v>
      </c>
      <c r="R546" s="285">
        <f>SUM(J546:Q546)</f>
        <v>33</v>
      </c>
    </row>
    <row r="547" spans="1:18" s="244" customFormat="1" ht="20.25" customHeight="1" x14ac:dyDescent="0.25">
      <c r="A547" s="463" t="s">
        <v>167</v>
      </c>
      <c r="B547" s="374"/>
      <c r="C547" s="93"/>
      <c r="D547" s="93"/>
      <c r="E547" s="93"/>
      <c r="F547" s="94"/>
      <c r="G547" s="94">
        <v>0</v>
      </c>
      <c r="H547" s="95"/>
      <c r="I547" s="93"/>
      <c r="J547" s="95"/>
      <c r="K547" s="95"/>
      <c r="L547" s="95"/>
      <c r="M547" s="95"/>
      <c r="N547" s="95"/>
      <c r="O547" s="95"/>
      <c r="P547" s="95"/>
      <c r="Q547" s="95"/>
      <c r="R547" s="245"/>
    </row>
    <row r="548" spans="1:18" s="244" customFormat="1" ht="20.25" customHeight="1" x14ac:dyDescent="0.25">
      <c r="A548" s="462" t="s">
        <v>0</v>
      </c>
      <c r="B548" s="374"/>
      <c r="C548" s="93"/>
      <c r="D548" s="93"/>
      <c r="E548" s="93"/>
      <c r="F548" s="94"/>
      <c r="G548" s="94" t="e">
        <f>SUM(G549:G550)</f>
        <v>#N/A</v>
      </c>
      <c r="H548" s="95"/>
      <c r="I548" s="93"/>
      <c r="J548" s="93"/>
      <c r="K548" s="93"/>
      <c r="L548" s="93"/>
      <c r="M548" s="93"/>
      <c r="N548" s="93"/>
      <c r="O548" s="93"/>
      <c r="P548" s="93"/>
      <c r="Q548" s="93"/>
      <c r="R548" s="247"/>
    </row>
    <row r="549" spans="1:18" s="244" customFormat="1" ht="20.25" customHeight="1" x14ac:dyDescent="0.2">
      <c r="A549" s="412" t="s">
        <v>260</v>
      </c>
      <c r="B549" s="365" t="s">
        <v>33</v>
      </c>
      <c r="C549" s="151">
        <v>3</v>
      </c>
      <c r="D549" s="97"/>
      <c r="E549" s="92">
        <f>C549*R549</f>
        <v>9</v>
      </c>
      <c r="F549" s="98" t="e">
        <f>VLOOKUP(A549,ГрафикЖД!$B$4:$C$55,2,0)</f>
        <v>#N/A</v>
      </c>
      <c r="G549" s="99" t="e">
        <f>E549*F549</f>
        <v>#N/A</v>
      </c>
      <c r="H549" s="97"/>
      <c r="I549" s="100">
        <f>C546/E549*C549</f>
        <v>11</v>
      </c>
      <c r="J549" s="77">
        <v>3</v>
      </c>
      <c r="K549" s="77"/>
      <c r="L549" s="77"/>
      <c r="M549" s="77"/>
      <c r="N549" s="77"/>
      <c r="O549" s="77"/>
      <c r="P549" s="77"/>
      <c r="Q549" s="77"/>
      <c r="R549" s="78">
        <f>SUM(J549:Q549)</f>
        <v>3</v>
      </c>
    </row>
    <row r="550" spans="1:18" s="244" customFormat="1" ht="20.25" customHeight="1" x14ac:dyDescent="0.2">
      <c r="A550" s="412" t="s">
        <v>32</v>
      </c>
      <c r="B550" s="375"/>
      <c r="C550" s="99"/>
      <c r="D550" s="97"/>
      <c r="E550" s="97"/>
      <c r="F550" s="99"/>
      <c r="G550" s="99" t="e">
        <f>G549*30.9%</f>
        <v>#N/A</v>
      </c>
      <c r="H550" s="97"/>
      <c r="I550" s="97"/>
      <c r="J550" s="101"/>
      <c r="K550" s="101"/>
      <c r="L550" s="101"/>
      <c r="M550" s="101"/>
      <c r="N550" s="101"/>
      <c r="O550" s="101"/>
      <c r="P550" s="101"/>
      <c r="Q550" s="101"/>
      <c r="R550" s="249"/>
    </row>
    <row r="551" spans="1:18" s="244" customFormat="1" ht="20.25" customHeight="1" x14ac:dyDescent="0.25">
      <c r="A551" s="462" t="s">
        <v>1</v>
      </c>
      <c r="B551" s="374"/>
      <c r="C551" s="93"/>
      <c r="D551" s="93"/>
      <c r="E551" s="93"/>
      <c r="F551" s="94"/>
      <c r="G551" s="94">
        <f>SUM(G552:G552)</f>
        <v>62700</v>
      </c>
      <c r="H551" s="95"/>
      <c r="I551" s="93"/>
      <c r="J551" s="103"/>
      <c r="K551" s="103"/>
      <c r="L551" s="103"/>
      <c r="M551" s="103"/>
      <c r="N551" s="103"/>
      <c r="O551" s="103"/>
      <c r="P551" s="103"/>
      <c r="Q551" s="103"/>
      <c r="R551" s="250"/>
    </row>
    <row r="552" spans="1:18" s="244" customFormat="1" ht="20.25" customHeight="1" x14ac:dyDescent="0.25">
      <c r="A552" s="415" t="s">
        <v>240</v>
      </c>
      <c r="B552" s="376" t="s">
        <v>35</v>
      </c>
      <c r="C552" s="92">
        <v>1</v>
      </c>
      <c r="D552" s="106"/>
      <c r="E552" s="92">
        <f>C552*R552</f>
        <v>3</v>
      </c>
      <c r="F552" s="98">
        <f>VLOOKUP(A552,ГрафикЖД!$B$4:$C$55,2,0)</f>
        <v>20900</v>
      </c>
      <c r="G552" s="99">
        <f>E552*F552</f>
        <v>62700</v>
      </c>
      <c r="H552" s="106"/>
      <c r="I552" s="100">
        <f>C546/E552*C552</f>
        <v>11</v>
      </c>
      <c r="J552" s="100">
        <v>3</v>
      </c>
      <c r="K552" s="100"/>
      <c r="L552" s="100"/>
      <c r="M552" s="152"/>
      <c r="N552" s="100"/>
      <c r="O552" s="100"/>
      <c r="P552" s="100"/>
      <c r="Q552" s="152"/>
      <c r="R552" s="248">
        <f>SUM(J552:Q552)</f>
        <v>3</v>
      </c>
    </row>
    <row r="553" spans="1:18" s="244" customFormat="1" ht="40.5" customHeight="1" x14ac:dyDescent="0.2">
      <c r="A553" s="470" t="s">
        <v>281</v>
      </c>
      <c r="B553" s="390" t="s">
        <v>35</v>
      </c>
      <c r="C553" s="284">
        <v>33</v>
      </c>
      <c r="D553" s="194"/>
      <c r="E553" s="194">
        <f>E570</f>
        <v>25</v>
      </c>
      <c r="F553" s="194" t="e">
        <f>G553/C553</f>
        <v>#N/A</v>
      </c>
      <c r="G553" s="194" t="e">
        <f>G554+G569+G572</f>
        <v>#N/A</v>
      </c>
      <c r="H553" s="194"/>
      <c r="I553" s="194"/>
      <c r="J553" s="216">
        <f>J570*$I570</f>
        <v>33</v>
      </c>
      <c r="K553" s="216">
        <f t="shared" ref="K553:Q553" si="36">K570*$I570</f>
        <v>0</v>
      </c>
      <c r="L553" s="216">
        <f t="shared" si="36"/>
        <v>0</v>
      </c>
      <c r="M553" s="216">
        <f t="shared" si="36"/>
        <v>0</v>
      </c>
      <c r="N553" s="216">
        <f t="shared" si="36"/>
        <v>0</v>
      </c>
      <c r="O553" s="216">
        <f t="shared" si="36"/>
        <v>0</v>
      </c>
      <c r="P553" s="216">
        <f t="shared" si="36"/>
        <v>0</v>
      </c>
      <c r="Q553" s="216">
        <f t="shared" si="36"/>
        <v>0</v>
      </c>
      <c r="R553" s="285">
        <f>SUM(J553:Q553)</f>
        <v>33</v>
      </c>
    </row>
    <row r="554" spans="1:18" s="287" customFormat="1" ht="20.25" customHeight="1" x14ac:dyDescent="0.2">
      <c r="A554" s="473" t="s">
        <v>167</v>
      </c>
      <c r="B554" s="373"/>
      <c r="C554" s="306"/>
      <c r="D554" s="306"/>
      <c r="E554" s="306"/>
      <c r="F554" s="307"/>
      <c r="G554" s="307">
        <f>SUM(G555:G568)</f>
        <v>1017750</v>
      </c>
      <c r="H554" s="308"/>
      <c r="I554" s="306"/>
      <c r="J554" s="308"/>
      <c r="K554" s="308"/>
      <c r="L554" s="308"/>
      <c r="M554" s="308"/>
      <c r="N554" s="308"/>
      <c r="O554" s="308"/>
      <c r="P554" s="308"/>
      <c r="Q554" s="308"/>
      <c r="R554" s="432"/>
    </row>
    <row r="555" spans="1:18" s="244" customFormat="1" ht="20.25" customHeight="1" outlineLevel="1" x14ac:dyDescent="0.25">
      <c r="A555" s="412" t="s">
        <v>282</v>
      </c>
      <c r="B555" s="376" t="s">
        <v>35</v>
      </c>
      <c r="C555" s="151">
        <v>6</v>
      </c>
      <c r="D555" s="96"/>
      <c r="E555" s="151"/>
      <c r="F555" s="96">
        <v>22000</v>
      </c>
      <c r="G555" s="110">
        <f t="shared" ref="G555:G568" si="37">C555*F555</f>
        <v>132000</v>
      </c>
      <c r="H555" s="96"/>
      <c r="I555" s="108"/>
      <c r="J555" s="106"/>
      <c r="K555" s="106"/>
      <c r="L555" s="106"/>
      <c r="M555" s="106"/>
      <c r="N555" s="106"/>
      <c r="O555" s="106"/>
      <c r="P555" s="106"/>
      <c r="Q555" s="106"/>
      <c r="R555" s="246"/>
    </row>
    <row r="556" spans="1:18" s="244" customFormat="1" ht="20.25" customHeight="1" outlineLevel="1" x14ac:dyDescent="0.25">
      <c r="A556" s="412" t="s">
        <v>283</v>
      </c>
      <c r="B556" s="376" t="s">
        <v>35</v>
      </c>
      <c r="C556" s="151">
        <v>1</v>
      </c>
      <c r="D556" s="96"/>
      <c r="E556" s="151"/>
      <c r="F556" s="96">
        <v>16000</v>
      </c>
      <c r="G556" s="110">
        <f t="shared" si="37"/>
        <v>16000</v>
      </c>
      <c r="H556" s="96"/>
      <c r="I556" s="108"/>
      <c r="J556" s="106"/>
      <c r="K556" s="106"/>
      <c r="L556" s="106"/>
      <c r="M556" s="106"/>
      <c r="N556" s="106"/>
      <c r="O556" s="106"/>
      <c r="P556" s="106"/>
      <c r="Q556" s="106"/>
      <c r="R556" s="246"/>
    </row>
    <row r="557" spans="1:18" s="244" customFormat="1" ht="20.25" customHeight="1" outlineLevel="1" x14ac:dyDescent="0.25">
      <c r="A557" s="412" t="s">
        <v>284</v>
      </c>
      <c r="B557" s="376" t="s">
        <v>35</v>
      </c>
      <c r="C557" s="151">
        <v>2</v>
      </c>
      <c r="D557" s="96"/>
      <c r="E557" s="151"/>
      <c r="F557" s="96">
        <v>25000</v>
      </c>
      <c r="G557" s="110">
        <f t="shared" si="37"/>
        <v>50000</v>
      </c>
      <c r="H557" s="96"/>
      <c r="I557" s="108"/>
      <c r="J557" s="106"/>
      <c r="K557" s="106"/>
      <c r="L557" s="106"/>
      <c r="M557" s="106"/>
      <c r="N557" s="106"/>
      <c r="O557" s="106"/>
      <c r="P557" s="106"/>
      <c r="Q557" s="106"/>
      <c r="R557" s="246"/>
    </row>
    <row r="558" spans="1:18" s="244" customFormat="1" ht="20.25" customHeight="1" outlineLevel="1" x14ac:dyDescent="0.25">
      <c r="A558" s="412" t="s">
        <v>285</v>
      </c>
      <c r="B558" s="376" t="s">
        <v>35</v>
      </c>
      <c r="C558" s="151">
        <v>2</v>
      </c>
      <c r="D558" s="96"/>
      <c r="E558" s="151"/>
      <c r="F558" s="96">
        <v>64000</v>
      </c>
      <c r="G558" s="110">
        <f t="shared" si="37"/>
        <v>128000</v>
      </c>
      <c r="H558" s="96"/>
      <c r="I558" s="108"/>
      <c r="J558" s="106"/>
      <c r="K558" s="106"/>
      <c r="L558" s="106"/>
      <c r="M558" s="106"/>
      <c r="N558" s="106"/>
      <c r="O558" s="106"/>
      <c r="P558" s="106"/>
      <c r="Q558" s="106"/>
      <c r="R558" s="246"/>
    </row>
    <row r="559" spans="1:18" s="244" customFormat="1" ht="20.25" customHeight="1" outlineLevel="1" x14ac:dyDescent="0.25">
      <c r="A559" s="412" t="s">
        <v>286</v>
      </c>
      <c r="B559" s="376" t="s">
        <v>35</v>
      </c>
      <c r="C559" s="151">
        <v>5</v>
      </c>
      <c r="D559" s="96"/>
      <c r="E559" s="151"/>
      <c r="F559" s="96">
        <v>24000</v>
      </c>
      <c r="G559" s="110">
        <f t="shared" si="37"/>
        <v>120000</v>
      </c>
      <c r="H559" s="96"/>
      <c r="I559" s="108"/>
      <c r="J559" s="106"/>
      <c r="K559" s="106"/>
      <c r="L559" s="106"/>
      <c r="M559" s="106"/>
      <c r="N559" s="106"/>
      <c r="O559" s="106"/>
      <c r="P559" s="106"/>
      <c r="Q559" s="106"/>
      <c r="R559" s="246"/>
    </row>
    <row r="560" spans="1:18" s="244" customFormat="1" ht="20.25" customHeight="1" outlineLevel="1" x14ac:dyDescent="0.25">
      <c r="A560" s="412" t="s">
        <v>287</v>
      </c>
      <c r="B560" s="376" t="s">
        <v>35</v>
      </c>
      <c r="C560" s="151">
        <v>1</v>
      </c>
      <c r="D560" s="96"/>
      <c r="E560" s="151"/>
      <c r="F560" s="96">
        <v>30000</v>
      </c>
      <c r="G560" s="110">
        <f t="shared" si="37"/>
        <v>30000</v>
      </c>
      <c r="H560" s="96"/>
      <c r="I560" s="108"/>
      <c r="J560" s="106"/>
      <c r="K560" s="106"/>
      <c r="L560" s="106"/>
      <c r="M560" s="106"/>
      <c r="N560" s="106"/>
      <c r="O560" s="106"/>
      <c r="P560" s="106"/>
      <c r="Q560" s="106"/>
      <c r="R560" s="246"/>
    </row>
    <row r="561" spans="1:18" s="244" customFormat="1" ht="20.25" customHeight="1" outlineLevel="1" x14ac:dyDescent="0.25">
      <c r="A561" s="412" t="s">
        <v>288</v>
      </c>
      <c r="B561" s="376" t="s">
        <v>35</v>
      </c>
      <c r="C561" s="151">
        <v>2</v>
      </c>
      <c r="D561" s="96"/>
      <c r="E561" s="151"/>
      <c r="F561" s="96">
        <v>60000</v>
      </c>
      <c r="G561" s="110">
        <f t="shared" si="37"/>
        <v>120000</v>
      </c>
      <c r="H561" s="96"/>
      <c r="I561" s="108"/>
      <c r="J561" s="106"/>
      <c r="K561" s="106"/>
      <c r="L561" s="106"/>
      <c r="M561" s="106"/>
      <c r="N561" s="106"/>
      <c r="O561" s="106"/>
      <c r="P561" s="106"/>
      <c r="Q561" s="106"/>
      <c r="R561" s="246"/>
    </row>
    <row r="562" spans="1:18" s="244" customFormat="1" ht="20.25" customHeight="1" outlineLevel="1" x14ac:dyDescent="0.25">
      <c r="A562" s="412" t="s">
        <v>289</v>
      </c>
      <c r="B562" s="376" t="s">
        <v>35</v>
      </c>
      <c r="C562" s="151">
        <v>2</v>
      </c>
      <c r="D562" s="96"/>
      <c r="E562" s="151"/>
      <c r="F562" s="96">
        <v>35000</v>
      </c>
      <c r="G562" s="110">
        <f t="shared" si="37"/>
        <v>70000</v>
      </c>
      <c r="H562" s="96"/>
      <c r="I562" s="108"/>
      <c r="J562" s="106"/>
      <c r="K562" s="106"/>
      <c r="L562" s="106"/>
      <c r="M562" s="106"/>
      <c r="N562" s="106"/>
      <c r="O562" s="106"/>
      <c r="P562" s="106"/>
      <c r="Q562" s="106"/>
      <c r="R562" s="246"/>
    </row>
    <row r="563" spans="1:18" s="244" customFormat="1" ht="20.25" customHeight="1" outlineLevel="1" x14ac:dyDescent="0.25">
      <c r="A563" s="412" t="s">
        <v>290</v>
      </c>
      <c r="B563" s="376" t="s">
        <v>35</v>
      </c>
      <c r="C563" s="151">
        <v>2</v>
      </c>
      <c r="D563" s="96"/>
      <c r="E563" s="151"/>
      <c r="F563" s="96">
        <v>35000</v>
      </c>
      <c r="G563" s="110">
        <f t="shared" si="37"/>
        <v>70000</v>
      </c>
      <c r="H563" s="96"/>
      <c r="I563" s="108"/>
      <c r="J563" s="106"/>
      <c r="K563" s="106"/>
      <c r="L563" s="106"/>
      <c r="M563" s="106"/>
      <c r="N563" s="106"/>
      <c r="O563" s="106"/>
      <c r="P563" s="106"/>
      <c r="Q563" s="106"/>
      <c r="R563" s="246"/>
    </row>
    <row r="564" spans="1:18" s="244" customFormat="1" ht="20.25" customHeight="1" outlineLevel="1" x14ac:dyDescent="0.25">
      <c r="A564" s="412" t="s">
        <v>291</v>
      </c>
      <c r="B564" s="376" t="s">
        <v>35</v>
      </c>
      <c r="C564" s="151">
        <v>2</v>
      </c>
      <c r="D564" s="96"/>
      <c r="E564" s="151"/>
      <c r="F564" s="96">
        <v>25000</v>
      </c>
      <c r="G564" s="110">
        <f t="shared" si="37"/>
        <v>50000</v>
      </c>
      <c r="H564" s="96"/>
      <c r="I564" s="108"/>
      <c r="J564" s="106"/>
      <c r="K564" s="106"/>
      <c r="L564" s="106"/>
      <c r="M564" s="106"/>
      <c r="N564" s="106"/>
      <c r="O564" s="106"/>
      <c r="P564" s="106"/>
      <c r="Q564" s="106"/>
      <c r="R564" s="246"/>
    </row>
    <row r="565" spans="1:18" s="244" customFormat="1" ht="20.25" customHeight="1" outlineLevel="1" x14ac:dyDescent="0.25">
      <c r="A565" s="412" t="s">
        <v>292</v>
      </c>
      <c r="B565" s="376" t="s">
        <v>35</v>
      </c>
      <c r="C565" s="151">
        <v>2</v>
      </c>
      <c r="D565" s="96"/>
      <c r="E565" s="151"/>
      <c r="F565" s="96">
        <v>18000</v>
      </c>
      <c r="G565" s="110">
        <f t="shared" si="37"/>
        <v>36000</v>
      </c>
      <c r="H565" s="96"/>
      <c r="I565" s="108"/>
      <c r="J565" s="106"/>
      <c r="K565" s="106"/>
      <c r="L565" s="106"/>
      <c r="M565" s="106"/>
      <c r="N565" s="106"/>
      <c r="O565" s="106"/>
      <c r="P565" s="106"/>
      <c r="Q565" s="106"/>
      <c r="R565" s="246"/>
    </row>
    <row r="566" spans="1:18" s="244" customFormat="1" ht="20.25" customHeight="1" outlineLevel="1" x14ac:dyDescent="0.25">
      <c r="A566" s="412" t="s">
        <v>293</v>
      </c>
      <c r="B566" s="376" t="s">
        <v>35</v>
      </c>
      <c r="C566" s="151">
        <v>2</v>
      </c>
      <c r="D566" s="96"/>
      <c r="E566" s="151"/>
      <c r="F566" s="96">
        <v>29000</v>
      </c>
      <c r="G566" s="110">
        <f t="shared" si="37"/>
        <v>58000</v>
      </c>
      <c r="H566" s="96"/>
      <c r="I566" s="108"/>
      <c r="J566" s="106"/>
      <c r="K566" s="106"/>
      <c r="L566" s="106"/>
      <c r="M566" s="106"/>
      <c r="N566" s="106"/>
      <c r="O566" s="106"/>
      <c r="P566" s="106"/>
      <c r="Q566" s="106"/>
      <c r="R566" s="246"/>
    </row>
    <row r="567" spans="1:18" s="244" customFormat="1" ht="20.25" customHeight="1" outlineLevel="1" x14ac:dyDescent="0.25">
      <c r="A567" s="412" t="s">
        <v>294</v>
      </c>
      <c r="B567" s="376" t="s">
        <v>35</v>
      </c>
      <c r="C567" s="151">
        <v>4</v>
      </c>
      <c r="D567" s="96"/>
      <c r="E567" s="151"/>
      <c r="F567" s="96">
        <v>32000</v>
      </c>
      <c r="G567" s="110">
        <f t="shared" si="37"/>
        <v>128000</v>
      </c>
      <c r="H567" s="96"/>
      <c r="I567" s="108"/>
      <c r="J567" s="106"/>
      <c r="K567" s="106"/>
      <c r="L567" s="106"/>
      <c r="M567" s="106"/>
      <c r="N567" s="106"/>
      <c r="O567" s="106"/>
      <c r="P567" s="106"/>
      <c r="Q567" s="106"/>
      <c r="R567" s="246"/>
    </row>
    <row r="568" spans="1:18" s="244" customFormat="1" ht="20.25" customHeight="1" outlineLevel="1" x14ac:dyDescent="0.25">
      <c r="A568" s="412" t="s">
        <v>295</v>
      </c>
      <c r="B568" s="365" t="s">
        <v>34</v>
      </c>
      <c r="C568" s="121">
        <v>1.5</v>
      </c>
      <c r="D568" s="96"/>
      <c r="E568" s="151"/>
      <c r="F568" s="96">
        <v>6500</v>
      </c>
      <c r="G568" s="110">
        <f t="shared" si="37"/>
        <v>9750</v>
      </c>
      <c r="H568" s="96"/>
      <c r="I568" s="108"/>
      <c r="J568" s="106"/>
      <c r="K568" s="106"/>
      <c r="L568" s="106"/>
      <c r="M568" s="106"/>
      <c r="N568" s="106"/>
      <c r="O568" s="106"/>
      <c r="P568" s="106"/>
      <c r="Q568" s="106"/>
      <c r="R568" s="246"/>
    </row>
    <row r="569" spans="1:18" s="244" customFormat="1" ht="20.25" customHeight="1" x14ac:dyDescent="0.25">
      <c r="A569" s="462" t="s">
        <v>0</v>
      </c>
      <c r="B569" s="374"/>
      <c r="C569" s="93"/>
      <c r="D569" s="93"/>
      <c r="E569" s="93"/>
      <c r="F569" s="94"/>
      <c r="G569" s="94" t="e">
        <f>SUM(G570:G571)</f>
        <v>#N/A</v>
      </c>
      <c r="H569" s="95"/>
      <c r="I569" s="93"/>
      <c r="J569" s="93"/>
      <c r="K569" s="93"/>
      <c r="L569" s="93"/>
      <c r="M569" s="93"/>
      <c r="N569" s="93"/>
      <c r="O569" s="93"/>
      <c r="P569" s="93"/>
      <c r="Q569" s="93"/>
      <c r="R569" s="247"/>
    </row>
    <row r="570" spans="1:18" s="244" customFormat="1" ht="20.25" customHeight="1" x14ac:dyDescent="0.2">
      <c r="A570" s="412" t="s">
        <v>260</v>
      </c>
      <c r="B570" s="365" t="s">
        <v>33</v>
      </c>
      <c r="C570" s="151">
        <v>5</v>
      </c>
      <c r="D570" s="97"/>
      <c r="E570" s="92">
        <f>C570*R570</f>
        <v>25</v>
      </c>
      <c r="F570" s="98" t="e">
        <f>VLOOKUP(A570,ГрафикЖД!$B$4:$C$55,2,0)</f>
        <v>#N/A</v>
      </c>
      <c r="G570" s="99" t="e">
        <f>E570*F570</f>
        <v>#N/A</v>
      </c>
      <c r="H570" s="97"/>
      <c r="I570" s="100">
        <f>C553/E570*C570</f>
        <v>6.6000000000000005</v>
      </c>
      <c r="J570" s="77">
        <v>5</v>
      </c>
      <c r="K570" s="77"/>
      <c r="L570" s="77"/>
      <c r="M570" s="77"/>
      <c r="N570" s="77"/>
      <c r="O570" s="77"/>
      <c r="P570" s="77"/>
      <c r="Q570" s="77"/>
      <c r="R570" s="78">
        <f>SUM(J570:Q570)</f>
        <v>5</v>
      </c>
    </row>
    <row r="571" spans="1:18" s="244" customFormat="1" ht="20.25" customHeight="1" x14ac:dyDescent="0.2">
      <c r="A571" s="412" t="s">
        <v>32</v>
      </c>
      <c r="B571" s="375"/>
      <c r="C571" s="99"/>
      <c r="D571" s="97"/>
      <c r="E571" s="97"/>
      <c r="F571" s="99"/>
      <c r="G571" s="99" t="e">
        <f>G570*30.9%</f>
        <v>#N/A</v>
      </c>
      <c r="H571" s="97"/>
      <c r="I571" s="97"/>
      <c r="J571" s="101"/>
      <c r="K571" s="101"/>
      <c r="L571" s="101"/>
      <c r="M571" s="101"/>
      <c r="N571" s="101"/>
      <c r="O571" s="101"/>
      <c r="P571" s="101"/>
      <c r="Q571" s="101"/>
      <c r="R571" s="249"/>
    </row>
    <row r="572" spans="1:18" s="244" customFormat="1" ht="20.25" customHeight="1" x14ac:dyDescent="0.25">
      <c r="A572" s="462" t="s">
        <v>1</v>
      </c>
      <c r="B572" s="374"/>
      <c r="C572" s="93"/>
      <c r="D572" s="93"/>
      <c r="E572" s="93"/>
      <c r="F572" s="94"/>
      <c r="G572" s="94">
        <f>SUM(G573:G573)</f>
        <v>104500</v>
      </c>
      <c r="H572" s="95"/>
      <c r="I572" s="93"/>
      <c r="J572" s="103"/>
      <c r="K572" s="103"/>
      <c r="L572" s="103"/>
      <c r="M572" s="103"/>
      <c r="N572" s="103"/>
      <c r="O572" s="103"/>
      <c r="P572" s="103"/>
      <c r="Q572" s="103"/>
      <c r="R572" s="250"/>
    </row>
    <row r="573" spans="1:18" s="244" customFormat="1" ht="20.25" customHeight="1" x14ac:dyDescent="0.25">
      <c r="A573" s="415" t="s">
        <v>240</v>
      </c>
      <c r="B573" s="376" t="s">
        <v>35</v>
      </c>
      <c r="C573" s="92">
        <v>1</v>
      </c>
      <c r="D573" s="106"/>
      <c r="E573" s="92">
        <f>C573*R573</f>
        <v>5</v>
      </c>
      <c r="F573" s="98">
        <f>VLOOKUP(A573,ГрафикЖД!$B$4:$C$55,2,0)</f>
        <v>20900</v>
      </c>
      <c r="G573" s="99">
        <f>E573*F573</f>
        <v>104500</v>
      </c>
      <c r="H573" s="106"/>
      <c r="I573" s="100">
        <f>C553/E573*C573</f>
        <v>6.6</v>
      </c>
      <c r="J573" s="100">
        <v>5</v>
      </c>
      <c r="K573" s="100"/>
      <c r="L573" s="100"/>
      <c r="M573" s="152"/>
      <c r="N573" s="100"/>
      <c r="O573" s="100"/>
      <c r="P573" s="100"/>
      <c r="Q573" s="152"/>
      <c r="R573" s="248">
        <f>SUM(J573:Q573)</f>
        <v>5</v>
      </c>
    </row>
    <row r="574" spans="1:18" s="244" customFormat="1" ht="33" customHeight="1" x14ac:dyDescent="0.2">
      <c r="A574" s="470" t="s">
        <v>296</v>
      </c>
      <c r="B574" s="390" t="s">
        <v>57</v>
      </c>
      <c r="C574" s="284">
        <v>30.2</v>
      </c>
      <c r="D574" s="194"/>
      <c r="E574" s="194">
        <f>E580</f>
        <v>2</v>
      </c>
      <c r="F574" s="194" t="e">
        <f>G574/C574</f>
        <v>#N/A</v>
      </c>
      <c r="G574" s="194" t="e">
        <f>G575+G579+G582</f>
        <v>#N/A</v>
      </c>
      <c r="H574" s="194"/>
      <c r="I574" s="194"/>
      <c r="J574" s="216">
        <f>J580*$I580</f>
        <v>30.2</v>
      </c>
      <c r="K574" s="216">
        <f t="shared" ref="K574:Q574" si="38">K580*$I580</f>
        <v>0</v>
      </c>
      <c r="L574" s="216">
        <f t="shared" si="38"/>
        <v>0</v>
      </c>
      <c r="M574" s="216">
        <f t="shared" si="38"/>
        <v>0</v>
      </c>
      <c r="N574" s="216">
        <f t="shared" si="38"/>
        <v>0</v>
      </c>
      <c r="O574" s="216">
        <f t="shared" si="38"/>
        <v>0</v>
      </c>
      <c r="P574" s="216">
        <f t="shared" si="38"/>
        <v>0</v>
      </c>
      <c r="Q574" s="216">
        <f t="shared" si="38"/>
        <v>0</v>
      </c>
      <c r="R574" s="285">
        <f>SUM(J574:Q574)</f>
        <v>30.2</v>
      </c>
    </row>
    <row r="575" spans="1:18" s="244" customFormat="1" ht="20.25" customHeight="1" x14ac:dyDescent="0.25">
      <c r="A575" s="463" t="s">
        <v>167</v>
      </c>
      <c r="B575" s="374"/>
      <c r="C575" s="93"/>
      <c r="D575" s="93"/>
      <c r="E575" s="93"/>
      <c r="F575" s="94"/>
      <c r="G575" s="94">
        <f>SUM(G576:G578)</f>
        <v>4555</v>
      </c>
      <c r="H575" s="95"/>
      <c r="I575" s="93"/>
      <c r="J575" s="95"/>
      <c r="K575" s="95"/>
      <c r="L575" s="95"/>
      <c r="M575" s="95"/>
      <c r="N575" s="95"/>
      <c r="O575" s="95"/>
      <c r="P575" s="95"/>
      <c r="Q575" s="95"/>
      <c r="R575" s="245"/>
    </row>
    <row r="576" spans="1:18" s="244" customFormat="1" ht="20.25" customHeight="1" x14ac:dyDescent="0.25">
      <c r="A576" s="412" t="s">
        <v>297</v>
      </c>
      <c r="B576" s="391" t="s">
        <v>57</v>
      </c>
      <c r="C576" s="151">
        <f>30.2</f>
        <v>30.2</v>
      </c>
      <c r="D576" s="96"/>
      <c r="E576" s="151"/>
      <c r="F576" s="96">
        <v>25</v>
      </c>
      <c r="G576" s="110">
        <f>C576*F576</f>
        <v>755</v>
      </c>
      <c r="H576" s="96"/>
      <c r="I576" s="108"/>
      <c r="J576" s="106"/>
      <c r="K576" s="106"/>
      <c r="L576" s="106"/>
      <c r="M576" s="106"/>
      <c r="N576" s="106"/>
      <c r="O576" s="106"/>
      <c r="P576" s="106"/>
      <c r="Q576" s="106"/>
      <c r="R576" s="246"/>
    </row>
    <row r="577" spans="1:18" s="244" customFormat="1" ht="20.25" customHeight="1" x14ac:dyDescent="0.25">
      <c r="A577" s="412" t="s">
        <v>298</v>
      </c>
      <c r="B577" s="391" t="s">
        <v>145</v>
      </c>
      <c r="C577" s="151">
        <v>1</v>
      </c>
      <c r="D577" s="96"/>
      <c r="E577" s="151"/>
      <c r="F577" s="96">
        <v>550</v>
      </c>
      <c r="G577" s="110">
        <f>C577*F577</f>
        <v>550</v>
      </c>
      <c r="H577" s="96"/>
      <c r="I577" s="108"/>
      <c r="J577" s="106"/>
      <c r="K577" s="106"/>
      <c r="L577" s="106"/>
      <c r="M577" s="106"/>
      <c r="N577" s="106"/>
      <c r="O577" s="106"/>
      <c r="P577" s="106"/>
      <c r="Q577" s="106"/>
      <c r="R577" s="246"/>
    </row>
    <row r="578" spans="1:18" s="244" customFormat="1" ht="20.25" customHeight="1" x14ac:dyDescent="0.25">
      <c r="A578" s="412" t="s">
        <v>295</v>
      </c>
      <c r="B578" s="365" t="s">
        <v>34</v>
      </c>
      <c r="C578" s="121">
        <v>0.5</v>
      </c>
      <c r="D578" s="96"/>
      <c r="E578" s="151"/>
      <c r="F578" s="96">
        <v>6500</v>
      </c>
      <c r="G578" s="110">
        <f>C578*F578</f>
        <v>3250</v>
      </c>
      <c r="H578" s="96"/>
      <c r="I578" s="108"/>
      <c r="J578" s="106"/>
      <c r="K578" s="106"/>
      <c r="L578" s="106"/>
      <c r="M578" s="106"/>
      <c r="N578" s="106"/>
      <c r="O578" s="106"/>
      <c r="P578" s="106"/>
      <c r="Q578" s="106"/>
      <c r="R578" s="246"/>
    </row>
    <row r="579" spans="1:18" s="244" customFormat="1" ht="20.25" customHeight="1" x14ac:dyDescent="0.25">
      <c r="A579" s="462" t="s">
        <v>0</v>
      </c>
      <c r="B579" s="374"/>
      <c r="C579" s="93"/>
      <c r="D579" s="93"/>
      <c r="E579" s="93"/>
      <c r="F579" s="94"/>
      <c r="G579" s="94" t="e">
        <f>SUM(G580:G581)</f>
        <v>#N/A</v>
      </c>
      <c r="H579" s="95"/>
      <c r="I579" s="93"/>
      <c r="J579" s="93"/>
      <c r="K579" s="93"/>
      <c r="L579" s="93"/>
      <c r="M579" s="93"/>
      <c r="N579" s="93"/>
      <c r="O579" s="93"/>
      <c r="P579" s="93"/>
      <c r="Q579" s="93"/>
      <c r="R579" s="247"/>
    </row>
    <row r="580" spans="1:18" s="244" customFormat="1" ht="20.25" customHeight="1" x14ac:dyDescent="0.2">
      <c r="A580" s="412" t="s">
        <v>260</v>
      </c>
      <c r="B580" s="365" t="s">
        <v>33</v>
      </c>
      <c r="C580" s="151">
        <v>2</v>
      </c>
      <c r="D580" s="97"/>
      <c r="E580" s="92">
        <f>C580*R580</f>
        <v>2</v>
      </c>
      <c r="F580" s="98" t="e">
        <f>VLOOKUP(A580,ГрафикЖД!$B$4:$C$55,2,0)</f>
        <v>#N/A</v>
      </c>
      <c r="G580" s="99" t="e">
        <f>E580*F580</f>
        <v>#N/A</v>
      </c>
      <c r="H580" s="97"/>
      <c r="I580" s="100">
        <f>C574/E580*C580</f>
        <v>30.2</v>
      </c>
      <c r="J580" s="77">
        <v>1</v>
      </c>
      <c r="K580" s="77"/>
      <c r="L580" s="77"/>
      <c r="M580" s="77"/>
      <c r="N580" s="77"/>
      <c r="O580" s="77"/>
      <c r="P580" s="77"/>
      <c r="Q580" s="77"/>
      <c r="R580" s="78">
        <f>SUM(J580:Q580)</f>
        <v>1</v>
      </c>
    </row>
    <row r="581" spans="1:18" s="244" customFormat="1" ht="20.25" customHeight="1" x14ac:dyDescent="0.2">
      <c r="A581" s="412" t="s">
        <v>32</v>
      </c>
      <c r="B581" s="375"/>
      <c r="C581" s="99"/>
      <c r="D581" s="97"/>
      <c r="E581" s="97"/>
      <c r="F581" s="99"/>
      <c r="G581" s="99" t="e">
        <f>G580*30.9%</f>
        <v>#N/A</v>
      </c>
      <c r="H581" s="97"/>
      <c r="I581" s="97"/>
      <c r="J581" s="101"/>
      <c r="K581" s="101"/>
      <c r="L581" s="101"/>
      <c r="M581" s="101"/>
      <c r="N581" s="101"/>
      <c r="O581" s="101"/>
      <c r="P581" s="101"/>
      <c r="Q581" s="101"/>
      <c r="R581" s="249"/>
    </row>
    <row r="582" spans="1:18" s="244" customFormat="1" ht="20.25" customHeight="1" x14ac:dyDescent="0.25">
      <c r="A582" s="462" t="s">
        <v>1</v>
      </c>
      <c r="B582" s="374"/>
      <c r="C582" s="93"/>
      <c r="D582" s="93"/>
      <c r="E582" s="93"/>
      <c r="F582" s="94"/>
      <c r="G582" s="94">
        <v>0</v>
      </c>
      <c r="H582" s="95"/>
      <c r="I582" s="93"/>
      <c r="J582" s="103"/>
      <c r="K582" s="103"/>
      <c r="L582" s="103"/>
      <c r="M582" s="103"/>
      <c r="N582" s="103"/>
      <c r="O582" s="103"/>
      <c r="P582" s="103"/>
      <c r="Q582" s="103"/>
      <c r="R582" s="250"/>
    </row>
    <row r="583" spans="1:18" s="244" customFormat="1" ht="33" customHeight="1" x14ac:dyDescent="0.2">
      <c r="A583" s="470" t="s">
        <v>299</v>
      </c>
      <c r="B583" s="390" t="s">
        <v>55</v>
      </c>
      <c r="C583" s="284">
        <f>96.8+7.6</f>
        <v>104.39999999999999</v>
      </c>
      <c r="D583" s="194"/>
      <c r="E583" s="194">
        <f>E589</f>
        <v>2</v>
      </c>
      <c r="F583" s="194" t="e">
        <f>G583/C583</f>
        <v>#N/A</v>
      </c>
      <c r="G583" s="194" t="e">
        <f>G584+G588+G591</f>
        <v>#N/A</v>
      </c>
      <c r="H583" s="194"/>
      <c r="I583" s="194"/>
      <c r="J583" s="216">
        <f>J589*$I589</f>
        <v>104.39999999999999</v>
      </c>
      <c r="K583" s="216">
        <f t="shared" ref="K583:Q583" si="39">K589*$I589</f>
        <v>0</v>
      </c>
      <c r="L583" s="216">
        <f t="shared" si="39"/>
        <v>0</v>
      </c>
      <c r="M583" s="216">
        <f t="shared" si="39"/>
        <v>0</v>
      </c>
      <c r="N583" s="216">
        <f t="shared" si="39"/>
        <v>0</v>
      </c>
      <c r="O583" s="216">
        <f t="shared" si="39"/>
        <v>0</v>
      </c>
      <c r="P583" s="216">
        <f t="shared" si="39"/>
        <v>0</v>
      </c>
      <c r="Q583" s="216">
        <f t="shared" si="39"/>
        <v>0</v>
      </c>
      <c r="R583" s="285">
        <f>SUM(J583:Q583)</f>
        <v>104.39999999999999</v>
      </c>
    </row>
    <row r="584" spans="1:18" s="244" customFormat="1" ht="20.25" customHeight="1" x14ac:dyDescent="0.25">
      <c r="A584" s="463" t="s">
        <v>167</v>
      </c>
      <c r="B584" s="374"/>
      <c r="C584" s="93"/>
      <c r="D584" s="93"/>
      <c r="E584" s="93"/>
      <c r="F584" s="94"/>
      <c r="G584" s="94">
        <f>SUM(G585:G587)</f>
        <v>42672</v>
      </c>
      <c r="H584" s="95"/>
      <c r="I584" s="93"/>
      <c r="J584" s="95"/>
      <c r="K584" s="95"/>
      <c r="L584" s="95"/>
      <c r="M584" s="95"/>
      <c r="N584" s="95"/>
      <c r="O584" s="95"/>
      <c r="P584" s="95"/>
      <c r="Q584" s="95"/>
      <c r="R584" s="245"/>
    </row>
    <row r="585" spans="1:18" s="244" customFormat="1" ht="20.25" customHeight="1" x14ac:dyDescent="0.25">
      <c r="A585" s="412" t="s">
        <v>300</v>
      </c>
      <c r="B585" s="376" t="s">
        <v>169</v>
      </c>
      <c r="C585" s="151">
        <v>100</v>
      </c>
      <c r="D585" s="96"/>
      <c r="E585" s="151"/>
      <c r="F585" s="340">
        <v>385</v>
      </c>
      <c r="G585" s="110">
        <f>C585*F585</f>
        <v>38500</v>
      </c>
      <c r="H585" s="96"/>
      <c r="I585" s="108"/>
      <c r="J585" s="106"/>
      <c r="K585" s="106"/>
      <c r="L585" s="106"/>
      <c r="M585" s="106"/>
      <c r="N585" s="106"/>
      <c r="O585" s="106"/>
      <c r="P585" s="106"/>
      <c r="Q585" s="106"/>
      <c r="R585" s="246"/>
    </row>
    <row r="586" spans="1:18" s="244" customFormat="1" ht="20.25" customHeight="1" x14ac:dyDescent="0.25">
      <c r="A586" s="412" t="s">
        <v>301</v>
      </c>
      <c r="B586" s="376" t="s">
        <v>55</v>
      </c>
      <c r="C586" s="151">
        <v>7.6</v>
      </c>
      <c r="D586" s="96"/>
      <c r="E586" s="151"/>
      <c r="F586" s="96">
        <v>220</v>
      </c>
      <c r="G586" s="110">
        <f>C586*F586</f>
        <v>1672</v>
      </c>
      <c r="H586" s="96"/>
      <c r="I586" s="108"/>
      <c r="J586" s="106"/>
      <c r="K586" s="106"/>
      <c r="L586" s="106"/>
      <c r="M586" s="106"/>
      <c r="N586" s="106"/>
      <c r="O586" s="106"/>
      <c r="P586" s="106"/>
      <c r="Q586" s="106"/>
      <c r="R586" s="246"/>
    </row>
    <row r="587" spans="1:18" s="244" customFormat="1" ht="20.25" customHeight="1" x14ac:dyDescent="0.25">
      <c r="A587" s="412" t="s">
        <v>302</v>
      </c>
      <c r="B587" s="376" t="s">
        <v>171</v>
      </c>
      <c r="C587" s="151">
        <v>20</v>
      </c>
      <c r="D587" s="96"/>
      <c r="E587" s="151"/>
      <c r="F587" s="96">
        <v>125</v>
      </c>
      <c r="G587" s="110">
        <f>C587*F587</f>
        <v>2500</v>
      </c>
      <c r="H587" s="96"/>
      <c r="I587" s="108"/>
      <c r="J587" s="106"/>
      <c r="K587" s="106"/>
      <c r="L587" s="106"/>
      <c r="M587" s="106"/>
      <c r="N587" s="106"/>
      <c r="O587" s="106"/>
      <c r="P587" s="106"/>
      <c r="Q587" s="106"/>
      <c r="R587" s="246"/>
    </row>
    <row r="588" spans="1:18" s="244" customFormat="1" ht="20.25" customHeight="1" x14ac:dyDescent="0.25">
      <c r="A588" s="462" t="s">
        <v>0</v>
      </c>
      <c r="B588" s="374"/>
      <c r="C588" s="93"/>
      <c r="D588" s="93"/>
      <c r="E588" s="93"/>
      <c r="F588" s="94"/>
      <c r="G588" s="94" t="e">
        <f>SUM(G589:G590)</f>
        <v>#N/A</v>
      </c>
      <c r="H588" s="95"/>
      <c r="I588" s="93"/>
      <c r="J588" s="93"/>
      <c r="K588" s="93"/>
      <c r="L588" s="93"/>
      <c r="M588" s="93"/>
      <c r="N588" s="93"/>
      <c r="O588" s="93"/>
      <c r="P588" s="93"/>
      <c r="Q588" s="93"/>
      <c r="R588" s="247"/>
    </row>
    <row r="589" spans="1:18" s="244" customFormat="1" ht="20.25" customHeight="1" x14ac:dyDescent="0.2">
      <c r="A589" s="412" t="s">
        <v>260</v>
      </c>
      <c r="B589" s="365" t="s">
        <v>33</v>
      </c>
      <c r="C589" s="151">
        <v>2</v>
      </c>
      <c r="D589" s="97"/>
      <c r="E589" s="92">
        <f>C589*R589</f>
        <v>2</v>
      </c>
      <c r="F589" s="98" t="e">
        <f>VLOOKUP(A589,ГрафикЖД!$B$4:$C$55,2,0)</f>
        <v>#N/A</v>
      </c>
      <c r="G589" s="99" t="e">
        <f>E589*F589</f>
        <v>#N/A</v>
      </c>
      <c r="H589" s="97"/>
      <c r="I589" s="100">
        <f>C583/E589*C589</f>
        <v>104.39999999999999</v>
      </c>
      <c r="J589" s="77">
        <v>1</v>
      </c>
      <c r="K589" s="77"/>
      <c r="L589" s="77"/>
      <c r="M589" s="77"/>
      <c r="N589" s="77"/>
      <c r="O589" s="77"/>
      <c r="P589" s="77"/>
      <c r="Q589" s="77"/>
      <c r="R589" s="78">
        <f>SUM(J589:Q589)</f>
        <v>1</v>
      </c>
    </row>
    <row r="590" spans="1:18" s="244" customFormat="1" ht="20.25" customHeight="1" x14ac:dyDescent="0.2">
      <c r="A590" s="412" t="s">
        <v>32</v>
      </c>
      <c r="B590" s="375"/>
      <c r="C590" s="99"/>
      <c r="D590" s="97"/>
      <c r="E590" s="97"/>
      <c r="F590" s="99"/>
      <c r="G590" s="99" t="e">
        <f>G589*30.9%</f>
        <v>#N/A</v>
      </c>
      <c r="H590" s="97"/>
      <c r="I590" s="97"/>
      <c r="J590" s="101"/>
      <c r="K590" s="101"/>
      <c r="L590" s="101"/>
      <c r="M590" s="101"/>
      <c r="N590" s="101"/>
      <c r="O590" s="101"/>
      <c r="P590" s="101"/>
      <c r="Q590" s="101"/>
      <c r="R590" s="249"/>
    </row>
    <row r="591" spans="1:18" s="244" customFormat="1" ht="20.25" customHeight="1" x14ac:dyDescent="0.25">
      <c r="A591" s="462" t="s">
        <v>1</v>
      </c>
      <c r="B591" s="374"/>
      <c r="C591" s="93"/>
      <c r="D591" s="93"/>
      <c r="E591" s="93"/>
      <c r="F591" s="94"/>
      <c r="G591" s="94">
        <f>SUM(0)</f>
        <v>0</v>
      </c>
      <c r="H591" s="95"/>
      <c r="I591" s="93"/>
      <c r="J591" s="103"/>
      <c r="K591" s="103"/>
      <c r="L591" s="103"/>
      <c r="M591" s="103"/>
      <c r="N591" s="103"/>
      <c r="O591" s="103"/>
      <c r="P591" s="103"/>
      <c r="Q591" s="103"/>
      <c r="R591" s="250"/>
    </row>
    <row r="592" spans="1:18" s="244" customFormat="1" ht="39" customHeight="1" x14ac:dyDescent="0.2">
      <c r="A592" s="470" t="s">
        <v>191</v>
      </c>
      <c r="B592" s="390" t="s">
        <v>34</v>
      </c>
      <c r="C592" s="284">
        <v>106.6</v>
      </c>
      <c r="D592" s="194"/>
      <c r="E592" s="194">
        <f>E596</f>
        <v>3</v>
      </c>
      <c r="F592" s="194" t="e">
        <f>G592/C592</f>
        <v>#N/A</v>
      </c>
      <c r="G592" s="194" t="e">
        <f>G593+G595+G598</f>
        <v>#N/A</v>
      </c>
      <c r="H592" s="194"/>
      <c r="I592" s="194"/>
      <c r="J592" s="216">
        <f>J596*$I596</f>
        <v>106.6</v>
      </c>
      <c r="K592" s="216">
        <f t="shared" ref="K592:Q592" si="40">K596*$I596</f>
        <v>0</v>
      </c>
      <c r="L592" s="216">
        <f t="shared" si="40"/>
        <v>0</v>
      </c>
      <c r="M592" s="216">
        <f t="shared" si="40"/>
        <v>0</v>
      </c>
      <c r="N592" s="216">
        <f t="shared" si="40"/>
        <v>0</v>
      </c>
      <c r="O592" s="216">
        <f t="shared" si="40"/>
        <v>0</v>
      </c>
      <c r="P592" s="216">
        <f t="shared" si="40"/>
        <v>0</v>
      </c>
      <c r="Q592" s="216">
        <f t="shared" si="40"/>
        <v>0</v>
      </c>
      <c r="R592" s="285">
        <f>SUM(J592:Q592)</f>
        <v>106.6</v>
      </c>
    </row>
    <row r="593" spans="1:18" s="244" customFormat="1" ht="20.25" customHeight="1" x14ac:dyDescent="0.25">
      <c r="A593" s="463" t="s">
        <v>167</v>
      </c>
      <c r="B593" s="374"/>
      <c r="C593" s="93"/>
      <c r="D593" s="93"/>
      <c r="E593" s="93"/>
      <c r="F593" s="94"/>
      <c r="G593" s="94">
        <f>G594</f>
        <v>59696.000000000007</v>
      </c>
      <c r="H593" s="95"/>
      <c r="I593" s="93"/>
      <c r="J593" s="95"/>
      <c r="K593" s="95"/>
      <c r="L593" s="95"/>
      <c r="M593" s="95"/>
      <c r="N593" s="95"/>
      <c r="O593" s="95"/>
      <c r="P593" s="95"/>
      <c r="Q593" s="95"/>
      <c r="R593" s="245"/>
    </row>
    <row r="594" spans="1:18" s="244" customFormat="1" ht="20.25" customHeight="1" x14ac:dyDescent="0.25">
      <c r="A594" s="412" t="s">
        <v>193</v>
      </c>
      <c r="B594" s="376" t="s">
        <v>34</v>
      </c>
      <c r="C594" s="151">
        <f>106.6*1.12</f>
        <v>119.39200000000001</v>
      </c>
      <c r="D594" s="96"/>
      <c r="E594" s="151"/>
      <c r="F594" s="96">
        <v>500</v>
      </c>
      <c r="G594" s="110">
        <f>C594*F594</f>
        <v>59696.000000000007</v>
      </c>
      <c r="H594" s="96"/>
      <c r="I594" s="108"/>
      <c r="J594" s="106"/>
      <c r="K594" s="106"/>
      <c r="L594" s="106"/>
      <c r="M594" s="106"/>
      <c r="N594" s="106"/>
      <c r="O594" s="106"/>
      <c r="P594" s="106"/>
      <c r="Q594" s="106"/>
      <c r="R594" s="246"/>
    </row>
    <row r="595" spans="1:18" s="244" customFormat="1" ht="20.25" customHeight="1" x14ac:dyDescent="0.25">
      <c r="A595" s="462" t="s">
        <v>0</v>
      </c>
      <c r="B595" s="374"/>
      <c r="C595" s="93"/>
      <c r="D595" s="93"/>
      <c r="E595" s="93"/>
      <c r="F595" s="94"/>
      <c r="G595" s="94" t="e">
        <f>SUM(G596:G597)</f>
        <v>#N/A</v>
      </c>
      <c r="H595" s="95"/>
      <c r="I595" s="93"/>
      <c r="J595" s="93"/>
      <c r="K595" s="93"/>
      <c r="L595" s="93"/>
      <c r="M595" s="93"/>
      <c r="N595" s="93"/>
      <c r="O595" s="93"/>
      <c r="P595" s="93"/>
      <c r="Q595" s="93"/>
      <c r="R595" s="247"/>
    </row>
    <row r="596" spans="1:18" s="244" customFormat="1" ht="20.25" customHeight="1" x14ac:dyDescent="0.2">
      <c r="A596" s="412" t="s">
        <v>260</v>
      </c>
      <c r="B596" s="365" t="s">
        <v>33</v>
      </c>
      <c r="C596" s="151">
        <v>3</v>
      </c>
      <c r="D596" s="97"/>
      <c r="E596" s="92">
        <f>C596*R596</f>
        <v>3</v>
      </c>
      <c r="F596" s="98" t="e">
        <f>VLOOKUP(A596,ГрафикЖД!$B$4:$C$55,2,0)</f>
        <v>#N/A</v>
      </c>
      <c r="G596" s="99" t="e">
        <f>E596*F596</f>
        <v>#N/A</v>
      </c>
      <c r="H596" s="97"/>
      <c r="I596" s="100">
        <f>C592/E596*C596</f>
        <v>106.6</v>
      </c>
      <c r="J596" s="77">
        <v>1</v>
      </c>
      <c r="K596" s="77"/>
      <c r="L596" s="77"/>
      <c r="M596" s="77"/>
      <c r="N596" s="77"/>
      <c r="O596" s="77"/>
      <c r="P596" s="77"/>
      <c r="Q596" s="77"/>
      <c r="R596" s="78">
        <f>SUM(J596:Q596)</f>
        <v>1</v>
      </c>
    </row>
    <row r="597" spans="1:18" s="244" customFormat="1" ht="20.25" customHeight="1" x14ac:dyDescent="0.2">
      <c r="A597" s="412" t="s">
        <v>32</v>
      </c>
      <c r="B597" s="375"/>
      <c r="C597" s="99"/>
      <c r="D597" s="97"/>
      <c r="E597" s="97"/>
      <c r="F597" s="99"/>
      <c r="G597" s="99" t="e">
        <f>G596*30.9%</f>
        <v>#N/A</v>
      </c>
      <c r="H597" s="97"/>
      <c r="I597" s="97"/>
      <c r="J597" s="101"/>
      <c r="K597" s="101"/>
      <c r="L597" s="101"/>
      <c r="M597" s="101"/>
      <c r="N597" s="101"/>
      <c r="O597" s="101"/>
      <c r="P597" s="101"/>
      <c r="Q597" s="101"/>
      <c r="R597" s="249"/>
    </row>
    <row r="598" spans="1:18" s="244" customFormat="1" ht="20.25" customHeight="1" x14ac:dyDescent="0.25">
      <c r="A598" s="462" t="s">
        <v>1</v>
      </c>
      <c r="B598" s="374"/>
      <c r="C598" s="93"/>
      <c r="D598" s="93"/>
      <c r="E598" s="93"/>
      <c r="F598" s="94"/>
      <c r="G598" s="94">
        <f>SUM(G599)</f>
        <v>19250</v>
      </c>
      <c r="H598" s="95"/>
      <c r="I598" s="93"/>
      <c r="J598" s="103"/>
      <c r="K598" s="103"/>
      <c r="L598" s="103"/>
      <c r="M598" s="103"/>
      <c r="N598" s="103"/>
      <c r="O598" s="103"/>
      <c r="P598" s="103"/>
      <c r="Q598" s="103"/>
      <c r="R598" s="250"/>
    </row>
    <row r="599" spans="1:18" s="244" customFormat="1" ht="20.25" customHeight="1" x14ac:dyDescent="0.25">
      <c r="A599" s="412" t="s">
        <v>242</v>
      </c>
      <c r="B599" s="376" t="s">
        <v>35</v>
      </c>
      <c r="C599" s="121">
        <v>1</v>
      </c>
      <c r="D599" s="106"/>
      <c r="E599" s="92">
        <f>C599*R599</f>
        <v>1</v>
      </c>
      <c r="F599" s="98">
        <f>VLOOKUP(A599,ГрафикЖД!$B$4:$C$55,2,0)</f>
        <v>19250</v>
      </c>
      <c r="G599" s="99">
        <f>E599*F599</f>
        <v>19250</v>
      </c>
      <c r="H599" s="106"/>
      <c r="I599" s="100">
        <f>C592/E599*C599</f>
        <v>106.6</v>
      </c>
      <c r="J599" s="100">
        <v>1</v>
      </c>
      <c r="K599" s="100"/>
      <c r="L599" s="100"/>
      <c r="M599" s="152"/>
      <c r="N599" s="100"/>
      <c r="O599" s="100"/>
      <c r="P599" s="100"/>
      <c r="Q599" s="152"/>
      <c r="R599" s="248">
        <f>SUM(J599:Q599)</f>
        <v>1</v>
      </c>
    </row>
    <row r="600" spans="1:18" s="244" customFormat="1" ht="40.5" customHeight="1" x14ac:dyDescent="0.2">
      <c r="A600" s="470" t="s">
        <v>303</v>
      </c>
      <c r="B600" s="390" t="s">
        <v>34</v>
      </c>
      <c r="C600" s="284">
        <v>4.7</v>
      </c>
      <c r="D600" s="194"/>
      <c r="E600" s="194">
        <f>E606</f>
        <v>3</v>
      </c>
      <c r="F600" s="194" t="e">
        <f>G600/C600</f>
        <v>#N/A</v>
      </c>
      <c r="G600" s="194" t="e">
        <f>G601+G605+G608</f>
        <v>#N/A</v>
      </c>
      <c r="H600" s="194"/>
      <c r="I600" s="194"/>
      <c r="J600" s="216">
        <f>J606*$I606</f>
        <v>0.47000000000000003</v>
      </c>
      <c r="K600" s="216">
        <f t="shared" ref="K600:Q600" si="41">K606*$I606</f>
        <v>0</v>
      </c>
      <c r="L600" s="216">
        <f t="shared" si="41"/>
        <v>0</v>
      </c>
      <c r="M600" s="216">
        <f t="shared" si="41"/>
        <v>0</v>
      </c>
      <c r="N600" s="216">
        <f t="shared" si="41"/>
        <v>0</v>
      </c>
      <c r="O600" s="216">
        <f t="shared" si="41"/>
        <v>0</v>
      </c>
      <c r="P600" s="216">
        <f t="shared" si="41"/>
        <v>0</v>
      </c>
      <c r="Q600" s="216">
        <f t="shared" si="41"/>
        <v>0</v>
      </c>
      <c r="R600" s="285">
        <f>SUM(J600:Q600)</f>
        <v>0.47000000000000003</v>
      </c>
    </row>
    <row r="601" spans="1:18" s="244" customFormat="1" ht="20.25" customHeight="1" x14ac:dyDescent="0.25">
      <c r="A601" s="463" t="s">
        <v>167</v>
      </c>
      <c r="B601" s="374"/>
      <c r="C601" s="93"/>
      <c r="D601" s="93"/>
      <c r="E601" s="93"/>
      <c r="F601" s="94"/>
      <c r="G601" s="94">
        <f>SUM(G602:G604)</f>
        <v>59176.800000000003</v>
      </c>
      <c r="H601" s="95"/>
      <c r="I601" s="93"/>
      <c r="J601" s="95"/>
      <c r="K601" s="95"/>
      <c r="L601" s="95"/>
      <c r="M601" s="95"/>
      <c r="N601" s="95"/>
      <c r="O601" s="95"/>
      <c r="P601" s="95"/>
      <c r="Q601" s="95"/>
      <c r="R601" s="245"/>
    </row>
    <row r="602" spans="1:18" ht="23.25" customHeight="1" x14ac:dyDescent="0.2">
      <c r="A602" s="412" t="s">
        <v>309</v>
      </c>
      <c r="B602" s="376" t="s">
        <v>34</v>
      </c>
      <c r="C602" s="121">
        <v>2.6</v>
      </c>
      <c r="D602" s="184"/>
      <c r="E602" s="184"/>
      <c r="F602" s="96">
        <v>1350</v>
      </c>
      <c r="G602" s="110">
        <f>C602*F602</f>
        <v>3510</v>
      </c>
      <c r="H602" s="187"/>
      <c r="I602" s="188"/>
      <c r="J602" s="189"/>
      <c r="K602" s="189"/>
      <c r="L602" s="189"/>
      <c r="M602" s="189"/>
      <c r="N602" s="189"/>
      <c r="O602" s="189"/>
      <c r="P602" s="189"/>
      <c r="Q602" s="189"/>
      <c r="R602" s="257"/>
    </row>
    <row r="603" spans="1:18" s="244" customFormat="1" ht="20.25" customHeight="1" x14ac:dyDescent="0.25">
      <c r="A603" s="412" t="s">
        <v>304</v>
      </c>
      <c r="B603" s="376" t="s">
        <v>34</v>
      </c>
      <c r="C603" s="121">
        <f>4.7*1.02</f>
        <v>4.7940000000000005</v>
      </c>
      <c r="D603" s="96"/>
      <c r="E603" s="151"/>
      <c r="F603" s="96">
        <v>7200</v>
      </c>
      <c r="G603" s="110">
        <f>C603*F603</f>
        <v>34516.800000000003</v>
      </c>
      <c r="H603" s="96"/>
      <c r="I603" s="108"/>
      <c r="J603" s="106"/>
      <c r="K603" s="106"/>
      <c r="L603" s="106"/>
      <c r="M603" s="106"/>
      <c r="N603" s="106"/>
      <c r="O603" s="106"/>
      <c r="P603" s="106"/>
      <c r="Q603" s="106"/>
      <c r="R603" s="246"/>
    </row>
    <row r="604" spans="1:18" s="244" customFormat="1" ht="20.25" customHeight="1" x14ac:dyDescent="0.25">
      <c r="A604" s="412" t="s">
        <v>305</v>
      </c>
      <c r="B604" s="376" t="s">
        <v>55</v>
      </c>
      <c r="C604" s="151">
        <v>47</v>
      </c>
      <c r="D604" s="96"/>
      <c r="E604" s="151"/>
      <c r="F604" s="96">
        <v>450</v>
      </c>
      <c r="G604" s="110">
        <f>C604*F604</f>
        <v>21150</v>
      </c>
      <c r="H604" s="96"/>
      <c r="I604" s="108"/>
      <c r="J604" s="106"/>
      <c r="K604" s="106"/>
      <c r="L604" s="106"/>
      <c r="M604" s="106"/>
      <c r="N604" s="106"/>
      <c r="O604" s="106"/>
      <c r="P604" s="106"/>
      <c r="Q604" s="106"/>
      <c r="R604" s="246"/>
    </row>
    <row r="605" spans="1:18" s="244" customFormat="1" ht="20.25" customHeight="1" x14ac:dyDescent="0.25">
      <c r="A605" s="462" t="s">
        <v>0</v>
      </c>
      <c r="B605" s="374"/>
      <c r="C605" s="93"/>
      <c r="D605" s="93"/>
      <c r="E605" s="93"/>
      <c r="F605" s="94"/>
      <c r="G605" s="94" t="e">
        <f>SUM(G606:G607)</f>
        <v>#N/A</v>
      </c>
      <c r="H605" s="95"/>
      <c r="I605" s="93"/>
      <c r="J605" s="93"/>
      <c r="K605" s="93"/>
      <c r="L605" s="93"/>
      <c r="M605" s="93"/>
      <c r="N605" s="93"/>
      <c r="O605" s="93"/>
      <c r="P605" s="93"/>
      <c r="Q605" s="93"/>
      <c r="R605" s="247"/>
    </row>
    <row r="606" spans="1:18" s="244" customFormat="1" ht="20.25" customHeight="1" x14ac:dyDescent="0.2">
      <c r="A606" s="412" t="s">
        <v>260</v>
      </c>
      <c r="B606" s="365" t="s">
        <v>33</v>
      </c>
      <c r="C606" s="151">
        <v>3</v>
      </c>
      <c r="D606" s="97"/>
      <c r="E606" s="92">
        <f>C606*R606</f>
        <v>3</v>
      </c>
      <c r="F606" s="98" t="e">
        <f>VLOOKUP(A606,ГрафикЖД!$B$4:$C$55,2,0)</f>
        <v>#N/A</v>
      </c>
      <c r="G606" s="99" t="e">
        <f>E606*F606</f>
        <v>#N/A</v>
      </c>
      <c r="H606" s="97"/>
      <c r="I606" s="100">
        <f>C600/E606*C606/10</f>
        <v>0.47000000000000003</v>
      </c>
      <c r="J606" s="77">
        <v>1</v>
      </c>
      <c r="K606" s="77"/>
      <c r="L606" s="77"/>
      <c r="M606" s="77"/>
      <c r="N606" s="77"/>
      <c r="O606" s="77"/>
      <c r="P606" s="77"/>
      <c r="Q606" s="77"/>
      <c r="R606" s="78">
        <f>SUM(J606:Q606)</f>
        <v>1</v>
      </c>
    </row>
    <row r="607" spans="1:18" s="244" customFormat="1" ht="20.25" customHeight="1" x14ac:dyDescent="0.2">
      <c r="A607" s="412" t="s">
        <v>32</v>
      </c>
      <c r="B607" s="375"/>
      <c r="C607" s="99"/>
      <c r="D607" s="97"/>
      <c r="E607" s="97"/>
      <c r="F607" s="99"/>
      <c r="G607" s="99" t="e">
        <f>G606*30.9%</f>
        <v>#N/A</v>
      </c>
      <c r="H607" s="97"/>
      <c r="I607" s="97"/>
      <c r="J607" s="101"/>
      <c r="K607" s="101"/>
      <c r="L607" s="101"/>
      <c r="M607" s="101"/>
      <c r="N607" s="101"/>
      <c r="O607" s="101"/>
      <c r="P607" s="101"/>
      <c r="Q607" s="101"/>
      <c r="R607" s="249"/>
    </row>
    <row r="608" spans="1:18" s="244" customFormat="1" ht="20.25" customHeight="1" x14ac:dyDescent="0.25">
      <c r="A608" s="462" t="s">
        <v>1</v>
      </c>
      <c r="B608" s="374"/>
      <c r="C608" s="93"/>
      <c r="D608" s="93"/>
      <c r="E608" s="93"/>
      <c r="F608" s="94"/>
      <c r="G608" s="94">
        <f>SUM(G609)</f>
        <v>19250</v>
      </c>
      <c r="H608" s="95"/>
      <c r="I608" s="93"/>
      <c r="J608" s="103"/>
      <c r="K608" s="103"/>
      <c r="L608" s="103"/>
      <c r="M608" s="103"/>
      <c r="N608" s="103"/>
      <c r="O608" s="103"/>
      <c r="P608" s="103"/>
      <c r="Q608" s="103"/>
      <c r="R608" s="250"/>
    </row>
    <row r="609" spans="1:18" s="244" customFormat="1" ht="20.25" customHeight="1" x14ac:dyDescent="0.25">
      <c r="A609" s="412" t="s">
        <v>242</v>
      </c>
      <c r="B609" s="376" t="s">
        <v>35</v>
      </c>
      <c r="C609" s="121">
        <v>1</v>
      </c>
      <c r="D609" s="106"/>
      <c r="E609" s="92">
        <f>C609*R609</f>
        <v>1</v>
      </c>
      <c r="F609" s="98">
        <f>VLOOKUP(A609,ГрафикЖД!$B$4:$C$55,2,0)</f>
        <v>19250</v>
      </c>
      <c r="G609" s="99">
        <f>E609*F609</f>
        <v>19250</v>
      </c>
      <c r="H609" s="106"/>
      <c r="I609" s="100">
        <f>C600/E609*C609</f>
        <v>4.7</v>
      </c>
      <c r="J609" s="100">
        <v>1</v>
      </c>
      <c r="K609" s="100"/>
      <c r="L609" s="100"/>
      <c r="M609" s="152"/>
      <c r="N609" s="100"/>
      <c r="O609" s="100"/>
      <c r="P609" s="100"/>
      <c r="Q609" s="152"/>
      <c r="R609" s="248">
        <f>SUM(J609:Q609)</f>
        <v>1</v>
      </c>
    </row>
    <row r="610" spans="1:18" s="244" customFormat="1" ht="41.25" customHeight="1" x14ac:dyDescent="0.2">
      <c r="A610" s="470" t="s">
        <v>306</v>
      </c>
      <c r="B610" s="390" t="s">
        <v>55</v>
      </c>
      <c r="C610" s="284">
        <v>10.8</v>
      </c>
      <c r="D610" s="194"/>
      <c r="E610" s="194">
        <f>E615</f>
        <v>0.5</v>
      </c>
      <c r="F610" s="194" t="e">
        <f>G610/C610</f>
        <v>#N/A</v>
      </c>
      <c r="G610" s="194" t="e">
        <f>G611+G614+G617</f>
        <v>#N/A</v>
      </c>
      <c r="H610" s="194"/>
      <c r="I610" s="194"/>
      <c r="J610" s="216">
        <f>J615*$I615</f>
        <v>1.08</v>
      </c>
      <c r="K610" s="216">
        <f t="shared" ref="K610:Q610" si="42">K615*$I615</f>
        <v>0</v>
      </c>
      <c r="L610" s="216">
        <f t="shared" si="42"/>
        <v>0</v>
      </c>
      <c r="M610" s="216">
        <f t="shared" si="42"/>
        <v>0</v>
      </c>
      <c r="N610" s="216">
        <f t="shared" si="42"/>
        <v>0</v>
      </c>
      <c r="O610" s="216">
        <f t="shared" si="42"/>
        <v>0</v>
      </c>
      <c r="P610" s="216">
        <f t="shared" si="42"/>
        <v>0</v>
      </c>
      <c r="Q610" s="216">
        <f t="shared" si="42"/>
        <v>0</v>
      </c>
      <c r="R610" s="285">
        <f>SUM(J610:Q610)</f>
        <v>1.08</v>
      </c>
    </row>
    <row r="611" spans="1:18" s="244" customFormat="1" ht="20.25" customHeight="1" x14ac:dyDescent="0.25">
      <c r="A611" s="463" t="s">
        <v>167</v>
      </c>
      <c r="B611" s="374"/>
      <c r="C611" s="93"/>
      <c r="D611" s="93"/>
      <c r="E611" s="93"/>
      <c r="F611" s="94"/>
      <c r="G611" s="94">
        <f>SUM(G612:G613)</f>
        <v>3150</v>
      </c>
      <c r="H611" s="95"/>
      <c r="I611" s="93"/>
      <c r="J611" s="95"/>
      <c r="K611" s="95"/>
      <c r="L611" s="95"/>
      <c r="M611" s="95"/>
      <c r="N611" s="95"/>
      <c r="O611" s="95"/>
      <c r="P611" s="95"/>
      <c r="Q611" s="95"/>
      <c r="R611" s="245"/>
    </row>
    <row r="612" spans="1:18" s="244" customFormat="1" ht="20.25" customHeight="1" x14ac:dyDescent="0.25">
      <c r="A612" s="412" t="s">
        <v>307</v>
      </c>
      <c r="B612" s="376" t="s">
        <v>171</v>
      </c>
      <c r="C612" s="121">
        <v>1.5</v>
      </c>
      <c r="D612" s="96"/>
      <c r="E612" s="151"/>
      <c r="F612" s="96">
        <v>600</v>
      </c>
      <c r="G612" s="110">
        <f>C612*F612</f>
        <v>900</v>
      </c>
      <c r="H612" s="96"/>
      <c r="I612" s="108"/>
      <c r="J612" s="106"/>
      <c r="K612" s="106"/>
      <c r="L612" s="106"/>
      <c r="M612" s="106"/>
      <c r="N612" s="106"/>
      <c r="O612" s="106"/>
      <c r="P612" s="106"/>
      <c r="Q612" s="106"/>
      <c r="R612" s="246"/>
    </row>
    <row r="613" spans="1:18" s="244" customFormat="1" ht="20.25" customHeight="1" x14ac:dyDescent="0.25">
      <c r="A613" s="412" t="s">
        <v>308</v>
      </c>
      <c r="B613" s="376" t="s">
        <v>171</v>
      </c>
      <c r="C613" s="121">
        <v>3</v>
      </c>
      <c r="D613" s="96"/>
      <c r="E613" s="151"/>
      <c r="F613" s="96">
        <v>750</v>
      </c>
      <c r="G613" s="110">
        <f>C613*F613</f>
        <v>2250</v>
      </c>
      <c r="H613" s="96"/>
      <c r="I613" s="108"/>
      <c r="J613" s="106"/>
      <c r="K613" s="106"/>
      <c r="L613" s="106"/>
      <c r="M613" s="106"/>
      <c r="N613" s="106"/>
      <c r="O613" s="106"/>
      <c r="P613" s="106"/>
      <c r="Q613" s="106"/>
      <c r="R613" s="246"/>
    </row>
    <row r="614" spans="1:18" s="244" customFormat="1" ht="20.25" customHeight="1" x14ac:dyDescent="0.25">
      <c r="A614" s="462" t="s">
        <v>0</v>
      </c>
      <c r="B614" s="374"/>
      <c r="C614" s="93"/>
      <c r="D614" s="93"/>
      <c r="E614" s="93"/>
      <c r="F614" s="94"/>
      <c r="G614" s="94" t="e">
        <f>SUM(G615:G616)</f>
        <v>#N/A</v>
      </c>
      <c r="H614" s="95"/>
      <c r="I614" s="93"/>
      <c r="J614" s="93"/>
      <c r="K614" s="93"/>
      <c r="L614" s="93"/>
      <c r="M614" s="93"/>
      <c r="N614" s="93"/>
      <c r="O614" s="93"/>
      <c r="P614" s="93"/>
      <c r="Q614" s="93"/>
      <c r="R614" s="247"/>
    </row>
    <row r="615" spans="1:18" s="244" customFormat="1" ht="20.25" customHeight="1" x14ac:dyDescent="0.2">
      <c r="A615" s="412" t="s">
        <v>260</v>
      </c>
      <c r="B615" s="365" t="s">
        <v>33</v>
      </c>
      <c r="C615" s="151">
        <v>1</v>
      </c>
      <c r="D615" s="97"/>
      <c r="E615" s="92">
        <f>C615*R615</f>
        <v>0.5</v>
      </c>
      <c r="F615" s="98" t="e">
        <f>VLOOKUP(A615,ГрафикЖД!$B$4:$C$55,2,0)</f>
        <v>#N/A</v>
      </c>
      <c r="G615" s="99" t="e">
        <f>E615*F615</f>
        <v>#N/A</v>
      </c>
      <c r="H615" s="97"/>
      <c r="I615" s="100">
        <f>C610/E615*C615/10</f>
        <v>2.16</v>
      </c>
      <c r="J615" s="77">
        <v>0.5</v>
      </c>
      <c r="K615" s="77"/>
      <c r="L615" s="77"/>
      <c r="M615" s="77"/>
      <c r="N615" s="77"/>
      <c r="O615" s="77"/>
      <c r="P615" s="77"/>
      <c r="Q615" s="77"/>
      <c r="R615" s="78">
        <f>SUM(J615:Q615)</f>
        <v>0.5</v>
      </c>
    </row>
    <row r="616" spans="1:18" s="244" customFormat="1" ht="20.25" customHeight="1" x14ac:dyDescent="0.2">
      <c r="A616" s="412" t="s">
        <v>32</v>
      </c>
      <c r="B616" s="375"/>
      <c r="C616" s="99"/>
      <c r="D616" s="97"/>
      <c r="E616" s="97"/>
      <c r="F616" s="99"/>
      <c r="G616" s="99" t="e">
        <f>G615*30.9%</f>
        <v>#N/A</v>
      </c>
      <c r="H616" s="97"/>
      <c r="I616" s="97"/>
      <c r="J616" s="101"/>
      <c r="K616" s="101"/>
      <c r="L616" s="101"/>
      <c r="M616" s="101"/>
      <c r="N616" s="101"/>
      <c r="O616" s="101"/>
      <c r="P616" s="101"/>
      <c r="Q616" s="101"/>
      <c r="R616" s="249"/>
    </row>
    <row r="617" spans="1:18" s="244" customFormat="1" ht="20.25" customHeight="1" x14ac:dyDescent="0.25">
      <c r="A617" s="462" t="s">
        <v>1</v>
      </c>
      <c r="B617" s="374"/>
      <c r="C617" s="93"/>
      <c r="D617" s="93"/>
      <c r="E617" s="93"/>
      <c r="F617" s="94"/>
      <c r="G617" s="94">
        <v>0</v>
      </c>
      <c r="H617" s="95"/>
      <c r="I617" s="93"/>
      <c r="J617" s="103"/>
      <c r="K617" s="103"/>
      <c r="L617" s="103"/>
      <c r="M617" s="103"/>
      <c r="N617" s="103"/>
      <c r="O617" s="103"/>
      <c r="P617" s="103"/>
      <c r="Q617" s="103"/>
      <c r="R617" s="250"/>
    </row>
    <row r="618" spans="1:18" s="273" customFormat="1" ht="34.5" customHeight="1" x14ac:dyDescent="0.25">
      <c r="A618" s="474" t="s">
        <v>310</v>
      </c>
      <c r="B618" s="392" t="s">
        <v>57</v>
      </c>
      <c r="C618" s="344">
        <v>15.58</v>
      </c>
      <c r="D618" s="345"/>
      <c r="E618" s="346">
        <f>E622+E630+E638+E645+E656+E665+E674+E682+E692</f>
        <v>28.6</v>
      </c>
      <c r="F618" s="343" t="e">
        <f>G618/C618</f>
        <v>#N/A</v>
      </c>
      <c r="G618" s="343" t="e">
        <f>G622+G630+G638+G645+G656+G665+G674+G682+G692</f>
        <v>#N/A</v>
      </c>
      <c r="H618" s="345"/>
      <c r="I618" s="347"/>
      <c r="J618" s="348">
        <f>$C$618/$R$620*J620</f>
        <v>15.58</v>
      </c>
      <c r="K618" s="348">
        <f t="shared" ref="K618:Q618" si="43">$C$618/$R$620*K620</f>
        <v>0</v>
      </c>
      <c r="L618" s="348">
        <f t="shared" si="43"/>
        <v>0</v>
      </c>
      <c r="M618" s="348">
        <f t="shared" si="43"/>
        <v>0</v>
      </c>
      <c r="N618" s="348">
        <f t="shared" si="43"/>
        <v>0</v>
      </c>
      <c r="O618" s="348">
        <f t="shared" si="43"/>
        <v>0</v>
      </c>
      <c r="P618" s="348">
        <f t="shared" si="43"/>
        <v>0</v>
      </c>
      <c r="Q618" s="348">
        <f t="shared" si="43"/>
        <v>0</v>
      </c>
      <c r="R618" s="349">
        <f>SUM(J618:Q618)</f>
        <v>15.58</v>
      </c>
    </row>
    <row r="619" spans="1:18" s="244" customFormat="1" ht="20.25" customHeight="1" x14ac:dyDescent="0.2">
      <c r="A619" s="228" t="s">
        <v>46</v>
      </c>
      <c r="B619" s="371" t="str">
        <f>B618</f>
        <v>м</v>
      </c>
      <c r="C619" s="230">
        <f>C618</f>
        <v>15.58</v>
      </c>
      <c r="D619" s="142"/>
      <c r="E619" s="298"/>
      <c r="F619" s="229"/>
      <c r="G619" s="142">
        <f>SUMIF($A$622:$A$699,A623,$G$622:$G$699)</f>
        <v>486225</v>
      </c>
      <c r="H619" s="142"/>
      <c r="I619" s="299"/>
      <c r="J619" s="227"/>
      <c r="K619" s="227"/>
      <c r="L619" s="227"/>
      <c r="M619" s="227"/>
      <c r="N619" s="227"/>
      <c r="O619" s="227"/>
      <c r="P619" s="227"/>
      <c r="Q619" s="227"/>
      <c r="R619" s="228"/>
    </row>
    <row r="620" spans="1:18" s="244" customFormat="1" ht="20.25" customHeight="1" x14ac:dyDescent="0.2">
      <c r="A620" s="228" t="s">
        <v>47</v>
      </c>
      <c r="B620" s="371" t="str">
        <f>B619</f>
        <v>м</v>
      </c>
      <c r="C620" s="230">
        <f>C618</f>
        <v>15.58</v>
      </c>
      <c r="D620" s="142"/>
      <c r="E620" s="298"/>
      <c r="F620" s="229"/>
      <c r="G620" s="142" t="e">
        <f>SUMIF($A$622:$A$699,A624,$G$622:$G$699)</f>
        <v>#N/A</v>
      </c>
      <c r="H620" s="142"/>
      <c r="I620" s="299"/>
      <c r="J620" s="300">
        <f t="array" ref="J620">SUMPRODUCT(IF($A$622:$A$699=$A625,J$622:J$699,0),$C$622:$C$699)</f>
        <v>28.6</v>
      </c>
      <c r="K620" s="300">
        <f t="array" ref="K620">SUMPRODUCT(IF($A$622:$A$699=$A625,K$622:K$699,0),$C$622:$C$699)</f>
        <v>0</v>
      </c>
      <c r="L620" s="300">
        <f t="array" ref="L620">SUMPRODUCT(IF($A$622:$A$699=$A625,L$622:L$699,0),$C$622:$C$699)</f>
        <v>0</v>
      </c>
      <c r="M620" s="300">
        <f t="array" ref="M620">SUMPRODUCT(IF($A$622:$A$699=$A625,M$622:M$699,0),$C$622:$C$699)</f>
        <v>0</v>
      </c>
      <c r="N620" s="300">
        <f t="array" ref="N620">SUMPRODUCT(IF($A$622:$A$699=$A625,N$622:N$699,0),$C$622:$C$699)</f>
        <v>0</v>
      </c>
      <c r="O620" s="300">
        <f t="array" ref="O620">SUMPRODUCT(IF($A$622:$A$699=$A625,O$622:O$699,0),$C$622:$C$699)</f>
        <v>0</v>
      </c>
      <c r="P620" s="300">
        <f t="array" ref="P620">SUMPRODUCT(IF($A$622:$A$699=$A625,P$622:P$699,0),$C$622:$C$699)</f>
        <v>0</v>
      </c>
      <c r="Q620" s="300">
        <f t="array" ref="Q620">SUMPRODUCT(IF($A$622:$A$699=$A625,Q$622:Q$699,0),$C$622:$C$699)</f>
        <v>0</v>
      </c>
      <c r="R620" s="282">
        <f>SUM(J620:Q620)</f>
        <v>28.6</v>
      </c>
    </row>
    <row r="621" spans="1:18" s="244" customFormat="1" ht="20.25" customHeight="1" x14ac:dyDescent="0.2">
      <c r="A621" s="228" t="s">
        <v>48</v>
      </c>
      <c r="B621" s="371" t="str">
        <f>B620</f>
        <v>м</v>
      </c>
      <c r="C621" s="230">
        <f>C618</f>
        <v>15.58</v>
      </c>
      <c r="D621" s="142"/>
      <c r="E621" s="298"/>
      <c r="F621" s="229"/>
      <c r="G621" s="142">
        <f>SUMIF($A$622:$A$699,A627,$G$622:$G$699)</f>
        <v>187550</v>
      </c>
      <c r="H621" s="142"/>
      <c r="I621" s="299"/>
      <c r="J621" s="227"/>
      <c r="K621" s="227"/>
      <c r="L621" s="227"/>
      <c r="M621" s="227"/>
      <c r="N621" s="227"/>
      <c r="O621" s="227"/>
      <c r="P621" s="227"/>
      <c r="Q621" s="227"/>
      <c r="R621" s="228"/>
    </row>
    <row r="622" spans="1:18" s="244" customFormat="1" ht="40.5" customHeight="1" x14ac:dyDescent="0.2">
      <c r="A622" s="470" t="s">
        <v>279</v>
      </c>
      <c r="B622" s="389" t="s">
        <v>34</v>
      </c>
      <c r="C622" s="288">
        <v>374.5</v>
      </c>
      <c r="D622" s="289"/>
      <c r="E622" s="289">
        <f>E625</f>
        <v>9</v>
      </c>
      <c r="F622" s="289" t="e">
        <f>G622/C622</f>
        <v>#N/A</v>
      </c>
      <c r="G622" s="289" t="e">
        <f>G623+G624+G627</f>
        <v>#N/A</v>
      </c>
      <c r="H622" s="289"/>
      <c r="I622" s="289"/>
      <c r="J622" s="290">
        <f>J625*$I625</f>
        <v>37.450000000000003</v>
      </c>
      <c r="K622" s="290">
        <f t="shared" ref="K622:Q622" si="44">K625*$I625</f>
        <v>0</v>
      </c>
      <c r="L622" s="290">
        <f t="shared" si="44"/>
        <v>0</v>
      </c>
      <c r="M622" s="290">
        <f t="shared" si="44"/>
        <v>0</v>
      </c>
      <c r="N622" s="290">
        <f t="shared" si="44"/>
        <v>0</v>
      </c>
      <c r="O622" s="290">
        <f t="shared" si="44"/>
        <v>0</v>
      </c>
      <c r="P622" s="290">
        <f t="shared" si="44"/>
        <v>0</v>
      </c>
      <c r="Q622" s="290">
        <f t="shared" si="44"/>
        <v>0</v>
      </c>
      <c r="R622" s="291">
        <f>SUM(J622:Q622)</f>
        <v>37.450000000000003</v>
      </c>
    </row>
    <row r="623" spans="1:18" s="244" customFormat="1" ht="20.25" customHeight="1" x14ac:dyDescent="0.25">
      <c r="A623" s="463" t="s">
        <v>167</v>
      </c>
      <c r="B623" s="374"/>
      <c r="C623" s="93"/>
      <c r="D623" s="93"/>
      <c r="E623" s="93"/>
      <c r="F623" s="94"/>
      <c r="G623" s="94">
        <f>0</f>
        <v>0</v>
      </c>
      <c r="H623" s="95"/>
      <c r="I623" s="93"/>
      <c r="J623" s="95"/>
      <c r="K623" s="95"/>
      <c r="L623" s="95"/>
      <c r="M623" s="95"/>
      <c r="N623" s="95"/>
      <c r="O623" s="95"/>
      <c r="P623" s="95"/>
      <c r="Q623" s="95"/>
      <c r="R623" s="245"/>
    </row>
    <row r="624" spans="1:18" s="244" customFormat="1" ht="20.25" customHeight="1" x14ac:dyDescent="0.25">
      <c r="A624" s="462" t="s">
        <v>0</v>
      </c>
      <c r="B624" s="374"/>
      <c r="C624" s="93"/>
      <c r="D624" s="93"/>
      <c r="E624" s="93"/>
      <c r="F624" s="94"/>
      <c r="G624" s="94" t="e">
        <f>SUM(G625:G626)</f>
        <v>#N/A</v>
      </c>
      <c r="H624" s="95"/>
      <c r="I624" s="93"/>
      <c r="J624" s="93"/>
      <c r="K624" s="93"/>
      <c r="L624" s="93"/>
      <c r="M624" s="93"/>
      <c r="N624" s="93"/>
      <c r="O624" s="93"/>
      <c r="P624" s="93"/>
      <c r="Q624" s="93"/>
      <c r="R624" s="247"/>
    </row>
    <row r="625" spans="1:18" s="244" customFormat="1" ht="20.25" customHeight="1" x14ac:dyDescent="0.2">
      <c r="A625" s="412" t="s">
        <v>260</v>
      </c>
      <c r="B625" s="365" t="s">
        <v>33</v>
      </c>
      <c r="C625" s="151">
        <v>3</v>
      </c>
      <c r="D625" s="97"/>
      <c r="E625" s="92">
        <f>C625*R625</f>
        <v>9</v>
      </c>
      <c r="F625" s="98" t="e">
        <f>VLOOKUP(A625,ГрафикЖД!$B$4:$C$55,2,0)</f>
        <v>#N/A</v>
      </c>
      <c r="G625" s="99" t="e">
        <f>E625*F625</f>
        <v>#N/A</v>
      </c>
      <c r="H625" s="97"/>
      <c r="I625" s="100">
        <f>C622/E625*C625/10</f>
        <v>12.483333333333334</v>
      </c>
      <c r="J625" s="77">
        <v>3</v>
      </c>
      <c r="K625" s="77"/>
      <c r="L625" s="77"/>
      <c r="M625" s="77"/>
      <c r="N625" s="77"/>
      <c r="O625" s="77"/>
      <c r="P625" s="77"/>
      <c r="Q625" s="77"/>
      <c r="R625" s="78">
        <f>SUM(J625:Q625)</f>
        <v>3</v>
      </c>
    </row>
    <row r="626" spans="1:18" s="244" customFormat="1" ht="20.25" customHeight="1" x14ac:dyDescent="0.2">
      <c r="A626" s="412" t="s">
        <v>32</v>
      </c>
      <c r="B626" s="375"/>
      <c r="C626" s="99"/>
      <c r="D626" s="97"/>
      <c r="E626" s="97"/>
      <c r="F626" s="99"/>
      <c r="G626" s="99" t="e">
        <f>G625*30.9%</f>
        <v>#N/A</v>
      </c>
      <c r="H626" s="97"/>
      <c r="I626" s="97"/>
      <c r="J626" s="101"/>
      <c r="K626" s="101"/>
      <c r="L626" s="101"/>
      <c r="M626" s="101"/>
      <c r="N626" s="101"/>
      <c r="O626" s="101"/>
      <c r="P626" s="101"/>
      <c r="Q626" s="101"/>
      <c r="R626" s="249"/>
    </row>
    <row r="627" spans="1:18" s="244" customFormat="1" ht="20.25" customHeight="1" x14ac:dyDescent="0.25">
      <c r="A627" s="462" t="s">
        <v>1</v>
      </c>
      <c r="B627" s="374"/>
      <c r="C627" s="93"/>
      <c r="D627" s="93"/>
      <c r="E627" s="93"/>
      <c r="F627" s="94"/>
      <c r="G627" s="94">
        <f>SUM(G628:G629)</f>
        <v>107250</v>
      </c>
      <c r="H627" s="95"/>
      <c r="I627" s="93"/>
      <c r="J627" s="103"/>
      <c r="K627" s="103"/>
      <c r="L627" s="103"/>
      <c r="M627" s="103"/>
      <c r="N627" s="103"/>
      <c r="O627" s="103"/>
      <c r="P627" s="103"/>
      <c r="Q627" s="103"/>
      <c r="R627" s="250"/>
    </row>
    <row r="628" spans="1:18" s="244" customFormat="1" ht="20.25" customHeight="1" x14ac:dyDescent="0.25">
      <c r="A628" s="412" t="s">
        <v>242</v>
      </c>
      <c r="B628" s="376" t="s">
        <v>35</v>
      </c>
      <c r="C628" s="121">
        <v>1</v>
      </c>
      <c r="D628" s="106"/>
      <c r="E628" s="92">
        <f>C628*R628</f>
        <v>3</v>
      </c>
      <c r="F628" s="98">
        <f>VLOOKUP(A628,ГрафикЖД!$B$4:$C$55,2,0)</f>
        <v>19250</v>
      </c>
      <c r="G628" s="99">
        <f>E628*F628</f>
        <v>57750</v>
      </c>
      <c r="H628" s="106"/>
      <c r="I628" s="100">
        <f>C622/E628*C628</f>
        <v>124.83333333333333</v>
      </c>
      <c r="J628" s="100">
        <v>3</v>
      </c>
      <c r="K628" s="100"/>
      <c r="L628" s="100"/>
      <c r="M628" s="152"/>
      <c r="N628" s="100"/>
      <c r="O628" s="100"/>
      <c r="P628" s="100"/>
      <c r="Q628" s="152"/>
      <c r="R628" s="248">
        <f>SUM(J628:Q628)</f>
        <v>3</v>
      </c>
    </row>
    <row r="629" spans="1:18" s="244" customFormat="1" ht="20.25" customHeight="1" x14ac:dyDescent="0.25">
      <c r="A629" s="415" t="s">
        <v>241</v>
      </c>
      <c r="B629" s="376" t="s">
        <v>35</v>
      </c>
      <c r="C629" s="121">
        <v>1</v>
      </c>
      <c r="D629" s="106"/>
      <c r="E629" s="92">
        <f>C629*R629</f>
        <v>3</v>
      </c>
      <c r="F629" s="98">
        <f>VLOOKUP(A629,ГрафикЖД!$B$4:$C$55,2,0)</f>
        <v>16500</v>
      </c>
      <c r="G629" s="99">
        <f>E629*F629</f>
        <v>49500</v>
      </c>
      <c r="H629" s="106"/>
      <c r="I629" s="100">
        <f>C622/E629*C629</f>
        <v>124.83333333333333</v>
      </c>
      <c r="J629" s="100">
        <v>3</v>
      </c>
      <c r="K629" s="100"/>
      <c r="L629" s="100"/>
      <c r="M629" s="152"/>
      <c r="N629" s="100"/>
      <c r="O629" s="100"/>
      <c r="P629" s="100"/>
      <c r="Q629" s="152"/>
      <c r="R629" s="248">
        <f>SUM(J629:Q629)</f>
        <v>3</v>
      </c>
    </row>
    <row r="630" spans="1:18" s="244" customFormat="1" ht="36" customHeight="1" x14ac:dyDescent="0.2">
      <c r="A630" s="470" t="s">
        <v>311</v>
      </c>
      <c r="B630" s="390" t="s">
        <v>34</v>
      </c>
      <c r="C630" s="284">
        <v>35</v>
      </c>
      <c r="D630" s="194"/>
      <c r="E630" s="194">
        <f>E634</f>
        <v>1.5</v>
      </c>
      <c r="F630" s="194" t="e">
        <f>G630/C630</f>
        <v>#N/A</v>
      </c>
      <c r="G630" s="194" t="e">
        <f>G631+G633+G636</f>
        <v>#N/A</v>
      </c>
      <c r="H630" s="194"/>
      <c r="I630" s="194"/>
      <c r="J630" s="216">
        <f>J634*$I634</f>
        <v>35</v>
      </c>
      <c r="K630" s="216">
        <f t="shared" ref="K630:Q630" si="45">K634*$I634</f>
        <v>0</v>
      </c>
      <c r="L630" s="216">
        <f t="shared" si="45"/>
        <v>0</v>
      </c>
      <c r="M630" s="216">
        <f t="shared" si="45"/>
        <v>0</v>
      </c>
      <c r="N630" s="216">
        <f t="shared" si="45"/>
        <v>0</v>
      </c>
      <c r="O630" s="216">
        <f t="shared" si="45"/>
        <v>0</v>
      </c>
      <c r="P630" s="216">
        <f t="shared" si="45"/>
        <v>0</v>
      </c>
      <c r="Q630" s="216">
        <f t="shared" si="45"/>
        <v>0</v>
      </c>
      <c r="R630" s="285">
        <f>SUM(J630:Q630)</f>
        <v>35</v>
      </c>
    </row>
    <row r="631" spans="1:18" s="244" customFormat="1" ht="20.25" customHeight="1" x14ac:dyDescent="0.25">
      <c r="A631" s="463" t="s">
        <v>167</v>
      </c>
      <c r="B631" s="374"/>
      <c r="C631" s="93"/>
      <c r="D631" s="93"/>
      <c r="E631" s="93"/>
      <c r="F631" s="94"/>
      <c r="G631" s="94">
        <f>G632</f>
        <v>20474.999999999996</v>
      </c>
      <c r="H631" s="95"/>
      <c r="I631" s="93"/>
      <c r="J631" s="95"/>
      <c r="K631" s="95"/>
      <c r="L631" s="95"/>
      <c r="M631" s="95"/>
      <c r="N631" s="95"/>
      <c r="O631" s="95"/>
      <c r="P631" s="95"/>
      <c r="Q631" s="95"/>
      <c r="R631" s="245"/>
    </row>
    <row r="632" spans="1:18" s="244" customFormat="1" ht="20.25" customHeight="1" x14ac:dyDescent="0.25">
      <c r="A632" s="412" t="s">
        <v>312</v>
      </c>
      <c r="B632" s="365" t="s">
        <v>34</v>
      </c>
      <c r="C632" s="151">
        <f>35*1.17</f>
        <v>40.949999999999996</v>
      </c>
      <c r="D632" s="96"/>
      <c r="E632" s="151"/>
      <c r="F632" s="96">
        <v>500</v>
      </c>
      <c r="G632" s="110">
        <f>C632*F632</f>
        <v>20474.999999999996</v>
      </c>
      <c r="H632" s="96"/>
      <c r="I632" s="108"/>
      <c r="J632" s="106"/>
      <c r="K632" s="106"/>
      <c r="L632" s="106"/>
      <c r="M632" s="106"/>
      <c r="N632" s="106"/>
      <c r="O632" s="106"/>
      <c r="P632" s="106"/>
      <c r="Q632" s="106"/>
      <c r="R632" s="246"/>
    </row>
    <row r="633" spans="1:18" s="244" customFormat="1" ht="20.25" customHeight="1" x14ac:dyDescent="0.25">
      <c r="A633" s="462" t="s">
        <v>0</v>
      </c>
      <c r="B633" s="374"/>
      <c r="C633" s="93"/>
      <c r="D633" s="93"/>
      <c r="E633" s="93"/>
      <c r="F633" s="94"/>
      <c r="G633" s="94" t="e">
        <f>SUM(G634:G635)</f>
        <v>#N/A</v>
      </c>
      <c r="H633" s="95"/>
      <c r="I633" s="93"/>
      <c r="J633" s="93"/>
      <c r="K633" s="93"/>
      <c r="L633" s="93"/>
      <c r="M633" s="93"/>
      <c r="N633" s="93"/>
      <c r="O633" s="93"/>
      <c r="P633" s="93"/>
      <c r="Q633" s="93"/>
      <c r="R633" s="247"/>
    </row>
    <row r="634" spans="1:18" s="244" customFormat="1" ht="20.25" customHeight="1" x14ac:dyDescent="0.2">
      <c r="A634" s="412" t="s">
        <v>260</v>
      </c>
      <c r="B634" s="365" t="s">
        <v>33</v>
      </c>
      <c r="C634" s="151">
        <v>3</v>
      </c>
      <c r="D634" s="97"/>
      <c r="E634" s="92">
        <f>C634*R634</f>
        <v>1.5</v>
      </c>
      <c r="F634" s="98" t="e">
        <f>VLOOKUP(A634,ГрафикЖД!$B$4:$C$55,2,0)</f>
        <v>#N/A</v>
      </c>
      <c r="G634" s="99" t="e">
        <f>E634*F634</f>
        <v>#N/A</v>
      </c>
      <c r="H634" s="97"/>
      <c r="I634" s="100">
        <f>C630/E634*C634</f>
        <v>70</v>
      </c>
      <c r="J634" s="77">
        <v>0.5</v>
      </c>
      <c r="K634" s="77"/>
      <c r="L634" s="77"/>
      <c r="M634" s="77"/>
      <c r="N634" s="77"/>
      <c r="O634" s="77"/>
      <c r="P634" s="77"/>
      <c r="Q634" s="77"/>
      <c r="R634" s="78">
        <f>SUM(J634:Q634)</f>
        <v>0.5</v>
      </c>
    </row>
    <row r="635" spans="1:18" s="244" customFormat="1" ht="20.25" customHeight="1" x14ac:dyDescent="0.2">
      <c r="A635" s="412" t="s">
        <v>32</v>
      </c>
      <c r="B635" s="375"/>
      <c r="C635" s="99"/>
      <c r="D635" s="97"/>
      <c r="E635" s="97"/>
      <c r="F635" s="99"/>
      <c r="G635" s="99" t="e">
        <f>G634*30.9%</f>
        <v>#N/A</v>
      </c>
      <c r="H635" s="97"/>
      <c r="I635" s="97"/>
      <c r="J635" s="101"/>
      <c r="K635" s="101"/>
      <c r="L635" s="101"/>
      <c r="M635" s="101"/>
      <c r="N635" s="101"/>
      <c r="O635" s="101"/>
      <c r="P635" s="101"/>
      <c r="Q635" s="101"/>
      <c r="R635" s="249"/>
    </row>
    <row r="636" spans="1:18" s="244" customFormat="1" ht="20.25" customHeight="1" x14ac:dyDescent="0.25">
      <c r="A636" s="462" t="s">
        <v>1</v>
      </c>
      <c r="B636" s="374"/>
      <c r="C636" s="93"/>
      <c r="D636" s="93"/>
      <c r="E636" s="93"/>
      <c r="F636" s="94"/>
      <c r="G636" s="94">
        <f>SUM(G637:G637)</f>
        <v>9625</v>
      </c>
      <c r="H636" s="95"/>
      <c r="I636" s="93"/>
      <c r="J636" s="103"/>
      <c r="K636" s="103"/>
      <c r="L636" s="103"/>
      <c r="M636" s="103"/>
      <c r="N636" s="103"/>
      <c r="O636" s="103"/>
      <c r="P636" s="103"/>
      <c r="Q636" s="103"/>
      <c r="R636" s="250"/>
    </row>
    <row r="637" spans="1:18" s="244" customFormat="1" ht="20.25" customHeight="1" x14ac:dyDescent="0.25">
      <c r="A637" s="412" t="s">
        <v>242</v>
      </c>
      <c r="B637" s="376" t="s">
        <v>35</v>
      </c>
      <c r="C637" s="92">
        <v>1</v>
      </c>
      <c r="D637" s="106"/>
      <c r="E637" s="92">
        <f>C637*R637</f>
        <v>0.5</v>
      </c>
      <c r="F637" s="98">
        <f>VLOOKUP(A637,ГрафикЖД!$B$4:$C$55,2,0)</f>
        <v>19250</v>
      </c>
      <c r="G637" s="99">
        <f>E637*F637</f>
        <v>9625</v>
      </c>
      <c r="H637" s="106"/>
      <c r="I637" s="100">
        <f>C630/E637*C637</f>
        <v>70</v>
      </c>
      <c r="J637" s="100">
        <v>0.5</v>
      </c>
      <c r="K637" s="100"/>
      <c r="L637" s="100"/>
      <c r="M637" s="152"/>
      <c r="N637" s="100"/>
      <c r="O637" s="100"/>
      <c r="P637" s="100"/>
      <c r="Q637" s="152"/>
      <c r="R637" s="248">
        <f>SUM(J637:Q637)</f>
        <v>0.5</v>
      </c>
    </row>
    <row r="638" spans="1:18" s="244" customFormat="1" ht="36.75" customHeight="1" x14ac:dyDescent="0.2">
      <c r="A638" s="470" t="s">
        <v>315</v>
      </c>
      <c r="B638" s="390" t="s">
        <v>314</v>
      </c>
      <c r="C638" s="284">
        <v>10</v>
      </c>
      <c r="D638" s="194"/>
      <c r="E638" s="194">
        <f>E641</f>
        <v>3</v>
      </c>
      <c r="F638" s="194" t="e">
        <f>G638/C638</f>
        <v>#N/A</v>
      </c>
      <c r="G638" s="194" t="e">
        <f>G639+G640+G643</f>
        <v>#N/A</v>
      </c>
      <c r="H638" s="194"/>
      <c r="I638" s="194"/>
      <c r="J638" s="216">
        <f>J641*$I641</f>
        <v>10</v>
      </c>
      <c r="K638" s="216">
        <f t="shared" ref="K638:Q638" si="46">K641*$I641</f>
        <v>0</v>
      </c>
      <c r="L638" s="216">
        <f t="shared" si="46"/>
        <v>0</v>
      </c>
      <c r="M638" s="216">
        <f t="shared" si="46"/>
        <v>0</v>
      </c>
      <c r="N638" s="216">
        <f t="shared" si="46"/>
        <v>0</v>
      </c>
      <c r="O638" s="216">
        <f t="shared" si="46"/>
        <v>0</v>
      </c>
      <c r="P638" s="216">
        <f t="shared" si="46"/>
        <v>0</v>
      </c>
      <c r="Q638" s="216">
        <f t="shared" si="46"/>
        <v>0</v>
      </c>
      <c r="R638" s="285">
        <f>SUM(J638:Q638)</f>
        <v>10</v>
      </c>
    </row>
    <row r="639" spans="1:18" s="244" customFormat="1" ht="20.25" customHeight="1" x14ac:dyDescent="0.25">
      <c r="A639" s="463" t="s">
        <v>167</v>
      </c>
      <c r="B639" s="374"/>
      <c r="C639" s="93"/>
      <c r="D639" s="93"/>
      <c r="E639" s="93"/>
      <c r="F639" s="94"/>
      <c r="G639" s="94">
        <v>0</v>
      </c>
      <c r="H639" s="95"/>
      <c r="I639" s="93"/>
      <c r="J639" s="95"/>
      <c r="K639" s="95"/>
      <c r="L639" s="95"/>
      <c r="M639" s="95"/>
      <c r="N639" s="95"/>
      <c r="O639" s="95"/>
      <c r="P639" s="95"/>
      <c r="Q639" s="95"/>
      <c r="R639" s="245"/>
    </row>
    <row r="640" spans="1:18" s="244" customFormat="1" ht="20.25" customHeight="1" x14ac:dyDescent="0.25">
      <c r="A640" s="462" t="s">
        <v>0</v>
      </c>
      <c r="B640" s="374"/>
      <c r="C640" s="93"/>
      <c r="D640" s="93"/>
      <c r="E640" s="93"/>
      <c r="F640" s="94"/>
      <c r="G640" s="94" t="e">
        <f>SUM(G641:G642)</f>
        <v>#N/A</v>
      </c>
      <c r="H640" s="95"/>
      <c r="I640" s="93"/>
      <c r="J640" s="93"/>
      <c r="K640" s="93"/>
      <c r="L640" s="93"/>
      <c r="M640" s="93"/>
      <c r="N640" s="93"/>
      <c r="O640" s="93"/>
      <c r="P640" s="93"/>
      <c r="Q640" s="93"/>
      <c r="R640" s="247"/>
    </row>
    <row r="641" spans="1:18" s="244" customFormat="1" ht="20.25" customHeight="1" x14ac:dyDescent="0.2">
      <c r="A641" s="412" t="s">
        <v>260</v>
      </c>
      <c r="B641" s="365" t="s">
        <v>33</v>
      </c>
      <c r="C641" s="151">
        <v>3</v>
      </c>
      <c r="D641" s="97"/>
      <c r="E641" s="92">
        <f>C641*R641</f>
        <v>3</v>
      </c>
      <c r="F641" s="98" t="e">
        <f>VLOOKUP(A641,ГрафикЖД!$B$4:$C$55,2,0)</f>
        <v>#N/A</v>
      </c>
      <c r="G641" s="99" t="e">
        <f>E641*F641</f>
        <v>#N/A</v>
      </c>
      <c r="H641" s="97"/>
      <c r="I641" s="100">
        <f>C638/E641*C641</f>
        <v>10</v>
      </c>
      <c r="J641" s="77">
        <v>1</v>
      </c>
      <c r="K641" s="77"/>
      <c r="L641" s="77"/>
      <c r="M641" s="77"/>
      <c r="N641" s="77"/>
      <c r="O641" s="77"/>
      <c r="P641" s="77"/>
      <c r="Q641" s="77"/>
      <c r="R641" s="78">
        <f>SUM(J641:Q641)</f>
        <v>1</v>
      </c>
    </row>
    <row r="642" spans="1:18" s="244" customFormat="1" ht="20.25" customHeight="1" x14ac:dyDescent="0.2">
      <c r="A642" s="412" t="s">
        <v>32</v>
      </c>
      <c r="B642" s="375"/>
      <c r="C642" s="99"/>
      <c r="D642" s="97"/>
      <c r="E642" s="97"/>
      <c r="F642" s="99"/>
      <c r="G642" s="99" t="e">
        <f>G641*30.9%</f>
        <v>#N/A</v>
      </c>
      <c r="H642" s="97"/>
      <c r="I642" s="97"/>
      <c r="J642" s="101"/>
      <c r="K642" s="101"/>
      <c r="L642" s="101"/>
      <c r="M642" s="101"/>
      <c r="N642" s="101"/>
      <c r="O642" s="101"/>
      <c r="P642" s="101"/>
      <c r="Q642" s="101"/>
      <c r="R642" s="249"/>
    </row>
    <row r="643" spans="1:18" s="244" customFormat="1" ht="20.25" customHeight="1" x14ac:dyDescent="0.25">
      <c r="A643" s="462" t="s">
        <v>1</v>
      </c>
      <c r="B643" s="374"/>
      <c r="C643" s="93"/>
      <c r="D643" s="93"/>
      <c r="E643" s="93"/>
      <c r="F643" s="94"/>
      <c r="G643" s="94">
        <f>SUM(G644:G644)</f>
        <v>20900</v>
      </c>
      <c r="H643" s="95"/>
      <c r="I643" s="93"/>
      <c r="J643" s="103"/>
      <c r="K643" s="103"/>
      <c r="L643" s="103"/>
      <c r="M643" s="103"/>
      <c r="N643" s="103"/>
      <c r="O643" s="103"/>
      <c r="P643" s="103"/>
      <c r="Q643" s="103"/>
      <c r="R643" s="250"/>
    </row>
    <row r="644" spans="1:18" s="244" customFormat="1" ht="20.25" customHeight="1" x14ac:dyDescent="0.25">
      <c r="A644" s="415" t="s">
        <v>240</v>
      </c>
      <c r="B644" s="376" t="s">
        <v>35</v>
      </c>
      <c r="C644" s="92">
        <v>1</v>
      </c>
      <c r="D644" s="106"/>
      <c r="E644" s="92">
        <f>C644*R644</f>
        <v>1</v>
      </c>
      <c r="F644" s="98">
        <f>VLOOKUP(A644,ГрафикЖД!$B$4:$C$55,2,0)</f>
        <v>20900</v>
      </c>
      <c r="G644" s="99">
        <f>E644*F644</f>
        <v>20900</v>
      </c>
      <c r="H644" s="106"/>
      <c r="I644" s="100">
        <f>C638/E644*C644</f>
        <v>10</v>
      </c>
      <c r="J644" s="100">
        <v>1</v>
      </c>
      <c r="K644" s="100"/>
      <c r="L644" s="100"/>
      <c r="M644" s="152"/>
      <c r="N644" s="100"/>
      <c r="O644" s="100"/>
      <c r="P644" s="100"/>
      <c r="Q644" s="152"/>
      <c r="R644" s="248">
        <f>SUM(J644:Q644)</f>
        <v>1</v>
      </c>
    </row>
    <row r="645" spans="1:18" s="244" customFormat="1" ht="34.5" customHeight="1" x14ac:dyDescent="0.2">
      <c r="A645" s="470" t="s">
        <v>313</v>
      </c>
      <c r="B645" s="390" t="s">
        <v>35</v>
      </c>
      <c r="C645" s="284">
        <v>10</v>
      </c>
      <c r="D645" s="194"/>
      <c r="E645" s="194">
        <f>E652</f>
        <v>5</v>
      </c>
      <c r="F645" s="194" t="e">
        <f>G645/C645</f>
        <v>#N/A</v>
      </c>
      <c r="G645" s="194" t="e">
        <f>G646+G651+G654</f>
        <v>#N/A</v>
      </c>
      <c r="H645" s="194"/>
      <c r="I645" s="194"/>
      <c r="J645" s="216">
        <f>J652*$I652</f>
        <v>10</v>
      </c>
      <c r="K645" s="216">
        <f t="shared" ref="K645:Q645" si="47">K652*$I652</f>
        <v>0</v>
      </c>
      <c r="L645" s="216">
        <f t="shared" si="47"/>
        <v>0</v>
      </c>
      <c r="M645" s="216">
        <f t="shared" si="47"/>
        <v>0</v>
      </c>
      <c r="N645" s="216">
        <f t="shared" si="47"/>
        <v>0</v>
      </c>
      <c r="O645" s="216">
        <f t="shared" si="47"/>
        <v>0</v>
      </c>
      <c r="P645" s="216">
        <f t="shared" si="47"/>
        <v>0</v>
      </c>
      <c r="Q645" s="216">
        <f t="shared" si="47"/>
        <v>0</v>
      </c>
      <c r="R645" s="285">
        <f>SUM(J645:Q645)</f>
        <v>10</v>
      </c>
    </row>
    <row r="646" spans="1:18" s="244" customFormat="1" ht="20.25" customHeight="1" x14ac:dyDescent="0.25">
      <c r="A646" s="463" t="s">
        <v>167</v>
      </c>
      <c r="B646" s="374"/>
      <c r="C646" s="93"/>
      <c r="D646" s="93"/>
      <c r="E646" s="93"/>
      <c r="F646" s="94"/>
      <c r="G646" s="94">
        <f>SUM(G647:G650)</f>
        <v>316500</v>
      </c>
      <c r="H646" s="95"/>
      <c r="I646" s="93"/>
      <c r="J646" s="95"/>
      <c r="K646" s="95"/>
      <c r="L646" s="95"/>
      <c r="M646" s="95"/>
      <c r="N646" s="95"/>
      <c r="O646" s="95"/>
      <c r="P646" s="95"/>
      <c r="Q646" s="95"/>
      <c r="R646" s="245"/>
    </row>
    <row r="647" spans="1:18" s="244" customFormat="1" ht="20.25" customHeight="1" x14ac:dyDescent="0.25">
      <c r="A647" s="412" t="s">
        <v>282</v>
      </c>
      <c r="B647" s="376" t="s">
        <v>35</v>
      </c>
      <c r="C647" s="151">
        <v>6</v>
      </c>
      <c r="D647" s="96"/>
      <c r="E647" s="151"/>
      <c r="F647" s="96">
        <v>22000</v>
      </c>
      <c r="G647" s="110">
        <f>C647*F647</f>
        <v>132000</v>
      </c>
      <c r="H647" s="96"/>
      <c r="I647" s="108"/>
      <c r="J647" s="106"/>
      <c r="K647" s="106"/>
      <c r="L647" s="106"/>
      <c r="M647" s="106"/>
      <c r="N647" s="106"/>
      <c r="O647" s="106"/>
      <c r="P647" s="106"/>
      <c r="Q647" s="106"/>
      <c r="R647" s="246"/>
    </row>
    <row r="648" spans="1:18" s="244" customFormat="1" ht="20.25" customHeight="1" x14ac:dyDescent="0.25">
      <c r="A648" s="412" t="s">
        <v>284</v>
      </c>
      <c r="B648" s="376" t="s">
        <v>35</v>
      </c>
      <c r="C648" s="151">
        <v>2</v>
      </c>
      <c r="D648" s="96"/>
      <c r="E648" s="151"/>
      <c r="F648" s="96">
        <v>25000</v>
      </c>
      <c r="G648" s="110">
        <f>C648*F648</f>
        <v>50000</v>
      </c>
      <c r="H648" s="96"/>
      <c r="I648" s="108"/>
      <c r="J648" s="106"/>
      <c r="K648" s="106"/>
      <c r="L648" s="106"/>
      <c r="M648" s="106"/>
      <c r="N648" s="106"/>
      <c r="O648" s="106"/>
      <c r="P648" s="106"/>
      <c r="Q648" s="106"/>
      <c r="R648" s="246"/>
    </row>
    <row r="649" spans="1:18" s="244" customFormat="1" ht="20.25" customHeight="1" x14ac:dyDescent="0.25">
      <c r="A649" s="412" t="s">
        <v>285</v>
      </c>
      <c r="B649" s="376" t="s">
        <v>35</v>
      </c>
      <c r="C649" s="151">
        <v>2</v>
      </c>
      <c r="D649" s="96"/>
      <c r="E649" s="151"/>
      <c r="F649" s="96">
        <v>64000</v>
      </c>
      <c r="G649" s="110">
        <f>C649*F649</f>
        <v>128000</v>
      </c>
      <c r="H649" s="96"/>
      <c r="I649" s="108"/>
      <c r="J649" s="106"/>
      <c r="K649" s="106"/>
      <c r="L649" s="106"/>
      <c r="M649" s="106"/>
      <c r="N649" s="106"/>
      <c r="O649" s="106"/>
      <c r="P649" s="106"/>
      <c r="Q649" s="106"/>
      <c r="R649" s="246"/>
    </row>
    <row r="650" spans="1:18" s="244" customFormat="1" ht="20.25" customHeight="1" x14ac:dyDescent="0.25">
      <c r="A650" s="412" t="s">
        <v>295</v>
      </c>
      <c r="B650" s="365" t="s">
        <v>34</v>
      </c>
      <c r="C650" s="121">
        <v>1</v>
      </c>
      <c r="D650" s="96"/>
      <c r="E650" s="151"/>
      <c r="F650" s="96">
        <v>6500</v>
      </c>
      <c r="G650" s="110">
        <f>C650*F650</f>
        <v>6500</v>
      </c>
      <c r="H650" s="96"/>
      <c r="I650" s="108"/>
      <c r="J650" s="106"/>
      <c r="K650" s="106"/>
      <c r="L650" s="106"/>
      <c r="M650" s="106"/>
      <c r="N650" s="106"/>
      <c r="O650" s="106"/>
      <c r="P650" s="106"/>
      <c r="Q650" s="106"/>
      <c r="R650" s="246"/>
    </row>
    <row r="651" spans="1:18" s="244" customFormat="1" ht="20.25" customHeight="1" x14ac:dyDescent="0.25">
      <c r="A651" s="462" t="s">
        <v>0</v>
      </c>
      <c r="B651" s="374"/>
      <c r="C651" s="93"/>
      <c r="D651" s="93"/>
      <c r="E651" s="93"/>
      <c r="F651" s="94"/>
      <c r="G651" s="94" t="e">
        <f>SUM(G652:G653)</f>
        <v>#N/A</v>
      </c>
      <c r="H651" s="95"/>
      <c r="I651" s="93"/>
      <c r="J651" s="93"/>
      <c r="K651" s="93"/>
      <c r="L651" s="93"/>
      <c r="M651" s="93"/>
      <c r="N651" s="93"/>
      <c r="O651" s="93"/>
      <c r="P651" s="93"/>
      <c r="Q651" s="93"/>
      <c r="R651" s="247"/>
    </row>
    <row r="652" spans="1:18" s="244" customFormat="1" ht="20.25" customHeight="1" x14ac:dyDescent="0.2">
      <c r="A652" s="412" t="s">
        <v>260</v>
      </c>
      <c r="B652" s="365" t="s">
        <v>33</v>
      </c>
      <c r="C652" s="151">
        <v>5</v>
      </c>
      <c r="D652" s="97"/>
      <c r="E652" s="92">
        <f>C652*R652</f>
        <v>5</v>
      </c>
      <c r="F652" s="98" t="e">
        <f>VLOOKUP(A652,ГрафикЖД!$B$4:$C$55,2,0)</f>
        <v>#N/A</v>
      </c>
      <c r="G652" s="99" t="e">
        <f>E652*F652</f>
        <v>#N/A</v>
      </c>
      <c r="H652" s="97"/>
      <c r="I652" s="100">
        <f>C645/E652*C652</f>
        <v>10</v>
      </c>
      <c r="J652" s="77">
        <v>1</v>
      </c>
      <c r="K652" s="77"/>
      <c r="L652" s="77"/>
      <c r="M652" s="77"/>
      <c r="N652" s="77"/>
      <c r="O652" s="77"/>
      <c r="P652" s="77"/>
      <c r="Q652" s="77"/>
      <c r="R652" s="78">
        <f>SUM(J652:Q652)</f>
        <v>1</v>
      </c>
    </row>
    <row r="653" spans="1:18" s="244" customFormat="1" ht="20.25" customHeight="1" x14ac:dyDescent="0.2">
      <c r="A653" s="412" t="s">
        <v>32</v>
      </c>
      <c r="B653" s="375"/>
      <c r="C653" s="99"/>
      <c r="D653" s="97"/>
      <c r="E653" s="97"/>
      <c r="F653" s="99"/>
      <c r="G653" s="99" t="e">
        <f>G652*30.9%</f>
        <v>#N/A</v>
      </c>
      <c r="H653" s="97"/>
      <c r="I653" s="97"/>
      <c r="J653" s="101"/>
      <c r="K653" s="101"/>
      <c r="L653" s="101"/>
      <c r="M653" s="101"/>
      <c r="N653" s="101"/>
      <c r="O653" s="101"/>
      <c r="P653" s="101"/>
      <c r="Q653" s="101"/>
      <c r="R653" s="249"/>
    </row>
    <row r="654" spans="1:18" s="244" customFormat="1" ht="20.25" customHeight="1" x14ac:dyDescent="0.25">
      <c r="A654" s="462" t="s">
        <v>1</v>
      </c>
      <c r="B654" s="374"/>
      <c r="C654" s="93"/>
      <c r="D654" s="93"/>
      <c r="E654" s="93"/>
      <c r="F654" s="94"/>
      <c r="G654" s="94">
        <f>SUM(G655:G655)</f>
        <v>20900</v>
      </c>
      <c r="H654" s="95"/>
      <c r="I654" s="93"/>
      <c r="J654" s="103"/>
      <c r="K654" s="103"/>
      <c r="L654" s="103"/>
      <c r="M654" s="103"/>
      <c r="N654" s="103"/>
      <c r="O654" s="103"/>
      <c r="P654" s="103"/>
      <c r="Q654" s="103"/>
      <c r="R654" s="250"/>
    </row>
    <row r="655" spans="1:18" s="244" customFormat="1" ht="20.25" customHeight="1" x14ac:dyDescent="0.25">
      <c r="A655" s="415" t="s">
        <v>240</v>
      </c>
      <c r="B655" s="376" t="s">
        <v>35</v>
      </c>
      <c r="C655" s="92">
        <v>1</v>
      </c>
      <c r="D655" s="106"/>
      <c r="E655" s="92">
        <f>C655*R655</f>
        <v>1</v>
      </c>
      <c r="F655" s="98">
        <f>VLOOKUP(A655,ГрафикЖД!$B$4:$C$55,2,0)</f>
        <v>20900</v>
      </c>
      <c r="G655" s="99">
        <f>E655*F655</f>
        <v>20900</v>
      </c>
      <c r="H655" s="106"/>
      <c r="I655" s="100">
        <f>C645/E655*C655</f>
        <v>10</v>
      </c>
      <c r="J655" s="100">
        <v>1</v>
      </c>
      <c r="K655" s="100"/>
      <c r="L655" s="100"/>
      <c r="M655" s="152"/>
      <c r="N655" s="100"/>
      <c r="O655" s="100"/>
      <c r="P655" s="100"/>
      <c r="Q655" s="152"/>
      <c r="R655" s="248">
        <f>SUM(J655:Q655)</f>
        <v>1</v>
      </c>
    </row>
    <row r="656" spans="1:18" s="244" customFormat="1" ht="36.75" customHeight="1" x14ac:dyDescent="0.2">
      <c r="A656" s="470" t="s">
        <v>296</v>
      </c>
      <c r="B656" s="390" t="s">
        <v>57</v>
      </c>
      <c r="C656" s="284">
        <v>26.4</v>
      </c>
      <c r="D656" s="194"/>
      <c r="E656" s="194">
        <f>E662</f>
        <v>2</v>
      </c>
      <c r="F656" s="194" t="e">
        <f>G656/C656</f>
        <v>#N/A</v>
      </c>
      <c r="G656" s="194" t="e">
        <f>G657+G661+G664</f>
        <v>#N/A</v>
      </c>
      <c r="H656" s="194"/>
      <c r="I656" s="194"/>
      <c r="J656" s="216">
        <f>J662*$I662</f>
        <v>26.4</v>
      </c>
      <c r="K656" s="216">
        <f t="shared" ref="K656:Q656" si="48">K662*$I662</f>
        <v>0</v>
      </c>
      <c r="L656" s="216">
        <f t="shared" si="48"/>
        <v>0</v>
      </c>
      <c r="M656" s="216">
        <f t="shared" si="48"/>
        <v>0</v>
      </c>
      <c r="N656" s="216">
        <f t="shared" si="48"/>
        <v>0</v>
      </c>
      <c r="O656" s="216">
        <f t="shared" si="48"/>
        <v>0</v>
      </c>
      <c r="P656" s="216">
        <f t="shared" si="48"/>
        <v>0</v>
      </c>
      <c r="Q656" s="216">
        <f t="shared" si="48"/>
        <v>0</v>
      </c>
      <c r="R656" s="285">
        <f>SUM(J656:Q656)</f>
        <v>26.4</v>
      </c>
    </row>
    <row r="657" spans="1:18" s="244" customFormat="1" ht="20.25" customHeight="1" x14ac:dyDescent="0.25">
      <c r="A657" s="463" t="s">
        <v>167</v>
      </c>
      <c r="B657" s="374"/>
      <c r="C657" s="93"/>
      <c r="D657" s="93"/>
      <c r="E657" s="93"/>
      <c r="F657" s="94"/>
      <c r="G657" s="94">
        <f>SUM(G658:G660)</f>
        <v>4460</v>
      </c>
      <c r="H657" s="95"/>
      <c r="I657" s="93"/>
      <c r="J657" s="95"/>
      <c r="K657" s="95"/>
      <c r="L657" s="95"/>
      <c r="M657" s="95"/>
      <c r="N657" s="95"/>
      <c r="O657" s="95"/>
      <c r="P657" s="95"/>
      <c r="Q657" s="95"/>
      <c r="R657" s="245"/>
    </row>
    <row r="658" spans="1:18" s="244" customFormat="1" ht="20.25" customHeight="1" x14ac:dyDescent="0.25">
      <c r="A658" s="412" t="s">
        <v>297</v>
      </c>
      <c r="B658" s="391" t="s">
        <v>57</v>
      </c>
      <c r="C658" s="121">
        <v>26.4</v>
      </c>
      <c r="D658" s="96"/>
      <c r="E658" s="151"/>
      <c r="F658" s="96">
        <v>25</v>
      </c>
      <c r="G658" s="110">
        <f>C658*F658</f>
        <v>660</v>
      </c>
      <c r="H658" s="96"/>
      <c r="I658" s="108"/>
      <c r="J658" s="106"/>
      <c r="K658" s="106"/>
      <c r="L658" s="106"/>
      <c r="M658" s="106"/>
      <c r="N658" s="106"/>
      <c r="O658" s="106"/>
      <c r="P658" s="106"/>
      <c r="Q658" s="106"/>
      <c r="R658" s="246"/>
    </row>
    <row r="659" spans="1:18" s="244" customFormat="1" ht="20.25" customHeight="1" x14ac:dyDescent="0.25">
      <c r="A659" s="412" t="s">
        <v>298</v>
      </c>
      <c r="B659" s="391" t="s">
        <v>145</v>
      </c>
      <c r="C659" s="151">
        <v>1</v>
      </c>
      <c r="D659" s="96"/>
      <c r="E659" s="151"/>
      <c r="F659" s="96">
        <v>550</v>
      </c>
      <c r="G659" s="110">
        <f>C659*F659</f>
        <v>550</v>
      </c>
      <c r="H659" s="96"/>
      <c r="I659" s="108"/>
      <c r="J659" s="106"/>
      <c r="K659" s="106"/>
      <c r="L659" s="106"/>
      <c r="M659" s="106"/>
      <c r="N659" s="106"/>
      <c r="O659" s="106"/>
      <c r="P659" s="106"/>
      <c r="Q659" s="106"/>
      <c r="R659" s="246"/>
    </row>
    <row r="660" spans="1:18" s="244" customFormat="1" ht="20.25" customHeight="1" x14ac:dyDescent="0.25">
      <c r="A660" s="412" t="s">
        <v>295</v>
      </c>
      <c r="B660" s="365" t="s">
        <v>34</v>
      </c>
      <c r="C660" s="121">
        <v>0.5</v>
      </c>
      <c r="D660" s="96"/>
      <c r="E660" s="151"/>
      <c r="F660" s="96">
        <v>6500</v>
      </c>
      <c r="G660" s="110">
        <f>C660*F660</f>
        <v>3250</v>
      </c>
      <c r="H660" s="96"/>
      <c r="I660" s="108"/>
      <c r="J660" s="106"/>
      <c r="K660" s="106"/>
      <c r="L660" s="106"/>
      <c r="M660" s="106"/>
      <c r="N660" s="106"/>
      <c r="O660" s="106"/>
      <c r="P660" s="106"/>
      <c r="Q660" s="106"/>
      <c r="R660" s="246"/>
    </row>
    <row r="661" spans="1:18" s="244" customFormat="1" ht="20.25" customHeight="1" x14ac:dyDescent="0.25">
      <c r="A661" s="462" t="s">
        <v>0</v>
      </c>
      <c r="B661" s="374"/>
      <c r="C661" s="93"/>
      <c r="D661" s="93"/>
      <c r="E661" s="93"/>
      <c r="F661" s="94"/>
      <c r="G661" s="94" t="e">
        <f>SUM(G662:G663)</f>
        <v>#N/A</v>
      </c>
      <c r="H661" s="95"/>
      <c r="I661" s="93"/>
      <c r="J661" s="93"/>
      <c r="K661" s="93"/>
      <c r="L661" s="93"/>
      <c r="M661" s="93"/>
      <c r="N661" s="93"/>
      <c r="O661" s="93"/>
      <c r="P661" s="93"/>
      <c r="Q661" s="93"/>
      <c r="R661" s="247"/>
    </row>
    <row r="662" spans="1:18" s="244" customFormat="1" ht="20.25" customHeight="1" x14ac:dyDescent="0.2">
      <c r="A662" s="412" t="s">
        <v>260</v>
      </c>
      <c r="B662" s="365" t="s">
        <v>33</v>
      </c>
      <c r="C662" s="151">
        <v>2</v>
      </c>
      <c r="D662" s="97"/>
      <c r="E662" s="92">
        <f>C662*R662</f>
        <v>2</v>
      </c>
      <c r="F662" s="98" t="e">
        <f>VLOOKUP(A662,ГрафикЖД!$B$4:$C$55,2,0)</f>
        <v>#N/A</v>
      </c>
      <c r="G662" s="99" t="e">
        <f>E662*F662</f>
        <v>#N/A</v>
      </c>
      <c r="H662" s="97"/>
      <c r="I662" s="100">
        <f>C656/E662*C662</f>
        <v>26.4</v>
      </c>
      <c r="J662" s="77">
        <v>1</v>
      </c>
      <c r="K662" s="77"/>
      <c r="L662" s="77"/>
      <c r="M662" s="77"/>
      <c r="N662" s="77"/>
      <c r="O662" s="77"/>
      <c r="P662" s="77"/>
      <c r="Q662" s="77"/>
      <c r="R662" s="78">
        <f>SUM(J662:Q662)</f>
        <v>1</v>
      </c>
    </row>
    <row r="663" spans="1:18" s="244" customFormat="1" ht="20.25" customHeight="1" x14ac:dyDescent="0.2">
      <c r="A663" s="412" t="s">
        <v>32</v>
      </c>
      <c r="B663" s="375"/>
      <c r="C663" s="99"/>
      <c r="D663" s="97"/>
      <c r="E663" s="97"/>
      <c r="F663" s="99"/>
      <c r="G663" s="99" t="e">
        <f>G662*30.9%</f>
        <v>#N/A</v>
      </c>
      <c r="H663" s="97"/>
      <c r="I663" s="97"/>
      <c r="J663" s="101"/>
      <c r="K663" s="101"/>
      <c r="L663" s="101"/>
      <c r="M663" s="101"/>
      <c r="N663" s="101"/>
      <c r="O663" s="101"/>
      <c r="P663" s="101"/>
      <c r="Q663" s="101"/>
      <c r="R663" s="249"/>
    </row>
    <row r="664" spans="1:18" s="244" customFormat="1" ht="20.25" customHeight="1" x14ac:dyDescent="0.25">
      <c r="A664" s="462" t="s">
        <v>1</v>
      </c>
      <c r="B664" s="374"/>
      <c r="C664" s="93"/>
      <c r="D664" s="93"/>
      <c r="E664" s="93"/>
      <c r="F664" s="94"/>
      <c r="G664" s="94">
        <v>0</v>
      </c>
      <c r="H664" s="95"/>
      <c r="I664" s="93"/>
      <c r="J664" s="103"/>
      <c r="K664" s="103"/>
      <c r="L664" s="103"/>
      <c r="M664" s="103"/>
      <c r="N664" s="103"/>
      <c r="O664" s="103"/>
      <c r="P664" s="103"/>
      <c r="Q664" s="103"/>
      <c r="R664" s="250"/>
    </row>
    <row r="665" spans="1:18" s="244" customFormat="1" ht="36" customHeight="1" x14ac:dyDescent="0.2">
      <c r="A665" s="470" t="s">
        <v>299</v>
      </c>
      <c r="B665" s="390" t="s">
        <v>55</v>
      </c>
      <c r="C665" s="284">
        <f>61.3+6.6</f>
        <v>67.899999999999991</v>
      </c>
      <c r="D665" s="194"/>
      <c r="E665" s="194">
        <f>E671</f>
        <v>2</v>
      </c>
      <c r="F665" s="194" t="e">
        <f>G665/C665</f>
        <v>#N/A</v>
      </c>
      <c r="G665" s="194" t="e">
        <f>G666+G670+G673</f>
        <v>#N/A</v>
      </c>
      <c r="H665" s="194"/>
      <c r="I665" s="194"/>
      <c r="J665" s="216">
        <f>J671*$I671</f>
        <v>67.899999999999991</v>
      </c>
      <c r="K665" s="216">
        <f t="shared" ref="K665:Q665" si="49">K671*$I671</f>
        <v>0</v>
      </c>
      <c r="L665" s="216">
        <f t="shared" si="49"/>
        <v>0</v>
      </c>
      <c r="M665" s="216">
        <f t="shared" si="49"/>
        <v>0</v>
      </c>
      <c r="N665" s="216">
        <f t="shared" si="49"/>
        <v>0</v>
      </c>
      <c r="O665" s="216">
        <f t="shared" si="49"/>
        <v>0</v>
      </c>
      <c r="P665" s="216">
        <f t="shared" si="49"/>
        <v>0</v>
      </c>
      <c r="Q665" s="216">
        <f t="shared" si="49"/>
        <v>0</v>
      </c>
      <c r="R665" s="285">
        <f>SUM(J665:Q665)</f>
        <v>67.899999999999991</v>
      </c>
    </row>
    <row r="666" spans="1:18" s="244" customFormat="1" ht="20.25" customHeight="1" x14ac:dyDescent="0.25">
      <c r="A666" s="463" t="s">
        <v>167</v>
      </c>
      <c r="B666" s="374"/>
      <c r="C666" s="93"/>
      <c r="D666" s="93"/>
      <c r="E666" s="93"/>
      <c r="F666" s="94"/>
      <c r="G666" s="94">
        <f>SUM(G667:G669)</f>
        <v>27371</v>
      </c>
      <c r="H666" s="95"/>
      <c r="I666" s="93"/>
      <c r="J666" s="95"/>
      <c r="K666" s="95"/>
      <c r="L666" s="95"/>
      <c r="M666" s="95"/>
      <c r="N666" s="95"/>
      <c r="O666" s="95"/>
      <c r="P666" s="95"/>
      <c r="Q666" s="95"/>
      <c r="R666" s="245"/>
    </row>
    <row r="667" spans="1:18" s="244" customFormat="1" ht="20.25" customHeight="1" x14ac:dyDescent="0.25">
      <c r="A667" s="412" t="s">
        <v>300</v>
      </c>
      <c r="B667" s="376" t="s">
        <v>169</v>
      </c>
      <c r="C667" s="151">
        <v>60</v>
      </c>
      <c r="D667" s="96"/>
      <c r="E667" s="151"/>
      <c r="F667" s="340">
        <v>385</v>
      </c>
      <c r="G667" s="110">
        <f>C667*F667</f>
        <v>23100</v>
      </c>
      <c r="H667" s="96"/>
      <c r="I667" s="108"/>
      <c r="J667" s="106"/>
      <c r="K667" s="106"/>
      <c r="L667" s="106"/>
      <c r="M667" s="106"/>
      <c r="N667" s="106"/>
      <c r="O667" s="106"/>
      <c r="P667" s="106"/>
      <c r="Q667" s="106"/>
      <c r="R667" s="246"/>
    </row>
    <row r="668" spans="1:18" s="244" customFormat="1" ht="20.25" customHeight="1" x14ac:dyDescent="0.25">
      <c r="A668" s="412" t="s">
        <v>301</v>
      </c>
      <c r="B668" s="376" t="s">
        <v>55</v>
      </c>
      <c r="C668" s="151">
        <v>7</v>
      </c>
      <c r="D668" s="96"/>
      <c r="E668" s="151"/>
      <c r="F668" s="96">
        <v>253</v>
      </c>
      <c r="G668" s="110">
        <f>C668*F668</f>
        <v>1771</v>
      </c>
      <c r="H668" s="96"/>
      <c r="I668" s="108"/>
      <c r="J668" s="106"/>
      <c r="K668" s="106"/>
      <c r="L668" s="106"/>
      <c r="M668" s="106"/>
      <c r="N668" s="106"/>
      <c r="O668" s="106"/>
      <c r="P668" s="106"/>
      <c r="Q668" s="106"/>
      <c r="R668" s="246"/>
    </row>
    <row r="669" spans="1:18" s="244" customFormat="1" ht="20.25" customHeight="1" x14ac:dyDescent="0.25">
      <c r="A669" s="412" t="s">
        <v>302</v>
      </c>
      <c r="B669" s="376" t="s">
        <v>171</v>
      </c>
      <c r="C669" s="151">
        <v>20</v>
      </c>
      <c r="D669" s="96"/>
      <c r="E669" s="151"/>
      <c r="F669" s="96">
        <v>125</v>
      </c>
      <c r="G669" s="110">
        <f>C669*F669</f>
        <v>2500</v>
      </c>
      <c r="H669" s="96"/>
      <c r="I669" s="108"/>
      <c r="J669" s="106"/>
      <c r="K669" s="106"/>
      <c r="L669" s="106"/>
      <c r="M669" s="106"/>
      <c r="N669" s="106"/>
      <c r="O669" s="106"/>
      <c r="P669" s="106"/>
      <c r="Q669" s="106"/>
      <c r="R669" s="246"/>
    </row>
    <row r="670" spans="1:18" s="244" customFormat="1" ht="20.25" customHeight="1" x14ac:dyDescent="0.25">
      <c r="A670" s="462" t="s">
        <v>0</v>
      </c>
      <c r="B670" s="374"/>
      <c r="C670" s="93"/>
      <c r="D670" s="93"/>
      <c r="E670" s="93"/>
      <c r="F670" s="94"/>
      <c r="G670" s="94" t="e">
        <f>SUM(G671:G672)</f>
        <v>#N/A</v>
      </c>
      <c r="H670" s="95"/>
      <c r="I670" s="93"/>
      <c r="J670" s="93"/>
      <c r="K670" s="93"/>
      <c r="L670" s="93"/>
      <c r="M670" s="93"/>
      <c r="N670" s="93"/>
      <c r="O670" s="93"/>
      <c r="P670" s="93"/>
      <c r="Q670" s="93"/>
      <c r="R670" s="247"/>
    </row>
    <row r="671" spans="1:18" s="244" customFormat="1" ht="20.25" customHeight="1" x14ac:dyDescent="0.2">
      <c r="A671" s="412" t="s">
        <v>260</v>
      </c>
      <c r="B671" s="365" t="s">
        <v>33</v>
      </c>
      <c r="C671" s="151">
        <v>2</v>
      </c>
      <c r="D671" s="97"/>
      <c r="E671" s="92">
        <f>C671*R671</f>
        <v>2</v>
      </c>
      <c r="F671" s="98" t="e">
        <f>VLOOKUP(A671,ГрафикЖД!$B$4:$C$55,2,0)</f>
        <v>#N/A</v>
      </c>
      <c r="G671" s="99" t="e">
        <f>E671*F671</f>
        <v>#N/A</v>
      </c>
      <c r="H671" s="97"/>
      <c r="I671" s="100">
        <f>C665/E671*C671</f>
        <v>67.899999999999991</v>
      </c>
      <c r="J671" s="77">
        <v>1</v>
      </c>
      <c r="K671" s="77"/>
      <c r="L671" s="77"/>
      <c r="M671" s="77"/>
      <c r="N671" s="77"/>
      <c r="O671" s="77"/>
      <c r="P671" s="77"/>
      <c r="Q671" s="77"/>
      <c r="R671" s="78">
        <f>SUM(J671:Q671)</f>
        <v>1</v>
      </c>
    </row>
    <row r="672" spans="1:18" s="244" customFormat="1" ht="20.25" customHeight="1" x14ac:dyDescent="0.2">
      <c r="A672" s="412" t="s">
        <v>32</v>
      </c>
      <c r="B672" s="375"/>
      <c r="C672" s="99"/>
      <c r="D672" s="97"/>
      <c r="E672" s="97"/>
      <c r="F672" s="99"/>
      <c r="G672" s="99" t="e">
        <f>G671*30.9%</f>
        <v>#N/A</v>
      </c>
      <c r="H672" s="97"/>
      <c r="I672" s="97"/>
      <c r="J672" s="101"/>
      <c r="K672" s="101"/>
      <c r="L672" s="101"/>
      <c r="M672" s="101"/>
      <c r="N672" s="101"/>
      <c r="O672" s="101"/>
      <c r="P672" s="101"/>
      <c r="Q672" s="101"/>
      <c r="R672" s="249"/>
    </row>
    <row r="673" spans="1:18" s="244" customFormat="1" ht="20.25" customHeight="1" x14ac:dyDescent="0.25">
      <c r="A673" s="462" t="s">
        <v>1</v>
      </c>
      <c r="B673" s="374"/>
      <c r="C673" s="93"/>
      <c r="D673" s="93"/>
      <c r="E673" s="93"/>
      <c r="F673" s="94"/>
      <c r="G673" s="94">
        <v>0</v>
      </c>
      <c r="H673" s="95"/>
      <c r="I673" s="93"/>
      <c r="J673" s="103"/>
      <c r="K673" s="103"/>
      <c r="L673" s="103"/>
      <c r="M673" s="103"/>
      <c r="N673" s="103"/>
      <c r="O673" s="103"/>
      <c r="P673" s="103"/>
      <c r="Q673" s="103"/>
      <c r="R673" s="250"/>
    </row>
    <row r="674" spans="1:18" s="244" customFormat="1" ht="35.25" customHeight="1" x14ac:dyDescent="0.2">
      <c r="A674" s="470" t="s">
        <v>191</v>
      </c>
      <c r="B674" s="390" t="s">
        <v>34</v>
      </c>
      <c r="C674" s="284">
        <v>103.6</v>
      </c>
      <c r="D674" s="194"/>
      <c r="E674" s="194">
        <f>E678</f>
        <v>3</v>
      </c>
      <c r="F674" s="194" t="e">
        <f>G674/C674</f>
        <v>#N/A</v>
      </c>
      <c r="G674" s="194" t="e">
        <f>G675+G677+G680</f>
        <v>#N/A</v>
      </c>
      <c r="H674" s="194"/>
      <c r="I674" s="194"/>
      <c r="J674" s="216">
        <f>J678*$I678</f>
        <v>103.6</v>
      </c>
      <c r="K674" s="216">
        <f t="shared" ref="K674:Q674" si="50">K678*$I678</f>
        <v>0</v>
      </c>
      <c r="L674" s="216">
        <f t="shared" si="50"/>
        <v>0</v>
      </c>
      <c r="M674" s="216">
        <f t="shared" si="50"/>
        <v>0</v>
      </c>
      <c r="N674" s="216">
        <f t="shared" si="50"/>
        <v>0</v>
      </c>
      <c r="O674" s="216">
        <f t="shared" si="50"/>
        <v>0</v>
      </c>
      <c r="P674" s="216">
        <f t="shared" si="50"/>
        <v>0</v>
      </c>
      <c r="Q674" s="216">
        <f t="shared" si="50"/>
        <v>0</v>
      </c>
      <c r="R674" s="285">
        <f>SUM(J674:Q674)</f>
        <v>103.6</v>
      </c>
    </row>
    <row r="675" spans="1:18" s="244" customFormat="1" ht="20.25" customHeight="1" x14ac:dyDescent="0.25">
      <c r="A675" s="463" t="s">
        <v>167</v>
      </c>
      <c r="B675" s="374"/>
      <c r="C675" s="93"/>
      <c r="D675" s="93"/>
      <c r="E675" s="93"/>
      <c r="F675" s="94"/>
      <c r="G675" s="94">
        <f>G676</f>
        <v>59696.000000000007</v>
      </c>
      <c r="H675" s="95"/>
      <c r="I675" s="93"/>
      <c r="J675" s="95"/>
      <c r="K675" s="95"/>
      <c r="L675" s="95"/>
      <c r="M675" s="95"/>
      <c r="N675" s="95"/>
      <c r="O675" s="95"/>
      <c r="P675" s="95"/>
      <c r="Q675" s="95"/>
      <c r="R675" s="245"/>
    </row>
    <row r="676" spans="1:18" s="244" customFormat="1" ht="20.25" customHeight="1" x14ac:dyDescent="0.25">
      <c r="A676" s="412" t="s">
        <v>193</v>
      </c>
      <c r="B676" s="376" t="s">
        <v>34</v>
      </c>
      <c r="C676" s="151">
        <f>106.6*1.12</f>
        <v>119.39200000000001</v>
      </c>
      <c r="D676" s="96"/>
      <c r="E676" s="151"/>
      <c r="F676" s="110">
        <v>500</v>
      </c>
      <c r="G676" s="110">
        <f>C676*F676</f>
        <v>59696.000000000007</v>
      </c>
      <c r="H676" s="96"/>
      <c r="I676" s="108"/>
      <c r="J676" s="106"/>
      <c r="K676" s="106"/>
      <c r="L676" s="106"/>
      <c r="M676" s="106"/>
      <c r="N676" s="106"/>
      <c r="O676" s="106"/>
      <c r="P676" s="106"/>
      <c r="Q676" s="106"/>
      <c r="R676" s="246"/>
    </row>
    <row r="677" spans="1:18" s="244" customFormat="1" ht="20.25" customHeight="1" x14ac:dyDescent="0.25">
      <c r="A677" s="462" t="s">
        <v>0</v>
      </c>
      <c r="B677" s="374"/>
      <c r="C677" s="93"/>
      <c r="D677" s="93"/>
      <c r="E677" s="93"/>
      <c r="F677" s="94"/>
      <c r="G677" s="94" t="e">
        <f>SUM(G678:G679)</f>
        <v>#N/A</v>
      </c>
      <c r="H677" s="95"/>
      <c r="I677" s="93"/>
      <c r="J677" s="93"/>
      <c r="K677" s="93"/>
      <c r="L677" s="93"/>
      <c r="M677" s="93"/>
      <c r="N677" s="93"/>
      <c r="O677" s="93"/>
      <c r="P677" s="93"/>
      <c r="Q677" s="93"/>
      <c r="R677" s="247"/>
    </row>
    <row r="678" spans="1:18" s="244" customFormat="1" ht="20.25" customHeight="1" x14ac:dyDescent="0.2">
      <c r="A678" s="412" t="s">
        <v>260</v>
      </c>
      <c r="B678" s="365" t="s">
        <v>33</v>
      </c>
      <c r="C678" s="151">
        <v>3</v>
      </c>
      <c r="D678" s="97"/>
      <c r="E678" s="92">
        <f>C678*R678</f>
        <v>3</v>
      </c>
      <c r="F678" s="98" t="e">
        <f>VLOOKUP(A678,ГрафикЖД!$B$4:$C$55,2,0)</f>
        <v>#N/A</v>
      </c>
      <c r="G678" s="99" t="e">
        <f>E678*F678</f>
        <v>#N/A</v>
      </c>
      <c r="H678" s="97"/>
      <c r="I678" s="100">
        <f>C674/E678*C678</f>
        <v>103.6</v>
      </c>
      <c r="J678" s="77">
        <v>1</v>
      </c>
      <c r="K678" s="77"/>
      <c r="L678" s="77"/>
      <c r="M678" s="77"/>
      <c r="N678" s="77"/>
      <c r="O678" s="77"/>
      <c r="P678" s="77"/>
      <c r="Q678" s="77"/>
      <c r="R678" s="78">
        <f>SUM(J678:Q678)</f>
        <v>1</v>
      </c>
    </row>
    <row r="679" spans="1:18" s="244" customFormat="1" ht="20.25" customHeight="1" x14ac:dyDescent="0.2">
      <c r="A679" s="412" t="s">
        <v>32</v>
      </c>
      <c r="B679" s="375"/>
      <c r="C679" s="99"/>
      <c r="D679" s="97"/>
      <c r="E679" s="97"/>
      <c r="F679" s="99"/>
      <c r="G679" s="99" t="e">
        <f>G678*30.9%</f>
        <v>#N/A</v>
      </c>
      <c r="H679" s="97"/>
      <c r="I679" s="97"/>
      <c r="J679" s="101"/>
      <c r="K679" s="101"/>
      <c r="L679" s="101"/>
      <c r="M679" s="101"/>
      <c r="N679" s="101"/>
      <c r="O679" s="101"/>
      <c r="P679" s="101"/>
      <c r="Q679" s="101"/>
      <c r="R679" s="249"/>
    </row>
    <row r="680" spans="1:18" s="244" customFormat="1" ht="20.25" customHeight="1" x14ac:dyDescent="0.25">
      <c r="A680" s="462" t="s">
        <v>1</v>
      </c>
      <c r="B680" s="374"/>
      <c r="C680" s="93"/>
      <c r="D680" s="93"/>
      <c r="E680" s="93"/>
      <c r="F680" s="94"/>
      <c r="G680" s="94">
        <f>SUM(G681)</f>
        <v>19250</v>
      </c>
      <c r="H680" s="95"/>
      <c r="I680" s="93"/>
      <c r="J680" s="103"/>
      <c r="K680" s="103"/>
      <c r="L680" s="103"/>
      <c r="M680" s="103"/>
      <c r="N680" s="103"/>
      <c r="O680" s="103"/>
      <c r="P680" s="103"/>
      <c r="Q680" s="103"/>
      <c r="R680" s="250"/>
    </row>
    <row r="681" spans="1:18" s="244" customFormat="1" ht="20.25" customHeight="1" x14ac:dyDescent="0.25">
      <c r="A681" s="412" t="s">
        <v>242</v>
      </c>
      <c r="B681" s="376" t="s">
        <v>35</v>
      </c>
      <c r="C681" s="121">
        <v>1</v>
      </c>
      <c r="D681" s="106"/>
      <c r="E681" s="92">
        <f>C681*R681</f>
        <v>1</v>
      </c>
      <c r="F681" s="98">
        <f>VLOOKUP(A681,ГрафикЖД!$B$4:$C$55,2,0)</f>
        <v>19250</v>
      </c>
      <c r="G681" s="99">
        <f>E681*F681</f>
        <v>19250</v>
      </c>
      <c r="H681" s="106"/>
      <c r="I681" s="100">
        <f>C674/E681*C681</f>
        <v>103.6</v>
      </c>
      <c r="J681" s="100">
        <v>1</v>
      </c>
      <c r="K681" s="100"/>
      <c r="L681" s="100"/>
      <c r="M681" s="152"/>
      <c r="N681" s="100"/>
      <c r="O681" s="100"/>
      <c r="P681" s="100"/>
      <c r="Q681" s="152"/>
      <c r="R681" s="248">
        <f>SUM(J681:Q681)</f>
        <v>1</v>
      </c>
    </row>
    <row r="682" spans="1:18" s="244" customFormat="1" ht="39" customHeight="1" x14ac:dyDescent="0.2">
      <c r="A682" s="470" t="s">
        <v>303</v>
      </c>
      <c r="B682" s="390" t="s">
        <v>34</v>
      </c>
      <c r="C682" s="284">
        <v>4.5</v>
      </c>
      <c r="D682" s="194"/>
      <c r="E682" s="194">
        <f>E688</f>
        <v>3</v>
      </c>
      <c r="F682" s="194" t="e">
        <f>G682/C682</f>
        <v>#N/A</v>
      </c>
      <c r="G682" s="194" t="e">
        <f>G683+G687+G690</f>
        <v>#N/A</v>
      </c>
      <c r="H682" s="194"/>
      <c r="I682" s="194"/>
      <c r="J682" s="216">
        <f>J688*$I688</f>
        <v>0.45</v>
      </c>
      <c r="K682" s="216">
        <f t="shared" ref="K682:Q682" si="51">K688*$I688</f>
        <v>0</v>
      </c>
      <c r="L682" s="216">
        <f t="shared" si="51"/>
        <v>0</v>
      </c>
      <c r="M682" s="216">
        <f t="shared" si="51"/>
        <v>0</v>
      </c>
      <c r="N682" s="216">
        <f t="shared" si="51"/>
        <v>0</v>
      </c>
      <c r="O682" s="216">
        <f t="shared" si="51"/>
        <v>0</v>
      </c>
      <c r="P682" s="216">
        <f t="shared" si="51"/>
        <v>0</v>
      </c>
      <c r="Q682" s="216">
        <f t="shared" si="51"/>
        <v>0</v>
      </c>
      <c r="R682" s="285">
        <f>SUM(J682:Q682)</f>
        <v>0.45</v>
      </c>
    </row>
    <row r="683" spans="1:18" s="244" customFormat="1" ht="20.25" customHeight="1" x14ac:dyDescent="0.25">
      <c r="A683" s="463" t="s">
        <v>167</v>
      </c>
      <c r="B683" s="374"/>
      <c r="C683" s="93"/>
      <c r="D683" s="93"/>
      <c r="E683" s="93"/>
      <c r="F683" s="94"/>
      <c r="G683" s="94">
        <f>SUM(G684:G686)</f>
        <v>56673</v>
      </c>
      <c r="H683" s="95"/>
      <c r="I683" s="93"/>
      <c r="J683" s="95"/>
      <c r="K683" s="95"/>
      <c r="L683" s="95"/>
      <c r="M683" s="95"/>
      <c r="N683" s="95"/>
      <c r="O683" s="95"/>
      <c r="P683" s="95"/>
      <c r="Q683" s="95"/>
      <c r="R683" s="245"/>
    </row>
    <row r="684" spans="1:18" ht="23.25" customHeight="1" x14ac:dyDescent="0.2">
      <c r="A684" s="412" t="s">
        <v>309</v>
      </c>
      <c r="B684" s="376" t="s">
        <v>34</v>
      </c>
      <c r="C684" s="121">
        <v>2.5</v>
      </c>
      <c r="D684" s="184"/>
      <c r="E684" s="184"/>
      <c r="F684" s="96">
        <v>1350</v>
      </c>
      <c r="G684" s="110">
        <f>C684*F684</f>
        <v>3375</v>
      </c>
      <c r="H684" s="187"/>
      <c r="I684" s="188"/>
      <c r="J684" s="189"/>
      <c r="K684" s="189"/>
      <c r="L684" s="189"/>
      <c r="M684" s="189"/>
      <c r="N684" s="189"/>
      <c r="O684" s="189"/>
      <c r="P684" s="189"/>
      <c r="Q684" s="189"/>
      <c r="R684" s="257"/>
    </row>
    <row r="685" spans="1:18" s="244" customFormat="1" ht="20.25" customHeight="1" x14ac:dyDescent="0.25">
      <c r="A685" s="412" t="s">
        <v>304</v>
      </c>
      <c r="B685" s="376" t="s">
        <v>34</v>
      </c>
      <c r="C685" s="121">
        <f>4.5*1.02</f>
        <v>4.59</v>
      </c>
      <c r="D685" s="96"/>
      <c r="E685" s="151"/>
      <c r="F685" s="96">
        <v>7200</v>
      </c>
      <c r="G685" s="110">
        <f>C685*F685</f>
        <v>33048</v>
      </c>
      <c r="H685" s="96"/>
      <c r="I685" s="108"/>
      <c r="J685" s="106"/>
      <c r="K685" s="106"/>
      <c r="L685" s="106"/>
      <c r="M685" s="106"/>
      <c r="N685" s="106"/>
      <c r="O685" s="106"/>
      <c r="P685" s="106"/>
      <c r="Q685" s="106"/>
      <c r="R685" s="246"/>
    </row>
    <row r="686" spans="1:18" s="244" customFormat="1" ht="20.25" customHeight="1" x14ac:dyDescent="0.25">
      <c r="A686" s="412" t="s">
        <v>305</v>
      </c>
      <c r="B686" s="376" t="s">
        <v>55</v>
      </c>
      <c r="C686" s="151">
        <v>45</v>
      </c>
      <c r="D686" s="96"/>
      <c r="E686" s="151"/>
      <c r="F686" s="96">
        <v>450</v>
      </c>
      <c r="G686" s="110">
        <f>C686*F686</f>
        <v>20250</v>
      </c>
      <c r="H686" s="96"/>
      <c r="I686" s="108"/>
      <c r="J686" s="106"/>
      <c r="K686" s="106"/>
      <c r="L686" s="106"/>
      <c r="M686" s="106"/>
      <c r="N686" s="106"/>
      <c r="O686" s="106"/>
      <c r="P686" s="106"/>
      <c r="Q686" s="106"/>
      <c r="R686" s="246"/>
    </row>
    <row r="687" spans="1:18" s="244" customFormat="1" ht="20.25" customHeight="1" x14ac:dyDescent="0.25">
      <c r="A687" s="462" t="s">
        <v>0</v>
      </c>
      <c r="B687" s="374"/>
      <c r="C687" s="93"/>
      <c r="D687" s="93"/>
      <c r="E687" s="93"/>
      <c r="F687" s="94"/>
      <c r="G687" s="94" t="e">
        <f>SUM(G688:G689)</f>
        <v>#N/A</v>
      </c>
      <c r="H687" s="95"/>
      <c r="I687" s="93"/>
      <c r="J687" s="93"/>
      <c r="K687" s="93"/>
      <c r="L687" s="93"/>
      <c r="M687" s="93"/>
      <c r="N687" s="93"/>
      <c r="O687" s="93"/>
      <c r="P687" s="93"/>
      <c r="Q687" s="93"/>
      <c r="R687" s="247"/>
    </row>
    <row r="688" spans="1:18" s="244" customFormat="1" ht="20.25" customHeight="1" x14ac:dyDescent="0.2">
      <c r="A688" s="412" t="s">
        <v>260</v>
      </c>
      <c r="B688" s="365" t="s">
        <v>33</v>
      </c>
      <c r="C688" s="151">
        <v>3</v>
      </c>
      <c r="D688" s="97"/>
      <c r="E688" s="92">
        <f>C688*R688</f>
        <v>3</v>
      </c>
      <c r="F688" s="98" t="e">
        <f>VLOOKUP(A688,ГрафикЖД!$B$4:$C$55,2,0)</f>
        <v>#N/A</v>
      </c>
      <c r="G688" s="99" t="e">
        <f>E688*F688</f>
        <v>#N/A</v>
      </c>
      <c r="H688" s="97"/>
      <c r="I688" s="100">
        <f>C682/E688*C688/10</f>
        <v>0.45</v>
      </c>
      <c r="J688" s="77">
        <v>1</v>
      </c>
      <c r="K688" s="77"/>
      <c r="L688" s="77"/>
      <c r="M688" s="77"/>
      <c r="N688" s="77"/>
      <c r="O688" s="77"/>
      <c r="P688" s="77"/>
      <c r="Q688" s="77"/>
      <c r="R688" s="78">
        <f>SUM(J688:Q688)</f>
        <v>1</v>
      </c>
    </row>
    <row r="689" spans="1:18" s="244" customFormat="1" ht="20.25" customHeight="1" x14ac:dyDescent="0.2">
      <c r="A689" s="412" t="s">
        <v>32</v>
      </c>
      <c r="B689" s="375"/>
      <c r="C689" s="99"/>
      <c r="D689" s="97"/>
      <c r="E689" s="97"/>
      <c r="F689" s="99"/>
      <c r="G689" s="99" t="e">
        <f>G688*30.9%</f>
        <v>#N/A</v>
      </c>
      <c r="H689" s="97"/>
      <c r="I689" s="97"/>
      <c r="J689" s="101"/>
      <c r="K689" s="101"/>
      <c r="L689" s="101"/>
      <c r="M689" s="101"/>
      <c r="N689" s="101"/>
      <c r="O689" s="101"/>
      <c r="P689" s="101"/>
      <c r="Q689" s="101"/>
      <c r="R689" s="249"/>
    </row>
    <row r="690" spans="1:18" s="244" customFormat="1" ht="20.25" customHeight="1" x14ac:dyDescent="0.25">
      <c r="A690" s="462" t="s">
        <v>1</v>
      </c>
      <c r="B690" s="374"/>
      <c r="C690" s="93"/>
      <c r="D690" s="93"/>
      <c r="E690" s="93"/>
      <c r="F690" s="94"/>
      <c r="G690" s="94">
        <f>SUM(G691)</f>
        <v>9625</v>
      </c>
      <c r="H690" s="95"/>
      <c r="I690" s="93"/>
      <c r="J690" s="103"/>
      <c r="K690" s="103"/>
      <c r="L690" s="103"/>
      <c r="M690" s="103"/>
      <c r="N690" s="103"/>
      <c r="O690" s="103"/>
      <c r="P690" s="103"/>
      <c r="Q690" s="103"/>
      <c r="R690" s="250"/>
    </row>
    <row r="691" spans="1:18" s="244" customFormat="1" ht="20.25" customHeight="1" x14ac:dyDescent="0.25">
      <c r="A691" s="412" t="s">
        <v>242</v>
      </c>
      <c r="B691" s="376" t="s">
        <v>35</v>
      </c>
      <c r="C691" s="121">
        <v>1</v>
      </c>
      <c r="D691" s="106"/>
      <c r="E691" s="92">
        <f>C691*R691</f>
        <v>0.5</v>
      </c>
      <c r="F691" s="98">
        <f>VLOOKUP(A691,ГрафикЖД!$B$4:$C$55,2,0)</f>
        <v>19250</v>
      </c>
      <c r="G691" s="99">
        <f>E691*F691</f>
        <v>9625</v>
      </c>
      <c r="H691" s="106"/>
      <c r="I691" s="100">
        <f>C682/E691*C691</f>
        <v>9</v>
      </c>
      <c r="J691" s="100">
        <v>0.5</v>
      </c>
      <c r="K691" s="100"/>
      <c r="L691" s="100"/>
      <c r="M691" s="152"/>
      <c r="N691" s="100"/>
      <c r="O691" s="100"/>
      <c r="P691" s="100"/>
      <c r="Q691" s="152"/>
      <c r="R691" s="248">
        <f>SUM(J691:Q691)</f>
        <v>0.5</v>
      </c>
    </row>
    <row r="692" spans="1:18" s="244" customFormat="1" ht="39" customHeight="1" x14ac:dyDescent="0.2">
      <c r="A692" s="470" t="s">
        <v>306</v>
      </c>
      <c r="B692" s="390" t="s">
        <v>55</v>
      </c>
      <c r="C692" s="284">
        <v>2.2999999999999998</v>
      </c>
      <c r="D692" s="194"/>
      <c r="E692" s="194">
        <f>E697</f>
        <v>0.1</v>
      </c>
      <c r="F692" s="194" t="e">
        <f>G692/C692</f>
        <v>#N/A</v>
      </c>
      <c r="G692" s="194" t="e">
        <f>G693+G696+G699</f>
        <v>#N/A</v>
      </c>
      <c r="H692" s="194"/>
      <c r="I692" s="194"/>
      <c r="J692" s="216">
        <f>J697*$I697</f>
        <v>0.22999999999999998</v>
      </c>
      <c r="K692" s="216">
        <f t="shared" ref="K692:Q692" si="52">K697*$I697</f>
        <v>0</v>
      </c>
      <c r="L692" s="216">
        <f t="shared" si="52"/>
        <v>0</v>
      </c>
      <c r="M692" s="216">
        <f t="shared" si="52"/>
        <v>0</v>
      </c>
      <c r="N692" s="216">
        <f t="shared" si="52"/>
        <v>0</v>
      </c>
      <c r="O692" s="216">
        <f t="shared" si="52"/>
        <v>0</v>
      </c>
      <c r="P692" s="216">
        <f t="shared" si="52"/>
        <v>0</v>
      </c>
      <c r="Q692" s="216">
        <f t="shared" si="52"/>
        <v>0</v>
      </c>
      <c r="R692" s="285">
        <f>SUM(J692:Q692)</f>
        <v>0.22999999999999998</v>
      </c>
    </row>
    <row r="693" spans="1:18" s="244" customFormat="1" ht="20.25" customHeight="1" x14ac:dyDescent="0.25">
      <c r="A693" s="463" t="s">
        <v>167</v>
      </c>
      <c r="B693" s="374"/>
      <c r="C693" s="93"/>
      <c r="D693" s="93"/>
      <c r="E693" s="93"/>
      <c r="F693" s="94"/>
      <c r="G693" s="94">
        <f>SUM(G694:G695)</f>
        <v>1050</v>
      </c>
      <c r="H693" s="95"/>
      <c r="I693" s="93"/>
      <c r="J693" s="95"/>
      <c r="K693" s="95"/>
      <c r="L693" s="95"/>
      <c r="M693" s="95"/>
      <c r="N693" s="95"/>
      <c r="O693" s="95"/>
      <c r="P693" s="95"/>
      <c r="Q693" s="95"/>
      <c r="R693" s="245"/>
    </row>
    <row r="694" spans="1:18" s="244" customFormat="1" ht="20.25" customHeight="1" x14ac:dyDescent="0.25">
      <c r="A694" s="412" t="s">
        <v>316</v>
      </c>
      <c r="B694" s="376" t="s">
        <v>171</v>
      </c>
      <c r="C694" s="121">
        <v>0.5</v>
      </c>
      <c r="D694" s="96"/>
      <c r="E694" s="151"/>
      <c r="F694" s="96">
        <v>600</v>
      </c>
      <c r="G694" s="110">
        <f>C694*F694</f>
        <v>300</v>
      </c>
      <c r="H694" s="96"/>
      <c r="I694" s="108"/>
      <c r="J694" s="106"/>
      <c r="K694" s="106"/>
      <c r="L694" s="106"/>
      <c r="M694" s="106"/>
      <c r="N694" s="106"/>
      <c r="O694" s="106"/>
      <c r="P694" s="106"/>
      <c r="Q694" s="106"/>
      <c r="R694" s="246"/>
    </row>
    <row r="695" spans="1:18" s="244" customFormat="1" ht="20.25" customHeight="1" x14ac:dyDescent="0.25">
      <c r="A695" s="412" t="s">
        <v>308</v>
      </c>
      <c r="B695" s="376" t="s">
        <v>171</v>
      </c>
      <c r="C695" s="121">
        <v>1</v>
      </c>
      <c r="D695" s="96"/>
      <c r="E695" s="151"/>
      <c r="F695" s="96">
        <v>750</v>
      </c>
      <c r="G695" s="110">
        <f>C695*F695</f>
        <v>750</v>
      </c>
      <c r="H695" s="96"/>
      <c r="I695" s="108"/>
      <c r="J695" s="106"/>
      <c r="K695" s="106"/>
      <c r="L695" s="106"/>
      <c r="M695" s="106"/>
      <c r="N695" s="106"/>
      <c r="O695" s="106"/>
      <c r="P695" s="106"/>
      <c r="Q695" s="106"/>
      <c r="R695" s="246"/>
    </row>
    <row r="696" spans="1:18" s="244" customFormat="1" ht="20.25" customHeight="1" x14ac:dyDescent="0.25">
      <c r="A696" s="462" t="s">
        <v>0</v>
      </c>
      <c r="B696" s="374"/>
      <c r="C696" s="93"/>
      <c r="D696" s="93"/>
      <c r="E696" s="93"/>
      <c r="F696" s="94"/>
      <c r="G696" s="94" t="e">
        <f>SUM(G697:G698)</f>
        <v>#N/A</v>
      </c>
      <c r="H696" s="95"/>
      <c r="I696" s="93"/>
      <c r="J696" s="93"/>
      <c r="K696" s="93"/>
      <c r="L696" s="93"/>
      <c r="M696" s="93"/>
      <c r="N696" s="93"/>
      <c r="O696" s="93"/>
      <c r="P696" s="93"/>
      <c r="Q696" s="93"/>
      <c r="R696" s="247"/>
    </row>
    <row r="697" spans="1:18" s="244" customFormat="1" ht="20.25" customHeight="1" x14ac:dyDescent="0.2">
      <c r="A697" s="412" t="s">
        <v>260</v>
      </c>
      <c r="B697" s="365" t="s">
        <v>33</v>
      </c>
      <c r="C697" s="151">
        <v>1</v>
      </c>
      <c r="D697" s="97"/>
      <c r="E697" s="92">
        <f>C697*R697</f>
        <v>0.1</v>
      </c>
      <c r="F697" s="98" t="e">
        <f>VLOOKUP(A697,ГрафикЖД!$B$4:$C$55,2,0)</f>
        <v>#N/A</v>
      </c>
      <c r="G697" s="99" t="e">
        <f>E697*F697</f>
        <v>#N/A</v>
      </c>
      <c r="H697" s="97"/>
      <c r="I697" s="100">
        <f>C692/E697*C697/10</f>
        <v>2.2999999999999998</v>
      </c>
      <c r="J697" s="77">
        <v>0.1</v>
      </c>
      <c r="K697" s="77"/>
      <c r="L697" s="77"/>
      <c r="M697" s="77"/>
      <c r="N697" s="77"/>
      <c r="O697" s="77"/>
      <c r="P697" s="77"/>
      <c r="Q697" s="77"/>
      <c r="R697" s="78">
        <f>SUM(J697:Q697)</f>
        <v>0.1</v>
      </c>
    </row>
    <row r="698" spans="1:18" s="244" customFormat="1" ht="20.25" customHeight="1" x14ac:dyDescent="0.2">
      <c r="A698" s="412" t="s">
        <v>32</v>
      </c>
      <c r="B698" s="375"/>
      <c r="C698" s="99"/>
      <c r="D698" s="97"/>
      <c r="E698" s="97"/>
      <c r="F698" s="99"/>
      <c r="G698" s="99" t="e">
        <f>G697*30.9%</f>
        <v>#N/A</v>
      </c>
      <c r="H698" s="97"/>
      <c r="I698" s="97"/>
      <c r="J698" s="101"/>
      <c r="K698" s="101"/>
      <c r="L698" s="101"/>
      <c r="M698" s="101"/>
      <c r="N698" s="101"/>
      <c r="O698" s="101"/>
      <c r="P698" s="101"/>
      <c r="Q698" s="101"/>
      <c r="R698" s="249"/>
    </row>
    <row r="699" spans="1:18" s="244" customFormat="1" ht="20.25" customHeight="1" x14ac:dyDescent="0.25">
      <c r="A699" s="462" t="s">
        <v>1</v>
      </c>
      <c r="B699" s="374"/>
      <c r="C699" s="93"/>
      <c r="D699" s="93"/>
      <c r="E699" s="93"/>
      <c r="F699" s="94"/>
      <c r="G699" s="94">
        <v>0</v>
      </c>
      <c r="H699" s="95"/>
      <c r="I699" s="93"/>
      <c r="J699" s="103"/>
      <c r="K699" s="103"/>
      <c r="L699" s="103"/>
      <c r="M699" s="103"/>
      <c r="N699" s="103"/>
      <c r="O699" s="103"/>
      <c r="P699" s="103"/>
      <c r="Q699" s="103"/>
      <c r="R699" s="250"/>
    </row>
    <row r="700" spans="1:18" s="273" customFormat="1" ht="34.5" customHeight="1" x14ac:dyDescent="0.25">
      <c r="A700" s="474" t="s">
        <v>317</v>
      </c>
      <c r="B700" s="392" t="s">
        <v>57</v>
      </c>
      <c r="C700" s="344">
        <v>2897</v>
      </c>
      <c r="D700" s="345"/>
      <c r="E700" s="346">
        <f>E704++E712+E720</f>
        <v>103.9896</v>
      </c>
      <c r="F700" s="343" t="e">
        <f>G700/C700</f>
        <v>#N/A</v>
      </c>
      <c r="G700" s="343" t="e">
        <f>G704+G712+G720</f>
        <v>#N/A</v>
      </c>
      <c r="H700" s="345"/>
      <c r="I700" s="347"/>
      <c r="J700" s="348">
        <f>$C$700/$R$702*J702</f>
        <v>2897</v>
      </c>
      <c r="K700" s="348">
        <f t="shared" ref="K700:Q700" si="53">$C$700/$R$702*K702</f>
        <v>0</v>
      </c>
      <c r="L700" s="348">
        <f t="shared" si="53"/>
        <v>0</v>
      </c>
      <c r="M700" s="348">
        <f t="shared" si="53"/>
        <v>0</v>
      </c>
      <c r="N700" s="348">
        <f t="shared" si="53"/>
        <v>0</v>
      </c>
      <c r="O700" s="348">
        <f t="shared" si="53"/>
        <v>0</v>
      </c>
      <c r="P700" s="348">
        <f t="shared" si="53"/>
        <v>0</v>
      </c>
      <c r="Q700" s="348">
        <f t="shared" si="53"/>
        <v>0</v>
      </c>
      <c r="R700" s="349">
        <f>SUM(J700:Q700)</f>
        <v>2897</v>
      </c>
    </row>
    <row r="701" spans="1:18" s="244" customFormat="1" ht="20.25" customHeight="1" x14ac:dyDescent="0.2">
      <c r="A701" s="228" t="s">
        <v>46</v>
      </c>
      <c r="B701" s="371" t="str">
        <f>B700</f>
        <v>м</v>
      </c>
      <c r="C701" s="230">
        <f>C700</f>
        <v>2897</v>
      </c>
      <c r="D701" s="142"/>
      <c r="E701" s="298"/>
      <c r="F701" s="229">
        <f>G701/C701</f>
        <v>234.31753538142908</v>
      </c>
      <c r="G701" s="142">
        <f>SUMIF($A$704:$A$728,A705,$G$704:$G$728)</f>
        <v>678817.9</v>
      </c>
      <c r="H701" s="142"/>
      <c r="I701" s="299"/>
      <c r="J701" s="227"/>
      <c r="K701" s="227"/>
      <c r="L701" s="227"/>
      <c r="M701" s="227"/>
      <c r="N701" s="227"/>
      <c r="O701" s="227"/>
      <c r="P701" s="227"/>
      <c r="Q701" s="227"/>
      <c r="R701" s="228"/>
    </row>
    <row r="702" spans="1:18" s="244" customFormat="1" ht="20.25" customHeight="1" x14ac:dyDescent="0.2">
      <c r="A702" s="228" t="s">
        <v>47</v>
      </c>
      <c r="B702" s="371" t="str">
        <f>B701</f>
        <v>м</v>
      </c>
      <c r="C702" s="230">
        <f>C700</f>
        <v>2897</v>
      </c>
      <c r="D702" s="142"/>
      <c r="E702" s="298"/>
      <c r="F702" s="229" t="e">
        <f>G702/C702</f>
        <v>#N/A</v>
      </c>
      <c r="G702" s="142" t="e">
        <f>SUMIF($A$704:$A$728,A706,$G$704:$G$728)</f>
        <v>#N/A</v>
      </c>
      <c r="H702" s="142"/>
      <c r="I702" s="299"/>
      <c r="J702" s="300">
        <f t="array" ref="J702">SUMPRODUCT(IF($A$704:$A$728=$A707,J$704:J$728,0),$C$704:$C$728)</f>
        <v>103.9896</v>
      </c>
      <c r="K702" s="300">
        <f t="array" ref="K702">SUMPRODUCT(IF($A$704:$A$728=$A707,K$704:K$728,0),$C$704:$C$728)</f>
        <v>0</v>
      </c>
      <c r="L702" s="300">
        <f t="array" ref="L702">SUMPRODUCT(IF($A$704:$A$728=$A707,L$704:L$728,0),$C$704:$C$728)</f>
        <v>0</v>
      </c>
      <c r="M702" s="300">
        <f t="array" ref="M702">SUMPRODUCT(IF($A$704:$A$728=$A707,M$704:M$728,0),$C$704:$C$728)</f>
        <v>0</v>
      </c>
      <c r="N702" s="300">
        <f t="array" ref="N702">SUMPRODUCT(IF($A$704:$A$728=$A707,N$704:N$728,0),$C$704:$C$728)</f>
        <v>0</v>
      </c>
      <c r="O702" s="300">
        <f t="array" ref="O702">SUMPRODUCT(IF($A$704:$A$728=$A707,O$704:O$728,0),$C$704:$C$728)</f>
        <v>0</v>
      </c>
      <c r="P702" s="300">
        <f t="array" ref="P702">SUMPRODUCT(IF($A$704:$A$728=$A707,P$704:P$728,0),$C$704:$C$728)</f>
        <v>0</v>
      </c>
      <c r="Q702" s="300">
        <f t="array" ref="Q702">SUMPRODUCT(IF($A$704:$A$728=$A707,Q$704:Q$728,0),$C$704:$C$728)</f>
        <v>0</v>
      </c>
      <c r="R702" s="282">
        <f>SUM(J702:Q702)</f>
        <v>103.9896</v>
      </c>
    </row>
    <row r="703" spans="1:18" s="244" customFormat="1" ht="20.25" customHeight="1" x14ac:dyDescent="0.2">
      <c r="A703" s="228" t="s">
        <v>48</v>
      </c>
      <c r="B703" s="371" t="str">
        <f>B702</f>
        <v>м</v>
      </c>
      <c r="C703" s="230">
        <f>C700</f>
        <v>2897</v>
      </c>
      <c r="D703" s="142"/>
      <c r="E703" s="298"/>
      <c r="F703" s="229">
        <f>G703/C703</f>
        <v>310.71696582671728</v>
      </c>
      <c r="G703" s="142">
        <f>SUMIF($A$704:$A$728,A709,$G$704:$G$728)</f>
        <v>900147.05</v>
      </c>
      <c r="H703" s="142"/>
      <c r="I703" s="299"/>
      <c r="J703" s="227"/>
      <c r="K703" s="227"/>
      <c r="L703" s="227"/>
      <c r="M703" s="227"/>
      <c r="N703" s="227"/>
      <c r="O703" s="227"/>
      <c r="P703" s="227"/>
      <c r="Q703" s="227"/>
      <c r="R703" s="228"/>
    </row>
    <row r="704" spans="1:18" s="244" customFormat="1" ht="41.25" customHeight="1" x14ac:dyDescent="0.2">
      <c r="A704" s="470" t="s">
        <v>318</v>
      </c>
      <c r="B704" s="389" t="s">
        <v>34</v>
      </c>
      <c r="C704" s="288">
        <f>(251+1320+76+67+336+161)/3059*2897</f>
        <v>2093.908793723439</v>
      </c>
      <c r="D704" s="289"/>
      <c r="E704" s="289">
        <f>E707</f>
        <v>38.07</v>
      </c>
      <c r="F704" s="289" t="e">
        <f>G704/C704</f>
        <v>#N/A</v>
      </c>
      <c r="G704" s="289" t="e">
        <f>G705+G706+G709</f>
        <v>#N/A</v>
      </c>
      <c r="H704" s="289"/>
      <c r="I704" s="289"/>
      <c r="J704" s="290">
        <f>J707*$I707</f>
        <v>209.39087937234385</v>
      </c>
      <c r="K704" s="290">
        <f t="shared" ref="K704:Q704" si="54">K707*$I707</f>
        <v>0</v>
      </c>
      <c r="L704" s="290">
        <f t="shared" si="54"/>
        <v>0</v>
      </c>
      <c r="M704" s="290">
        <f t="shared" si="54"/>
        <v>0</v>
      </c>
      <c r="N704" s="290">
        <f t="shared" si="54"/>
        <v>0</v>
      </c>
      <c r="O704" s="290">
        <f t="shared" si="54"/>
        <v>0</v>
      </c>
      <c r="P704" s="290">
        <f t="shared" si="54"/>
        <v>0</v>
      </c>
      <c r="Q704" s="290">
        <f t="shared" si="54"/>
        <v>0</v>
      </c>
      <c r="R704" s="291">
        <f>SUM(J704:Q704)</f>
        <v>209.39087937234385</v>
      </c>
    </row>
    <row r="705" spans="1:18" s="244" customFormat="1" ht="20.25" customHeight="1" x14ac:dyDescent="0.25">
      <c r="A705" s="463" t="s">
        <v>167</v>
      </c>
      <c r="B705" s="374"/>
      <c r="C705" s="93"/>
      <c r="D705" s="93"/>
      <c r="E705" s="93"/>
      <c r="F705" s="94"/>
      <c r="G705" s="94">
        <f>0</f>
        <v>0</v>
      </c>
      <c r="H705" s="95"/>
      <c r="I705" s="93"/>
      <c r="J705" s="95"/>
      <c r="K705" s="95"/>
      <c r="L705" s="95"/>
      <c r="M705" s="95"/>
      <c r="N705" s="95"/>
      <c r="O705" s="95"/>
      <c r="P705" s="95"/>
      <c r="Q705" s="95"/>
      <c r="R705" s="245"/>
    </row>
    <row r="706" spans="1:18" s="244" customFormat="1" ht="20.25" customHeight="1" x14ac:dyDescent="0.25">
      <c r="A706" s="462" t="s">
        <v>0</v>
      </c>
      <c r="B706" s="374"/>
      <c r="C706" s="93"/>
      <c r="D706" s="93"/>
      <c r="E706" s="93"/>
      <c r="F706" s="94" t="e">
        <f>G706/C704</f>
        <v>#N/A</v>
      </c>
      <c r="G706" s="94" t="e">
        <f>SUM(G707:G708)</f>
        <v>#N/A</v>
      </c>
      <c r="H706" s="95"/>
      <c r="I706" s="93"/>
      <c r="J706" s="93"/>
      <c r="K706" s="93"/>
      <c r="L706" s="93"/>
      <c r="M706" s="93"/>
      <c r="N706" s="93"/>
      <c r="O706" s="93"/>
      <c r="P706" s="93"/>
      <c r="Q706" s="93"/>
      <c r="R706" s="247"/>
    </row>
    <row r="707" spans="1:18" s="244" customFormat="1" ht="20.25" customHeight="1" x14ac:dyDescent="0.2">
      <c r="A707" s="412" t="s">
        <v>260</v>
      </c>
      <c r="B707" s="365" t="s">
        <v>33</v>
      </c>
      <c r="C707" s="151">
        <v>6</v>
      </c>
      <c r="D707" s="97"/>
      <c r="E707" s="92">
        <f>C707*R707</f>
        <v>38.07</v>
      </c>
      <c r="F707" s="98" t="e">
        <f>VLOOKUP(A707,ГрафикЖД!$B$4:$C$55,2,0)</f>
        <v>#N/A</v>
      </c>
      <c r="G707" s="99" t="e">
        <f>E707*F707</f>
        <v>#N/A</v>
      </c>
      <c r="H707" s="97"/>
      <c r="I707" s="100">
        <f>C704/E707*C707/10</f>
        <v>33.000926615026614</v>
      </c>
      <c r="J707" s="100">
        <v>6.3449999999999998</v>
      </c>
      <c r="K707" s="77"/>
      <c r="L707" s="77"/>
      <c r="M707" s="77"/>
      <c r="N707" s="77"/>
      <c r="O707" s="77"/>
      <c r="P707" s="77"/>
      <c r="Q707" s="77"/>
      <c r="R707" s="78">
        <f>SUM(J707:Q707)</f>
        <v>6.3449999999999998</v>
      </c>
    </row>
    <row r="708" spans="1:18" s="244" customFormat="1" ht="20.25" customHeight="1" x14ac:dyDescent="0.2">
      <c r="A708" s="412" t="s">
        <v>32</v>
      </c>
      <c r="B708" s="375"/>
      <c r="C708" s="99"/>
      <c r="D708" s="97"/>
      <c r="E708" s="97"/>
      <c r="F708" s="99"/>
      <c r="G708" s="99" t="e">
        <f>G707*30.9%</f>
        <v>#N/A</v>
      </c>
      <c r="H708" s="97"/>
      <c r="I708" s="97"/>
      <c r="J708" s="101"/>
      <c r="K708" s="101"/>
      <c r="L708" s="101"/>
      <c r="M708" s="101"/>
      <c r="N708" s="101"/>
      <c r="O708" s="101"/>
      <c r="P708" s="101"/>
      <c r="Q708" s="101"/>
      <c r="R708" s="249"/>
    </row>
    <row r="709" spans="1:18" s="244" customFormat="1" ht="20.25" customHeight="1" x14ac:dyDescent="0.25">
      <c r="A709" s="462" t="s">
        <v>1</v>
      </c>
      <c r="B709" s="374"/>
      <c r="C709" s="93"/>
      <c r="D709" s="93"/>
      <c r="E709" s="93"/>
      <c r="F709" s="94">
        <f>G709/C704</f>
        <v>316.65777515597711</v>
      </c>
      <c r="G709" s="94">
        <f>SUM(G710:G711)</f>
        <v>663052.5</v>
      </c>
      <c r="H709" s="95"/>
      <c r="I709" s="93"/>
      <c r="J709" s="103"/>
      <c r="K709" s="103"/>
      <c r="L709" s="103"/>
      <c r="M709" s="103"/>
      <c r="N709" s="103"/>
      <c r="O709" s="103"/>
      <c r="P709" s="103"/>
      <c r="Q709" s="103"/>
      <c r="R709" s="250"/>
    </row>
    <row r="710" spans="1:18" s="244" customFormat="1" ht="20.25" customHeight="1" x14ac:dyDescent="0.25">
      <c r="A710" s="412" t="s">
        <v>242</v>
      </c>
      <c r="B710" s="376" t="s">
        <v>35</v>
      </c>
      <c r="C710" s="121">
        <v>2</v>
      </c>
      <c r="D710" s="106"/>
      <c r="E710" s="92">
        <f>C710*R710</f>
        <v>12.69</v>
      </c>
      <c r="F710" s="98">
        <f>VLOOKUP(A710,ГрафикЖД!$B$4:$C$55,2,0)</f>
        <v>19250</v>
      </c>
      <c r="G710" s="99">
        <f>E710*F710</f>
        <v>244282.5</v>
      </c>
      <c r="H710" s="106"/>
      <c r="I710" s="100">
        <f>C704/E710*C710</f>
        <v>330.00926615026623</v>
      </c>
      <c r="J710" s="100">
        <v>6.3449999999999998</v>
      </c>
      <c r="K710" s="100"/>
      <c r="L710" s="100"/>
      <c r="M710" s="152"/>
      <c r="N710" s="100"/>
      <c r="O710" s="100"/>
      <c r="P710" s="100"/>
      <c r="Q710" s="152"/>
      <c r="R710" s="248">
        <f>SUM(J710:Q710)</f>
        <v>6.3449999999999998</v>
      </c>
    </row>
    <row r="711" spans="1:18" s="244" customFormat="1" ht="20.25" customHeight="1" x14ac:dyDescent="0.25">
      <c r="A711" s="415" t="s">
        <v>241</v>
      </c>
      <c r="B711" s="376" t="s">
        <v>35</v>
      </c>
      <c r="C711" s="121">
        <v>4</v>
      </c>
      <c r="D711" s="106"/>
      <c r="E711" s="92">
        <f>C711*R711</f>
        <v>25.38</v>
      </c>
      <c r="F711" s="98">
        <f>VLOOKUP(A711,ГрафикЖД!$B$4:$C$55,2,0)</f>
        <v>16500</v>
      </c>
      <c r="G711" s="99">
        <f>E711*F711</f>
        <v>418770</v>
      </c>
      <c r="H711" s="106"/>
      <c r="I711" s="100">
        <f>C704/E711*C711</f>
        <v>330.00926615026623</v>
      </c>
      <c r="J711" s="100">
        <v>6.3449999999999998</v>
      </c>
      <c r="K711" s="100"/>
      <c r="L711" s="100"/>
      <c r="M711" s="152"/>
      <c r="N711" s="100"/>
      <c r="O711" s="100"/>
      <c r="P711" s="100"/>
      <c r="Q711" s="152"/>
      <c r="R711" s="248">
        <f>SUM(J711:Q711)</f>
        <v>6.3449999999999998</v>
      </c>
    </row>
    <row r="712" spans="1:18" s="244" customFormat="1" ht="41.25" customHeight="1" x14ac:dyDescent="0.2">
      <c r="A712" s="470" t="s">
        <v>319</v>
      </c>
      <c r="B712" s="390" t="s">
        <v>34</v>
      </c>
      <c r="C712" s="284">
        <v>72</v>
      </c>
      <c r="D712" s="194"/>
      <c r="E712" s="194">
        <f>E716</f>
        <v>7.98</v>
      </c>
      <c r="F712" s="194" t="e">
        <f>G712/C712</f>
        <v>#N/A</v>
      </c>
      <c r="G712" s="194" t="e">
        <f>G713+G715+G718</f>
        <v>#N/A</v>
      </c>
      <c r="H712" s="194"/>
      <c r="I712" s="194"/>
      <c r="J712" s="216">
        <f>J716*$I716</f>
        <v>72.000000000000014</v>
      </c>
      <c r="K712" s="216">
        <f t="shared" ref="K712:Q712" si="55">K716*$I716</f>
        <v>0</v>
      </c>
      <c r="L712" s="216">
        <f t="shared" si="55"/>
        <v>0</v>
      </c>
      <c r="M712" s="216">
        <f t="shared" si="55"/>
        <v>0</v>
      </c>
      <c r="N712" s="216">
        <f t="shared" si="55"/>
        <v>0</v>
      </c>
      <c r="O712" s="216">
        <f t="shared" si="55"/>
        <v>0</v>
      </c>
      <c r="P712" s="216">
        <f t="shared" si="55"/>
        <v>0</v>
      </c>
      <c r="Q712" s="216">
        <f t="shared" si="55"/>
        <v>0</v>
      </c>
      <c r="R712" s="285">
        <f>SUM(J712:Q712)</f>
        <v>72.000000000000014</v>
      </c>
    </row>
    <row r="713" spans="1:18" s="244" customFormat="1" ht="20.25" customHeight="1" x14ac:dyDescent="0.25">
      <c r="A713" s="463" t="s">
        <v>167</v>
      </c>
      <c r="B713" s="374"/>
      <c r="C713" s="93"/>
      <c r="D713" s="93"/>
      <c r="E713" s="93"/>
      <c r="F713" s="94">
        <f>G713/C714</f>
        <v>1500</v>
      </c>
      <c r="G713" s="94">
        <f>G714</f>
        <v>126359.99999999999</v>
      </c>
      <c r="H713" s="95"/>
      <c r="I713" s="93"/>
      <c r="J713" s="95"/>
      <c r="K713" s="95"/>
      <c r="L713" s="95"/>
      <c r="M713" s="95"/>
      <c r="N713" s="95"/>
      <c r="O713" s="95"/>
      <c r="P713" s="95"/>
      <c r="Q713" s="95"/>
      <c r="R713" s="245"/>
    </row>
    <row r="714" spans="1:18" ht="23.25" customHeight="1" x14ac:dyDescent="0.2">
      <c r="A714" s="412" t="s">
        <v>335</v>
      </c>
      <c r="B714" s="365" t="s">
        <v>34</v>
      </c>
      <c r="C714" s="121">
        <f>C712*1.17</f>
        <v>84.24</v>
      </c>
      <c r="D714" s="184"/>
      <c r="E714" s="184"/>
      <c r="F714" s="96">
        <v>1500</v>
      </c>
      <c r="G714" s="110">
        <f>C714*F714</f>
        <v>126359.99999999999</v>
      </c>
      <c r="H714" s="187"/>
      <c r="I714" s="188"/>
      <c r="J714" s="189"/>
      <c r="K714" s="189"/>
      <c r="L714" s="189"/>
      <c r="M714" s="189"/>
      <c r="N714" s="189"/>
      <c r="O714" s="189"/>
      <c r="P714" s="189"/>
      <c r="Q714" s="189"/>
      <c r="R714" s="257"/>
    </row>
    <row r="715" spans="1:18" s="244" customFormat="1" ht="20.25" customHeight="1" x14ac:dyDescent="0.25">
      <c r="A715" s="462" t="s">
        <v>0</v>
      </c>
      <c r="B715" s="374"/>
      <c r="C715" s="93"/>
      <c r="D715" s="93"/>
      <c r="E715" s="93"/>
      <c r="F715" s="94" t="e">
        <f>G715/C714</f>
        <v>#N/A</v>
      </c>
      <c r="G715" s="94" t="e">
        <f>SUM(G716:G717)</f>
        <v>#N/A</v>
      </c>
      <c r="H715" s="95"/>
      <c r="I715" s="93"/>
      <c r="J715" s="93"/>
      <c r="K715" s="93"/>
      <c r="L715" s="93"/>
      <c r="M715" s="93"/>
      <c r="N715" s="93"/>
      <c r="O715" s="93"/>
      <c r="P715" s="93"/>
      <c r="Q715" s="93"/>
      <c r="R715" s="247"/>
    </row>
    <row r="716" spans="1:18" s="244" customFormat="1" ht="20.25" customHeight="1" x14ac:dyDescent="0.2">
      <c r="A716" s="412" t="s">
        <v>260</v>
      </c>
      <c r="B716" s="365" t="s">
        <v>33</v>
      </c>
      <c r="C716" s="151">
        <v>3</v>
      </c>
      <c r="D716" s="97"/>
      <c r="E716" s="92">
        <f>C716*R716</f>
        <v>7.98</v>
      </c>
      <c r="F716" s="98" t="e">
        <f>VLOOKUP(A716,ГрафикЖД!$B$4:$C$55,2,0)</f>
        <v>#N/A</v>
      </c>
      <c r="G716" s="99" t="e">
        <f>E716*F716</f>
        <v>#N/A</v>
      </c>
      <c r="H716" s="97"/>
      <c r="I716" s="100">
        <f>C712/E716*C716</f>
        <v>27.067669172932334</v>
      </c>
      <c r="J716" s="193">
        <v>2.66</v>
      </c>
      <c r="K716" s="77"/>
      <c r="L716" s="77"/>
      <c r="M716" s="77"/>
      <c r="N716" s="77"/>
      <c r="O716" s="77"/>
      <c r="P716" s="77"/>
      <c r="Q716" s="77"/>
      <c r="R716" s="78">
        <f>SUM(J716:Q716)</f>
        <v>2.66</v>
      </c>
    </row>
    <row r="717" spans="1:18" s="244" customFormat="1" ht="20.25" customHeight="1" x14ac:dyDescent="0.2">
      <c r="A717" s="412" t="s">
        <v>32</v>
      </c>
      <c r="B717" s="375"/>
      <c r="C717" s="99"/>
      <c r="D717" s="97"/>
      <c r="E717" s="97"/>
      <c r="F717" s="99"/>
      <c r="G717" s="99" t="e">
        <f>G716*30.9%</f>
        <v>#N/A</v>
      </c>
      <c r="H717" s="97"/>
      <c r="I717" s="97"/>
      <c r="J717" s="101"/>
      <c r="K717" s="101"/>
      <c r="L717" s="101"/>
      <c r="M717" s="101"/>
      <c r="N717" s="101"/>
      <c r="O717" s="101"/>
      <c r="P717" s="101"/>
      <c r="Q717" s="101"/>
      <c r="R717" s="249"/>
    </row>
    <row r="718" spans="1:18" s="244" customFormat="1" ht="20.25" customHeight="1" x14ac:dyDescent="0.25">
      <c r="A718" s="462" t="s">
        <v>1</v>
      </c>
      <c r="B718" s="374"/>
      <c r="C718" s="93"/>
      <c r="D718" s="93"/>
      <c r="E718" s="93"/>
      <c r="F718" s="94">
        <f>G718/C714</f>
        <v>607.84662867996201</v>
      </c>
      <c r="G718" s="94">
        <f>SUM(G719)</f>
        <v>51205</v>
      </c>
      <c r="H718" s="95"/>
      <c r="I718" s="93"/>
      <c r="J718" s="103"/>
      <c r="K718" s="103"/>
      <c r="L718" s="103"/>
      <c r="M718" s="103"/>
      <c r="N718" s="103"/>
      <c r="O718" s="103"/>
      <c r="P718" s="103"/>
      <c r="Q718" s="103"/>
      <c r="R718" s="250"/>
    </row>
    <row r="719" spans="1:18" s="244" customFormat="1" ht="20.25" customHeight="1" x14ac:dyDescent="0.25">
      <c r="A719" s="412" t="s">
        <v>242</v>
      </c>
      <c r="B719" s="376" t="s">
        <v>35</v>
      </c>
      <c r="C719" s="121">
        <v>1</v>
      </c>
      <c r="D719" s="106"/>
      <c r="E719" s="92">
        <f>C719*R719</f>
        <v>2.66</v>
      </c>
      <c r="F719" s="98">
        <f>VLOOKUP(A719,ГрафикЖД!$B$4:$C$55,2,0)</f>
        <v>19250</v>
      </c>
      <c r="G719" s="99">
        <f>E719*F719</f>
        <v>51205</v>
      </c>
      <c r="H719" s="106"/>
      <c r="I719" s="100">
        <f>C712/E719*C719</f>
        <v>27.06766917293233</v>
      </c>
      <c r="J719" s="100">
        <v>2.66</v>
      </c>
      <c r="K719" s="100"/>
      <c r="L719" s="100"/>
      <c r="M719" s="152"/>
      <c r="N719" s="100"/>
      <c r="O719" s="100"/>
      <c r="P719" s="100"/>
      <c r="Q719" s="152"/>
      <c r="R719" s="248">
        <f>SUM(J719:Q719)</f>
        <v>2.66</v>
      </c>
    </row>
    <row r="720" spans="1:18" s="244" customFormat="1" ht="40.5" customHeight="1" x14ac:dyDescent="0.2">
      <c r="A720" s="470" t="s">
        <v>320</v>
      </c>
      <c r="B720" s="390" t="s">
        <v>57</v>
      </c>
      <c r="C720" s="284">
        <v>2897</v>
      </c>
      <c r="D720" s="194"/>
      <c r="E720" s="194">
        <f>E725</f>
        <v>57.939599999999999</v>
      </c>
      <c r="F720" s="194" t="e">
        <f>G720/C720</f>
        <v>#N/A</v>
      </c>
      <c r="G720" s="194" t="e">
        <f>G721+G724+G727</f>
        <v>#N/A</v>
      </c>
      <c r="H720" s="194"/>
      <c r="I720" s="194"/>
      <c r="J720" s="216">
        <f>J725*$I725</f>
        <v>2896.9999999999995</v>
      </c>
      <c r="K720" s="216">
        <f t="shared" ref="K720:Q720" si="56">K725*$I725</f>
        <v>0</v>
      </c>
      <c r="L720" s="216">
        <f t="shared" si="56"/>
        <v>0</v>
      </c>
      <c r="M720" s="216">
        <f t="shared" si="56"/>
        <v>0</v>
      </c>
      <c r="N720" s="216">
        <f t="shared" si="56"/>
        <v>0</v>
      </c>
      <c r="O720" s="216">
        <f t="shared" si="56"/>
        <v>0</v>
      </c>
      <c r="P720" s="216">
        <f t="shared" si="56"/>
        <v>0</v>
      </c>
      <c r="Q720" s="216">
        <f t="shared" si="56"/>
        <v>0</v>
      </c>
      <c r="R720" s="285">
        <f>SUM(J720:Q720)</f>
        <v>2896.9999999999995</v>
      </c>
    </row>
    <row r="721" spans="1:18" s="244" customFormat="1" ht="20.25" customHeight="1" x14ac:dyDescent="0.25">
      <c r="A721" s="463" t="s">
        <v>167</v>
      </c>
      <c r="B721" s="374"/>
      <c r="C721" s="93"/>
      <c r="D721" s="93"/>
      <c r="E721" s="93"/>
      <c r="F721" s="94">
        <f>G721/C720</f>
        <v>190.70000000000002</v>
      </c>
      <c r="G721" s="94">
        <f>SUM(G722:G723)</f>
        <v>552457.9</v>
      </c>
      <c r="H721" s="95"/>
      <c r="I721" s="93"/>
      <c r="J721" s="95"/>
      <c r="K721" s="95"/>
      <c r="L721" s="95"/>
      <c r="M721" s="95"/>
      <c r="N721" s="95"/>
      <c r="O721" s="95"/>
      <c r="P721" s="95"/>
      <c r="Q721" s="95"/>
      <c r="R721" s="245"/>
    </row>
    <row r="722" spans="1:18" ht="23.25" customHeight="1" x14ac:dyDescent="0.2">
      <c r="A722" s="412" t="s">
        <v>321</v>
      </c>
      <c r="B722" s="365" t="s">
        <v>57</v>
      </c>
      <c r="C722" s="121">
        <v>2897</v>
      </c>
      <c r="D722" s="184"/>
      <c r="E722" s="184"/>
      <c r="F722" s="96">
        <v>189</v>
      </c>
      <c r="G722" s="110">
        <f>C722*F722</f>
        <v>547533</v>
      </c>
      <c r="H722" s="187"/>
      <c r="I722" s="188"/>
      <c r="J722" s="189"/>
      <c r="K722" s="189"/>
      <c r="L722" s="189"/>
      <c r="M722" s="189"/>
      <c r="N722" s="189"/>
      <c r="O722" s="189"/>
      <c r="P722" s="189"/>
      <c r="Q722" s="189"/>
      <c r="R722" s="257"/>
    </row>
    <row r="723" spans="1:18" ht="23.25" customHeight="1" x14ac:dyDescent="0.2">
      <c r="A723" s="412" t="s">
        <v>322</v>
      </c>
      <c r="B723" s="365" t="s">
        <v>35</v>
      </c>
      <c r="C723" s="151">
        <f>C722/50</f>
        <v>57.94</v>
      </c>
      <c r="D723" s="184"/>
      <c r="E723" s="184"/>
      <c r="F723" s="96">
        <v>85</v>
      </c>
      <c r="G723" s="110">
        <f>C723*F723</f>
        <v>4924.8999999999996</v>
      </c>
      <c r="H723" s="187"/>
      <c r="I723" s="188"/>
      <c r="J723" s="189"/>
      <c r="K723" s="189"/>
      <c r="L723" s="189"/>
      <c r="M723" s="189"/>
      <c r="N723" s="189"/>
      <c r="O723" s="189"/>
      <c r="P723" s="189"/>
      <c r="Q723" s="189"/>
      <c r="R723" s="257"/>
    </row>
    <row r="724" spans="1:18" s="244" customFormat="1" ht="20.25" customHeight="1" x14ac:dyDescent="0.25">
      <c r="A724" s="462" t="s">
        <v>0</v>
      </c>
      <c r="B724" s="374"/>
      <c r="C724" s="93"/>
      <c r="D724" s="93"/>
      <c r="E724" s="93"/>
      <c r="F724" s="94"/>
      <c r="G724" s="94" t="e">
        <f>SUM(G725:G726)</f>
        <v>#N/A</v>
      </c>
      <c r="H724" s="95"/>
      <c r="I724" s="93"/>
      <c r="J724" s="93"/>
      <c r="K724" s="93"/>
      <c r="L724" s="93"/>
      <c r="M724" s="93"/>
      <c r="N724" s="93"/>
      <c r="O724" s="93"/>
      <c r="P724" s="93"/>
      <c r="Q724" s="93"/>
      <c r="R724" s="247"/>
    </row>
    <row r="725" spans="1:18" s="244" customFormat="1" ht="20.25" customHeight="1" x14ac:dyDescent="0.2">
      <c r="A725" s="412" t="s">
        <v>260</v>
      </c>
      <c r="B725" s="365" t="s">
        <v>33</v>
      </c>
      <c r="C725" s="151">
        <v>6</v>
      </c>
      <c r="D725" s="97"/>
      <c r="E725" s="92">
        <f>C725*R725</f>
        <v>57.939599999999999</v>
      </c>
      <c r="F725" s="98" t="e">
        <f>VLOOKUP(A725,ГрафикЖД!$B$4:$C$55,2,0)</f>
        <v>#N/A</v>
      </c>
      <c r="G725" s="99" t="e">
        <f>E725*F725</f>
        <v>#N/A</v>
      </c>
      <c r="H725" s="97"/>
      <c r="I725" s="100">
        <f>C720/E725*C725</f>
        <v>300.00207112234119</v>
      </c>
      <c r="J725" s="191">
        <v>9.6565999999999992</v>
      </c>
      <c r="K725" s="77"/>
      <c r="L725" s="77"/>
      <c r="M725" s="77"/>
      <c r="N725" s="77"/>
      <c r="O725" s="77"/>
      <c r="P725" s="77"/>
      <c r="Q725" s="77"/>
      <c r="R725" s="78">
        <f>SUM(J725:Q725)</f>
        <v>9.6565999999999992</v>
      </c>
    </row>
    <row r="726" spans="1:18" s="244" customFormat="1" ht="20.25" customHeight="1" x14ac:dyDescent="0.2">
      <c r="A726" s="412" t="s">
        <v>32</v>
      </c>
      <c r="B726" s="375"/>
      <c r="C726" s="99"/>
      <c r="D726" s="97"/>
      <c r="E726" s="97"/>
      <c r="F726" s="99"/>
      <c r="G726" s="99" t="e">
        <f>G725*30.9%</f>
        <v>#N/A</v>
      </c>
      <c r="H726" s="97"/>
      <c r="I726" s="97"/>
      <c r="J726" s="191"/>
      <c r="K726" s="101"/>
      <c r="L726" s="101"/>
      <c r="M726" s="101"/>
      <c r="N726" s="101"/>
      <c r="O726" s="101"/>
      <c r="P726" s="101"/>
      <c r="Q726" s="101"/>
      <c r="R726" s="249"/>
    </row>
    <row r="727" spans="1:18" s="244" customFormat="1" ht="20.25" customHeight="1" x14ac:dyDescent="0.25">
      <c r="A727" s="462" t="s">
        <v>1</v>
      </c>
      <c r="B727" s="374"/>
      <c r="C727" s="93"/>
      <c r="D727" s="93"/>
      <c r="E727" s="93"/>
      <c r="F727" s="94"/>
      <c r="G727" s="94">
        <f>SUM(G728)</f>
        <v>185889.55</v>
      </c>
      <c r="H727" s="95"/>
      <c r="I727" s="93"/>
      <c r="J727" s="192"/>
      <c r="K727" s="103"/>
      <c r="L727" s="103"/>
      <c r="M727" s="103"/>
      <c r="N727" s="103"/>
      <c r="O727" s="103"/>
      <c r="P727" s="103"/>
      <c r="Q727" s="103"/>
      <c r="R727" s="250"/>
    </row>
    <row r="728" spans="1:18" s="244" customFormat="1" ht="20.25" customHeight="1" x14ac:dyDescent="0.25">
      <c r="A728" s="412" t="s">
        <v>242</v>
      </c>
      <c r="B728" s="376" t="s">
        <v>35</v>
      </c>
      <c r="C728" s="121">
        <v>1</v>
      </c>
      <c r="D728" s="106"/>
      <c r="E728" s="92">
        <f>C728*R728</f>
        <v>9.6565999999999992</v>
      </c>
      <c r="F728" s="98">
        <f>VLOOKUP(A728,ГрафикЖД!$B$4:$C$55,2,0)</f>
        <v>19250</v>
      </c>
      <c r="G728" s="99">
        <f>E728*F728</f>
        <v>185889.55</v>
      </c>
      <c r="H728" s="106"/>
      <c r="I728" s="100">
        <f>C720/E728*C728</f>
        <v>300.00207112234125</v>
      </c>
      <c r="J728" s="191">
        <v>9.6565999999999992</v>
      </c>
      <c r="K728" s="100"/>
      <c r="L728" s="100"/>
      <c r="M728" s="152"/>
      <c r="N728" s="100"/>
      <c r="O728" s="100"/>
      <c r="P728" s="100"/>
      <c r="Q728" s="152"/>
      <c r="R728" s="248">
        <f>SUM(J728:Q728)</f>
        <v>9.6565999999999992</v>
      </c>
    </row>
    <row r="729" spans="1:18" s="273" customFormat="1" ht="34.5" customHeight="1" x14ac:dyDescent="0.25">
      <c r="A729" s="474" t="s">
        <v>332</v>
      </c>
      <c r="B729" s="392" t="s">
        <v>57</v>
      </c>
      <c r="C729" s="344">
        <v>11</v>
      </c>
      <c r="D729" s="345"/>
      <c r="E729" s="346">
        <f>E733+E740+E748</f>
        <v>0.75000000000000011</v>
      </c>
      <c r="F729" s="343" t="e">
        <f>G729/C729</f>
        <v>#N/A</v>
      </c>
      <c r="G729" s="343" t="e">
        <f>G733+G740+G762+G748</f>
        <v>#N/A</v>
      </c>
      <c r="H729" s="345"/>
      <c r="I729" s="347"/>
      <c r="J729" s="348">
        <f>$C$700/$R$702*J731</f>
        <v>20.893916314708399</v>
      </c>
      <c r="K729" s="348">
        <f t="shared" ref="K729:Q729" si="57">$C$700/$R$702*K731</f>
        <v>0</v>
      </c>
      <c r="L729" s="348">
        <f t="shared" si="57"/>
        <v>0</v>
      </c>
      <c r="M729" s="348">
        <f t="shared" si="57"/>
        <v>0</v>
      </c>
      <c r="N729" s="348">
        <f t="shared" si="57"/>
        <v>0</v>
      </c>
      <c r="O729" s="348">
        <f t="shared" si="57"/>
        <v>0</v>
      </c>
      <c r="P729" s="348">
        <f t="shared" si="57"/>
        <v>0</v>
      </c>
      <c r="Q729" s="348">
        <f t="shared" si="57"/>
        <v>0</v>
      </c>
      <c r="R729" s="349">
        <f>SUM(J729:Q729)</f>
        <v>20.893916314708399</v>
      </c>
    </row>
    <row r="730" spans="1:18" s="244" customFormat="1" ht="20.25" customHeight="1" x14ac:dyDescent="0.2">
      <c r="A730" s="228" t="s">
        <v>46</v>
      </c>
      <c r="B730" s="371" t="str">
        <f>B729</f>
        <v>м</v>
      </c>
      <c r="C730" s="230">
        <f>C729</f>
        <v>11</v>
      </c>
      <c r="D730" s="142"/>
      <c r="E730" s="298"/>
      <c r="F730" s="229">
        <f>G730/C730</f>
        <v>890.90909090909088</v>
      </c>
      <c r="G730" s="142">
        <f>SUMIF($A$733:$A$756,A734,$G$733:$G$756)</f>
        <v>9800</v>
      </c>
      <c r="H730" s="142"/>
      <c r="I730" s="299"/>
      <c r="J730" s="227"/>
      <c r="K730" s="227"/>
      <c r="L730" s="227"/>
      <c r="M730" s="227"/>
      <c r="N730" s="227"/>
      <c r="O730" s="227"/>
      <c r="P730" s="227"/>
      <c r="Q730" s="227"/>
      <c r="R730" s="228"/>
    </row>
    <row r="731" spans="1:18" s="244" customFormat="1" ht="20.25" customHeight="1" x14ac:dyDescent="0.2">
      <c r="A731" s="228" t="s">
        <v>47</v>
      </c>
      <c r="B731" s="371" t="str">
        <f>B730</f>
        <v>м</v>
      </c>
      <c r="C731" s="230">
        <f>C729</f>
        <v>11</v>
      </c>
      <c r="D731" s="142"/>
      <c r="E731" s="298"/>
      <c r="F731" s="229" t="e">
        <f>G731/C731</f>
        <v>#N/A</v>
      </c>
      <c r="G731" s="142" t="e">
        <f>SUMIF($A$733:$A$756,A735,$G$733:$G$756)</f>
        <v>#N/A</v>
      </c>
      <c r="H731" s="142"/>
      <c r="I731" s="299"/>
      <c r="J731" s="300">
        <f t="array" ref="J731">SUMPRODUCT(IF($A$733:$A$756=$A736,J$733:J$756,0),$C$733:$C$756)</f>
        <v>0.75000000000000011</v>
      </c>
      <c r="K731" s="300">
        <f t="array" ref="K731">SUMPRODUCT(IF($A$733:$A$756=$A736,K$733:K$756,0),$C$733:$C$756)</f>
        <v>0</v>
      </c>
      <c r="L731" s="300">
        <f t="array" ref="L731">SUMPRODUCT(IF($A$733:$A$756=$A736,L$733:L$756,0),$C$733:$C$756)</f>
        <v>0</v>
      </c>
      <c r="M731" s="300">
        <f t="array" ref="M731">SUMPRODUCT(IF($A$733:$A$756=$A736,M$733:M$756,0),$C$733:$C$756)</f>
        <v>0</v>
      </c>
      <c r="N731" s="300">
        <f t="array" ref="N731">SUMPRODUCT(IF($A$733:$A$756=$A736,N$733:N$756,0),$C$733:$C$756)</f>
        <v>0</v>
      </c>
      <c r="O731" s="300">
        <f t="array" ref="O731">SUMPRODUCT(IF($A$733:$A$756=$A736,O$733:O$756,0),$C$733:$C$756)</f>
        <v>0</v>
      </c>
      <c r="P731" s="300">
        <f t="array" ref="P731">SUMPRODUCT(IF($A$733:$A$756=$A736,P$733:P$756,0),$C$733:$C$756)</f>
        <v>0</v>
      </c>
      <c r="Q731" s="300">
        <f t="array" ref="Q731">SUMPRODUCT(IF($A$733:$A$756=$A736,Q$733:Q$756,0),$C$733:$C$756)</f>
        <v>0</v>
      </c>
      <c r="R731" s="282">
        <f>SUM(J731:Q731)</f>
        <v>0.75000000000000011</v>
      </c>
    </row>
    <row r="732" spans="1:18" s="244" customFormat="1" ht="20.25" customHeight="1" x14ac:dyDescent="0.2">
      <c r="A732" s="228" t="s">
        <v>48</v>
      </c>
      <c r="B732" s="371" t="str">
        <f>B731</f>
        <v>м</v>
      </c>
      <c r="C732" s="230">
        <f>C729</f>
        <v>11</v>
      </c>
      <c r="D732" s="142"/>
      <c r="E732" s="298"/>
      <c r="F732" s="229">
        <f>G732/C732</f>
        <v>437.5</v>
      </c>
      <c r="G732" s="142">
        <f>SUMIF($A$733:$A$756,A738,$G$733:$G$756)</f>
        <v>4812.5</v>
      </c>
      <c r="H732" s="142"/>
      <c r="I732" s="299"/>
      <c r="J732" s="227"/>
      <c r="K732" s="227"/>
      <c r="L732" s="227"/>
      <c r="M732" s="227"/>
      <c r="N732" s="227"/>
      <c r="O732" s="227"/>
      <c r="P732" s="227"/>
      <c r="Q732" s="227"/>
      <c r="R732" s="228"/>
    </row>
    <row r="733" spans="1:18" s="244" customFormat="1" ht="40.5" customHeight="1" x14ac:dyDescent="0.2">
      <c r="A733" s="470" t="s">
        <v>318</v>
      </c>
      <c r="B733" s="389" t="s">
        <v>34</v>
      </c>
      <c r="C733" s="288">
        <f>(251+1320+76+67+336+161)/3059*11</f>
        <v>7.9506374632232761</v>
      </c>
      <c r="D733" s="289"/>
      <c r="E733" s="289">
        <f>E736</f>
        <v>0.30000000000000004</v>
      </c>
      <c r="F733" s="289" t="e">
        <f>G733/C733</f>
        <v>#N/A</v>
      </c>
      <c r="G733" s="289" t="e">
        <f>G734+G735+G738</f>
        <v>#N/A</v>
      </c>
      <c r="H733" s="289"/>
      <c r="I733" s="289"/>
      <c r="J733" s="290">
        <f>J736*$I736</f>
        <v>0.79506374632232757</v>
      </c>
      <c r="K733" s="290">
        <f t="shared" ref="K733:Q733" si="58">K736*$I736</f>
        <v>0</v>
      </c>
      <c r="L733" s="290">
        <f t="shared" si="58"/>
        <v>0</v>
      </c>
      <c r="M733" s="290">
        <f t="shared" si="58"/>
        <v>0</v>
      </c>
      <c r="N733" s="290">
        <f t="shared" si="58"/>
        <v>0</v>
      </c>
      <c r="O733" s="290">
        <f t="shared" si="58"/>
        <v>0</v>
      </c>
      <c r="P733" s="290">
        <f t="shared" si="58"/>
        <v>0</v>
      </c>
      <c r="Q733" s="290">
        <f t="shared" si="58"/>
        <v>0</v>
      </c>
      <c r="R733" s="291">
        <f>SUM(J733:Q733)</f>
        <v>0.79506374632232757</v>
      </c>
    </row>
    <row r="734" spans="1:18" s="244" customFormat="1" ht="20.25" customHeight="1" x14ac:dyDescent="0.25">
      <c r="A734" s="463" t="s">
        <v>167</v>
      </c>
      <c r="B734" s="374"/>
      <c r="C734" s="93"/>
      <c r="D734" s="93"/>
      <c r="E734" s="93"/>
      <c r="F734" s="94"/>
      <c r="G734" s="94">
        <f>0</f>
        <v>0</v>
      </c>
      <c r="H734" s="95"/>
      <c r="I734" s="93"/>
      <c r="J734" s="95"/>
      <c r="K734" s="95"/>
      <c r="L734" s="95"/>
      <c r="M734" s="95"/>
      <c r="N734" s="95"/>
      <c r="O734" s="95"/>
      <c r="P734" s="95"/>
      <c r="Q734" s="95"/>
      <c r="R734" s="245"/>
    </row>
    <row r="735" spans="1:18" s="244" customFormat="1" ht="20.25" customHeight="1" x14ac:dyDescent="0.25">
      <c r="A735" s="462" t="s">
        <v>0</v>
      </c>
      <c r="B735" s="374"/>
      <c r="C735" s="93"/>
      <c r="D735" s="93"/>
      <c r="E735" s="93"/>
      <c r="F735" s="94"/>
      <c r="G735" s="94" t="e">
        <f>SUM(G736:G737)</f>
        <v>#N/A</v>
      </c>
      <c r="H735" s="95"/>
      <c r="I735" s="93"/>
      <c r="J735" s="93"/>
      <c r="K735" s="93"/>
      <c r="L735" s="93"/>
      <c r="M735" s="93"/>
      <c r="N735" s="93"/>
      <c r="O735" s="93"/>
      <c r="P735" s="93"/>
      <c r="Q735" s="93"/>
      <c r="R735" s="247"/>
    </row>
    <row r="736" spans="1:18" s="244" customFormat="1" ht="20.25" customHeight="1" x14ac:dyDescent="0.2">
      <c r="A736" s="412" t="s">
        <v>260</v>
      </c>
      <c r="B736" s="365" t="s">
        <v>33</v>
      </c>
      <c r="C736" s="151">
        <v>3</v>
      </c>
      <c r="D736" s="97"/>
      <c r="E736" s="92">
        <f>C736*R736</f>
        <v>0.30000000000000004</v>
      </c>
      <c r="F736" s="98" t="e">
        <f>VLOOKUP(A736,ГрафикЖД!$B$4:$C$55,2,0)</f>
        <v>#N/A</v>
      </c>
      <c r="G736" s="99" t="e">
        <f>E736*F736</f>
        <v>#N/A</v>
      </c>
      <c r="H736" s="97"/>
      <c r="I736" s="100">
        <f>C733/E736*C736/10</f>
        <v>7.9506374632232752</v>
      </c>
      <c r="J736" s="77">
        <v>0.1</v>
      </c>
      <c r="K736" s="77"/>
      <c r="L736" s="77"/>
      <c r="M736" s="77"/>
      <c r="N736" s="77"/>
      <c r="O736" s="77"/>
      <c r="P736" s="77"/>
      <c r="Q736" s="77"/>
      <c r="R736" s="78">
        <f>SUM(J736:Q736)</f>
        <v>0.1</v>
      </c>
    </row>
    <row r="737" spans="1:18" s="244" customFormat="1" ht="20.25" customHeight="1" x14ac:dyDescent="0.2">
      <c r="A737" s="412" t="s">
        <v>32</v>
      </c>
      <c r="B737" s="375"/>
      <c r="C737" s="99"/>
      <c r="D737" s="97"/>
      <c r="E737" s="97"/>
      <c r="F737" s="99"/>
      <c r="G737" s="99" t="e">
        <f>G736*30.9%</f>
        <v>#N/A</v>
      </c>
      <c r="H737" s="97"/>
      <c r="I737" s="97"/>
      <c r="J737" s="101"/>
      <c r="K737" s="101"/>
      <c r="L737" s="101"/>
      <c r="M737" s="101"/>
      <c r="N737" s="101"/>
      <c r="O737" s="101"/>
      <c r="P737" s="101"/>
      <c r="Q737" s="101"/>
      <c r="R737" s="249"/>
    </row>
    <row r="738" spans="1:18" s="244" customFormat="1" ht="20.25" customHeight="1" x14ac:dyDescent="0.25">
      <c r="A738" s="462" t="s">
        <v>1</v>
      </c>
      <c r="B738" s="374"/>
      <c r="C738" s="93"/>
      <c r="D738" s="93"/>
      <c r="E738" s="93"/>
      <c r="F738" s="94"/>
      <c r="G738" s="94">
        <f>SUM(G739:G739)</f>
        <v>1925</v>
      </c>
      <c r="H738" s="95"/>
      <c r="I738" s="93"/>
      <c r="J738" s="103"/>
      <c r="K738" s="103"/>
      <c r="L738" s="103"/>
      <c r="M738" s="103"/>
      <c r="N738" s="103"/>
      <c r="O738" s="103"/>
      <c r="P738" s="103"/>
      <c r="Q738" s="103"/>
      <c r="R738" s="250"/>
    </row>
    <row r="739" spans="1:18" s="244" customFormat="1" ht="20.25" customHeight="1" x14ac:dyDescent="0.25">
      <c r="A739" s="412" t="s">
        <v>242</v>
      </c>
      <c r="B739" s="376" t="s">
        <v>35</v>
      </c>
      <c r="C739" s="121">
        <v>1</v>
      </c>
      <c r="D739" s="106"/>
      <c r="E739" s="92">
        <f>C739*R739</f>
        <v>0.1</v>
      </c>
      <c r="F739" s="98">
        <f>VLOOKUP(A739,ГрафикЖД!$B$4:$C$55,2,0)</f>
        <v>19250</v>
      </c>
      <c r="G739" s="99">
        <f>E739*F739</f>
        <v>1925</v>
      </c>
      <c r="H739" s="106"/>
      <c r="I739" s="100">
        <f>C731/E739*C739</f>
        <v>110</v>
      </c>
      <c r="J739" s="100">
        <v>0.1</v>
      </c>
      <c r="K739" s="100"/>
      <c r="L739" s="100"/>
      <c r="M739" s="152"/>
      <c r="N739" s="100"/>
      <c r="O739" s="100"/>
      <c r="P739" s="100"/>
      <c r="Q739" s="152"/>
      <c r="R739" s="248">
        <f>SUM(J739:Q739)</f>
        <v>0.1</v>
      </c>
    </row>
    <row r="740" spans="1:18" s="244" customFormat="1" ht="41.25" customHeight="1" x14ac:dyDescent="0.2">
      <c r="A740" s="470" t="s">
        <v>319</v>
      </c>
      <c r="B740" s="390" t="s">
        <v>34</v>
      </c>
      <c r="C740" s="284">
        <f>0.5*0.05*11</f>
        <v>0.27500000000000002</v>
      </c>
      <c r="D740" s="194"/>
      <c r="E740" s="194">
        <f>E744</f>
        <v>0.15000000000000002</v>
      </c>
      <c r="F740" s="194" t="e">
        <f>G740/C740</f>
        <v>#N/A</v>
      </c>
      <c r="G740" s="194" t="e">
        <f>G741+G743+G746</f>
        <v>#N/A</v>
      </c>
      <c r="H740" s="194"/>
      <c r="I740" s="194"/>
      <c r="J740" s="216">
        <f>J744*$I744</f>
        <v>0.27500000000000002</v>
      </c>
      <c r="K740" s="216">
        <f t="shared" ref="K740:Q740" si="59">K744*$I744</f>
        <v>0</v>
      </c>
      <c r="L740" s="216">
        <f t="shared" si="59"/>
        <v>0</v>
      </c>
      <c r="M740" s="216">
        <f t="shared" si="59"/>
        <v>0</v>
      </c>
      <c r="N740" s="216">
        <f t="shared" si="59"/>
        <v>0</v>
      </c>
      <c r="O740" s="216">
        <f t="shared" si="59"/>
        <v>0</v>
      </c>
      <c r="P740" s="216">
        <f t="shared" si="59"/>
        <v>0</v>
      </c>
      <c r="Q740" s="216">
        <f t="shared" si="59"/>
        <v>0</v>
      </c>
      <c r="R740" s="285">
        <f>SUM(J740:Q740)</f>
        <v>0.27500000000000002</v>
      </c>
    </row>
    <row r="741" spans="1:18" s="244" customFormat="1" ht="20.25" customHeight="1" x14ac:dyDescent="0.25">
      <c r="A741" s="463" t="s">
        <v>167</v>
      </c>
      <c r="B741" s="374"/>
      <c r="C741" s="93"/>
      <c r="D741" s="93"/>
      <c r="E741" s="93"/>
      <c r="F741" s="94"/>
      <c r="G741" s="94">
        <f>G742</f>
        <v>450</v>
      </c>
      <c r="H741" s="95"/>
      <c r="I741" s="93"/>
      <c r="J741" s="95"/>
      <c r="K741" s="95"/>
      <c r="L741" s="95"/>
      <c r="M741" s="95"/>
      <c r="N741" s="95"/>
      <c r="O741" s="95"/>
      <c r="P741" s="95"/>
      <c r="Q741" s="95"/>
      <c r="R741" s="245"/>
    </row>
    <row r="742" spans="1:18" ht="23.25" customHeight="1" x14ac:dyDescent="0.2">
      <c r="A742" s="412" t="s">
        <v>335</v>
      </c>
      <c r="B742" s="365" t="s">
        <v>34</v>
      </c>
      <c r="C742" s="121">
        <v>0.3</v>
      </c>
      <c r="D742" s="184"/>
      <c r="E742" s="184"/>
      <c r="F742" s="96">
        <v>1500</v>
      </c>
      <c r="G742" s="110">
        <f>C742*F742</f>
        <v>450</v>
      </c>
      <c r="H742" s="187"/>
      <c r="I742" s="188"/>
      <c r="J742" s="189"/>
      <c r="K742" s="189"/>
      <c r="L742" s="189"/>
      <c r="M742" s="189"/>
      <c r="N742" s="189"/>
      <c r="O742" s="189"/>
      <c r="P742" s="189"/>
      <c r="Q742" s="189"/>
      <c r="R742" s="257"/>
    </row>
    <row r="743" spans="1:18" s="244" customFormat="1" ht="20.25" customHeight="1" x14ac:dyDescent="0.25">
      <c r="A743" s="462" t="s">
        <v>0</v>
      </c>
      <c r="B743" s="374"/>
      <c r="C743" s="93"/>
      <c r="D743" s="93"/>
      <c r="E743" s="93"/>
      <c r="F743" s="94"/>
      <c r="G743" s="94" t="e">
        <f>SUM(G744:G745)</f>
        <v>#N/A</v>
      </c>
      <c r="H743" s="95"/>
      <c r="I743" s="93"/>
      <c r="J743" s="93"/>
      <c r="K743" s="93"/>
      <c r="L743" s="93"/>
      <c r="M743" s="93"/>
      <c r="N743" s="93"/>
      <c r="O743" s="93"/>
      <c r="P743" s="93"/>
      <c r="Q743" s="93"/>
      <c r="R743" s="247"/>
    </row>
    <row r="744" spans="1:18" s="244" customFormat="1" ht="20.25" customHeight="1" x14ac:dyDescent="0.2">
      <c r="A744" s="412" t="s">
        <v>260</v>
      </c>
      <c r="B744" s="365" t="s">
        <v>33</v>
      </c>
      <c r="C744" s="151">
        <v>3</v>
      </c>
      <c r="D744" s="97"/>
      <c r="E744" s="92">
        <f>C744*R744</f>
        <v>0.15000000000000002</v>
      </c>
      <c r="F744" s="98" t="e">
        <f>VLOOKUP(A744,ГрафикЖД!$B$4:$C$55,2,0)</f>
        <v>#N/A</v>
      </c>
      <c r="G744" s="99" t="e">
        <f>E744*F744</f>
        <v>#N/A</v>
      </c>
      <c r="H744" s="97"/>
      <c r="I744" s="100">
        <f>C740/E744*C744</f>
        <v>5.5</v>
      </c>
      <c r="J744" s="77">
        <v>0.05</v>
      </c>
      <c r="K744" s="77"/>
      <c r="L744" s="77"/>
      <c r="M744" s="77"/>
      <c r="N744" s="77"/>
      <c r="O744" s="77"/>
      <c r="P744" s="77"/>
      <c r="Q744" s="77"/>
      <c r="R744" s="78">
        <f>SUM(J744:Q744)</f>
        <v>0.05</v>
      </c>
    </row>
    <row r="745" spans="1:18" s="244" customFormat="1" ht="20.25" customHeight="1" x14ac:dyDescent="0.2">
      <c r="A745" s="412" t="s">
        <v>32</v>
      </c>
      <c r="B745" s="375"/>
      <c r="C745" s="99"/>
      <c r="D745" s="97"/>
      <c r="E745" s="97"/>
      <c r="F745" s="99"/>
      <c r="G745" s="99" t="e">
        <f>G744*30.9%</f>
        <v>#N/A</v>
      </c>
      <c r="H745" s="97"/>
      <c r="I745" s="97"/>
      <c r="J745" s="101"/>
      <c r="K745" s="101"/>
      <c r="L745" s="101"/>
      <c r="M745" s="101"/>
      <c r="N745" s="101"/>
      <c r="O745" s="101"/>
      <c r="P745" s="101"/>
      <c r="Q745" s="101"/>
      <c r="R745" s="249"/>
    </row>
    <row r="746" spans="1:18" s="244" customFormat="1" ht="20.25" customHeight="1" x14ac:dyDescent="0.25">
      <c r="A746" s="462" t="s">
        <v>1</v>
      </c>
      <c r="B746" s="374"/>
      <c r="C746" s="93"/>
      <c r="D746" s="93"/>
      <c r="E746" s="93"/>
      <c r="F746" s="94"/>
      <c r="G746" s="94">
        <f>SUM(G747)</f>
        <v>962.5</v>
      </c>
      <c r="H746" s="95"/>
      <c r="I746" s="93"/>
      <c r="J746" s="103"/>
      <c r="K746" s="103"/>
      <c r="L746" s="103"/>
      <c r="M746" s="103"/>
      <c r="N746" s="103"/>
      <c r="O746" s="103"/>
      <c r="P746" s="103"/>
      <c r="Q746" s="103"/>
      <c r="R746" s="250"/>
    </row>
    <row r="747" spans="1:18" s="244" customFormat="1" ht="20.25" customHeight="1" x14ac:dyDescent="0.25">
      <c r="A747" s="412" t="s">
        <v>242</v>
      </c>
      <c r="B747" s="376" t="s">
        <v>35</v>
      </c>
      <c r="C747" s="121">
        <v>1</v>
      </c>
      <c r="D747" s="106"/>
      <c r="E747" s="92">
        <f>C747*R747</f>
        <v>0.05</v>
      </c>
      <c r="F747" s="98">
        <f>VLOOKUP(A747,ГрафикЖД!$B$4:$C$55,2,0)</f>
        <v>19250</v>
      </c>
      <c r="G747" s="99">
        <f>E747*F747</f>
        <v>962.5</v>
      </c>
      <c r="H747" s="106"/>
      <c r="I747" s="100">
        <f>C740/E747*C747</f>
        <v>5.5</v>
      </c>
      <c r="J747" s="100">
        <v>0.05</v>
      </c>
      <c r="K747" s="100"/>
      <c r="L747" s="100"/>
      <c r="M747" s="152"/>
      <c r="N747" s="100"/>
      <c r="O747" s="100"/>
      <c r="P747" s="100"/>
      <c r="Q747" s="152"/>
      <c r="R747" s="248">
        <f>SUM(J747:Q747)</f>
        <v>0.05</v>
      </c>
    </row>
    <row r="748" spans="1:18" s="244" customFormat="1" ht="40.5" customHeight="1" x14ac:dyDescent="0.2">
      <c r="A748" s="470" t="s">
        <v>333</v>
      </c>
      <c r="B748" s="390" t="s">
        <v>57</v>
      </c>
      <c r="C748" s="284">
        <v>11</v>
      </c>
      <c r="D748" s="194"/>
      <c r="E748" s="194">
        <f>E753</f>
        <v>0.30000000000000004</v>
      </c>
      <c r="F748" s="194" t="e">
        <f>G748/C748</f>
        <v>#N/A</v>
      </c>
      <c r="G748" s="194" t="e">
        <f>G749+G752+G755</f>
        <v>#N/A</v>
      </c>
      <c r="H748" s="194"/>
      <c r="I748" s="194"/>
      <c r="J748" s="216">
        <f>J753*$I753</f>
        <v>11</v>
      </c>
      <c r="K748" s="216">
        <f t="shared" ref="K748:Q748" si="60">K753*$I753</f>
        <v>0</v>
      </c>
      <c r="L748" s="216">
        <f t="shared" si="60"/>
        <v>0</v>
      </c>
      <c r="M748" s="216">
        <f t="shared" si="60"/>
        <v>0</v>
      </c>
      <c r="N748" s="216">
        <f t="shared" si="60"/>
        <v>0</v>
      </c>
      <c r="O748" s="216">
        <f t="shared" si="60"/>
        <v>0</v>
      </c>
      <c r="P748" s="216">
        <f t="shared" si="60"/>
        <v>0</v>
      </c>
      <c r="Q748" s="216">
        <f t="shared" si="60"/>
        <v>0</v>
      </c>
      <c r="R748" s="285">
        <f>SUM(J748:Q748)</f>
        <v>11</v>
      </c>
    </row>
    <row r="749" spans="1:18" s="244" customFormat="1" ht="20.25" customHeight="1" x14ac:dyDescent="0.25">
      <c r="A749" s="463" t="s">
        <v>167</v>
      </c>
      <c r="B749" s="374"/>
      <c r="C749" s="93"/>
      <c r="D749" s="93"/>
      <c r="E749" s="93"/>
      <c r="F749" s="94"/>
      <c r="G749" s="94">
        <f>SUM(G750:G751)</f>
        <v>9350</v>
      </c>
      <c r="H749" s="95"/>
      <c r="I749" s="93"/>
      <c r="J749" s="95"/>
      <c r="K749" s="95"/>
      <c r="L749" s="95"/>
      <c r="M749" s="95"/>
      <c r="N749" s="95"/>
      <c r="O749" s="95"/>
      <c r="P749" s="95"/>
      <c r="Q749" s="95"/>
      <c r="R749" s="245"/>
    </row>
    <row r="750" spans="1:18" ht="23.25" customHeight="1" x14ac:dyDescent="0.2">
      <c r="A750" s="412" t="s">
        <v>321</v>
      </c>
      <c r="B750" s="365" t="s">
        <v>57</v>
      </c>
      <c r="C750" s="121">
        <v>11</v>
      </c>
      <c r="D750" s="184"/>
      <c r="E750" s="184"/>
      <c r="F750" s="96">
        <v>189</v>
      </c>
      <c r="G750" s="110">
        <f>C750*F750</f>
        <v>2079</v>
      </c>
      <c r="H750" s="187"/>
      <c r="I750" s="188"/>
      <c r="J750" s="189"/>
      <c r="K750" s="189"/>
      <c r="L750" s="189"/>
      <c r="M750" s="189"/>
      <c r="N750" s="189"/>
      <c r="O750" s="189"/>
      <c r="P750" s="189"/>
      <c r="Q750" s="189"/>
      <c r="R750" s="257"/>
    </row>
    <row r="751" spans="1:18" ht="23.25" customHeight="1" x14ac:dyDescent="0.2">
      <c r="A751" s="412" t="s">
        <v>334</v>
      </c>
      <c r="B751" s="365" t="s">
        <v>57</v>
      </c>
      <c r="C751" s="121">
        <v>11</v>
      </c>
      <c r="D751" s="184"/>
      <c r="E751" s="184"/>
      <c r="F751" s="96">
        <v>661</v>
      </c>
      <c r="G751" s="110">
        <f>C751*F751</f>
        <v>7271</v>
      </c>
      <c r="H751" s="187"/>
      <c r="I751" s="188"/>
      <c r="J751" s="189"/>
      <c r="K751" s="189"/>
      <c r="L751" s="189"/>
      <c r="M751" s="189"/>
      <c r="N751" s="189"/>
      <c r="O751" s="189"/>
      <c r="P751" s="189"/>
      <c r="Q751" s="189"/>
      <c r="R751" s="257"/>
    </row>
    <row r="752" spans="1:18" s="244" customFormat="1" ht="20.25" customHeight="1" x14ac:dyDescent="0.25">
      <c r="A752" s="462" t="s">
        <v>0</v>
      </c>
      <c r="B752" s="374"/>
      <c r="C752" s="93"/>
      <c r="D752" s="93"/>
      <c r="E752" s="93"/>
      <c r="F752" s="94"/>
      <c r="G752" s="94" t="e">
        <f>SUM(G753:G754)</f>
        <v>#N/A</v>
      </c>
      <c r="H752" s="95"/>
      <c r="I752" s="93"/>
      <c r="J752" s="93"/>
      <c r="K752" s="93"/>
      <c r="L752" s="93"/>
      <c r="M752" s="93"/>
      <c r="N752" s="93"/>
      <c r="O752" s="93"/>
      <c r="P752" s="93"/>
      <c r="Q752" s="93"/>
      <c r="R752" s="247"/>
    </row>
    <row r="753" spans="1:18" s="244" customFormat="1" ht="20.25" customHeight="1" x14ac:dyDescent="0.2">
      <c r="A753" s="412" t="s">
        <v>260</v>
      </c>
      <c r="B753" s="365" t="s">
        <v>33</v>
      </c>
      <c r="C753" s="151">
        <v>3</v>
      </c>
      <c r="D753" s="97"/>
      <c r="E753" s="92">
        <f>C753*R753</f>
        <v>0.30000000000000004</v>
      </c>
      <c r="F753" s="98" t="e">
        <f>VLOOKUP(A753,ГрафикЖД!$B$4:$C$55,2,0)</f>
        <v>#N/A</v>
      </c>
      <c r="G753" s="99" t="e">
        <f>E753*F753</f>
        <v>#N/A</v>
      </c>
      <c r="H753" s="97"/>
      <c r="I753" s="100">
        <f>C748/E753*C753</f>
        <v>110</v>
      </c>
      <c r="J753" s="77">
        <v>0.1</v>
      </c>
      <c r="K753" s="77"/>
      <c r="L753" s="77"/>
      <c r="M753" s="77"/>
      <c r="N753" s="77"/>
      <c r="O753" s="77"/>
      <c r="P753" s="77"/>
      <c r="Q753" s="77"/>
      <c r="R753" s="78">
        <f>SUM(J753:Q753)</f>
        <v>0.1</v>
      </c>
    </row>
    <row r="754" spans="1:18" s="244" customFormat="1" ht="20.25" customHeight="1" x14ac:dyDescent="0.2">
      <c r="A754" s="412" t="s">
        <v>32</v>
      </c>
      <c r="B754" s="375"/>
      <c r="C754" s="99"/>
      <c r="D754" s="97"/>
      <c r="E754" s="97"/>
      <c r="F754" s="99"/>
      <c r="G754" s="99" t="e">
        <f>G753*30.9%</f>
        <v>#N/A</v>
      </c>
      <c r="H754" s="97"/>
      <c r="I754" s="97"/>
      <c r="J754" s="101"/>
      <c r="K754" s="101"/>
      <c r="L754" s="101"/>
      <c r="M754" s="101"/>
      <c r="N754" s="101"/>
      <c r="O754" s="101"/>
      <c r="P754" s="101"/>
      <c r="Q754" s="101"/>
      <c r="R754" s="249"/>
    </row>
    <row r="755" spans="1:18" s="244" customFormat="1" ht="20.25" customHeight="1" x14ac:dyDescent="0.25">
      <c r="A755" s="462" t="s">
        <v>1</v>
      </c>
      <c r="B755" s="374"/>
      <c r="C755" s="93"/>
      <c r="D755" s="93"/>
      <c r="E755" s="93"/>
      <c r="F755" s="94"/>
      <c r="G755" s="94">
        <f>SUM(G756)</f>
        <v>1925</v>
      </c>
      <c r="H755" s="95"/>
      <c r="I755" s="93"/>
      <c r="J755" s="103"/>
      <c r="K755" s="103"/>
      <c r="L755" s="103"/>
      <c r="M755" s="103"/>
      <c r="N755" s="103"/>
      <c r="O755" s="103"/>
      <c r="P755" s="103"/>
      <c r="Q755" s="103"/>
      <c r="R755" s="250"/>
    </row>
    <row r="756" spans="1:18" s="244" customFormat="1" ht="20.25" customHeight="1" x14ac:dyDescent="0.25">
      <c r="A756" s="412" t="s">
        <v>242</v>
      </c>
      <c r="B756" s="376" t="s">
        <v>35</v>
      </c>
      <c r="C756" s="121">
        <v>1</v>
      </c>
      <c r="D756" s="106"/>
      <c r="E756" s="92">
        <f>C756*R756</f>
        <v>0.1</v>
      </c>
      <c r="F756" s="98">
        <f>VLOOKUP(A756,ГрафикЖД!$B$4:$C$55,2,0)</f>
        <v>19250</v>
      </c>
      <c r="G756" s="99">
        <f>E756*F756</f>
        <v>1925</v>
      </c>
      <c r="H756" s="106"/>
      <c r="I756" s="100">
        <f>C748/E756*C756</f>
        <v>110</v>
      </c>
      <c r="J756" s="100">
        <v>0.1</v>
      </c>
      <c r="K756" s="100"/>
      <c r="L756" s="100"/>
      <c r="M756" s="152"/>
      <c r="N756" s="100"/>
      <c r="O756" s="100"/>
      <c r="P756" s="100"/>
      <c r="Q756" s="152"/>
      <c r="R756" s="248">
        <f>SUM(J756:Q756)</f>
        <v>0.1</v>
      </c>
    </row>
    <row r="757" spans="1:18" s="273" customFormat="1" ht="34.5" customHeight="1" x14ac:dyDescent="0.25">
      <c r="A757" s="474" t="s">
        <v>331</v>
      </c>
      <c r="B757" s="392" t="s">
        <v>35</v>
      </c>
      <c r="C757" s="344">
        <v>79</v>
      </c>
      <c r="D757" s="345"/>
      <c r="E757" s="346">
        <f>E761+E769+E790+E798+E806+E814</f>
        <v>209.7525</v>
      </c>
      <c r="F757" s="343" t="e">
        <f>G757/C757</f>
        <v>#N/A</v>
      </c>
      <c r="G757" s="343" t="e">
        <f>G761+G769+G790+G798+G806+G814</f>
        <v>#N/A</v>
      </c>
      <c r="H757" s="345"/>
      <c r="I757" s="347"/>
      <c r="J757" s="348">
        <f>$C$700/$R$702*J759</f>
        <v>3714.9383207551527</v>
      </c>
      <c r="K757" s="348">
        <f t="shared" ref="K757:Q757" si="61">$C$700/$R$702*K759</f>
        <v>0</v>
      </c>
      <c r="L757" s="348">
        <f t="shared" si="61"/>
        <v>0</v>
      </c>
      <c r="M757" s="348">
        <f t="shared" si="61"/>
        <v>0</v>
      </c>
      <c r="N757" s="348">
        <f t="shared" si="61"/>
        <v>0</v>
      </c>
      <c r="O757" s="348">
        <f t="shared" si="61"/>
        <v>0</v>
      </c>
      <c r="P757" s="348">
        <f t="shared" si="61"/>
        <v>0</v>
      </c>
      <c r="Q757" s="348">
        <f t="shared" si="61"/>
        <v>0</v>
      </c>
      <c r="R757" s="349">
        <f>SUM(J757:Q757)</f>
        <v>3714.9383207551527</v>
      </c>
    </row>
    <row r="758" spans="1:18" s="244" customFormat="1" ht="20.25" customHeight="1" x14ac:dyDescent="0.2">
      <c r="A758" s="228" t="s">
        <v>46</v>
      </c>
      <c r="B758" s="371" t="str">
        <f>B757</f>
        <v>шт</v>
      </c>
      <c r="C758" s="230">
        <f>C757</f>
        <v>79</v>
      </c>
      <c r="D758" s="142"/>
      <c r="E758" s="298"/>
      <c r="F758" s="229">
        <f>G758/C758</f>
        <v>56105.506329113923</v>
      </c>
      <c r="G758" s="142">
        <f>SUMIF($A$761:$A$821,A762,$G$761:$G$821)</f>
        <v>4432335</v>
      </c>
      <c r="H758" s="142"/>
      <c r="I758" s="299"/>
      <c r="J758" s="227"/>
      <c r="K758" s="227"/>
      <c r="L758" s="227"/>
      <c r="M758" s="227"/>
      <c r="N758" s="227"/>
      <c r="O758" s="227"/>
      <c r="P758" s="227"/>
      <c r="Q758" s="227"/>
      <c r="R758" s="228"/>
    </row>
    <row r="759" spans="1:18" s="244" customFormat="1" ht="20.25" customHeight="1" x14ac:dyDescent="0.2">
      <c r="A759" s="228" t="s">
        <v>47</v>
      </c>
      <c r="B759" s="371" t="str">
        <f>B758</f>
        <v>шт</v>
      </c>
      <c r="C759" s="230">
        <f>C757</f>
        <v>79</v>
      </c>
      <c r="D759" s="142"/>
      <c r="E759" s="298"/>
      <c r="F759" s="229" t="e">
        <f>G759/C759</f>
        <v>#N/A</v>
      </c>
      <c r="G759" s="142" t="e">
        <f>SUMIF($A$761:$A$821,A763,$G$761:$G$821)</f>
        <v>#N/A</v>
      </c>
      <c r="H759" s="142"/>
      <c r="I759" s="299"/>
      <c r="J759" s="300">
        <f t="array" ref="J759">SUMPRODUCT(IF($A$761:$A$797=$A764,J$761:J$797,0),$C$761:$C$797)</f>
        <v>133.35</v>
      </c>
      <c r="K759" s="300">
        <f t="array" ref="K759">SUMPRODUCT(IF($A$761:$A$797=$A764,K$761:K$797,0),$C$761:$C$797)</f>
        <v>0</v>
      </c>
      <c r="L759" s="300">
        <f t="array" ref="L759">SUMPRODUCT(IF($A$761:$A$797=$A764,L$761:L$797,0),$C$761:$C$797)</f>
        <v>0</v>
      </c>
      <c r="M759" s="300">
        <f t="array" ref="M759">SUMPRODUCT(IF($A$761:$A$797=$A764,M$761:M$797,0),$C$761:$C$797)</f>
        <v>0</v>
      </c>
      <c r="N759" s="300">
        <f t="array" ref="N759">SUMPRODUCT(IF($A$761:$A$797=$A764,N$761:N$797,0),$C$761:$C$797)</f>
        <v>0</v>
      </c>
      <c r="O759" s="300">
        <f t="array" ref="O759">SUMPRODUCT(IF($A$761:$A$797=$A764,O$761:O$797,0),$C$761:$C$797)</f>
        <v>0</v>
      </c>
      <c r="P759" s="300">
        <f t="array" ref="P759">SUMPRODUCT(IF($A$761:$A$797=$A764,P$761:P$797,0),$C$761:$C$797)</f>
        <v>0</v>
      </c>
      <c r="Q759" s="300">
        <f t="array" ref="Q759">SUMPRODUCT(IF($A$761:$A$797=$A764,Q$761:Q$797,0),$C$761:$C$797)</f>
        <v>0</v>
      </c>
      <c r="R759" s="282">
        <f>SUM(J759:Q759)</f>
        <v>133.35</v>
      </c>
    </row>
    <row r="760" spans="1:18" s="244" customFormat="1" ht="20.25" customHeight="1" x14ac:dyDescent="0.2">
      <c r="A760" s="228" t="s">
        <v>48</v>
      </c>
      <c r="B760" s="371" t="str">
        <f>B759</f>
        <v>шт</v>
      </c>
      <c r="C760" s="230">
        <f>C757</f>
        <v>79</v>
      </c>
      <c r="D760" s="142"/>
      <c r="E760" s="298"/>
      <c r="F760" s="229">
        <f>G760/C760</f>
        <v>19919.13765822785</v>
      </c>
      <c r="G760" s="142">
        <f>SUMIF($A$761:$A$821,A766,$G$761:$G$821)</f>
        <v>1573611.875</v>
      </c>
      <c r="H760" s="142"/>
      <c r="I760" s="299"/>
      <c r="J760" s="227"/>
      <c r="K760" s="227"/>
      <c r="L760" s="227"/>
      <c r="M760" s="227"/>
      <c r="N760" s="227"/>
      <c r="O760" s="227"/>
      <c r="P760" s="227"/>
      <c r="Q760" s="227"/>
      <c r="R760" s="228"/>
    </row>
    <row r="761" spans="1:18" s="244" customFormat="1" ht="40.5" customHeight="1" x14ac:dyDescent="0.2">
      <c r="A761" s="470" t="s">
        <v>318</v>
      </c>
      <c r="B761" s="390" t="s">
        <v>34</v>
      </c>
      <c r="C761" s="284">
        <v>765</v>
      </c>
      <c r="D761" s="289"/>
      <c r="E761" s="289">
        <f>E764</f>
        <v>18</v>
      </c>
      <c r="F761" s="289" t="e">
        <f>G761/C761</f>
        <v>#N/A</v>
      </c>
      <c r="G761" s="289" t="e">
        <f>G762+G763+G766</f>
        <v>#N/A</v>
      </c>
      <c r="H761" s="289"/>
      <c r="I761" s="289"/>
      <c r="J761" s="290">
        <f>J764*$I764</f>
        <v>76.5</v>
      </c>
      <c r="K761" s="290">
        <f t="shared" ref="K761:Q761" si="62">K764*$I764</f>
        <v>0</v>
      </c>
      <c r="L761" s="290">
        <f t="shared" si="62"/>
        <v>0</v>
      </c>
      <c r="M761" s="290">
        <f t="shared" si="62"/>
        <v>0</v>
      </c>
      <c r="N761" s="290">
        <f t="shared" si="62"/>
        <v>0</v>
      </c>
      <c r="O761" s="290">
        <f t="shared" si="62"/>
        <v>0</v>
      </c>
      <c r="P761" s="290">
        <f t="shared" si="62"/>
        <v>0</v>
      </c>
      <c r="Q761" s="290">
        <f t="shared" si="62"/>
        <v>0</v>
      </c>
      <c r="R761" s="291">
        <f>SUM(J761:Q761)</f>
        <v>76.5</v>
      </c>
    </row>
    <row r="762" spans="1:18" s="244" customFormat="1" ht="20.25" customHeight="1" x14ac:dyDescent="0.25">
      <c r="A762" s="463" t="s">
        <v>167</v>
      </c>
      <c r="B762" s="374"/>
      <c r="C762" s="93"/>
      <c r="D762" s="93"/>
      <c r="E762" s="93"/>
      <c r="F762" s="94"/>
      <c r="G762" s="94">
        <f>0</f>
        <v>0</v>
      </c>
      <c r="H762" s="95"/>
      <c r="I762" s="93"/>
      <c r="J762" s="95"/>
      <c r="K762" s="95"/>
      <c r="L762" s="95"/>
      <c r="M762" s="95"/>
      <c r="N762" s="95"/>
      <c r="O762" s="95"/>
      <c r="P762" s="95"/>
      <c r="Q762" s="95"/>
      <c r="R762" s="245"/>
    </row>
    <row r="763" spans="1:18" s="244" customFormat="1" ht="20.25" customHeight="1" x14ac:dyDescent="0.25">
      <c r="A763" s="462" t="s">
        <v>0</v>
      </c>
      <c r="B763" s="374"/>
      <c r="C763" s="93"/>
      <c r="D763" s="93"/>
      <c r="E763" s="93"/>
      <c r="F763" s="94"/>
      <c r="G763" s="94" t="e">
        <f>SUM(G764:G765)</f>
        <v>#N/A</v>
      </c>
      <c r="H763" s="95"/>
      <c r="I763" s="93"/>
      <c r="J763" s="93"/>
      <c r="K763" s="93"/>
      <c r="L763" s="93"/>
      <c r="M763" s="93"/>
      <c r="N763" s="93"/>
      <c r="O763" s="93"/>
      <c r="P763" s="93"/>
      <c r="Q763" s="93"/>
      <c r="R763" s="247"/>
    </row>
    <row r="764" spans="1:18" s="244" customFormat="1" ht="20.25" customHeight="1" x14ac:dyDescent="0.2">
      <c r="A764" s="412" t="s">
        <v>260</v>
      </c>
      <c r="B764" s="365" t="s">
        <v>33</v>
      </c>
      <c r="C764" s="151">
        <v>6</v>
      </c>
      <c r="D764" s="97"/>
      <c r="E764" s="92">
        <f>C764*R764</f>
        <v>18</v>
      </c>
      <c r="F764" s="98" t="e">
        <f>VLOOKUP(A764,ГрафикЖД!$B$4:$C$55,2,0)</f>
        <v>#N/A</v>
      </c>
      <c r="G764" s="99" t="e">
        <f>E764*F764</f>
        <v>#N/A</v>
      </c>
      <c r="H764" s="97"/>
      <c r="I764" s="100">
        <f>C761/E764*C764/10</f>
        <v>25.5</v>
      </c>
      <c r="J764" s="191">
        <v>3</v>
      </c>
      <c r="K764" s="77"/>
      <c r="L764" s="77"/>
      <c r="M764" s="77"/>
      <c r="N764" s="77"/>
      <c r="O764" s="77"/>
      <c r="P764" s="77"/>
      <c r="Q764" s="77"/>
      <c r="R764" s="78">
        <f>SUM(J764:Q764)</f>
        <v>3</v>
      </c>
    </row>
    <row r="765" spans="1:18" s="244" customFormat="1" ht="20.25" customHeight="1" x14ac:dyDescent="0.2">
      <c r="A765" s="412" t="s">
        <v>32</v>
      </c>
      <c r="B765" s="375"/>
      <c r="C765" s="99"/>
      <c r="D765" s="97"/>
      <c r="E765" s="97"/>
      <c r="F765" s="99"/>
      <c r="G765" s="99" t="e">
        <f>G764*30.9%</f>
        <v>#N/A</v>
      </c>
      <c r="H765" s="97"/>
      <c r="I765" s="97"/>
      <c r="J765" s="191"/>
      <c r="K765" s="101"/>
      <c r="L765" s="101"/>
      <c r="M765" s="101"/>
      <c r="N765" s="101"/>
      <c r="O765" s="101"/>
      <c r="P765" s="101"/>
      <c r="Q765" s="101"/>
      <c r="R765" s="249"/>
    </row>
    <row r="766" spans="1:18" s="244" customFormat="1" ht="20.25" customHeight="1" x14ac:dyDescent="0.25">
      <c r="A766" s="462" t="s">
        <v>1</v>
      </c>
      <c r="B766" s="374"/>
      <c r="C766" s="93"/>
      <c r="D766" s="93"/>
      <c r="E766" s="93"/>
      <c r="F766" s="94"/>
      <c r="G766" s="94">
        <f>SUM(G767:G768)</f>
        <v>313500</v>
      </c>
      <c r="H766" s="95"/>
      <c r="I766" s="93"/>
      <c r="J766" s="192"/>
      <c r="K766" s="103"/>
      <c r="L766" s="103"/>
      <c r="M766" s="103"/>
      <c r="N766" s="103"/>
      <c r="O766" s="103"/>
      <c r="P766" s="103"/>
      <c r="Q766" s="103"/>
      <c r="R766" s="250"/>
    </row>
    <row r="767" spans="1:18" s="244" customFormat="1" ht="20.25" customHeight="1" x14ac:dyDescent="0.25">
      <c r="A767" s="412" t="s">
        <v>242</v>
      </c>
      <c r="B767" s="376" t="s">
        <v>35</v>
      </c>
      <c r="C767" s="121">
        <v>2</v>
      </c>
      <c r="D767" s="106"/>
      <c r="E767" s="92">
        <f>C767*R767</f>
        <v>6</v>
      </c>
      <c r="F767" s="98">
        <f>VLOOKUP(A767,ГрафикЖД!$B$4:$C$55,2,0)</f>
        <v>19250</v>
      </c>
      <c r="G767" s="99">
        <f>E767*F767</f>
        <v>115500</v>
      </c>
      <c r="H767" s="106"/>
      <c r="I767" s="100">
        <f>C761/E767*C767</f>
        <v>255</v>
      </c>
      <c r="J767" s="191">
        <v>3</v>
      </c>
      <c r="K767" s="100"/>
      <c r="L767" s="100"/>
      <c r="M767" s="152"/>
      <c r="N767" s="100"/>
      <c r="O767" s="100"/>
      <c r="P767" s="100"/>
      <c r="Q767" s="152"/>
      <c r="R767" s="248">
        <f>SUM(J767:Q767)</f>
        <v>3</v>
      </c>
    </row>
    <row r="768" spans="1:18" s="244" customFormat="1" ht="20.25" customHeight="1" x14ac:dyDescent="0.25">
      <c r="A768" s="415" t="s">
        <v>241</v>
      </c>
      <c r="B768" s="376" t="s">
        <v>35</v>
      </c>
      <c r="C768" s="121">
        <v>4</v>
      </c>
      <c r="D768" s="106"/>
      <c r="E768" s="92">
        <f>C768*R768</f>
        <v>12</v>
      </c>
      <c r="F768" s="98">
        <f>VLOOKUP(A768,ГрафикЖД!$B$4:$C$55,2,0)</f>
        <v>16500</v>
      </c>
      <c r="G768" s="99">
        <f>E768*F768</f>
        <v>198000</v>
      </c>
      <c r="H768" s="106"/>
      <c r="I768" s="100">
        <f>C761/E768*C768</f>
        <v>255</v>
      </c>
      <c r="J768" s="191">
        <v>3</v>
      </c>
      <c r="K768" s="100"/>
      <c r="L768" s="100"/>
      <c r="M768" s="152"/>
      <c r="N768" s="100"/>
      <c r="O768" s="100"/>
      <c r="P768" s="100"/>
      <c r="Q768" s="152"/>
      <c r="R768" s="248">
        <f>SUM(J768:Q768)</f>
        <v>3</v>
      </c>
    </row>
    <row r="769" spans="1:18" s="244" customFormat="1" ht="39" customHeight="1" x14ac:dyDescent="0.2">
      <c r="A769" s="470" t="s">
        <v>211</v>
      </c>
      <c r="B769" s="390" t="s">
        <v>35</v>
      </c>
      <c r="C769" s="284">
        <v>79</v>
      </c>
      <c r="D769" s="194"/>
      <c r="E769" s="194">
        <f>E785</f>
        <v>108</v>
      </c>
      <c r="F769" s="194" t="e">
        <f>G769/C769</f>
        <v>#N/A</v>
      </c>
      <c r="G769" s="194" t="e">
        <f>G770+G784+G787</f>
        <v>#N/A</v>
      </c>
      <c r="H769" s="194"/>
      <c r="I769" s="194"/>
      <c r="J769" s="216">
        <f>J785*$I785</f>
        <v>79</v>
      </c>
      <c r="K769" s="216">
        <f t="shared" ref="K769:Q769" si="63">K785*$I785</f>
        <v>0</v>
      </c>
      <c r="L769" s="216">
        <f t="shared" si="63"/>
        <v>0</v>
      </c>
      <c r="M769" s="216">
        <f t="shared" si="63"/>
        <v>0</v>
      </c>
      <c r="N769" s="216">
        <f t="shared" si="63"/>
        <v>0</v>
      </c>
      <c r="O769" s="216">
        <f t="shared" si="63"/>
        <v>0</v>
      </c>
      <c r="P769" s="216">
        <f t="shared" si="63"/>
        <v>0</v>
      </c>
      <c r="Q769" s="216">
        <f t="shared" si="63"/>
        <v>0</v>
      </c>
      <c r="R769" s="285">
        <f>SUM(J769:Q769)</f>
        <v>79</v>
      </c>
    </row>
    <row r="770" spans="1:18" s="287" customFormat="1" ht="20.25" customHeight="1" x14ac:dyDescent="0.2">
      <c r="A770" s="473" t="s">
        <v>167</v>
      </c>
      <c r="B770" s="373"/>
      <c r="C770" s="306"/>
      <c r="D770" s="306"/>
      <c r="E770" s="306"/>
      <c r="F770" s="307"/>
      <c r="G770" s="307">
        <f>SUM(G771:G783)</f>
        <v>1748289</v>
      </c>
      <c r="H770" s="308"/>
      <c r="I770" s="306"/>
      <c r="J770" s="308"/>
      <c r="K770" s="308"/>
      <c r="L770" s="308"/>
      <c r="M770" s="308"/>
      <c r="N770" s="308"/>
      <c r="O770" s="308"/>
      <c r="P770" s="308"/>
      <c r="Q770" s="308"/>
      <c r="R770" s="432"/>
    </row>
    <row r="771" spans="1:18" s="244" customFormat="1" ht="20.25" customHeight="1" outlineLevel="1" x14ac:dyDescent="0.25">
      <c r="A771" s="415" t="s">
        <v>323</v>
      </c>
      <c r="B771" s="365" t="s">
        <v>35</v>
      </c>
      <c r="C771" s="110">
        <v>79</v>
      </c>
      <c r="D771" s="108"/>
      <c r="E771" s="108"/>
      <c r="F771" s="110">
        <v>2500</v>
      </c>
      <c r="G771" s="110">
        <f t="shared" ref="G771:G782" si="64">C771*F771</f>
        <v>197500</v>
      </c>
      <c r="H771" s="106"/>
      <c r="I771" s="108"/>
      <c r="J771" s="106"/>
      <c r="K771" s="106"/>
      <c r="L771" s="106"/>
      <c r="M771" s="106"/>
      <c r="N771" s="106"/>
      <c r="O771" s="106"/>
      <c r="P771" s="106"/>
      <c r="Q771" s="106"/>
      <c r="R771" s="246"/>
    </row>
    <row r="772" spans="1:18" s="244" customFormat="1" ht="20.25" customHeight="1" outlineLevel="1" x14ac:dyDescent="0.25">
      <c r="A772" s="415" t="s">
        <v>326</v>
      </c>
      <c r="B772" s="365" t="s">
        <v>35</v>
      </c>
      <c r="C772" s="321">
        <v>72</v>
      </c>
      <c r="D772" s="108"/>
      <c r="E772" s="108"/>
      <c r="F772" s="110">
        <v>2100</v>
      </c>
      <c r="G772" s="110">
        <f t="shared" si="64"/>
        <v>151200</v>
      </c>
      <c r="H772" s="106"/>
      <c r="I772" s="108"/>
      <c r="J772" s="106"/>
      <c r="K772" s="106"/>
      <c r="L772" s="106"/>
      <c r="M772" s="106"/>
      <c r="N772" s="106"/>
      <c r="O772" s="106"/>
      <c r="P772" s="106"/>
      <c r="Q772" s="106"/>
      <c r="R772" s="246"/>
    </row>
    <row r="773" spans="1:18" s="244" customFormat="1" ht="20.25" customHeight="1" outlineLevel="1" x14ac:dyDescent="0.25">
      <c r="A773" s="415" t="s">
        <v>327</v>
      </c>
      <c r="B773" s="365" t="s">
        <v>35</v>
      </c>
      <c r="C773" s="321">
        <v>95</v>
      </c>
      <c r="D773" s="108"/>
      <c r="E773" s="108"/>
      <c r="F773" s="110">
        <v>2600</v>
      </c>
      <c r="G773" s="110">
        <f t="shared" si="64"/>
        <v>247000</v>
      </c>
      <c r="H773" s="106"/>
      <c r="I773" s="108"/>
      <c r="J773" s="106"/>
      <c r="K773" s="106"/>
      <c r="L773" s="106"/>
      <c r="M773" s="106"/>
      <c r="N773" s="106"/>
      <c r="O773" s="106"/>
      <c r="P773" s="106"/>
      <c r="Q773" s="106"/>
      <c r="R773" s="246"/>
    </row>
    <row r="774" spans="1:18" s="244" customFormat="1" ht="20.25" customHeight="1" outlineLevel="1" x14ac:dyDescent="0.25">
      <c r="A774" s="415" t="s">
        <v>325</v>
      </c>
      <c r="B774" s="365" t="s">
        <v>35</v>
      </c>
      <c r="C774" s="110">
        <v>79</v>
      </c>
      <c r="D774" s="108"/>
      <c r="E774" s="108"/>
      <c r="F774" s="110">
        <v>2100</v>
      </c>
      <c r="G774" s="110">
        <f t="shared" si="64"/>
        <v>165900</v>
      </c>
      <c r="H774" s="106"/>
      <c r="I774" s="108"/>
      <c r="J774" s="106"/>
      <c r="K774" s="106"/>
      <c r="L774" s="106"/>
      <c r="M774" s="106"/>
      <c r="N774" s="106"/>
      <c r="O774" s="106"/>
      <c r="P774" s="106"/>
      <c r="Q774" s="106"/>
      <c r="R774" s="246"/>
    </row>
    <row r="775" spans="1:18" s="244" customFormat="1" ht="20.25" customHeight="1" outlineLevel="1" x14ac:dyDescent="0.25">
      <c r="A775" s="415" t="s">
        <v>324</v>
      </c>
      <c r="B775" s="365" t="s">
        <v>35</v>
      </c>
      <c r="C775" s="321">
        <v>123</v>
      </c>
      <c r="D775" s="108"/>
      <c r="E775" s="108"/>
      <c r="F775" s="110">
        <v>2000</v>
      </c>
      <c r="G775" s="110">
        <f t="shared" si="64"/>
        <v>246000</v>
      </c>
      <c r="H775" s="106"/>
      <c r="I775" s="108"/>
      <c r="J775" s="106"/>
      <c r="K775" s="106"/>
      <c r="L775" s="106"/>
      <c r="M775" s="106"/>
      <c r="N775" s="106"/>
      <c r="O775" s="106"/>
      <c r="P775" s="106"/>
      <c r="Q775" s="106"/>
      <c r="R775" s="246"/>
    </row>
    <row r="776" spans="1:18" s="244" customFormat="1" ht="20.25" customHeight="1" outlineLevel="1" x14ac:dyDescent="0.25">
      <c r="A776" s="415" t="s">
        <v>328</v>
      </c>
      <c r="B776" s="365" t="s">
        <v>35</v>
      </c>
      <c r="C776" s="110">
        <v>79</v>
      </c>
      <c r="D776" s="108"/>
      <c r="E776" s="108"/>
      <c r="F776" s="110">
        <v>4221</v>
      </c>
      <c r="G776" s="110">
        <f t="shared" si="64"/>
        <v>333459</v>
      </c>
      <c r="H776" s="106"/>
      <c r="I776" s="108"/>
      <c r="J776" s="106"/>
      <c r="K776" s="106"/>
      <c r="L776" s="106"/>
      <c r="M776" s="106"/>
      <c r="N776" s="106"/>
      <c r="O776" s="106"/>
      <c r="P776" s="106"/>
      <c r="Q776" s="106"/>
      <c r="R776" s="246"/>
    </row>
    <row r="777" spans="1:18" s="244" customFormat="1" ht="20.25" customHeight="1" outlineLevel="1" x14ac:dyDescent="0.25">
      <c r="A777" s="415" t="s">
        <v>329</v>
      </c>
      <c r="B777" s="365" t="s">
        <v>35</v>
      </c>
      <c r="C777" s="110">
        <v>79</v>
      </c>
      <c r="D777" s="108"/>
      <c r="E777" s="108"/>
      <c r="F777" s="110">
        <v>1593</v>
      </c>
      <c r="G777" s="110">
        <f t="shared" si="64"/>
        <v>125847</v>
      </c>
      <c r="H777" s="106"/>
      <c r="I777" s="108"/>
      <c r="J777" s="106"/>
      <c r="K777" s="106"/>
      <c r="L777" s="106"/>
      <c r="M777" s="106"/>
      <c r="N777" s="106"/>
      <c r="O777" s="106"/>
      <c r="P777" s="106"/>
      <c r="Q777" s="106"/>
      <c r="R777" s="246"/>
    </row>
    <row r="778" spans="1:18" s="244" customFormat="1" ht="20.25" customHeight="1" outlineLevel="1" x14ac:dyDescent="0.25">
      <c r="A778" s="415" t="s">
        <v>351</v>
      </c>
      <c r="B778" s="365" t="s">
        <v>35</v>
      </c>
      <c r="C778" s="110">
        <v>79</v>
      </c>
      <c r="D778" s="108"/>
      <c r="E778" s="108"/>
      <c r="F778" s="110">
        <v>1092</v>
      </c>
      <c r="G778" s="110">
        <f t="shared" si="64"/>
        <v>86268</v>
      </c>
      <c r="H778" s="106"/>
      <c r="I778" s="108"/>
      <c r="J778" s="106"/>
      <c r="K778" s="106"/>
      <c r="L778" s="106"/>
      <c r="M778" s="106"/>
      <c r="N778" s="106"/>
      <c r="O778" s="106"/>
      <c r="P778" s="106"/>
      <c r="Q778" s="106"/>
      <c r="R778" s="246"/>
    </row>
    <row r="779" spans="1:18" s="244" customFormat="1" ht="20.25" customHeight="1" outlineLevel="1" x14ac:dyDescent="0.25">
      <c r="A779" s="415" t="s">
        <v>352</v>
      </c>
      <c r="B779" s="365" t="s">
        <v>35</v>
      </c>
      <c r="C779" s="110">
        <v>334</v>
      </c>
      <c r="D779" s="108"/>
      <c r="E779" s="108"/>
      <c r="F779" s="110">
        <v>250</v>
      </c>
      <c r="G779" s="110">
        <f t="shared" si="64"/>
        <v>83500</v>
      </c>
      <c r="H779" s="106"/>
      <c r="I779" s="108"/>
      <c r="J779" s="106"/>
      <c r="K779" s="106"/>
      <c r="L779" s="106"/>
      <c r="M779" s="106"/>
      <c r="N779" s="106"/>
      <c r="O779" s="106"/>
      <c r="P779" s="106"/>
      <c r="Q779" s="106"/>
      <c r="R779" s="246"/>
    </row>
    <row r="780" spans="1:18" s="244" customFormat="1" ht="20.25" customHeight="1" outlineLevel="1" x14ac:dyDescent="0.25">
      <c r="A780" s="415" t="s">
        <v>353</v>
      </c>
      <c r="B780" s="365" t="s">
        <v>34</v>
      </c>
      <c r="C780" s="323">
        <v>5</v>
      </c>
      <c r="D780" s="108"/>
      <c r="E780" s="108"/>
      <c r="F780" s="110">
        <v>6500</v>
      </c>
      <c r="G780" s="110">
        <f t="shared" si="64"/>
        <v>32500</v>
      </c>
      <c r="H780" s="106"/>
      <c r="I780" s="108"/>
      <c r="J780" s="106"/>
      <c r="K780" s="106"/>
      <c r="L780" s="106"/>
      <c r="M780" s="106"/>
      <c r="N780" s="106"/>
      <c r="O780" s="106"/>
      <c r="P780" s="106"/>
      <c r="Q780" s="106"/>
      <c r="R780" s="246"/>
    </row>
    <row r="781" spans="1:18" s="244" customFormat="1" ht="20.25" customHeight="1" outlineLevel="1" x14ac:dyDescent="0.25">
      <c r="A781" s="415" t="s">
        <v>330</v>
      </c>
      <c r="B781" s="365" t="s">
        <v>169</v>
      </c>
      <c r="C781" s="110">
        <f>469*3</f>
        <v>1407</v>
      </c>
      <c r="D781" s="108"/>
      <c r="E781" s="108"/>
      <c r="F781" s="110">
        <v>45</v>
      </c>
      <c r="G781" s="110">
        <f t="shared" si="64"/>
        <v>63315</v>
      </c>
      <c r="H781" s="106"/>
      <c r="I781" s="108"/>
      <c r="J781" s="106"/>
      <c r="K781" s="106"/>
      <c r="L781" s="106"/>
      <c r="M781" s="106"/>
      <c r="N781" s="106"/>
      <c r="O781" s="106"/>
      <c r="P781" s="106"/>
      <c r="Q781" s="106"/>
      <c r="R781" s="246"/>
    </row>
    <row r="782" spans="1:18" s="244" customFormat="1" ht="20.25" customHeight="1" outlineLevel="1" x14ac:dyDescent="0.25">
      <c r="A782" s="415" t="s">
        <v>187</v>
      </c>
      <c r="B782" s="365" t="s">
        <v>34</v>
      </c>
      <c r="C782" s="110">
        <v>4</v>
      </c>
      <c r="D782" s="108"/>
      <c r="E782" s="108"/>
      <c r="F782" s="110">
        <v>2200</v>
      </c>
      <c r="G782" s="110">
        <f t="shared" si="64"/>
        <v>8800</v>
      </c>
      <c r="H782" s="106"/>
      <c r="I782" s="108"/>
      <c r="J782" s="106"/>
      <c r="K782" s="106"/>
      <c r="L782" s="106"/>
      <c r="M782" s="106"/>
      <c r="N782" s="106"/>
      <c r="O782" s="106"/>
      <c r="P782" s="106"/>
      <c r="Q782" s="106"/>
      <c r="R782" s="246"/>
    </row>
    <row r="783" spans="1:18" s="244" customFormat="1" ht="20.25" customHeight="1" outlineLevel="1" x14ac:dyDescent="0.25">
      <c r="A783" s="415" t="s">
        <v>193</v>
      </c>
      <c r="B783" s="365" t="s">
        <v>34</v>
      </c>
      <c r="C783" s="110">
        <v>14</v>
      </c>
      <c r="D783" s="108"/>
      <c r="E783" s="108"/>
      <c r="F783" s="110">
        <v>500</v>
      </c>
      <c r="G783" s="110">
        <f>C783*F783</f>
        <v>7000</v>
      </c>
      <c r="H783" s="106"/>
      <c r="I783" s="108"/>
      <c r="J783" s="106"/>
      <c r="K783" s="106"/>
      <c r="L783" s="106"/>
      <c r="M783" s="106"/>
      <c r="N783" s="106"/>
      <c r="O783" s="106"/>
      <c r="P783" s="106"/>
      <c r="Q783" s="106"/>
      <c r="R783" s="246"/>
    </row>
    <row r="784" spans="1:18" s="244" customFormat="1" ht="20.25" customHeight="1" x14ac:dyDescent="0.25">
      <c r="A784" s="462" t="s">
        <v>0</v>
      </c>
      <c r="B784" s="374"/>
      <c r="C784" s="93"/>
      <c r="D784" s="93"/>
      <c r="E784" s="93"/>
      <c r="F784" s="94"/>
      <c r="G784" s="94" t="e">
        <f>SUM(G785:G786)</f>
        <v>#N/A</v>
      </c>
      <c r="H784" s="95"/>
      <c r="I784" s="93"/>
      <c r="J784" s="93"/>
      <c r="K784" s="93"/>
      <c r="L784" s="93"/>
      <c r="M784" s="93"/>
      <c r="N784" s="93"/>
      <c r="O784" s="93"/>
      <c r="P784" s="93"/>
      <c r="Q784" s="93"/>
      <c r="R784" s="247"/>
    </row>
    <row r="785" spans="1:18" s="244" customFormat="1" ht="20.25" customHeight="1" x14ac:dyDescent="0.2">
      <c r="A785" s="412" t="s">
        <v>260</v>
      </c>
      <c r="B785" s="365" t="s">
        <v>33</v>
      </c>
      <c r="C785" s="151">
        <v>8</v>
      </c>
      <c r="D785" s="97"/>
      <c r="E785" s="92">
        <f>C785*R785</f>
        <v>108</v>
      </c>
      <c r="F785" s="98" t="e">
        <f>VLOOKUP(A785,ГрафикЖД!$B$4:$C$55,2,0)</f>
        <v>#N/A</v>
      </c>
      <c r="G785" s="99" t="e">
        <f>E785*F785</f>
        <v>#N/A</v>
      </c>
      <c r="H785" s="97"/>
      <c r="I785" s="100">
        <f>C769/E785*C785</f>
        <v>5.8518518518518521</v>
      </c>
      <c r="J785" s="77">
        <v>13.5</v>
      </c>
      <c r="K785" s="77"/>
      <c r="L785" s="77"/>
      <c r="M785" s="77"/>
      <c r="N785" s="77"/>
      <c r="O785" s="77"/>
      <c r="P785" s="77"/>
      <c r="Q785" s="77"/>
      <c r="R785" s="78">
        <f>SUM(J785:Q785)</f>
        <v>13.5</v>
      </c>
    </row>
    <row r="786" spans="1:18" s="244" customFormat="1" ht="20.25" customHeight="1" x14ac:dyDescent="0.2">
      <c r="A786" s="412" t="s">
        <v>32</v>
      </c>
      <c r="B786" s="375"/>
      <c r="C786" s="99"/>
      <c r="D786" s="97"/>
      <c r="E786" s="97"/>
      <c r="F786" s="99"/>
      <c r="G786" s="99" t="e">
        <f>G785*30.9%</f>
        <v>#N/A</v>
      </c>
      <c r="H786" s="97"/>
      <c r="I786" s="97"/>
      <c r="J786" s="101"/>
      <c r="K786" s="101"/>
      <c r="L786" s="101"/>
      <c r="M786" s="101"/>
      <c r="N786" s="101"/>
      <c r="O786" s="101"/>
      <c r="P786" s="101"/>
      <c r="Q786" s="101"/>
      <c r="R786" s="249"/>
    </row>
    <row r="787" spans="1:18" s="244" customFormat="1" ht="20.25" customHeight="1" x14ac:dyDescent="0.25">
      <c r="A787" s="462" t="s">
        <v>1</v>
      </c>
      <c r="B787" s="374"/>
      <c r="C787" s="93"/>
      <c r="D787" s="93"/>
      <c r="E787" s="93"/>
      <c r="F787" s="94"/>
      <c r="G787" s="94">
        <f>SUM(G788:G789)</f>
        <v>915200</v>
      </c>
      <c r="H787" s="95"/>
      <c r="I787" s="93"/>
      <c r="J787" s="103"/>
      <c r="K787" s="103"/>
      <c r="L787" s="103"/>
      <c r="M787" s="103"/>
      <c r="N787" s="103"/>
      <c r="O787" s="103"/>
      <c r="P787" s="103"/>
      <c r="Q787" s="103"/>
      <c r="R787" s="250"/>
    </row>
    <row r="788" spans="1:18" s="244" customFormat="1" ht="20.25" customHeight="1" x14ac:dyDescent="0.25">
      <c r="A788" s="415" t="s">
        <v>240</v>
      </c>
      <c r="B788" s="376" t="s">
        <v>35</v>
      </c>
      <c r="C788" s="92">
        <v>2</v>
      </c>
      <c r="D788" s="106"/>
      <c r="E788" s="92">
        <f>C788*R788</f>
        <v>26</v>
      </c>
      <c r="F788" s="98">
        <f>VLOOKUP(A788,ГрафикЖД!$B$4:$C$55,2,0)</f>
        <v>20900</v>
      </c>
      <c r="G788" s="99">
        <f>E788*F788</f>
        <v>543400</v>
      </c>
      <c r="H788" s="106"/>
      <c r="I788" s="100">
        <f>C769/E788*C788</f>
        <v>6.0769230769230766</v>
      </c>
      <c r="J788" s="77">
        <v>13</v>
      </c>
      <c r="K788" s="100"/>
      <c r="L788" s="100"/>
      <c r="M788" s="152"/>
      <c r="N788" s="100"/>
      <c r="O788" s="100"/>
      <c r="P788" s="100"/>
      <c r="Q788" s="152"/>
      <c r="R788" s="248">
        <f>SUM(J788:Q788)</f>
        <v>13</v>
      </c>
    </row>
    <row r="789" spans="1:18" s="244" customFormat="1" ht="20.25" customHeight="1" x14ac:dyDescent="0.25">
      <c r="A789" s="415" t="s">
        <v>245</v>
      </c>
      <c r="B789" s="376" t="s">
        <v>35</v>
      </c>
      <c r="C789" s="121">
        <v>2</v>
      </c>
      <c r="D789" s="106"/>
      <c r="E789" s="92">
        <f>C789*R789</f>
        <v>26</v>
      </c>
      <c r="F789" s="98">
        <f>VLOOKUP(A789,ГрафикЖД!$B$4:$C$55,2,0)</f>
        <v>14300</v>
      </c>
      <c r="G789" s="99">
        <f>E789*F789</f>
        <v>371800</v>
      </c>
      <c r="H789" s="106"/>
      <c r="I789" s="100">
        <f>C769/E789*C789</f>
        <v>6.0769230769230766</v>
      </c>
      <c r="J789" s="77">
        <v>13</v>
      </c>
      <c r="K789" s="100"/>
      <c r="L789" s="100"/>
      <c r="M789" s="152"/>
      <c r="N789" s="100"/>
      <c r="O789" s="100"/>
      <c r="P789" s="100"/>
      <c r="Q789" s="152"/>
      <c r="R789" s="248">
        <f>SUM(J789:Q789)</f>
        <v>13</v>
      </c>
    </row>
    <row r="790" spans="1:18" s="244" customFormat="1" ht="42.75" customHeight="1" x14ac:dyDescent="0.2">
      <c r="A790" s="470" t="s">
        <v>191</v>
      </c>
      <c r="B790" s="390" t="s">
        <v>34</v>
      </c>
      <c r="C790" s="284">
        <v>629</v>
      </c>
      <c r="D790" s="194"/>
      <c r="E790" s="194">
        <f>E794</f>
        <v>7.3500000000000005</v>
      </c>
      <c r="F790" s="194" t="e">
        <f>G790/C790</f>
        <v>#N/A</v>
      </c>
      <c r="G790" s="194" t="e">
        <f>G791+G793+G796</f>
        <v>#N/A</v>
      </c>
      <c r="H790" s="194"/>
      <c r="I790" s="194"/>
      <c r="J790" s="216">
        <f>J794*$I794</f>
        <v>735.92999999999984</v>
      </c>
      <c r="K790" s="216">
        <f t="shared" ref="K790:Q790" si="65">K794*$I794</f>
        <v>0</v>
      </c>
      <c r="L790" s="216">
        <f t="shared" si="65"/>
        <v>0</v>
      </c>
      <c r="M790" s="216">
        <f t="shared" si="65"/>
        <v>0</v>
      </c>
      <c r="N790" s="216">
        <f t="shared" si="65"/>
        <v>0</v>
      </c>
      <c r="O790" s="216">
        <f t="shared" si="65"/>
        <v>0</v>
      </c>
      <c r="P790" s="216">
        <f t="shared" si="65"/>
        <v>0</v>
      </c>
      <c r="Q790" s="216">
        <f t="shared" si="65"/>
        <v>0</v>
      </c>
      <c r="R790" s="285">
        <f>SUM(J790:Q790)</f>
        <v>735.92999999999984</v>
      </c>
    </row>
    <row r="791" spans="1:18" s="244" customFormat="1" ht="20.25" customHeight="1" x14ac:dyDescent="0.25">
      <c r="A791" s="463" t="s">
        <v>167</v>
      </c>
      <c r="B791" s="374"/>
      <c r="C791" s="93"/>
      <c r="D791" s="93"/>
      <c r="E791" s="93"/>
      <c r="F791" s="94"/>
      <c r="G791" s="94">
        <f>G792</f>
        <v>367965</v>
      </c>
      <c r="H791" s="95"/>
      <c r="I791" s="93"/>
      <c r="J791" s="95"/>
      <c r="K791" s="95"/>
      <c r="L791" s="95"/>
      <c r="M791" s="95"/>
      <c r="N791" s="95"/>
      <c r="O791" s="95"/>
      <c r="P791" s="95"/>
      <c r="Q791" s="95"/>
      <c r="R791" s="245"/>
    </row>
    <row r="792" spans="1:18" s="244" customFormat="1" ht="20.25" customHeight="1" x14ac:dyDescent="0.25">
      <c r="A792" s="412" t="s">
        <v>193</v>
      </c>
      <c r="B792" s="365" t="s">
        <v>34</v>
      </c>
      <c r="C792" s="110">
        <f>C790*1.17</f>
        <v>735.93</v>
      </c>
      <c r="D792" s="108"/>
      <c r="E792" s="108"/>
      <c r="F792" s="110">
        <v>500</v>
      </c>
      <c r="G792" s="110">
        <f>C792*F792</f>
        <v>367965</v>
      </c>
      <c r="H792" s="106"/>
      <c r="I792" s="108"/>
      <c r="J792" s="106"/>
      <c r="K792" s="106"/>
      <c r="L792" s="106"/>
      <c r="M792" s="106"/>
      <c r="N792" s="106"/>
      <c r="O792" s="106"/>
      <c r="P792" s="106"/>
      <c r="Q792" s="106"/>
      <c r="R792" s="246"/>
    </row>
    <row r="793" spans="1:18" s="244" customFormat="1" ht="20.25" customHeight="1" x14ac:dyDescent="0.25">
      <c r="A793" s="462" t="s">
        <v>0</v>
      </c>
      <c r="B793" s="374"/>
      <c r="C793" s="93"/>
      <c r="D793" s="93"/>
      <c r="E793" s="93"/>
      <c r="F793" s="94"/>
      <c r="G793" s="94" t="e">
        <f>SUM(G794:G795)</f>
        <v>#N/A</v>
      </c>
      <c r="H793" s="95"/>
      <c r="I793" s="93"/>
      <c r="J793" s="93"/>
      <c r="K793" s="93"/>
      <c r="L793" s="93"/>
      <c r="M793" s="93"/>
      <c r="N793" s="93"/>
      <c r="O793" s="93"/>
      <c r="P793" s="93"/>
      <c r="Q793" s="93"/>
      <c r="R793" s="247"/>
    </row>
    <row r="794" spans="1:18" s="244" customFormat="1" ht="20.25" customHeight="1" x14ac:dyDescent="0.2">
      <c r="A794" s="412" t="s">
        <v>260</v>
      </c>
      <c r="B794" s="365" t="s">
        <v>33</v>
      </c>
      <c r="C794" s="151">
        <v>3</v>
      </c>
      <c r="D794" s="97"/>
      <c r="E794" s="92">
        <f>C794*R794</f>
        <v>7.3500000000000005</v>
      </c>
      <c r="F794" s="98" t="e">
        <f>VLOOKUP(A794,ГрафикЖД!$B$4:$C$55,2,0)</f>
        <v>#N/A</v>
      </c>
      <c r="G794" s="99" t="e">
        <f>E794*F794</f>
        <v>#N/A</v>
      </c>
      <c r="H794" s="97"/>
      <c r="I794" s="102">
        <f>C792/E794*C794</f>
        <v>300.37959183673462</v>
      </c>
      <c r="J794" s="77">
        <v>2.4500000000000002</v>
      </c>
      <c r="K794" s="77"/>
      <c r="L794" s="77"/>
      <c r="M794" s="77"/>
      <c r="N794" s="77"/>
      <c r="O794" s="77"/>
      <c r="P794" s="77"/>
      <c r="Q794" s="77"/>
      <c r="R794" s="78">
        <f>SUM(J794:Q794)</f>
        <v>2.4500000000000002</v>
      </c>
    </row>
    <row r="795" spans="1:18" s="244" customFormat="1" ht="20.25" customHeight="1" x14ac:dyDescent="0.2">
      <c r="A795" s="412" t="s">
        <v>32</v>
      </c>
      <c r="B795" s="375"/>
      <c r="C795" s="99"/>
      <c r="D795" s="97"/>
      <c r="E795" s="97"/>
      <c r="F795" s="99"/>
      <c r="G795" s="99" t="e">
        <f>G794*30.9%</f>
        <v>#N/A</v>
      </c>
      <c r="H795" s="97"/>
      <c r="I795" s="102"/>
      <c r="J795" s="101"/>
      <c r="K795" s="101"/>
      <c r="L795" s="101"/>
      <c r="M795" s="101"/>
      <c r="N795" s="101"/>
      <c r="O795" s="101"/>
      <c r="P795" s="101"/>
      <c r="Q795" s="101"/>
      <c r="R795" s="249"/>
    </row>
    <row r="796" spans="1:18" s="244" customFormat="1" ht="20.25" customHeight="1" x14ac:dyDescent="0.25">
      <c r="A796" s="462" t="s">
        <v>1</v>
      </c>
      <c r="B796" s="374"/>
      <c r="C796" s="93"/>
      <c r="D796" s="93"/>
      <c r="E796" s="93"/>
      <c r="F796" s="94"/>
      <c r="G796" s="94">
        <f>SUM(G797)</f>
        <v>47162.5</v>
      </c>
      <c r="H796" s="95"/>
      <c r="I796" s="149"/>
      <c r="J796" s="103"/>
      <c r="K796" s="103"/>
      <c r="L796" s="103"/>
      <c r="M796" s="103"/>
      <c r="N796" s="103"/>
      <c r="O796" s="103"/>
      <c r="P796" s="103"/>
      <c r="Q796" s="103"/>
      <c r="R796" s="250"/>
    </row>
    <row r="797" spans="1:18" s="244" customFormat="1" ht="20.25" customHeight="1" x14ac:dyDescent="0.25">
      <c r="A797" s="412" t="s">
        <v>242</v>
      </c>
      <c r="B797" s="376" t="s">
        <v>35</v>
      </c>
      <c r="C797" s="121">
        <v>1</v>
      </c>
      <c r="D797" s="106"/>
      <c r="E797" s="92">
        <f>C797*R797</f>
        <v>2.4500000000000002</v>
      </c>
      <c r="F797" s="98">
        <f>VLOOKUP(A797,ГрафикЖД!$B$4:$C$55,2,0)</f>
        <v>19250</v>
      </c>
      <c r="G797" s="99">
        <f>E797*F797</f>
        <v>47162.5</v>
      </c>
      <c r="H797" s="106"/>
      <c r="I797" s="102">
        <f>C792/E797*C797</f>
        <v>300.37959183673468</v>
      </c>
      <c r="J797" s="77">
        <v>2.4500000000000002</v>
      </c>
      <c r="K797" s="100"/>
      <c r="L797" s="100"/>
      <c r="M797" s="152"/>
      <c r="N797" s="100"/>
      <c r="O797" s="100"/>
      <c r="P797" s="100"/>
      <c r="Q797" s="152"/>
      <c r="R797" s="248">
        <f>SUM(J797:Q797)</f>
        <v>2.4500000000000002</v>
      </c>
    </row>
    <row r="798" spans="1:18" s="244" customFormat="1" ht="45" customHeight="1" x14ac:dyDescent="0.2">
      <c r="A798" s="470" t="s">
        <v>336</v>
      </c>
      <c r="B798" s="390" t="s">
        <v>55</v>
      </c>
      <c r="C798" s="284">
        <v>7706</v>
      </c>
      <c r="D798" s="194"/>
      <c r="E798" s="194">
        <f>E802</f>
        <v>60</v>
      </c>
      <c r="F798" s="194" t="e">
        <f>G798/C798</f>
        <v>#N/A</v>
      </c>
      <c r="G798" s="194" t="e">
        <f>G799+G801+G804</f>
        <v>#N/A</v>
      </c>
      <c r="H798" s="194"/>
      <c r="I798" s="194"/>
      <c r="J798" s="216">
        <f>J802*$I802</f>
        <v>7706</v>
      </c>
      <c r="K798" s="216">
        <f t="shared" ref="K798:Q798" si="66">K802*$I802</f>
        <v>0</v>
      </c>
      <c r="L798" s="216">
        <f t="shared" si="66"/>
        <v>0</v>
      </c>
      <c r="M798" s="216">
        <f t="shared" si="66"/>
        <v>0</v>
      </c>
      <c r="N798" s="216">
        <f t="shared" si="66"/>
        <v>0</v>
      </c>
      <c r="O798" s="216">
        <f t="shared" si="66"/>
        <v>0</v>
      </c>
      <c r="P798" s="216">
        <f t="shared" si="66"/>
        <v>0</v>
      </c>
      <c r="Q798" s="216">
        <f t="shared" si="66"/>
        <v>0</v>
      </c>
      <c r="R798" s="285">
        <f>SUM(J798:Q798)</f>
        <v>7706</v>
      </c>
    </row>
    <row r="799" spans="1:18" s="244" customFormat="1" ht="20.25" customHeight="1" x14ac:dyDescent="0.25">
      <c r="A799" s="463" t="s">
        <v>167</v>
      </c>
      <c r="B799" s="374"/>
      <c r="C799" s="93"/>
      <c r="D799" s="93"/>
      <c r="E799" s="93"/>
      <c r="F799" s="94"/>
      <c r="G799" s="94">
        <f>G800</f>
        <v>254298</v>
      </c>
      <c r="H799" s="95"/>
      <c r="I799" s="93"/>
      <c r="J799" s="95"/>
      <c r="K799" s="95"/>
      <c r="L799" s="95"/>
      <c r="M799" s="95"/>
      <c r="N799" s="95"/>
      <c r="O799" s="95"/>
      <c r="P799" s="95"/>
      <c r="Q799" s="95"/>
      <c r="R799" s="245"/>
    </row>
    <row r="800" spans="1:18" ht="23.25" customHeight="1" x14ac:dyDescent="0.2">
      <c r="A800" s="412" t="s">
        <v>337</v>
      </c>
      <c r="B800" s="365" t="s">
        <v>55</v>
      </c>
      <c r="C800" s="151">
        <f>C798*1.1</f>
        <v>8476.6</v>
      </c>
      <c r="D800" s="184"/>
      <c r="E800" s="184"/>
      <c r="F800" s="96">
        <v>30</v>
      </c>
      <c r="G800" s="110">
        <f>C800*F800</f>
        <v>254298</v>
      </c>
      <c r="H800" s="187"/>
      <c r="I800" s="188"/>
      <c r="J800" s="189"/>
      <c r="K800" s="189"/>
      <c r="L800" s="189"/>
      <c r="M800" s="189"/>
      <c r="N800" s="189"/>
      <c r="O800" s="189"/>
      <c r="P800" s="189"/>
      <c r="Q800" s="189"/>
      <c r="R800" s="257"/>
    </row>
    <row r="801" spans="1:18" s="244" customFormat="1" ht="20.25" customHeight="1" x14ac:dyDescent="0.25">
      <c r="A801" s="462" t="s">
        <v>0</v>
      </c>
      <c r="B801" s="374"/>
      <c r="C801" s="93"/>
      <c r="D801" s="93"/>
      <c r="E801" s="93"/>
      <c r="F801" s="94" t="e">
        <f>G801/C800</f>
        <v>#N/A</v>
      </c>
      <c r="G801" s="94" t="e">
        <f>SUM(G802:G803)</f>
        <v>#N/A</v>
      </c>
      <c r="H801" s="95"/>
      <c r="I801" s="93"/>
      <c r="J801" s="93"/>
      <c r="K801" s="93"/>
      <c r="L801" s="93"/>
      <c r="M801" s="93"/>
      <c r="N801" s="93"/>
      <c r="O801" s="93"/>
      <c r="P801" s="93"/>
      <c r="Q801" s="93"/>
      <c r="R801" s="247"/>
    </row>
    <row r="802" spans="1:18" s="244" customFormat="1" ht="20.25" customHeight="1" x14ac:dyDescent="0.2">
      <c r="A802" s="412" t="s">
        <v>260</v>
      </c>
      <c r="B802" s="365" t="s">
        <v>33</v>
      </c>
      <c r="C802" s="151">
        <v>6</v>
      </c>
      <c r="D802" s="97"/>
      <c r="E802" s="92">
        <f>C802*R802</f>
        <v>60</v>
      </c>
      <c r="F802" s="98" t="e">
        <f>VLOOKUP(A802,ГрафикЖД!$B$4:$C$55,2,0)</f>
        <v>#N/A</v>
      </c>
      <c r="G802" s="99" t="e">
        <f>E802*F802</f>
        <v>#N/A</v>
      </c>
      <c r="H802" s="97"/>
      <c r="I802" s="100">
        <f>C798/E802*C802</f>
        <v>770.6</v>
      </c>
      <c r="J802" s="77">
        <v>10</v>
      </c>
      <c r="K802" s="77"/>
      <c r="L802" s="77"/>
      <c r="M802" s="77"/>
      <c r="N802" s="77"/>
      <c r="O802" s="77"/>
      <c r="P802" s="77"/>
      <c r="Q802" s="77"/>
      <c r="R802" s="78">
        <f>SUM(J802:Q802)</f>
        <v>10</v>
      </c>
    </row>
    <row r="803" spans="1:18" s="244" customFormat="1" ht="20.25" customHeight="1" x14ac:dyDescent="0.2">
      <c r="A803" s="412" t="s">
        <v>32</v>
      </c>
      <c r="B803" s="375"/>
      <c r="C803" s="99"/>
      <c r="D803" s="97"/>
      <c r="E803" s="97"/>
      <c r="F803" s="99"/>
      <c r="G803" s="99" t="e">
        <f>G802*30.9%</f>
        <v>#N/A</v>
      </c>
      <c r="H803" s="97"/>
      <c r="I803" s="97"/>
      <c r="J803" s="101"/>
      <c r="K803" s="101"/>
      <c r="L803" s="101"/>
      <c r="M803" s="101"/>
      <c r="N803" s="101"/>
      <c r="O803" s="101"/>
      <c r="P803" s="101"/>
      <c r="Q803" s="101"/>
      <c r="R803" s="249"/>
    </row>
    <row r="804" spans="1:18" s="244" customFormat="1" ht="20.25" customHeight="1" x14ac:dyDescent="0.25">
      <c r="A804" s="462" t="s">
        <v>1</v>
      </c>
      <c r="B804" s="374"/>
      <c r="C804" s="93"/>
      <c r="D804" s="93"/>
      <c r="E804" s="93"/>
      <c r="F804" s="94">
        <f>G804/C800</f>
        <v>22.709576953023618</v>
      </c>
      <c r="G804" s="94">
        <f>SUM(G805)</f>
        <v>192500</v>
      </c>
      <c r="H804" s="95"/>
      <c r="I804" s="93"/>
      <c r="J804" s="103"/>
      <c r="K804" s="103"/>
      <c r="L804" s="103"/>
      <c r="M804" s="103"/>
      <c r="N804" s="103"/>
      <c r="O804" s="103"/>
      <c r="P804" s="103"/>
      <c r="Q804" s="103"/>
      <c r="R804" s="250"/>
    </row>
    <row r="805" spans="1:18" s="244" customFormat="1" ht="20.25" customHeight="1" x14ac:dyDescent="0.25">
      <c r="A805" s="412" t="s">
        <v>242</v>
      </c>
      <c r="B805" s="376" t="s">
        <v>35</v>
      </c>
      <c r="C805" s="121">
        <v>1</v>
      </c>
      <c r="D805" s="106"/>
      <c r="E805" s="92">
        <f>C805*R805</f>
        <v>10</v>
      </c>
      <c r="F805" s="98">
        <f>VLOOKUP(A805,ГрафикЖД!$B$4:$C$55,2,0)</f>
        <v>19250</v>
      </c>
      <c r="G805" s="99">
        <f>E805*F805</f>
        <v>192500</v>
      </c>
      <c r="H805" s="106"/>
      <c r="I805" s="100">
        <f>C798/E805*C805</f>
        <v>770.6</v>
      </c>
      <c r="J805" s="100">
        <v>10</v>
      </c>
      <c r="K805" s="100"/>
      <c r="L805" s="100"/>
      <c r="M805" s="152"/>
      <c r="N805" s="100"/>
      <c r="O805" s="100"/>
      <c r="P805" s="100"/>
      <c r="Q805" s="152"/>
      <c r="R805" s="248">
        <f>SUM(J805:Q805)</f>
        <v>10</v>
      </c>
    </row>
    <row r="806" spans="1:18" s="244" customFormat="1" ht="45" customHeight="1" x14ac:dyDescent="0.2">
      <c r="A806" s="470" t="s">
        <v>338</v>
      </c>
      <c r="B806" s="390" t="s">
        <v>34</v>
      </c>
      <c r="C806" s="284">
        <v>844</v>
      </c>
      <c r="D806" s="194"/>
      <c r="E806" s="194">
        <f>E810</f>
        <v>6.33</v>
      </c>
      <c r="F806" s="194" t="e">
        <f>G806/C806</f>
        <v>#N/A</v>
      </c>
      <c r="G806" s="194" t="e">
        <f>G807+G809+G812</f>
        <v>#N/A</v>
      </c>
      <c r="H806" s="194"/>
      <c r="I806" s="194"/>
      <c r="J806" s="216">
        <f>J810*$I810</f>
        <v>844</v>
      </c>
      <c r="K806" s="216">
        <f t="shared" ref="K806:Q806" si="67">K810*$I810</f>
        <v>0</v>
      </c>
      <c r="L806" s="216">
        <f t="shared" si="67"/>
        <v>0</v>
      </c>
      <c r="M806" s="216">
        <f t="shared" si="67"/>
        <v>0</v>
      </c>
      <c r="N806" s="216">
        <f t="shared" si="67"/>
        <v>0</v>
      </c>
      <c r="O806" s="216">
        <f t="shared" si="67"/>
        <v>0</v>
      </c>
      <c r="P806" s="216">
        <f t="shared" si="67"/>
        <v>0</v>
      </c>
      <c r="Q806" s="216">
        <f t="shared" si="67"/>
        <v>0</v>
      </c>
      <c r="R806" s="285">
        <f>SUM(J806:Q806)</f>
        <v>844</v>
      </c>
    </row>
    <row r="807" spans="1:18" s="244" customFormat="1" ht="20.25" customHeight="1" x14ac:dyDescent="0.25">
      <c r="A807" s="463" t="s">
        <v>167</v>
      </c>
      <c r="B807" s="374"/>
      <c r="C807" s="93"/>
      <c r="D807" s="93"/>
      <c r="E807" s="93"/>
      <c r="F807" s="94"/>
      <c r="G807" s="94">
        <f>G808</f>
        <v>1276128.0000000002</v>
      </c>
      <c r="H807" s="95"/>
      <c r="I807" s="93"/>
      <c r="J807" s="95"/>
      <c r="K807" s="95"/>
      <c r="L807" s="95"/>
      <c r="M807" s="95"/>
      <c r="N807" s="95"/>
      <c r="O807" s="95"/>
      <c r="P807" s="95"/>
      <c r="Q807" s="95"/>
      <c r="R807" s="245"/>
    </row>
    <row r="808" spans="1:18" ht="23.25" customHeight="1" x14ac:dyDescent="0.2">
      <c r="A808" s="412" t="s">
        <v>309</v>
      </c>
      <c r="B808" s="365" t="s">
        <v>55</v>
      </c>
      <c r="C808" s="151">
        <f>C806*1.12</f>
        <v>945.28000000000009</v>
      </c>
      <c r="D808" s="184"/>
      <c r="E808" s="184"/>
      <c r="F808" s="96">
        <v>1350</v>
      </c>
      <c r="G808" s="110">
        <f>C808*F808</f>
        <v>1276128.0000000002</v>
      </c>
      <c r="H808" s="187"/>
      <c r="I808" s="188"/>
      <c r="J808" s="189"/>
      <c r="K808" s="189"/>
      <c r="L808" s="189"/>
      <c r="M808" s="189"/>
      <c r="N808" s="189"/>
      <c r="O808" s="189"/>
      <c r="P808" s="189"/>
      <c r="Q808" s="189"/>
      <c r="R808" s="257"/>
    </row>
    <row r="809" spans="1:18" s="244" customFormat="1" ht="20.25" customHeight="1" x14ac:dyDescent="0.25">
      <c r="A809" s="462" t="s">
        <v>0</v>
      </c>
      <c r="B809" s="374"/>
      <c r="C809" s="93"/>
      <c r="D809" s="93"/>
      <c r="E809" s="93"/>
      <c r="F809" s="94" t="e">
        <f>G809/C806</f>
        <v>#N/A</v>
      </c>
      <c r="G809" s="94" t="e">
        <f>SUM(G810:G811)</f>
        <v>#N/A</v>
      </c>
      <c r="H809" s="95"/>
      <c r="I809" s="93"/>
      <c r="J809" s="93"/>
      <c r="K809" s="93"/>
      <c r="L809" s="93"/>
      <c r="M809" s="93"/>
      <c r="N809" s="93"/>
      <c r="O809" s="93"/>
      <c r="P809" s="93"/>
      <c r="Q809" s="93"/>
      <c r="R809" s="247"/>
    </row>
    <row r="810" spans="1:18" s="244" customFormat="1" ht="20.25" customHeight="1" x14ac:dyDescent="0.2">
      <c r="A810" s="412" t="s">
        <v>260</v>
      </c>
      <c r="B810" s="365" t="s">
        <v>33</v>
      </c>
      <c r="C810" s="151">
        <v>3</v>
      </c>
      <c r="D810" s="97"/>
      <c r="E810" s="92">
        <f>C810*R810</f>
        <v>6.33</v>
      </c>
      <c r="F810" s="98" t="e">
        <f>VLOOKUP(A810,ГрафикЖД!$B$4:$C$55,2,0)</f>
        <v>#N/A</v>
      </c>
      <c r="G810" s="99" t="e">
        <f>E810*F810</f>
        <v>#N/A</v>
      </c>
      <c r="H810" s="97"/>
      <c r="I810" s="100">
        <f>C806/E810*C810</f>
        <v>400</v>
      </c>
      <c r="J810" s="191">
        <v>2.11</v>
      </c>
      <c r="K810" s="77"/>
      <c r="L810" s="77"/>
      <c r="M810" s="77"/>
      <c r="N810" s="77"/>
      <c r="O810" s="77"/>
      <c r="P810" s="77"/>
      <c r="Q810" s="77"/>
      <c r="R810" s="78">
        <f>SUM(J810:Q810)</f>
        <v>2.11</v>
      </c>
    </row>
    <row r="811" spans="1:18" s="244" customFormat="1" ht="20.25" customHeight="1" x14ac:dyDescent="0.2">
      <c r="A811" s="412" t="s">
        <v>32</v>
      </c>
      <c r="B811" s="375"/>
      <c r="C811" s="99"/>
      <c r="D811" s="97"/>
      <c r="E811" s="97"/>
      <c r="F811" s="99"/>
      <c r="G811" s="99" t="e">
        <f>G810*30.9%</f>
        <v>#N/A</v>
      </c>
      <c r="H811" s="97"/>
      <c r="I811" s="97"/>
      <c r="J811" s="101"/>
      <c r="K811" s="101"/>
      <c r="L811" s="101"/>
      <c r="M811" s="101"/>
      <c r="N811" s="101"/>
      <c r="O811" s="101"/>
      <c r="P811" s="101"/>
      <c r="Q811" s="101"/>
      <c r="R811" s="249"/>
    </row>
    <row r="812" spans="1:18" s="244" customFormat="1" ht="20.25" customHeight="1" x14ac:dyDescent="0.25">
      <c r="A812" s="462" t="s">
        <v>1</v>
      </c>
      <c r="B812" s="374"/>
      <c r="C812" s="93"/>
      <c r="D812" s="93"/>
      <c r="E812" s="93"/>
      <c r="F812" s="94">
        <f>G812/C806</f>
        <v>48.125</v>
      </c>
      <c r="G812" s="94">
        <f>SUM(G813)</f>
        <v>40617.5</v>
      </c>
      <c r="H812" s="95"/>
      <c r="I812" s="93"/>
      <c r="J812" s="103"/>
      <c r="K812" s="103"/>
      <c r="L812" s="103"/>
      <c r="M812" s="103"/>
      <c r="N812" s="103"/>
      <c r="O812" s="103"/>
      <c r="P812" s="103"/>
      <c r="Q812" s="103"/>
      <c r="R812" s="250"/>
    </row>
    <row r="813" spans="1:18" s="244" customFormat="1" ht="20.25" customHeight="1" x14ac:dyDescent="0.25">
      <c r="A813" s="412" t="s">
        <v>242</v>
      </c>
      <c r="B813" s="376" t="s">
        <v>35</v>
      </c>
      <c r="C813" s="121">
        <v>1</v>
      </c>
      <c r="D813" s="106"/>
      <c r="E813" s="92">
        <f>C813*R813</f>
        <v>2.11</v>
      </c>
      <c r="F813" s="98">
        <f>VLOOKUP(A813,ГрафикЖД!$B$4:$C$55,2,0)</f>
        <v>19250</v>
      </c>
      <c r="G813" s="99">
        <f>E813*F813</f>
        <v>40617.5</v>
      </c>
      <c r="H813" s="106"/>
      <c r="I813" s="100">
        <f>C806/E813*C813</f>
        <v>400</v>
      </c>
      <c r="J813" s="191">
        <v>2.11</v>
      </c>
      <c r="K813" s="100"/>
      <c r="L813" s="100"/>
      <c r="M813" s="152"/>
      <c r="N813" s="100"/>
      <c r="O813" s="100"/>
      <c r="P813" s="100"/>
      <c r="Q813" s="152"/>
      <c r="R813" s="248">
        <f>SUM(J813:Q813)</f>
        <v>2.11</v>
      </c>
    </row>
    <row r="814" spans="1:18" s="244" customFormat="1" ht="45" customHeight="1" x14ac:dyDescent="0.2">
      <c r="A814" s="470" t="s">
        <v>339</v>
      </c>
      <c r="B814" s="390" t="s">
        <v>34</v>
      </c>
      <c r="C814" s="284">
        <v>1343</v>
      </c>
      <c r="D814" s="194"/>
      <c r="E814" s="194">
        <f>E818</f>
        <v>10.0725</v>
      </c>
      <c r="F814" s="194" t="e">
        <f>G814/C814</f>
        <v>#N/A</v>
      </c>
      <c r="G814" s="194" t="e">
        <f>G815+G817+G820</f>
        <v>#N/A</v>
      </c>
      <c r="H814" s="194"/>
      <c r="I814" s="194"/>
      <c r="J814" s="216">
        <f>J818*$I818</f>
        <v>1343</v>
      </c>
      <c r="K814" s="216">
        <f t="shared" ref="K814:Q814" si="68">K818*$I818</f>
        <v>0</v>
      </c>
      <c r="L814" s="216">
        <f t="shared" si="68"/>
        <v>0</v>
      </c>
      <c r="M814" s="216">
        <f t="shared" si="68"/>
        <v>0</v>
      </c>
      <c r="N814" s="216">
        <f t="shared" si="68"/>
        <v>0</v>
      </c>
      <c r="O814" s="216">
        <f t="shared" si="68"/>
        <v>0</v>
      </c>
      <c r="P814" s="216">
        <f t="shared" si="68"/>
        <v>0</v>
      </c>
      <c r="Q814" s="216">
        <f t="shared" si="68"/>
        <v>0</v>
      </c>
      <c r="R814" s="285">
        <f>SUM(J814:Q814)</f>
        <v>1343</v>
      </c>
    </row>
    <row r="815" spans="1:18" s="244" customFormat="1" ht="20.25" customHeight="1" x14ac:dyDescent="0.25">
      <c r="A815" s="463" t="s">
        <v>167</v>
      </c>
      <c r="B815" s="374"/>
      <c r="C815" s="93"/>
      <c r="D815" s="93"/>
      <c r="E815" s="93"/>
      <c r="F815" s="94"/>
      <c r="G815" s="94">
        <f>G816</f>
        <v>785655</v>
      </c>
      <c r="H815" s="95"/>
      <c r="I815" s="93"/>
      <c r="J815" s="95"/>
      <c r="K815" s="95"/>
      <c r="L815" s="95"/>
      <c r="M815" s="95"/>
      <c r="N815" s="95"/>
      <c r="O815" s="95"/>
      <c r="P815" s="95"/>
      <c r="Q815" s="95"/>
      <c r="R815" s="245"/>
    </row>
    <row r="816" spans="1:18" ht="23.25" customHeight="1" x14ac:dyDescent="0.2">
      <c r="A816" s="412" t="s">
        <v>340</v>
      </c>
      <c r="B816" s="365" t="s">
        <v>55</v>
      </c>
      <c r="C816" s="151">
        <f>C814*1.17</f>
        <v>1571.31</v>
      </c>
      <c r="D816" s="184"/>
      <c r="E816" s="184"/>
      <c r="F816" s="110">
        <v>500</v>
      </c>
      <c r="G816" s="110">
        <f>C816*F816</f>
        <v>785655</v>
      </c>
      <c r="H816" s="187"/>
      <c r="I816" s="188"/>
      <c r="J816" s="189"/>
      <c r="K816" s="189"/>
      <c r="L816" s="189"/>
      <c r="M816" s="189"/>
      <c r="N816" s="189"/>
      <c r="O816" s="189"/>
      <c r="P816" s="189"/>
      <c r="Q816" s="189"/>
      <c r="R816" s="257"/>
    </row>
    <row r="817" spans="1:18" s="244" customFormat="1" ht="20.25" customHeight="1" x14ac:dyDescent="0.25">
      <c r="A817" s="462" t="s">
        <v>0</v>
      </c>
      <c r="B817" s="374"/>
      <c r="C817" s="93"/>
      <c r="D817" s="93"/>
      <c r="E817" s="93"/>
      <c r="F817" s="94" t="e">
        <f>G817/C814</f>
        <v>#N/A</v>
      </c>
      <c r="G817" s="94" t="e">
        <f>SUM(G818:G819)</f>
        <v>#N/A</v>
      </c>
      <c r="H817" s="95"/>
      <c r="I817" s="93"/>
      <c r="J817" s="93"/>
      <c r="K817" s="93"/>
      <c r="L817" s="93"/>
      <c r="M817" s="93"/>
      <c r="N817" s="93"/>
      <c r="O817" s="93"/>
      <c r="P817" s="93"/>
      <c r="Q817" s="93"/>
      <c r="R817" s="247"/>
    </row>
    <row r="818" spans="1:18" s="244" customFormat="1" ht="20.25" customHeight="1" x14ac:dyDescent="0.2">
      <c r="A818" s="412" t="s">
        <v>260</v>
      </c>
      <c r="B818" s="365" t="s">
        <v>33</v>
      </c>
      <c r="C818" s="151">
        <v>3</v>
      </c>
      <c r="D818" s="97"/>
      <c r="E818" s="92">
        <f>C818*R818</f>
        <v>10.0725</v>
      </c>
      <c r="F818" s="98" t="e">
        <f>VLOOKUP(A818,ГрафикЖД!$B$4:$C$55,2,0)</f>
        <v>#N/A</v>
      </c>
      <c r="G818" s="99" t="e">
        <f>E818*F818</f>
        <v>#N/A</v>
      </c>
      <c r="H818" s="97"/>
      <c r="I818" s="100">
        <f>C814/E818*C818</f>
        <v>400</v>
      </c>
      <c r="J818" s="77">
        <v>3.3574999999999999</v>
      </c>
      <c r="K818" s="77"/>
      <c r="L818" s="77"/>
      <c r="M818" s="77"/>
      <c r="N818" s="77"/>
      <c r="O818" s="77"/>
      <c r="P818" s="77"/>
      <c r="Q818" s="77"/>
      <c r="R818" s="78">
        <f>SUM(J818:Q818)</f>
        <v>3.3574999999999999</v>
      </c>
    </row>
    <row r="819" spans="1:18" s="244" customFormat="1" ht="20.25" customHeight="1" x14ac:dyDescent="0.2">
      <c r="A819" s="412" t="s">
        <v>32</v>
      </c>
      <c r="B819" s="375"/>
      <c r="C819" s="99"/>
      <c r="D819" s="97"/>
      <c r="E819" s="97"/>
      <c r="F819" s="99"/>
      <c r="G819" s="99" t="e">
        <f>G818*30.9%</f>
        <v>#N/A</v>
      </c>
      <c r="H819" s="97"/>
      <c r="I819" s="97"/>
      <c r="J819" s="101"/>
      <c r="K819" s="101"/>
      <c r="L819" s="101"/>
      <c r="M819" s="101"/>
      <c r="N819" s="101"/>
      <c r="O819" s="101"/>
      <c r="P819" s="101"/>
      <c r="Q819" s="101"/>
      <c r="R819" s="249"/>
    </row>
    <row r="820" spans="1:18" s="244" customFormat="1" ht="20.25" customHeight="1" x14ac:dyDescent="0.25">
      <c r="A820" s="462" t="s">
        <v>1</v>
      </c>
      <c r="B820" s="374"/>
      <c r="C820" s="93"/>
      <c r="D820" s="93"/>
      <c r="E820" s="93"/>
      <c r="F820" s="94">
        <f>G820/C814</f>
        <v>48.125</v>
      </c>
      <c r="G820" s="94">
        <f>SUM(G821)</f>
        <v>64631.875</v>
      </c>
      <c r="H820" s="95"/>
      <c r="I820" s="93"/>
      <c r="J820" s="103"/>
      <c r="K820" s="103"/>
      <c r="L820" s="103"/>
      <c r="M820" s="103"/>
      <c r="N820" s="103"/>
      <c r="O820" s="103"/>
      <c r="P820" s="103"/>
      <c r="Q820" s="103"/>
      <c r="R820" s="250"/>
    </row>
    <row r="821" spans="1:18" s="244" customFormat="1" ht="20.25" customHeight="1" x14ac:dyDescent="0.25">
      <c r="A821" s="412" t="s">
        <v>242</v>
      </c>
      <c r="B821" s="376" t="s">
        <v>35</v>
      </c>
      <c r="C821" s="121">
        <v>1</v>
      </c>
      <c r="D821" s="106"/>
      <c r="E821" s="92">
        <f>C821*R821</f>
        <v>3.3574999999999999</v>
      </c>
      <c r="F821" s="98">
        <f>VLOOKUP(A821,ГрафикЖД!$B$4:$C$55,2,0)</f>
        <v>19250</v>
      </c>
      <c r="G821" s="99">
        <f>E821*F821</f>
        <v>64631.875</v>
      </c>
      <c r="H821" s="106"/>
      <c r="I821" s="100">
        <f>C814/E821*C821</f>
        <v>400</v>
      </c>
      <c r="J821" s="77">
        <v>3.3574999999999999</v>
      </c>
      <c r="K821" s="100"/>
      <c r="L821" s="100"/>
      <c r="M821" s="152"/>
      <c r="N821" s="100"/>
      <c r="O821" s="100"/>
      <c r="P821" s="100"/>
      <c r="Q821" s="152"/>
      <c r="R821" s="248">
        <f>SUM(J821:Q821)</f>
        <v>3.3574999999999999</v>
      </c>
    </row>
    <row r="822" spans="1:18" s="273" customFormat="1" ht="34.5" customHeight="1" x14ac:dyDescent="0.25">
      <c r="A822" s="360" t="s">
        <v>341</v>
      </c>
      <c r="B822" s="393" t="s">
        <v>57</v>
      </c>
      <c r="C822" s="353">
        <v>151</v>
      </c>
      <c r="D822" s="354"/>
      <c r="E822" s="355">
        <f>E826+E833+E841</f>
        <v>10.5</v>
      </c>
      <c r="F822" s="350" t="e">
        <f>G822/C822</f>
        <v>#N/A</v>
      </c>
      <c r="G822" s="350" t="e">
        <f>G826+G833+G841</f>
        <v>#N/A</v>
      </c>
      <c r="H822" s="354"/>
      <c r="I822" s="356"/>
      <c r="J822" s="357">
        <f>$C$700/$R$702*J824</f>
        <v>292.51482840591751</v>
      </c>
      <c r="K822" s="357">
        <f t="shared" ref="K822:Q822" si="69">$C$700/$R$702*K824</f>
        <v>0</v>
      </c>
      <c r="L822" s="357">
        <f t="shared" si="69"/>
        <v>0</v>
      </c>
      <c r="M822" s="357">
        <f t="shared" si="69"/>
        <v>0</v>
      </c>
      <c r="N822" s="357">
        <f t="shared" si="69"/>
        <v>0</v>
      </c>
      <c r="O822" s="357">
        <f t="shared" si="69"/>
        <v>0</v>
      </c>
      <c r="P822" s="357">
        <f t="shared" si="69"/>
        <v>0</v>
      </c>
      <c r="Q822" s="357">
        <f t="shared" si="69"/>
        <v>0</v>
      </c>
      <c r="R822" s="358">
        <f>SUM(J822:Q822)</f>
        <v>292.51482840591751</v>
      </c>
    </row>
    <row r="823" spans="1:18" s="244" customFormat="1" ht="20.25" customHeight="1" x14ac:dyDescent="0.2">
      <c r="A823" s="228" t="s">
        <v>46</v>
      </c>
      <c r="B823" s="371" t="str">
        <f>B822</f>
        <v>м</v>
      </c>
      <c r="C823" s="230">
        <f>C822</f>
        <v>151</v>
      </c>
      <c r="D823" s="142"/>
      <c r="E823" s="298"/>
      <c r="F823" s="229">
        <f>G823/C823</f>
        <v>7004.3311258278145</v>
      </c>
      <c r="G823" s="142">
        <f>SUMIF($A$826:$A$849,A827,$G$826:$G$849)</f>
        <v>1057654</v>
      </c>
      <c r="H823" s="142"/>
      <c r="I823" s="299"/>
      <c r="J823" s="227"/>
      <c r="K823" s="227"/>
      <c r="L823" s="227"/>
      <c r="M823" s="227"/>
      <c r="N823" s="227"/>
      <c r="O823" s="227"/>
      <c r="P823" s="227"/>
      <c r="Q823" s="227"/>
      <c r="R823" s="228"/>
    </row>
    <row r="824" spans="1:18" s="244" customFormat="1" ht="20.25" customHeight="1" x14ac:dyDescent="0.2">
      <c r="A824" s="228" t="s">
        <v>47</v>
      </c>
      <c r="B824" s="371" t="str">
        <f>B823</f>
        <v>м</v>
      </c>
      <c r="C824" s="230">
        <f>C822</f>
        <v>151</v>
      </c>
      <c r="D824" s="142"/>
      <c r="E824" s="298"/>
      <c r="F824" s="229" t="e">
        <f>G824/C824</f>
        <v>#N/A</v>
      </c>
      <c r="G824" s="142" t="e">
        <f>SUMIF($A$826:$A$849,A828,$G$826:$G$849)</f>
        <v>#N/A</v>
      </c>
      <c r="H824" s="142"/>
      <c r="I824" s="299"/>
      <c r="J824" s="300">
        <f t="array" ref="J824">SUMPRODUCT(IF($A$826:$A$849=$A829,J$826:J$849,0),$C$826:$C$849)</f>
        <v>10.5</v>
      </c>
      <c r="K824" s="300">
        <f t="array" ref="K824">SUMPRODUCT(IF($A$733:$A$756=$A844,K$733:K$756,0),$C$733:$C$756)</f>
        <v>0</v>
      </c>
      <c r="L824" s="300">
        <f t="array" ref="L824">SUMPRODUCT(IF($A$733:$A$756=$A844,L$733:L$756,0),$C$733:$C$756)</f>
        <v>0</v>
      </c>
      <c r="M824" s="300">
        <f t="array" ref="M824">SUMPRODUCT(IF($A$733:$A$756=$A844,M$733:M$756,0),$C$733:$C$756)</f>
        <v>0</v>
      </c>
      <c r="N824" s="300">
        <f t="array" ref="N824">SUMPRODUCT(IF($A$733:$A$756=$A844,N$733:N$756,0),$C$733:$C$756)</f>
        <v>0</v>
      </c>
      <c r="O824" s="300">
        <f t="array" ref="O824">SUMPRODUCT(IF($A$733:$A$756=$A844,O$733:O$756,0),$C$733:$C$756)</f>
        <v>0</v>
      </c>
      <c r="P824" s="300">
        <f t="array" ref="P824">SUMPRODUCT(IF($A$733:$A$756=$A844,P$733:P$756,0),$C$733:$C$756)</f>
        <v>0</v>
      </c>
      <c r="Q824" s="300">
        <f t="array" ref="Q824">SUMPRODUCT(IF($A$733:$A$756=$A844,Q$733:Q$756,0),$C$733:$C$756)</f>
        <v>0</v>
      </c>
      <c r="R824" s="282">
        <f>SUM(J824:Q824)</f>
        <v>10.5</v>
      </c>
    </row>
    <row r="825" spans="1:18" s="244" customFormat="1" ht="20.25" customHeight="1" x14ac:dyDescent="0.2">
      <c r="A825" s="228" t="s">
        <v>48</v>
      </c>
      <c r="B825" s="371" t="str">
        <f>B824</f>
        <v>м</v>
      </c>
      <c r="C825" s="230">
        <f>C822</f>
        <v>151</v>
      </c>
      <c r="D825" s="142"/>
      <c r="E825" s="298"/>
      <c r="F825" s="229">
        <f>G825/C825</f>
        <v>286.83774834437088</v>
      </c>
      <c r="G825" s="142">
        <f>SUMIF($A$826:$A$849,A831,$G$826:$G$849)</f>
        <v>43312.5</v>
      </c>
      <c r="H825" s="142"/>
      <c r="I825" s="299"/>
      <c r="J825" s="227"/>
      <c r="K825" s="227"/>
      <c r="L825" s="227"/>
      <c r="M825" s="227"/>
      <c r="N825" s="227"/>
      <c r="O825" s="227"/>
      <c r="P825" s="227"/>
      <c r="Q825" s="227"/>
      <c r="R825" s="228"/>
    </row>
    <row r="826" spans="1:18" s="244" customFormat="1" ht="39.75" customHeight="1" x14ac:dyDescent="0.2">
      <c r="A826" s="470" t="s">
        <v>318</v>
      </c>
      <c r="B826" s="390" t="s">
        <v>34</v>
      </c>
      <c r="C826" s="284">
        <f>(251+1320+76+67+336+161)/3059*151</f>
        <v>109.14056881333769</v>
      </c>
      <c r="D826" s="194"/>
      <c r="E826" s="194">
        <f>E829</f>
        <v>3</v>
      </c>
      <c r="F826" s="194" t="e">
        <f>G826/C826</f>
        <v>#N/A</v>
      </c>
      <c r="G826" s="194" t="e">
        <f>G827+G828+G831</f>
        <v>#N/A</v>
      </c>
      <c r="H826" s="194"/>
      <c r="I826" s="194"/>
      <c r="J826" s="216">
        <f>J829*$I829</f>
        <v>10.914056881333769</v>
      </c>
      <c r="K826" s="216">
        <f t="shared" ref="K826:Q826" si="70">K829*$I829</f>
        <v>0</v>
      </c>
      <c r="L826" s="216">
        <f t="shared" si="70"/>
        <v>0</v>
      </c>
      <c r="M826" s="216">
        <f t="shared" si="70"/>
        <v>0</v>
      </c>
      <c r="N826" s="216">
        <f t="shared" si="70"/>
        <v>0</v>
      </c>
      <c r="O826" s="216">
        <f t="shared" si="70"/>
        <v>0</v>
      </c>
      <c r="P826" s="216">
        <f t="shared" si="70"/>
        <v>0</v>
      </c>
      <c r="Q826" s="216">
        <f t="shared" si="70"/>
        <v>0</v>
      </c>
      <c r="R826" s="216">
        <f>SUM(J826:Q826)</f>
        <v>10.914056881333769</v>
      </c>
    </row>
    <row r="827" spans="1:18" s="244" customFormat="1" ht="20.25" customHeight="1" x14ac:dyDescent="0.25">
      <c r="A827" s="461" t="s">
        <v>167</v>
      </c>
      <c r="B827" s="374"/>
      <c r="C827" s="93"/>
      <c r="D827" s="93"/>
      <c r="E827" s="93"/>
      <c r="F827" s="94"/>
      <c r="G827" s="94">
        <f>0</f>
        <v>0</v>
      </c>
      <c r="H827" s="95"/>
      <c r="I827" s="93"/>
      <c r="J827" s="95"/>
      <c r="K827" s="95"/>
      <c r="L827" s="95"/>
      <c r="M827" s="95"/>
      <c r="N827" s="95"/>
      <c r="O827" s="95"/>
      <c r="P827" s="95"/>
      <c r="Q827" s="95"/>
      <c r="R827" s="95"/>
    </row>
    <row r="828" spans="1:18" s="244" customFormat="1" ht="20.25" customHeight="1" x14ac:dyDescent="0.25">
      <c r="A828" s="462" t="s">
        <v>0</v>
      </c>
      <c r="B828" s="374"/>
      <c r="C828" s="93"/>
      <c r="D828" s="93"/>
      <c r="E828" s="93"/>
      <c r="F828" s="94"/>
      <c r="G828" s="94" t="e">
        <f>SUM(G829:G830)</f>
        <v>#N/A</v>
      </c>
      <c r="H828" s="95"/>
      <c r="I828" s="93"/>
      <c r="J828" s="93"/>
      <c r="K828" s="93"/>
      <c r="L828" s="93"/>
      <c r="M828" s="93"/>
      <c r="N828" s="93"/>
      <c r="O828" s="93"/>
      <c r="P828" s="93"/>
      <c r="Q828" s="93"/>
      <c r="R828" s="93"/>
    </row>
    <row r="829" spans="1:18" s="244" customFormat="1" ht="20.25" customHeight="1" x14ac:dyDescent="0.2">
      <c r="A829" s="412" t="s">
        <v>260</v>
      </c>
      <c r="B829" s="365" t="s">
        <v>33</v>
      </c>
      <c r="C829" s="151">
        <v>3</v>
      </c>
      <c r="D829" s="97"/>
      <c r="E829" s="92">
        <f>C829*R829</f>
        <v>3</v>
      </c>
      <c r="F829" s="98" t="e">
        <f>VLOOKUP(A829,ГрафикЖД!$B$4:$C$55,2,0)</f>
        <v>#N/A</v>
      </c>
      <c r="G829" s="99" t="e">
        <f>E829*F829</f>
        <v>#N/A</v>
      </c>
      <c r="H829" s="97"/>
      <c r="I829" s="100">
        <f>C826/E829*C829/10</f>
        <v>10.914056881333769</v>
      </c>
      <c r="J829" s="77">
        <v>1</v>
      </c>
      <c r="K829" s="77"/>
      <c r="L829" s="77"/>
      <c r="M829" s="77"/>
      <c r="N829" s="77"/>
      <c r="O829" s="77"/>
      <c r="P829" s="77"/>
      <c r="Q829" s="77"/>
      <c r="R829" s="78">
        <f>SUM(J829:Q829)</f>
        <v>1</v>
      </c>
    </row>
    <row r="830" spans="1:18" s="244" customFormat="1" ht="20.25" customHeight="1" x14ac:dyDescent="0.2">
      <c r="A830" s="412" t="s">
        <v>32</v>
      </c>
      <c r="B830" s="375"/>
      <c r="C830" s="99"/>
      <c r="D830" s="97"/>
      <c r="E830" s="97"/>
      <c r="F830" s="99"/>
      <c r="G830" s="99" t="e">
        <f>G829*30.9%</f>
        <v>#N/A</v>
      </c>
      <c r="H830" s="97"/>
      <c r="I830" s="97"/>
      <c r="J830" s="101"/>
      <c r="K830" s="101"/>
      <c r="L830" s="101"/>
      <c r="M830" s="101"/>
      <c r="N830" s="101"/>
      <c r="O830" s="101"/>
      <c r="P830" s="101"/>
      <c r="Q830" s="101"/>
      <c r="R830" s="102"/>
    </row>
    <row r="831" spans="1:18" s="244" customFormat="1" ht="20.25" customHeight="1" x14ac:dyDescent="0.25">
      <c r="A831" s="462" t="s">
        <v>1</v>
      </c>
      <c r="B831" s="374"/>
      <c r="C831" s="93"/>
      <c r="D831" s="93"/>
      <c r="E831" s="93"/>
      <c r="F831" s="94"/>
      <c r="G831" s="94">
        <f>SUM(G832:G832)</f>
        <v>19250</v>
      </c>
      <c r="H831" s="95"/>
      <c r="I831" s="93"/>
      <c r="J831" s="103"/>
      <c r="K831" s="103"/>
      <c r="L831" s="103"/>
      <c r="M831" s="103"/>
      <c r="N831" s="103"/>
      <c r="O831" s="103"/>
      <c r="P831" s="103"/>
      <c r="Q831" s="103"/>
      <c r="R831" s="104"/>
    </row>
    <row r="832" spans="1:18" s="244" customFormat="1" ht="20.25" customHeight="1" x14ac:dyDescent="0.25">
      <c r="A832" s="412" t="s">
        <v>242</v>
      </c>
      <c r="B832" s="376" t="s">
        <v>35</v>
      </c>
      <c r="C832" s="121">
        <v>1</v>
      </c>
      <c r="D832" s="106"/>
      <c r="E832" s="92">
        <f>C832*R832</f>
        <v>1</v>
      </c>
      <c r="F832" s="98">
        <f>VLOOKUP(A832,ГрафикЖД!$B$4:$C$55,2,0)</f>
        <v>19250</v>
      </c>
      <c r="G832" s="99">
        <f>E832*F832</f>
        <v>19250</v>
      </c>
      <c r="H832" s="106"/>
      <c r="I832" s="100">
        <f>C826/E832*C832</f>
        <v>109.14056881333769</v>
      </c>
      <c r="J832" s="100">
        <v>1</v>
      </c>
      <c r="K832" s="100"/>
      <c r="L832" s="100"/>
      <c r="M832" s="152"/>
      <c r="N832" s="100"/>
      <c r="O832" s="100"/>
      <c r="P832" s="100"/>
      <c r="Q832" s="152"/>
      <c r="R832" s="78">
        <f>SUM(J832:Q832)</f>
        <v>1</v>
      </c>
    </row>
    <row r="833" spans="1:18" s="244" customFormat="1" ht="41.25" customHeight="1" x14ac:dyDescent="0.2">
      <c r="A833" s="470" t="s">
        <v>433</v>
      </c>
      <c r="B833" s="390" t="s">
        <v>34</v>
      </c>
      <c r="C833" s="284">
        <v>7.6</v>
      </c>
      <c r="D833" s="194"/>
      <c r="E833" s="194">
        <f>E837</f>
        <v>1.5</v>
      </c>
      <c r="F833" s="194" t="e">
        <f>G833/C833</f>
        <v>#N/A</v>
      </c>
      <c r="G833" s="194" t="e">
        <f>G834+G836+G839</f>
        <v>#N/A</v>
      </c>
      <c r="H833" s="194"/>
      <c r="I833" s="194"/>
      <c r="J833" s="216">
        <f>J837*$I837</f>
        <v>7.6</v>
      </c>
      <c r="K833" s="216">
        <f t="shared" ref="K833:Q833" si="71">K837*$I837</f>
        <v>0</v>
      </c>
      <c r="L833" s="216">
        <f t="shared" si="71"/>
        <v>0</v>
      </c>
      <c r="M833" s="216">
        <f t="shared" si="71"/>
        <v>0</v>
      </c>
      <c r="N833" s="216">
        <f t="shared" si="71"/>
        <v>0</v>
      </c>
      <c r="O833" s="216">
        <f t="shared" si="71"/>
        <v>0</v>
      </c>
      <c r="P833" s="216">
        <f t="shared" si="71"/>
        <v>0</v>
      </c>
      <c r="Q833" s="216">
        <f t="shared" si="71"/>
        <v>0</v>
      </c>
      <c r="R833" s="285">
        <f>SUM(J833:Q833)</f>
        <v>7.6</v>
      </c>
    </row>
    <row r="834" spans="1:18" s="244" customFormat="1" ht="20.25" customHeight="1" x14ac:dyDescent="0.25">
      <c r="A834" s="463" t="s">
        <v>167</v>
      </c>
      <c r="B834" s="374"/>
      <c r="C834" s="93"/>
      <c r="D834" s="93"/>
      <c r="E834" s="93"/>
      <c r="F834" s="322"/>
      <c r="G834" s="322">
        <f>G835</f>
        <v>13338</v>
      </c>
      <c r="H834" s="95"/>
      <c r="I834" s="93"/>
      <c r="J834" s="95"/>
      <c r="K834" s="95"/>
      <c r="L834" s="95"/>
      <c r="M834" s="95"/>
      <c r="N834" s="95"/>
      <c r="O834" s="95"/>
      <c r="P834" s="95"/>
      <c r="Q834" s="95"/>
      <c r="R834" s="245"/>
    </row>
    <row r="835" spans="1:18" ht="23.25" customHeight="1" x14ac:dyDescent="0.2">
      <c r="A835" s="412" t="s">
        <v>335</v>
      </c>
      <c r="B835" s="365" t="s">
        <v>34</v>
      </c>
      <c r="C835" s="121">
        <f>7.6*1.17</f>
        <v>8.8919999999999995</v>
      </c>
      <c r="D835" s="184"/>
      <c r="E835" s="184"/>
      <c r="F835" s="96">
        <v>1500</v>
      </c>
      <c r="G835" s="110">
        <f>C835*F835</f>
        <v>13338</v>
      </c>
      <c r="H835" s="187"/>
      <c r="I835" s="188"/>
      <c r="J835" s="189"/>
      <c r="K835" s="189"/>
      <c r="L835" s="189"/>
      <c r="M835" s="189"/>
      <c r="N835" s="189"/>
      <c r="O835" s="189"/>
      <c r="P835" s="189"/>
      <c r="Q835" s="189"/>
      <c r="R835" s="257"/>
    </row>
    <row r="836" spans="1:18" s="244" customFormat="1" ht="20.25" customHeight="1" x14ac:dyDescent="0.25">
      <c r="A836" s="462" t="s">
        <v>0</v>
      </c>
      <c r="B836" s="374"/>
      <c r="C836" s="93"/>
      <c r="D836" s="93"/>
      <c r="E836" s="93"/>
      <c r="F836" s="322"/>
      <c r="G836" s="322" t="e">
        <f>SUM(G837:G838)</f>
        <v>#N/A</v>
      </c>
      <c r="H836" s="95"/>
      <c r="I836" s="93"/>
      <c r="J836" s="93"/>
      <c r="K836" s="93"/>
      <c r="L836" s="93"/>
      <c r="M836" s="93"/>
      <c r="N836" s="93"/>
      <c r="O836" s="93"/>
      <c r="P836" s="93"/>
      <c r="Q836" s="93"/>
      <c r="R836" s="247"/>
    </row>
    <row r="837" spans="1:18" s="244" customFormat="1" ht="20.25" customHeight="1" x14ac:dyDescent="0.2">
      <c r="A837" s="412" t="s">
        <v>260</v>
      </c>
      <c r="B837" s="365" t="s">
        <v>33</v>
      </c>
      <c r="C837" s="151">
        <v>3</v>
      </c>
      <c r="D837" s="97"/>
      <c r="E837" s="92">
        <f>C837*R837</f>
        <v>1.5</v>
      </c>
      <c r="F837" s="98" t="e">
        <f>VLOOKUP(A837,ГрафикЖД!$B$4:$C$55,2,0)</f>
        <v>#N/A</v>
      </c>
      <c r="G837" s="99" t="e">
        <f>E837*F837</f>
        <v>#N/A</v>
      </c>
      <c r="H837" s="97"/>
      <c r="I837" s="100">
        <f>C833/E837*C837</f>
        <v>15.2</v>
      </c>
      <c r="J837" s="77">
        <v>0.5</v>
      </c>
      <c r="K837" s="77"/>
      <c r="L837" s="77"/>
      <c r="M837" s="77"/>
      <c r="N837" s="77"/>
      <c r="O837" s="77"/>
      <c r="P837" s="77"/>
      <c r="Q837" s="77"/>
      <c r="R837" s="78">
        <f>SUM(J837:Q837)</f>
        <v>0.5</v>
      </c>
    </row>
    <row r="838" spans="1:18" s="244" customFormat="1" ht="20.25" customHeight="1" x14ac:dyDescent="0.2">
      <c r="A838" s="412" t="s">
        <v>32</v>
      </c>
      <c r="B838" s="375"/>
      <c r="C838" s="99"/>
      <c r="D838" s="97"/>
      <c r="E838" s="97"/>
      <c r="F838" s="99"/>
      <c r="G838" s="99" t="e">
        <f>G837*30.9%</f>
        <v>#N/A</v>
      </c>
      <c r="H838" s="97"/>
      <c r="I838" s="97"/>
      <c r="J838" s="101"/>
      <c r="K838" s="101"/>
      <c r="L838" s="101"/>
      <c r="M838" s="101"/>
      <c r="N838" s="101"/>
      <c r="O838" s="101"/>
      <c r="P838" s="101"/>
      <c r="Q838" s="101"/>
      <c r="R838" s="249"/>
    </row>
    <row r="839" spans="1:18" s="244" customFormat="1" ht="20.25" customHeight="1" x14ac:dyDescent="0.25">
      <c r="A839" s="462" t="s">
        <v>1</v>
      </c>
      <c r="B839" s="374"/>
      <c r="C839" s="93"/>
      <c r="D839" s="93"/>
      <c r="E839" s="93"/>
      <c r="F839" s="322"/>
      <c r="G839" s="322">
        <f>SUM(G840)</f>
        <v>9625</v>
      </c>
      <c r="H839" s="95"/>
      <c r="I839" s="93"/>
      <c r="J839" s="103"/>
      <c r="K839" s="103"/>
      <c r="L839" s="103"/>
      <c r="M839" s="103"/>
      <c r="N839" s="103"/>
      <c r="O839" s="103"/>
      <c r="P839" s="103"/>
      <c r="Q839" s="103"/>
      <c r="R839" s="250"/>
    </row>
    <row r="840" spans="1:18" s="244" customFormat="1" ht="20.25" customHeight="1" x14ac:dyDescent="0.25">
      <c r="A840" s="412" t="s">
        <v>242</v>
      </c>
      <c r="B840" s="376" t="s">
        <v>35</v>
      </c>
      <c r="C840" s="121">
        <v>1</v>
      </c>
      <c r="D840" s="106"/>
      <c r="E840" s="92">
        <f>C840*R840</f>
        <v>0.5</v>
      </c>
      <c r="F840" s="98">
        <f>VLOOKUP(A840,ГрафикЖД!$B$4:$C$55,2,0)</f>
        <v>19250</v>
      </c>
      <c r="G840" s="99">
        <f>E840*F840</f>
        <v>9625</v>
      </c>
      <c r="H840" s="106"/>
      <c r="I840" s="100">
        <f>C833/E840*C840</f>
        <v>15.2</v>
      </c>
      <c r="J840" s="100">
        <v>0.5</v>
      </c>
      <c r="K840" s="100"/>
      <c r="L840" s="100"/>
      <c r="M840" s="152"/>
      <c r="N840" s="100"/>
      <c r="O840" s="100"/>
      <c r="P840" s="100"/>
      <c r="Q840" s="152"/>
      <c r="R840" s="248">
        <f>SUM(J840:Q840)</f>
        <v>0.5</v>
      </c>
    </row>
    <row r="841" spans="1:18" s="244" customFormat="1" ht="38.25" customHeight="1" x14ac:dyDescent="0.2">
      <c r="A841" s="470" t="s">
        <v>344</v>
      </c>
      <c r="B841" s="390" t="s">
        <v>57</v>
      </c>
      <c r="C841" s="284">
        <v>151</v>
      </c>
      <c r="D841" s="194"/>
      <c r="E841" s="194">
        <f>E846</f>
        <v>6</v>
      </c>
      <c r="F841" s="194" t="e">
        <f>G841/C841</f>
        <v>#N/A</v>
      </c>
      <c r="G841" s="194" t="e">
        <f>G842+G845+G848</f>
        <v>#N/A</v>
      </c>
      <c r="H841" s="194"/>
      <c r="I841" s="194"/>
      <c r="J841" s="216">
        <f>J846*$I846</f>
        <v>151</v>
      </c>
      <c r="K841" s="216">
        <f t="shared" ref="K841:Q841" si="72">K846*$I846</f>
        <v>0</v>
      </c>
      <c r="L841" s="216">
        <f t="shared" si="72"/>
        <v>0</v>
      </c>
      <c r="M841" s="216">
        <f t="shared" si="72"/>
        <v>0</v>
      </c>
      <c r="N841" s="216">
        <f t="shared" si="72"/>
        <v>0</v>
      </c>
      <c r="O841" s="216">
        <f t="shared" si="72"/>
        <v>0</v>
      </c>
      <c r="P841" s="216">
        <f t="shared" si="72"/>
        <v>0</v>
      </c>
      <c r="Q841" s="216">
        <f t="shared" si="72"/>
        <v>0</v>
      </c>
      <c r="R841" s="216">
        <f>SUM(J841:Q841)</f>
        <v>151</v>
      </c>
    </row>
    <row r="842" spans="1:18" s="244" customFormat="1" ht="20.25" customHeight="1" x14ac:dyDescent="0.2">
      <c r="A842" s="461" t="s">
        <v>167</v>
      </c>
      <c r="B842" s="394"/>
      <c r="C842" s="286"/>
      <c r="D842" s="286"/>
      <c r="E842" s="286"/>
      <c r="F842" s="94"/>
      <c r="G842" s="94">
        <f>SUM(G843:G844)</f>
        <v>1044316</v>
      </c>
      <c r="H842" s="94"/>
      <c r="I842" s="286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1:18" ht="23.25" customHeight="1" x14ac:dyDescent="0.2">
      <c r="A843" s="412" t="s">
        <v>343</v>
      </c>
      <c r="B843" s="365" t="s">
        <v>57</v>
      </c>
      <c r="C843" s="121">
        <v>151</v>
      </c>
      <c r="D843" s="184"/>
      <c r="E843" s="184"/>
      <c r="F843" s="341">
        <v>2778</v>
      </c>
      <c r="G843" s="110">
        <f>C843*F843</f>
        <v>419478</v>
      </c>
      <c r="H843" s="187"/>
      <c r="I843" s="188"/>
      <c r="J843" s="189"/>
      <c r="K843" s="189"/>
      <c r="L843" s="189"/>
      <c r="M843" s="189"/>
      <c r="N843" s="189"/>
      <c r="O843" s="189"/>
      <c r="P843" s="189"/>
      <c r="Q843" s="189"/>
      <c r="R843" s="190"/>
    </row>
    <row r="844" spans="1:18" ht="23.25" customHeight="1" x14ac:dyDescent="0.2">
      <c r="A844" s="412" t="s">
        <v>342</v>
      </c>
      <c r="B844" s="365" t="s">
        <v>57</v>
      </c>
      <c r="C844" s="121">
        <v>151</v>
      </c>
      <c r="D844" s="184"/>
      <c r="E844" s="184"/>
      <c r="F844" s="341">
        <v>4138</v>
      </c>
      <c r="G844" s="110">
        <f>C844*F844</f>
        <v>624838</v>
      </c>
      <c r="H844" s="187"/>
      <c r="I844" s="188"/>
      <c r="J844" s="189"/>
      <c r="K844" s="189"/>
      <c r="L844" s="189"/>
      <c r="M844" s="189"/>
      <c r="N844" s="189"/>
      <c r="O844" s="189"/>
      <c r="P844" s="189"/>
      <c r="Q844" s="189"/>
      <c r="R844" s="190"/>
    </row>
    <row r="845" spans="1:18" s="244" customFormat="1" ht="20.25" customHeight="1" x14ac:dyDescent="0.25">
      <c r="A845" s="462" t="s">
        <v>0</v>
      </c>
      <c r="B845" s="374"/>
      <c r="C845" s="93"/>
      <c r="D845" s="93"/>
      <c r="E845" s="93"/>
      <c r="F845" s="94"/>
      <c r="G845" s="94" t="e">
        <f>SUM(G846:G847)</f>
        <v>#N/A</v>
      </c>
      <c r="H845" s="95"/>
      <c r="I845" s="93"/>
      <c r="J845" s="93"/>
      <c r="K845" s="93"/>
      <c r="L845" s="93"/>
      <c r="M845" s="93"/>
      <c r="N845" s="93"/>
      <c r="O845" s="93"/>
      <c r="P845" s="93"/>
      <c r="Q845" s="93"/>
      <c r="R845" s="93"/>
    </row>
    <row r="846" spans="1:18" s="244" customFormat="1" ht="20.25" customHeight="1" x14ac:dyDescent="0.2">
      <c r="A846" s="412" t="s">
        <v>260</v>
      </c>
      <c r="B846" s="365" t="s">
        <v>33</v>
      </c>
      <c r="C846" s="151">
        <v>6</v>
      </c>
      <c r="D846" s="97"/>
      <c r="E846" s="92">
        <f>C846*R846</f>
        <v>6</v>
      </c>
      <c r="F846" s="98" t="e">
        <f>VLOOKUP(A846,ГрафикЖД!$B$4:$C$55,2,0)</f>
        <v>#N/A</v>
      </c>
      <c r="G846" s="99" t="e">
        <f>E846*F846</f>
        <v>#N/A</v>
      </c>
      <c r="H846" s="97"/>
      <c r="I846" s="100">
        <f>C841/E846*C846</f>
        <v>151</v>
      </c>
      <c r="J846" s="77">
        <v>1</v>
      </c>
      <c r="K846" s="77"/>
      <c r="L846" s="77"/>
      <c r="M846" s="77"/>
      <c r="N846" s="77"/>
      <c r="O846" s="77"/>
      <c r="P846" s="77"/>
      <c r="Q846" s="77"/>
      <c r="R846" s="78">
        <f>SUM(J846:Q846)</f>
        <v>1</v>
      </c>
    </row>
    <row r="847" spans="1:18" s="244" customFormat="1" ht="20.25" customHeight="1" x14ac:dyDescent="0.2">
      <c r="A847" s="412" t="s">
        <v>32</v>
      </c>
      <c r="B847" s="375"/>
      <c r="C847" s="99"/>
      <c r="D847" s="97"/>
      <c r="E847" s="97"/>
      <c r="F847" s="99"/>
      <c r="G847" s="99" t="e">
        <f>G846*30.9%</f>
        <v>#N/A</v>
      </c>
      <c r="H847" s="97"/>
      <c r="I847" s="97"/>
      <c r="J847" s="101"/>
      <c r="K847" s="101"/>
      <c r="L847" s="101"/>
      <c r="M847" s="101"/>
      <c r="N847" s="101"/>
      <c r="O847" s="101"/>
      <c r="P847" s="101"/>
      <c r="Q847" s="101"/>
      <c r="R847" s="102"/>
    </row>
    <row r="848" spans="1:18" s="244" customFormat="1" ht="20.25" customHeight="1" x14ac:dyDescent="0.25">
      <c r="A848" s="462" t="s">
        <v>1</v>
      </c>
      <c r="B848" s="374"/>
      <c r="C848" s="93"/>
      <c r="D848" s="93"/>
      <c r="E848" s="93"/>
      <c r="F848" s="94"/>
      <c r="G848" s="94">
        <f>SUM(G849)</f>
        <v>14437.5</v>
      </c>
      <c r="H848" s="95"/>
      <c r="I848" s="93"/>
      <c r="J848" s="103"/>
      <c r="K848" s="103"/>
      <c r="L848" s="103"/>
      <c r="M848" s="103"/>
      <c r="N848" s="103"/>
      <c r="O848" s="103"/>
      <c r="P848" s="103"/>
      <c r="Q848" s="103"/>
      <c r="R848" s="104"/>
    </row>
    <row r="849" spans="1:18" s="244" customFormat="1" ht="20.25" customHeight="1" x14ac:dyDescent="0.25">
      <c r="A849" s="412" t="s">
        <v>242</v>
      </c>
      <c r="B849" s="376" t="s">
        <v>35</v>
      </c>
      <c r="C849" s="121">
        <v>1</v>
      </c>
      <c r="D849" s="106"/>
      <c r="E849" s="92">
        <f>C849*R849</f>
        <v>0.75</v>
      </c>
      <c r="F849" s="98">
        <f>VLOOKUP(A849,ГрафикЖД!$B$4:$C$55,2,0)</f>
        <v>19250</v>
      </c>
      <c r="G849" s="99">
        <f>E849*F849</f>
        <v>14437.5</v>
      </c>
      <c r="H849" s="106"/>
      <c r="I849" s="100">
        <f>C841/E849*C849</f>
        <v>201.33333333333334</v>
      </c>
      <c r="J849" s="100">
        <v>0.75</v>
      </c>
      <c r="K849" s="100"/>
      <c r="L849" s="100"/>
      <c r="M849" s="152"/>
      <c r="N849" s="100"/>
      <c r="O849" s="100"/>
      <c r="P849" s="100"/>
      <c r="Q849" s="152"/>
      <c r="R849" s="78">
        <f>SUM(J849:Q849)</f>
        <v>0.75</v>
      </c>
    </row>
    <row r="850" spans="1:18" s="273" customFormat="1" ht="34.5" customHeight="1" x14ac:dyDescent="0.25">
      <c r="A850" s="360" t="s">
        <v>345</v>
      </c>
      <c r="B850" s="393" t="s">
        <v>57</v>
      </c>
      <c r="C850" s="353">
        <v>6</v>
      </c>
      <c r="D850" s="359"/>
      <c r="E850" s="360">
        <f>E854+E863</f>
        <v>1.5</v>
      </c>
      <c r="F850" s="352" t="e">
        <f>G850/C850</f>
        <v>#N/A</v>
      </c>
      <c r="G850" s="352" t="e">
        <f>G854+G863</f>
        <v>#N/A</v>
      </c>
      <c r="H850" s="359"/>
      <c r="I850" s="361"/>
      <c r="J850" s="362">
        <f>$C$700/$R$702*J852</f>
        <v>41.787832629416791</v>
      </c>
      <c r="K850" s="362">
        <f t="shared" ref="K850:Q850" si="73">$C$700/$R$702*K852</f>
        <v>0</v>
      </c>
      <c r="L850" s="362">
        <f t="shared" si="73"/>
        <v>0</v>
      </c>
      <c r="M850" s="362">
        <f t="shared" si="73"/>
        <v>0</v>
      </c>
      <c r="N850" s="362">
        <f t="shared" si="73"/>
        <v>0</v>
      </c>
      <c r="O850" s="362">
        <f t="shared" si="73"/>
        <v>0</v>
      </c>
      <c r="P850" s="362">
        <f t="shared" si="73"/>
        <v>0</v>
      </c>
      <c r="Q850" s="362">
        <f t="shared" si="73"/>
        <v>0</v>
      </c>
      <c r="R850" s="363">
        <f>SUM(J850:Q850)</f>
        <v>41.787832629416791</v>
      </c>
    </row>
    <row r="851" spans="1:18" s="244" customFormat="1" ht="20.25" customHeight="1" x14ac:dyDescent="0.2">
      <c r="A851" s="228" t="s">
        <v>46</v>
      </c>
      <c r="B851" s="371" t="str">
        <f>B850</f>
        <v>м</v>
      </c>
      <c r="C851" s="230">
        <f>C850</f>
        <v>6</v>
      </c>
      <c r="D851" s="142"/>
      <c r="E851" s="298"/>
      <c r="F851" s="229"/>
      <c r="G851" s="142">
        <f>SUMIF($A$854:$A$872,A855,$G$854:$G$872)</f>
        <v>59050</v>
      </c>
      <c r="H851" s="142"/>
      <c r="I851" s="299"/>
      <c r="J851" s="227"/>
      <c r="K851" s="227"/>
      <c r="L851" s="227"/>
      <c r="M851" s="227"/>
      <c r="N851" s="227"/>
      <c r="O851" s="227"/>
      <c r="P851" s="227"/>
      <c r="Q851" s="227"/>
      <c r="R851" s="228"/>
    </row>
    <row r="852" spans="1:18" s="244" customFormat="1" ht="20.25" customHeight="1" x14ac:dyDescent="0.2">
      <c r="A852" s="228" t="s">
        <v>47</v>
      </c>
      <c r="B852" s="371" t="str">
        <f>B851</f>
        <v>м</v>
      </c>
      <c r="C852" s="230">
        <f>C850</f>
        <v>6</v>
      </c>
      <c r="D852" s="142"/>
      <c r="E852" s="298"/>
      <c r="F852" s="229"/>
      <c r="G852" s="142" t="e">
        <f>SUMIF($A$854:$A$872,A858,$G$854:$G$872)</f>
        <v>#N/A</v>
      </c>
      <c r="H852" s="142"/>
      <c r="I852" s="299"/>
      <c r="J852" s="300">
        <f t="array" ref="J852">SUMPRODUCT(IF($A$854:$A$871=$A859,J$854:J$871,0),$C$854:$C$871)</f>
        <v>1.5</v>
      </c>
      <c r="K852" s="300">
        <f t="array" ref="K852">SUMPRODUCT(IF($A$854:$A$871=$A859,K$854:K$871,0),$C$854:$C$871)</f>
        <v>0</v>
      </c>
      <c r="L852" s="300">
        <f t="array" ref="L852">SUMPRODUCT(IF($A$854:$A$871=$A859,L$854:L$871,0),$C$854:$C$871)</f>
        <v>0</v>
      </c>
      <c r="M852" s="300">
        <f t="array" ref="M852">SUMPRODUCT(IF($A$854:$A$871=$A859,M$854:M$871,0),$C$854:$C$871)</f>
        <v>0</v>
      </c>
      <c r="N852" s="300">
        <f t="array" ref="N852">SUMPRODUCT(IF($A$854:$A$871=$A859,N$854:N$871,0),$C$854:$C$871)</f>
        <v>0</v>
      </c>
      <c r="O852" s="300">
        <f t="array" ref="O852">SUMPRODUCT(IF($A$854:$A$871=$A859,O$854:O$871,0),$C$854:$C$871)</f>
        <v>0</v>
      </c>
      <c r="P852" s="300">
        <f t="array" ref="P852">SUMPRODUCT(IF($A$854:$A$871=$A859,P$854:P$871,0),$C$854:$C$871)</f>
        <v>0</v>
      </c>
      <c r="Q852" s="300">
        <f t="array" ref="Q852">SUMPRODUCT(IF($A$854:$A$871=$A859,Q$854:Q$871,0),$C$854:$C$871)</f>
        <v>0</v>
      </c>
      <c r="R852" s="282">
        <f>SUM(J852:Q852)</f>
        <v>1.5</v>
      </c>
    </row>
    <row r="853" spans="1:18" s="244" customFormat="1" ht="20.25" customHeight="1" x14ac:dyDescent="0.2">
      <c r="A853" s="228" t="s">
        <v>48</v>
      </c>
      <c r="B853" s="371" t="str">
        <f>B852</f>
        <v>м</v>
      </c>
      <c r="C853" s="230">
        <f>C850</f>
        <v>6</v>
      </c>
      <c r="D853" s="142"/>
      <c r="E853" s="298"/>
      <c r="F853" s="229"/>
      <c r="G853" s="142">
        <f>SUMIF($A$854:$A$872,A861,$G$854:$G$872)</f>
        <v>10450</v>
      </c>
      <c r="H853" s="142"/>
      <c r="I853" s="299"/>
      <c r="J853" s="227"/>
      <c r="K853" s="227"/>
      <c r="L853" s="227"/>
      <c r="M853" s="227"/>
      <c r="N853" s="227"/>
      <c r="O853" s="227"/>
      <c r="P853" s="227"/>
      <c r="Q853" s="227"/>
      <c r="R853" s="228"/>
    </row>
    <row r="854" spans="1:18" s="244" customFormat="1" ht="35.25" customHeight="1" x14ac:dyDescent="0.2">
      <c r="A854" s="470" t="s">
        <v>345</v>
      </c>
      <c r="B854" s="390" t="s">
        <v>57</v>
      </c>
      <c r="C854" s="284">
        <v>6</v>
      </c>
      <c r="D854" s="194"/>
      <c r="E854" s="194">
        <f>E859</f>
        <v>0.89999999999999991</v>
      </c>
      <c r="F854" s="194"/>
      <c r="G854" s="194" t="e">
        <f>G855+G858+G861</f>
        <v>#N/A</v>
      </c>
      <c r="H854" s="194"/>
      <c r="I854" s="194"/>
      <c r="J854" s="216">
        <f>J859*$I859</f>
        <v>6</v>
      </c>
      <c r="K854" s="216">
        <f t="shared" ref="K854:Q854" si="74">K859*$I859</f>
        <v>0</v>
      </c>
      <c r="L854" s="216">
        <f t="shared" si="74"/>
        <v>0</v>
      </c>
      <c r="M854" s="216">
        <f t="shared" si="74"/>
        <v>0</v>
      </c>
      <c r="N854" s="216">
        <f t="shared" si="74"/>
        <v>0</v>
      </c>
      <c r="O854" s="216">
        <f t="shared" si="74"/>
        <v>0</v>
      </c>
      <c r="P854" s="216">
        <f t="shared" si="74"/>
        <v>0</v>
      </c>
      <c r="Q854" s="216">
        <f t="shared" si="74"/>
        <v>0</v>
      </c>
      <c r="R854" s="285">
        <f>SUM(J854:Q854)</f>
        <v>6</v>
      </c>
    </row>
    <row r="855" spans="1:18" s="244" customFormat="1" ht="20.25" customHeight="1" x14ac:dyDescent="0.25">
      <c r="A855" s="463" t="s">
        <v>167</v>
      </c>
      <c r="B855" s="374"/>
      <c r="C855" s="93"/>
      <c r="D855" s="93"/>
      <c r="E855" s="93"/>
      <c r="F855" s="94">
        <f>G855/C854</f>
        <v>5866.666666666667</v>
      </c>
      <c r="G855" s="94">
        <f>SUM(G856:G857)</f>
        <v>35200</v>
      </c>
      <c r="H855" s="95"/>
      <c r="I855" s="93"/>
      <c r="J855" s="95"/>
      <c r="K855" s="95"/>
      <c r="L855" s="95"/>
      <c r="M855" s="95"/>
      <c r="N855" s="95"/>
      <c r="O855" s="95"/>
      <c r="P855" s="95"/>
      <c r="Q855" s="95"/>
      <c r="R855" s="245"/>
    </row>
    <row r="856" spans="1:18" ht="23.25" customHeight="1" x14ac:dyDescent="0.2">
      <c r="A856" s="412" t="s">
        <v>346</v>
      </c>
      <c r="B856" s="365" t="s">
        <v>35</v>
      </c>
      <c r="C856" s="121">
        <v>4</v>
      </c>
      <c r="D856" s="184"/>
      <c r="E856" s="184"/>
      <c r="F856" s="96">
        <v>7500</v>
      </c>
      <c r="G856" s="110">
        <f>C856*F856</f>
        <v>30000</v>
      </c>
      <c r="H856" s="187"/>
      <c r="I856" s="188"/>
      <c r="J856" s="189"/>
      <c r="K856" s="189"/>
      <c r="L856" s="189"/>
      <c r="M856" s="189"/>
      <c r="N856" s="189"/>
      <c r="O856" s="189"/>
      <c r="P856" s="189"/>
      <c r="Q856" s="189"/>
      <c r="R856" s="257"/>
    </row>
    <row r="857" spans="1:18" ht="23.25" customHeight="1" x14ac:dyDescent="0.2">
      <c r="A857" s="412" t="s">
        <v>347</v>
      </c>
      <c r="B857" s="365" t="s">
        <v>35</v>
      </c>
      <c r="C857" s="121">
        <v>8</v>
      </c>
      <c r="D857" s="184"/>
      <c r="E857" s="184"/>
      <c r="F857" s="96">
        <v>650</v>
      </c>
      <c r="G857" s="110">
        <f>C857*F857</f>
        <v>5200</v>
      </c>
      <c r="H857" s="187"/>
      <c r="I857" s="188"/>
      <c r="J857" s="189"/>
      <c r="K857" s="189"/>
      <c r="L857" s="189"/>
      <c r="M857" s="189"/>
      <c r="N857" s="189"/>
      <c r="O857" s="189"/>
      <c r="P857" s="189"/>
      <c r="Q857" s="189"/>
      <c r="R857" s="257"/>
    </row>
    <row r="858" spans="1:18" s="244" customFormat="1" ht="20.25" customHeight="1" x14ac:dyDescent="0.25">
      <c r="A858" s="462" t="s">
        <v>0</v>
      </c>
      <c r="B858" s="374"/>
      <c r="C858" s="93"/>
      <c r="D858" s="93"/>
      <c r="E858" s="93"/>
      <c r="F858" s="94" t="e">
        <f>G858/C854</f>
        <v>#N/A</v>
      </c>
      <c r="G858" s="94" t="e">
        <f>SUM(G859:G860)</f>
        <v>#N/A</v>
      </c>
      <c r="H858" s="95"/>
      <c r="I858" s="93"/>
      <c r="J858" s="93"/>
      <c r="K858" s="93"/>
      <c r="L858" s="93"/>
      <c r="M858" s="93"/>
      <c r="N858" s="93"/>
      <c r="O858" s="93"/>
      <c r="P858" s="93"/>
      <c r="Q858" s="93"/>
      <c r="R858" s="247"/>
    </row>
    <row r="859" spans="1:18" s="244" customFormat="1" ht="20.25" customHeight="1" x14ac:dyDescent="0.2">
      <c r="A859" s="412" t="s">
        <v>260</v>
      </c>
      <c r="B859" s="365" t="s">
        <v>33</v>
      </c>
      <c r="C859" s="151">
        <v>3</v>
      </c>
      <c r="D859" s="97"/>
      <c r="E859" s="92">
        <f>C859*R859</f>
        <v>0.89999999999999991</v>
      </c>
      <c r="F859" s="98" t="e">
        <f>VLOOKUP(A859,ГрафикЖД!$B$4:$C$55,2,0)</f>
        <v>#N/A</v>
      </c>
      <c r="G859" s="99" t="e">
        <f>E859*F859</f>
        <v>#N/A</v>
      </c>
      <c r="H859" s="97"/>
      <c r="I859" s="100">
        <f>C854/E859*C859</f>
        <v>20</v>
      </c>
      <c r="J859" s="77">
        <v>0.3</v>
      </c>
      <c r="K859" s="77"/>
      <c r="L859" s="77"/>
      <c r="M859" s="77"/>
      <c r="N859" s="77"/>
      <c r="O859" s="77"/>
      <c r="P859" s="77"/>
      <c r="Q859" s="77"/>
      <c r="R859" s="78">
        <f>SUM(J859:Q859)</f>
        <v>0.3</v>
      </c>
    </row>
    <row r="860" spans="1:18" s="244" customFormat="1" ht="20.25" customHeight="1" x14ac:dyDescent="0.2">
      <c r="A860" s="412" t="s">
        <v>32</v>
      </c>
      <c r="B860" s="375"/>
      <c r="C860" s="99"/>
      <c r="D860" s="97"/>
      <c r="E860" s="97"/>
      <c r="F860" s="99"/>
      <c r="G860" s="99" t="e">
        <f>G859*30.9%</f>
        <v>#N/A</v>
      </c>
      <c r="H860" s="97"/>
      <c r="I860" s="97"/>
      <c r="J860" s="101"/>
      <c r="K860" s="101"/>
      <c r="L860" s="101"/>
      <c r="M860" s="101"/>
      <c r="N860" s="101"/>
      <c r="O860" s="101"/>
      <c r="P860" s="101"/>
      <c r="Q860" s="101"/>
      <c r="R860" s="249"/>
    </row>
    <row r="861" spans="1:18" s="244" customFormat="1" ht="20.25" customHeight="1" x14ac:dyDescent="0.25">
      <c r="A861" s="462" t="s">
        <v>1</v>
      </c>
      <c r="B861" s="374"/>
      <c r="C861" s="93"/>
      <c r="D861" s="93"/>
      <c r="E861" s="93"/>
      <c r="F861" s="94">
        <f>G861/C854</f>
        <v>1045</v>
      </c>
      <c r="G861" s="94">
        <f>SUM(G862)</f>
        <v>6270</v>
      </c>
      <c r="H861" s="95"/>
      <c r="I861" s="93"/>
      <c r="J861" s="103"/>
      <c r="K861" s="103"/>
      <c r="L861" s="103"/>
      <c r="M861" s="103"/>
      <c r="N861" s="103"/>
      <c r="O861" s="103"/>
      <c r="P861" s="103"/>
      <c r="Q861" s="103"/>
      <c r="R861" s="250"/>
    </row>
    <row r="862" spans="1:18" s="244" customFormat="1" ht="20.25" customHeight="1" x14ac:dyDescent="0.25">
      <c r="A862" s="415" t="s">
        <v>240</v>
      </c>
      <c r="B862" s="376" t="s">
        <v>35</v>
      </c>
      <c r="C862" s="92">
        <v>1</v>
      </c>
      <c r="D862" s="106"/>
      <c r="E862" s="92">
        <f>C862*R862</f>
        <v>0.3</v>
      </c>
      <c r="F862" s="98">
        <f>VLOOKUP(A862,ГрафикЖД!$B$4:$C$55,2,0)</f>
        <v>20900</v>
      </c>
      <c r="G862" s="99">
        <f>E862*F862</f>
        <v>6270</v>
      </c>
      <c r="H862" s="106"/>
      <c r="I862" s="100">
        <f>C854/E862*C862</f>
        <v>20</v>
      </c>
      <c r="J862" s="100">
        <v>0.3</v>
      </c>
      <c r="K862" s="100"/>
      <c r="L862" s="100"/>
      <c r="M862" s="152"/>
      <c r="N862" s="100"/>
      <c r="O862" s="100"/>
      <c r="P862" s="100"/>
      <c r="Q862" s="152"/>
      <c r="R862" s="248">
        <f>SUM(J862:Q862)</f>
        <v>0.3</v>
      </c>
    </row>
    <row r="863" spans="1:18" s="244" customFormat="1" ht="39.75" customHeight="1" x14ac:dyDescent="0.2">
      <c r="A863" s="470" t="s">
        <v>348</v>
      </c>
      <c r="B863" s="390" t="s">
        <v>55</v>
      </c>
      <c r="C863" s="284">
        <v>30</v>
      </c>
      <c r="D863" s="194"/>
      <c r="E863" s="194">
        <f>E868</f>
        <v>0.60000000000000009</v>
      </c>
      <c r="F863" s="194"/>
      <c r="G863" s="194" t="e">
        <f>G864+G867+G870</f>
        <v>#N/A</v>
      </c>
      <c r="H863" s="194"/>
      <c r="I863" s="194"/>
      <c r="J863" s="216">
        <f>J868*$I868</f>
        <v>29.999999999999996</v>
      </c>
      <c r="K863" s="216">
        <f t="shared" ref="K863:Q863" si="75">K868*$I868</f>
        <v>0</v>
      </c>
      <c r="L863" s="216">
        <f t="shared" si="75"/>
        <v>0</v>
      </c>
      <c r="M863" s="216">
        <f t="shared" si="75"/>
        <v>0</v>
      </c>
      <c r="N863" s="216">
        <f t="shared" si="75"/>
        <v>0</v>
      </c>
      <c r="O863" s="216">
        <f t="shared" si="75"/>
        <v>0</v>
      </c>
      <c r="P863" s="216">
        <f t="shared" si="75"/>
        <v>0</v>
      </c>
      <c r="Q863" s="216">
        <f t="shared" si="75"/>
        <v>0</v>
      </c>
      <c r="R863" s="285">
        <f>SUM(J863:Q863)</f>
        <v>29.999999999999996</v>
      </c>
    </row>
    <row r="864" spans="1:18" s="244" customFormat="1" ht="20.25" customHeight="1" x14ac:dyDescent="0.2">
      <c r="A864" s="461" t="s">
        <v>167</v>
      </c>
      <c r="B864" s="394"/>
      <c r="C864" s="286"/>
      <c r="D864" s="286"/>
      <c r="E864" s="286"/>
      <c r="F864" s="94"/>
      <c r="G864" s="94">
        <f>SUM(G865:G866)</f>
        <v>23850</v>
      </c>
      <c r="H864" s="94"/>
      <c r="I864" s="286"/>
      <c r="J864" s="94"/>
      <c r="K864" s="94"/>
      <c r="L864" s="94"/>
      <c r="M864" s="94"/>
      <c r="N864" s="94"/>
      <c r="O864" s="94"/>
      <c r="P864" s="94"/>
      <c r="Q864" s="94"/>
      <c r="R864" s="316"/>
    </row>
    <row r="865" spans="1:18" ht="23.25" customHeight="1" x14ac:dyDescent="0.2">
      <c r="A865" s="412" t="s">
        <v>350</v>
      </c>
      <c r="B865" s="365" t="s">
        <v>34</v>
      </c>
      <c r="C865" s="121">
        <v>3</v>
      </c>
      <c r="D865" s="184"/>
      <c r="E865" s="184"/>
      <c r="F865" s="96">
        <v>7200</v>
      </c>
      <c r="G865" s="110">
        <f>C865*F865</f>
        <v>21600</v>
      </c>
      <c r="H865" s="187"/>
      <c r="I865" s="188"/>
      <c r="J865" s="189"/>
      <c r="K865" s="189"/>
      <c r="L865" s="189"/>
      <c r="M865" s="189"/>
      <c r="N865" s="189"/>
      <c r="O865" s="189"/>
      <c r="P865" s="189"/>
      <c r="Q865" s="189"/>
      <c r="R865" s="257"/>
    </row>
    <row r="866" spans="1:18" ht="23.25" customHeight="1" x14ac:dyDescent="0.2">
      <c r="A866" s="412" t="s">
        <v>335</v>
      </c>
      <c r="B866" s="365" t="s">
        <v>34</v>
      </c>
      <c r="C866" s="121">
        <f>30*0.05</f>
        <v>1.5</v>
      </c>
      <c r="D866" s="184"/>
      <c r="E866" s="184"/>
      <c r="F866" s="96">
        <v>1500</v>
      </c>
      <c r="G866" s="110">
        <f>C866*F866</f>
        <v>2250</v>
      </c>
      <c r="H866" s="187"/>
      <c r="I866" s="188"/>
      <c r="J866" s="189"/>
      <c r="K866" s="189"/>
      <c r="L866" s="189"/>
      <c r="M866" s="189"/>
      <c r="N866" s="189"/>
      <c r="O866" s="189"/>
      <c r="P866" s="189"/>
      <c r="Q866" s="189"/>
      <c r="R866" s="257"/>
    </row>
    <row r="867" spans="1:18" s="244" customFormat="1" ht="20.25" customHeight="1" x14ac:dyDescent="0.25">
      <c r="A867" s="462" t="s">
        <v>0</v>
      </c>
      <c r="B867" s="374"/>
      <c r="C867" s="93"/>
      <c r="D867" s="93"/>
      <c r="E867" s="93"/>
      <c r="F867" s="94" t="e">
        <f>G867/C863</f>
        <v>#N/A</v>
      </c>
      <c r="G867" s="94" t="e">
        <f>SUM(G868:G869)</f>
        <v>#N/A</v>
      </c>
      <c r="H867" s="95"/>
      <c r="I867" s="93"/>
      <c r="J867" s="93"/>
      <c r="K867" s="93"/>
      <c r="L867" s="93"/>
      <c r="M867" s="93"/>
      <c r="N867" s="93"/>
      <c r="O867" s="93"/>
      <c r="P867" s="93"/>
      <c r="Q867" s="93"/>
      <c r="R867" s="247"/>
    </row>
    <row r="868" spans="1:18" s="244" customFormat="1" ht="20.25" customHeight="1" x14ac:dyDescent="0.2">
      <c r="A868" s="412" t="s">
        <v>260</v>
      </c>
      <c r="B868" s="365" t="s">
        <v>33</v>
      </c>
      <c r="C868" s="151">
        <v>3</v>
      </c>
      <c r="D868" s="97"/>
      <c r="E868" s="92">
        <f>C868*R868</f>
        <v>0.60000000000000009</v>
      </c>
      <c r="F868" s="98" t="e">
        <f>VLOOKUP(A868,ГрафикЖД!$B$4:$C$55,2,0)</f>
        <v>#N/A</v>
      </c>
      <c r="G868" s="99" t="e">
        <f>E868*F868</f>
        <v>#N/A</v>
      </c>
      <c r="H868" s="97"/>
      <c r="I868" s="100">
        <f>C863/E868*C868</f>
        <v>149.99999999999997</v>
      </c>
      <c r="J868" s="77">
        <v>0.2</v>
      </c>
      <c r="K868" s="77"/>
      <c r="L868" s="77"/>
      <c r="M868" s="77"/>
      <c r="N868" s="77"/>
      <c r="O868" s="77"/>
      <c r="P868" s="77"/>
      <c r="Q868" s="77"/>
      <c r="R868" s="78">
        <f>SUM(J868:Q868)</f>
        <v>0.2</v>
      </c>
    </row>
    <row r="869" spans="1:18" s="244" customFormat="1" ht="20.25" customHeight="1" x14ac:dyDescent="0.2">
      <c r="A869" s="412" t="s">
        <v>32</v>
      </c>
      <c r="B869" s="375"/>
      <c r="C869" s="99"/>
      <c r="D869" s="97"/>
      <c r="E869" s="97"/>
      <c r="F869" s="99"/>
      <c r="G869" s="99" t="e">
        <f>G868*30.9%</f>
        <v>#N/A</v>
      </c>
      <c r="H869" s="97"/>
      <c r="I869" s="97"/>
      <c r="J869" s="101"/>
      <c r="K869" s="101"/>
      <c r="L869" s="101"/>
      <c r="M869" s="101"/>
      <c r="N869" s="101"/>
      <c r="O869" s="101"/>
      <c r="P869" s="101"/>
      <c r="Q869" s="101"/>
      <c r="R869" s="249"/>
    </row>
    <row r="870" spans="1:18" s="244" customFormat="1" ht="20.25" customHeight="1" x14ac:dyDescent="0.25">
      <c r="A870" s="462" t="s">
        <v>1</v>
      </c>
      <c r="B870" s="374"/>
      <c r="C870" s="93"/>
      <c r="D870" s="93"/>
      <c r="E870" s="93"/>
      <c r="F870" s="94">
        <f>G870/C863</f>
        <v>139.33333333333334</v>
      </c>
      <c r="G870" s="94">
        <f>SUM(G871)</f>
        <v>4180</v>
      </c>
      <c r="H870" s="95"/>
      <c r="I870" s="93"/>
      <c r="J870" s="103"/>
      <c r="K870" s="103"/>
      <c r="L870" s="103"/>
      <c r="M870" s="103"/>
      <c r="N870" s="103"/>
      <c r="O870" s="103"/>
      <c r="P870" s="103"/>
      <c r="Q870" s="103"/>
      <c r="R870" s="250"/>
    </row>
    <row r="871" spans="1:18" s="244" customFormat="1" ht="20.25" customHeight="1" x14ac:dyDescent="0.25">
      <c r="A871" s="415" t="s">
        <v>240</v>
      </c>
      <c r="B871" s="376" t="s">
        <v>35</v>
      </c>
      <c r="C871" s="92">
        <v>1</v>
      </c>
      <c r="D871" s="106"/>
      <c r="E871" s="92">
        <f>C871*R871</f>
        <v>0.2</v>
      </c>
      <c r="F871" s="98">
        <f>VLOOKUP(A871,ГрафикЖД!$B$4:$C$55,2,0)</f>
        <v>20900</v>
      </c>
      <c r="G871" s="99">
        <f>E871*F871</f>
        <v>4180</v>
      </c>
      <c r="H871" s="106"/>
      <c r="I871" s="100">
        <f>C863/E871*C871</f>
        <v>150</v>
      </c>
      <c r="J871" s="100">
        <v>0.2</v>
      </c>
      <c r="K871" s="100"/>
      <c r="L871" s="100"/>
      <c r="M871" s="152"/>
      <c r="N871" s="100"/>
      <c r="O871" s="100"/>
      <c r="P871" s="100"/>
      <c r="Q871" s="152"/>
      <c r="R871" s="248">
        <f>SUM(J871:Q871)</f>
        <v>0.2</v>
      </c>
    </row>
    <row r="872" spans="1:18" ht="15.75" x14ac:dyDescent="0.2">
      <c r="A872" s="475" t="s">
        <v>20</v>
      </c>
      <c r="B872" s="395"/>
      <c r="C872" s="83"/>
      <c r="D872" s="84"/>
      <c r="E872" s="85"/>
      <c r="F872" s="86"/>
      <c r="G872" s="84" t="e">
        <f>G35</f>
        <v>#N/A</v>
      </c>
      <c r="H872" s="87"/>
      <c r="I872" s="88"/>
      <c r="J872" s="89">
        <f t="shared" ref="J872:Q872" si="76">J37</f>
        <v>0</v>
      </c>
      <c r="K872" s="89">
        <f t="shared" si="76"/>
        <v>0</v>
      </c>
      <c r="L872" s="89">
        <f t="shared" si="76"/>
        <v>0</v>
      </c>
      <c r="M872" s="89">
        <f t="shared" si="76"/>
        <v>0</v>
      </c>
      <c r="N872" s="89">
        <f t="shared" si="76"/>
        <v>0</v>
      </c>
      <c r="O872" s="89">
        <f t="shared" si="76"/>
        <v>0</v>
      </c>
      <c r="P872" s="89">
        <f t="shared" si="76"/>
        <v>0</v>
      </c>
      <c r="Q872" s="89">
        <f t="shared" si="76"/>
        <v>0</v>
      </c>
      <c r="R872" s="256">
        <f>SUM(J872:Q872)</f>
        <v>0</v>
      </c>
    </row>
    <row r="873" spans="1:18" ht="13.5" thickBot="1" x14ac:dyDescent="0.25">
      <c r="A873" s="476"/>
      <c r="B873" s="396"/>
      <c r="C873" s="23"/>
      <c r="D873" s="24"/>
      <c r="E873" s="24"/>
      <c r="F873" s="45"/>
      <c r="G873" s="24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</row>
    <row r="874" spans="1:18" ht="13.5" thickTop="1" x14ac:dyDescent="0.2">
      <c r="A874" s="579" t="s">
        <v>29</v>
      </c>
      <c r="B874" s="580"/>
      <c r="C874" s="580"/>
      <c r="D874" s="26"/>
      <c r="E874" s="26"/>
      <c r="F874" s="46"/>
      <c r="G874" s="69"/>
      <c r="H874" s="70"/>
      <c r="I874" s="71"/>
      <c r="J874" s="75"/>
      <c r="K874" s="75"/>
      <c r="L874" s="75"/>
      <c r="M874" s="75"/>
      <c r="N874" s="75"/>
      <c r="O874" s="75"/>
      <c r="P874" s="26"/>
      <c r="Q874" s="26"/>
      <c r="R874" s="258"/>
    </row>
    <row r="875" spans="1:18" x14ac:dyDescent="0.2">
      <c r="A875" s="477"/>
      <c r="B875" s="397"/>
      <c r="C875" s="28"/>
      <c r="D875" s="27"/>
      <c r="E875" s="27"/>
      <c r="F875" s="114"/>
      <c r="G875" s="72"/>
      <c r="H875" s="73"/>
      <c r="I875" s="74"/>
      <c r="J875" s="54"/>
      <c r="K875" s="54"/>
      <c r="L875" s="54"/>
      <c r="M875" s="54"/>
      <c r="N875" s="54"/>
      <c r="O875" s="54"/>
      <c r="P875" s="54"/>
      <c r="Q875" s="54"/>
      <c r="R875" s="259"/>
    </row>
    <row r="876" spans="1:18" ht="30" customHeight="1" x14ac:dyDescent="0.2">
      <c r="A876" s="478"/>
      <c r="B876" s="397"/>
      <c r="C876" s="28"/>
      <c r="D876" s="27"/>
      <c r="E876" s="27"/>
      <c r="F876" s="124" t="s">
        <v>58</v>
      </c>
      <c r="G876" s="73"/>
      <c r="H876" s="73"/>
      <c r="I876" s="39"/>
      <c r="J876" s="153" t="s">
        <v>44</v>
      </c>
      <c r="K876" s="153" t="s">
        <v>45</v>
      </c>
      <c r="L876" s="153" t="s">
        <v>70</v>
      </c>
      <c r="M876" s="153" t="s">
        <v>71</v>
      </c>
      <c r="N876" s="153" t="s">
        <v>72</v>
      </c>
      <c r="O876" s="153" t="s">
        <v>123</v>
      </c>
      <c r="P876" s="153" t="s">
        <v>124</v>
      </c>
      <c r="Q876" s="153" t="s">
        <v>125</v>
      </c>
      <c r="R876" s="54"/>
    </row>
    <row r="877" spans="1:18" ht="30" customHeight="1" x14ac:dyDescent="0.2">
      <c r="A877" s="478"/>
      <c r="B877" s="397"/>
      <c r="C877" s="28"/>
      <c r="D877" s="27"/>
      <c r="E877" s="89">
        <f t="shared" ref="E877:E903" si="77">SUMIF($A$42:$A$872,G877,E$42:E$872)</f>
        <v>0</v>
      </c>
      <c r="F877" s="144">
        <v>2</v>
      </c>
      <c r="G877" s="510" t="s">
        <v>174</v>
      </c>
      <c r="H877" s="511"/>
      <c r="I877" s="145"/>
      <c r="J877" s="146">
        <f t="shared" ref="J877:Q886" si="78">SUMIF($A$35:$A$872,$G877,J$35:J$872)</f>
        <v>0</v>
      </c>
      <c r="K877" s="146">
        <f t="shared" si="78"/>
        <v>0</v>
      </c>
      <c r="L877" s="146">
        <f t="shared" si="78"/>
        <v>0</v>
      </c>
      <c r="M877" s="146">
        <f t="shared" si="78"/>
        <v>0</v>
      </c>
      <c r="N877" s="146">
        <f t="shared" si="78"/>
        <v>0</v>
      </c>
      <c r="O877" s="146">
        <f t="shared" si="78"/>
        <v>0</v>
      </c>
      <c r="P877" s="146">
        <f t="shared" si="78"/>
        <v>0</v>
      </c>
      <c r="Q877" s="146">
        <f t="shared" si="78"/>
        <v>0</v>
      </c>
      <c r="R877" s="260">
        <f>SUM(J877:Q877)</f>
        <v>0</v>
      </c>
    </row>
    <row r="878" spans="1:18" ht="30" customHeight="1" x14ac:dyDescent="0.2">
      <c r="A878" s="478"/>
      <c r="B878" s="397"/>
      <c r="C878" s="28"/>
      <c r="D878" s="27"/>
      <c r="E878" s="89">
        <f t="shared" si="77"/>
        <v>0</v>
      </c>
      <c r="F878" s="144">
        <v>8</v>
      </c>
      <c r="G878" s="510" t="s">
        <v>168</v>
      </c>
      <c r="H878" s="511"/>
      <c r="I878" s="145"/>
      <c r="J878" s="146">
        <f t="shared" si="78"/>
        <v>0</v>
      </c>
      <c r="K878" s="146">
        <f t="shared" si="78"/>
        <v>0</v>
      </c>
      <c r="L878" s="146">
        <f t="shared" si="78"/>
        <v>0</v>
      </c>
      <c r="M878" s="146">
        <f t="shared" si="78"/>
        <v>0</v>
      </c>
      <c r="N878" s="146">
        <f t="shared" si="78"/>
        <v>0</v>
      </c>
      <c r="O878" s="146">
        <f t="shared" si="78"/>
        <v>0</v>
      </c>
      <c r="P878" s="146">
        <f t="shared" si="78"/>
        <v>0</v>
      </c>
      <c r="Q878" s="146">
        <f t="shared" si="78"/>
        <v>0</v>
      </c>
      <c r="R878" s="260">
        <f t="shared" ref="R878:R900" si="79">SUM(J878:Q878)</f>
        <v>0</v>
      </c>
    </row>
    <row r="879" spans="1:18" ht="30" customHeight="1" x14ac:dyDescent="0.2">
      <c r="A879" s="478"/>
      <c r="B879" s="397"/>
      <c r="C879" s="28"/>
      <c r="D879" s="27"/>
      <c r="E879" s="89">
        <f t="shared" si="77"/>
        <v>0</v>
      </c>
      <c r="F879" s="144">
        <v>1</v>
      </c>
      <c r="G879" s="510" t="s">
        <v>205</v>
      </c>
      <c r="H879" s="511"/>
      <c r="I879" s="145"/>
      <c r="J879" s="146">
        <f t="shared" si="78"/>
        <v>0</v>
      </c>
      <c r="K879" s="146">
        <f t="shared" si="78"/>
        <v>0</v>
      </c>
      <c r="L879" s="146">
        <f t="shared" si="78"/>
        <v>0</v>
      </c>
      <c r="M879" s="146">
        <f t="shared" si="78"/>
        <v>0</v>
      </c>
      <c r="N879" s="146">
        <f t="shared" si="78"/>
        <v>0</v>
      </c>
      <c r="O879" s="146">
        <f t="shared" si="78"/>
        <v>0</v>
      </c>
      <c r="P879" s="146">
        <f t="shared" si="78"/>
        <v>0</v>
      </c>
      <c r="Q879" s="146">
        <f t="shared" si="78"/>
        <v>0</v>
      </c>
      <c r="R879" s="260">
        <f t="shared" si="79"/>
        <v>0</v>
      </c>
    </row>
    <row r="880" spans="1:18" ht="30" customHeight="1" x14ac:dyDescent="0.2">
      <c r="A880" s="478"/>
      <c r="B880" s="397"/>
      <c r="C880" s="28"/>
      <c r="D880" s="27"/>
      <c r="E880" s="89">
        <f t="shared" si="77"/>
        <v>0</v>
      </c>
      <c r="F880" s="144">
        <v>2</v>
      </c>
      <c r="G880" s="510" t="s">
        <v>154</v>
      </c>
      <c r="H880" s="511"/>
      <c r="I880" s="145"/>
      <c r="J880" s="146">
        <f t="shared" si="78"/>
        <v>0</v>
      </c>
      <c r="K880" s="146">
        <f t="shared" si="78"/>
        <v>0</v>
      </c>
      <c r="L880" s="146">
        <f t="shared" si="78"/>
        <v>0</v>
      </c>
      <c r="M880" s="146">
        <f t="shared" si="78"/>
        <v>0</v>
      </c>
      <c r="N880" s="146">
        <f t="shared" si="78"/>
        <v>0</v>
      </c>
      <c r="O880" s="146">
        <f t="shared" si="78"/>
        <v>0</v>
      </c>
      <c r="P880" s="146">
        <f t="shared" si="78"/>
        <v>0</v>
      </c>
      <c r="Q880" s="146">
        <f t="shared" si="78"/>
        <v>0</v>
      </c>
      <c r="R880" s="260">
        <f t="shared" si="79"/>
        <v>0</v>
      </c>
    </row>
    <row r="881" spans="1:18" ht="30" customHeight="1" x14ac:dyDescent="0.2">
      <c r="A881" s="478"/>
      <c r="B881" s="397"/>
      <c r="C881" s="28"/>
      <c r="D881" s="27"/>
      <c r="E881" s="89">
        <f t="shared" si="77"/>
        <v>0</v>
      </c>
      <c r="F881" s="144">
        <v>1</v>
      </c>
      <c r="G881" s="510" t="s">
        <v>172</v>
      </c>
      <c r="H881" s="511"/>
      <c r="I881" s="145"/>
      <c r="J881" s="146">
        <f t="shared" si="78"/>
        <v>0</v>
      </c>
      <c r="K881" s="146">
        <f t="shared" si="78"/>
        <v>0</v>
      </c>
      <c r="L881" s="146">
        <f t="shared" si="78"/>
        <v>0</v>
      </c>
      <c r="M881" s="146">
        <f t="shared" si="78"/>
        <v>0</v>
      </c>
      <c r="N881" s="146">
        <f t="shared" si="78"/>
        <v>0</v>
      </c>
      <c r="O881" s="146">
        <f t="shared" si="78"/>
        <v>0</v>
      </c>
      <c r="P881" s="146">
        <f t="shared" si="78"/>
        <v>0</v>
      </c>
      <c r="Q881" s="146">
        <f t="shared" si="78"/>
        <v>0</v>
      </c>
      <c r="R881" s="260">
        <f t="shared" si="79"/>
        <v>0</v>
      </c>
    </row>
    <row r="882" spans="1:18" ht="30" customHeight="1" x14ac:dyDescent="0.2">
      <c r="A882" s="478"/>
      <c r="B882" s="397"/>
      <c r="C882" s="28"/>
      <c r="D882" s="27"/>
      <c r="E882" s="89">
        <f t="shared" si="77"/>
        <v>0</v>
      </c>
      <c r="F882" s="144">
        <v>2</v>
      </c>
      <c r="G882" s="510" t="s">
        <v>206</v>
      </c>
      <c r="H882" s="511"/>
      <c r="I882" s="145"/>
      <c r="J882" s="146">
        <f t="shared" si="78"/>
        <v>0</v>
      </c>
      <c r="K882" s="146">
        <f t="shared" si="78"/>
        <v>0</v>
      </c>
      <c r="L882" s="146">
        <f t="shared" si="78"/>
        <v>0</v>
      </c>
      <c r="M882" s="146">
        <f t="shared" si="78"/>
        <v>0</v>
      </c>
      <c r="N882" s="146">
        <f t="shared" si="78"/>
        <v>0</v>
      </c>
      <c r="O882" s="146">
        <f t="shared" si="78"/>
        <v>0</v>
      </c>
      <c r="P882" s="146">
        <f t="shared" si="78"/>
        <v>0</v>
      </c>
      <c r="Q882" s="146">
        <f t="shared" si="78"/>
        <v>0</v>
      </c>
      <c r="R882" s="260">
        <f t="shared" si="79"/>
        <v>0</v>
      </c>
    </row>
    <row r="883" spans="1:18" ht="30" customHeight="1" x14ac:dyDescent="0.2">
      <c r="A883" s="478"/>
      <c r="B883" s="397"/>
      <c r="C883" s="28"/>
      <c r="D883" s="27"/>
      <c r="E883" s="89">
        <f t="shared" si="77"/>
        <v>0</v>
      </c>
      <c r="F883" s="144">
        <v>2</v>
      </c>
      <c r="G883" s="510" t="s">
        <v>207</v>
      </c>
      <c r="H883" s="511"/>
      <c r="I883" s="145"/>
      <c r="J883" s="146">
        <f t="shared" si="78"/>
        <v>0</v>
      </c>
      <c r="K883" s="146">
        <f t="shared" si="78"/>
        <v>0</v>
      </c>
      <c r="L883" s="146">
        <f t="shared" si="78"/>
        <v>0</v>
      </c>
      <c r="M883" s="146">
        <f t="shared" si="78"/>
        <v>0</v>
      </c>
      <c r="N883" s="146">
        <f t="shared" si="78"/>
        <v>0</v>
      </c>
      <c r="O883" s="146">
        <f t="shared" si="78"/>
        <v>0</v>
      </c>
      <c r="P883" s="146">
        <f t="shared" si="78"/>
        <v>0</v>
      </c>
      <c r="Q883" s="146">
        <f t="shared" si="78"/>
        <v>0</v>
      </c>
      <c r="R883" s="260">
        <f t="shared" si="79"/>
        <v>0</v>
      </c>
    </row>
    <row r="884" spans="1:18" ht="30" customHeight="1" x14ac:dyDescent="0.2">
      <c r="A884" s="478"/>
      <c r="B884" s="397"/>
      <c r="C884" s="28"/>
      <c r="D884" s="27"/>
      <c r="E884" s="89">
        <f t="shared" si="77"/>
        <v>0</v>
      </c>
      <c r="F884" s="144">
        <v>4</v>
      </c>
      <c r="G884" s="510" t="s">
        <v>118</v>
      </c>
      <c r="H884" s="511"/>
      <c r="I884" s="145"/>
      <c r="J884" s="146">
        <f t="shared" si="78"/>
        <v>0</v>
      </c>
      <c r="K884" s="146">
        <f t="shared" si="78"/>
        <v>0</v>
      </c>
      <c r="L884" s="146">
        <f t="shared" si="78"/>
        <v>0</v>
      </c>
      <c r="M884" s="146">
        <f t="shared" si="78"/>
        <v>0</v>
      </c>
      <c r="N884" s="146">
        <f t="shared" si="78"/>
        <v>0</v>
      </c>
      <c r="O884" s="146">
        <f t="shared" si="78"/>
        <v>0</v>
      </c>
      <c r="P884" s="146">
        <f t="shared" si="78"/>
        <v>0</v>
      </c>
      <c r="Q884" s="146">
        <f t="shared" si="78"/>
        <v>0</v>
      </c>
      <c r="R884" s="260">
        <f t="shared" si="79"/>
        <v>0</v>
      </c>
    </row>
    <row r="885" spans="1:18" ht="30" customHeight="1" x14ac:dyDescent="0.2">
      <c r="A885" s="478"/>
      <c r="B885" s="397"/>
      <c r="C885" s="28"/>
      <c r="D885" s="27"/>
      <c r="E885" s="89">
        <f t="shared" si="77"/>
        <v>0</v>
      </c>
      <c r="F885" s="144">
        <v>3</v>
      </c>
      <c r="G885" s="510" t="s">
        <v>195</v>
      </c>
      <c r="H885" s="511"/>
      <c r="I885" s="145"/>
      <c r="J885" s="146">
        <f t="shared" si="78"/>
        <v>0</v>
      </c>
      <c r="K885" s="146">
        <f t="shared" si="78"/>
        <v>0</v>
      </c>
      <c r="L885" s="146">
        <f t="shared" si="78"/>
        <v>0</v>
      </c>
      <c r="M885" s="146">
        <f t="shared" si="78"/>
        <v>0</v>
      </c>
      <c r="N885" s="146">
        <f t="shared" si="78"/>
        <v>0</v>
      </c>
      <c r="O885" s="146">
        <f t="shared" si="78"/>
        <v>0</v>
      </c>
      <c r="P885" s="146">
        <f t="shared" si="78"/>
        <v>0</v>
      </c>
      <c r="Q885" s="146">
        <f t="shared" si="78"/>
        <v>0</v>
      </c>
      <c r="R885" s="260">
        <f t="shared" si="79"/>
        <v>0</v>
      </c>
    </row>
    <row r="886" spans="1:18" ht="30" customHeight="1" x14ac:dyDescent="0.2">
      <c r="A886" s="478"/>
      <c r="B886" s="397"/>
      <c r="C886" s="28"/>
      <c r="D886" s="27"/>
      <c r="E886" s="89">
        <f t="shared" si="77"/>
        <v>0</v>
      </c>
      <c r="F886" s="144">
        <v>4</v>
      </c>
      <c r="G886" s="510" t="s">
        <v>196</v>
      </c>
      <c r="H886" s="511"/>
      <c r="I886" s="145"/>
      <c r="J886" s="146">
        <f t="shared" si="78"/>
        <v>0</v>
      </c>
      <c r="K886" s="146">
        <f t="shared" si="78"/>
        <v>0</v>
      </c>
      <c r="L886" s="146">
        <f t="shared" si="78"/>
        <v>0</v>
      </c>
      <c r="M886" s="146">
        <f t="shared" si="78"/>
        <v>0</v>
      </c>
      <c r="N886" s="146">
        <f t="shared" si="78"/>
        <v>0</v>
      </c>
      <c r="O886" s="146">
        <f t="shared" si="78"/>
        <v>0</v>
      </c>
      <c r="P886" s="146">
        <f t="shared" si="78"/>
        <v>0</v>
      </c>
      <c r="Q886" s="146">
        <f t="shared" si="78"/>
        <v>0</v>
      </c>
      <c r="R886" s="260">
        <f t="shared" si="79"/>
        <v>0</v>
      </c>
    </row>
    <row r="887" spans="1:18" ht="30" customHeight="1" x14ac:dyDescent="0.2">
      <c r="A887" s="478"/>
      <c r="B887" s="397"/>
      <c r="C887" s="28"/>
      <c r="D887" s="27"/>
      <c r="E887" s="89">
        <f t="shared" si="77"/>
        <v>0</v>
      </c>
      <c r="F887" s="144">
        <v>1</v>
      </c>
      <c r="G887" s="510" t="s">
        <v>208</v>
      </c>
      <c r="H887" s="511"/>
      <c r="I887" s="145"/>
      <c r="J887" s="146">
        <f t="shared" ref="J887:Q896" si="80">SUMIF($A$35:$A$872,$G887,J$35:J$872)</f>
        <v>0</v>
      </c>
      <c r="K887" s="146">
        <f t="shared" si="80"/>
        <v>0</v>
      </c>
      <c r="L887" s="146">
        <f t="shared" si="80"/>
        <v>0</v>
      </c>
      <c r="M887" s="146">
        <f t="shared" si="80"/>
        <v>0</v>
      </c>
      <c r="N887" s="146">
        <f t="shared" si="80"/>
        <v>0</v>
      </c>
      <c r="O887" s="146">
        <f t="shared" si="80"/>
        <v>0</v>
      </c>
      <c r="P887" s="146">
        <f t="shared" si="80"/>
        <v>0</v>
      </c>
      <c r="Q887" s="146">
        <f t="shared" si="80"/>
        <v>0</v>
      </c>
      <c r="R887" s="260">
        <f t="shared" si="79"/>
        <v>0</v>
      </c>
    </row>
    <row r="888" spans="1:18" ht="30" customHeight="1" x14ac:dyDescent="0.2">
      <c r="A888" s="478"/>
      <c r="B888" s="397"/>
      <c r="C888" s="28"/>
      <c r="D888" s="27"/>
      <c r="E888" s="89">
        <f t="shared" si="77"/>
        <v>0</v>
      </c>
      <c r="F888" s="144">
        <v>1</v>
      </c>
      <c r="G888" s="510" t="s">
        <v>197</v>
      </c>
      <c r="H888" s="511"/>
      <c r="I888" s="145"/>
      <c r="J888" s="146">
        <f t="shared" si="80"/>
        <v>0</v>
      </c>
      <c r="K888" s="146">
        <f t="shared" si="80"/>
        <v>0</v>
      </c>
      <c r="L888" s="146">
        <f t="shared" si="80"/>
        <v>0</v>
      </c>
      <c r="M888" s="146">
        <f t="shared" si="80"/>
        <v>0</v>
      </c>
      <c r="N888" s="146">
        <f t="shared" si="80"/>
        <v>0</v>
      </c>
      <c r="O888" s="146">
        <f t="shared" si="80"/>
        <v>0</v>
      </c>
      <c r="P888" s="146">
        <f t="shared" si="80"/>
        <v>0</v>
      </c>
      <c r="Q888" s="146">
        <f t="shared" si="80"/>
        <v>0</v>
      </c>
      <c r="R888" s="260">
        <f>SUM(J888:Q888)</f>
        <v>0</v>
      </c>
    </row>
    <row r="889" spans="1:18" ht="30" customHeight="1" x14ac:dyDescent="0.2">
      <c r="A889" s="478"/>
      <c r="B889" s="397"/>
      <c r="C889" s="28"/>
      <c r="D889" s="27"/>
      <c r="E889" s="89">
        <f t="shared" si="77"/>
        <v>0</v>
      </c>
      <c r="F889" s="144">
        <v>1</v>
      </c>
      <c r="G889" s="510" t="s">
        <v>239</v>
      </c>
      <c r="H889" s="511"/>
      <c r="I889" s="145"/>
      <c r="J889" s="146">
        <f t="shared" si="80"/>
        <v>0</v>
      </c>
      <c r="K889" s="146">
        <f t="shared" si="80"/>
        <v>0</v>
      </c>
      <c r="L889" s="146">
        <f t="shared" si="80"/>
        <v>0</v>
      </c>
      <c r="M889" s="146">
        <f t="shared" si="80"/>
        <v>0</v>
      </c>
      <c r="N889" s="146">
        <f t="shared" si="80"/>
        <v>0</v>
      </c>
      <c r="O889" s="146">
        <f t="shared" si="80"/>
        <v>0</v>
      </c>
      <c r="P889" s="146">
        <f t="shared" si="80"/>
        <v>0</v>
      </c>
      <c r="Q889" s="146">
        <f t="shared" si="80"/>
        <v>0</v>
      </c>
      <c r="R889" s="260">
        <f t="shared" si="79"/>
        <v>0</v>
      </c>
    </row>
    <row r="890" spans="1:18" ht="30" customHeight="1" x14ac:dyDescent="0.2">
      <c r="A890" s="478"/>
      <c r="B890" s="397"/>
      <c r="C890" s="28"/>
      <c r="D890" s="27"/>
      <c r="E890" s="89">
        <f t="shared" si="77"/>
        <v>0</v>
      </c>
      <c r="F890" s="144">
        <v>1</v>
      </c>
      <c r="G890" s="510" t="s">
        <v>199</v>
      </c>
      <c r="H890" s="511"/>
      <c r="I890" s="145"/>
      <c r="J890" s="146">
        <f t="shared" si="80"/>
        <v>0</v>
      </c>
      <c r="K890" s="146">
        <f t="shared" si="80"/>
        <v>0</v>
      </c>
      <c r="L890" s="146">
        <f t="shared" si="80"/>
        <v>0</v>
      </c>
      <c r="M890" s="146">
        <f t="shared" si="80"/>
        <v>0</v>
      </c>
      <c r="N890" s="146">
        <f t="shared" si="80"/>
        <v>0</v>
      </c>
      <c r="O890" s="146">
        <f t="shared" si="80"/>
        <v>0</v>
      </c>
      <c r="P890" s="146">
        <f t="shared" si="80"/>
        <v>0</v>
      </c>
      <c r="Q890" s="146">
        <f t="shared" si="80"/>
        <v>0</v>
      </c>
      <c r="R890" s="260">
        <f t="shared" si="79"/>
        <v>0</v>
      </c>
    </row>
    <row r="891" spans="1:18" ht="30" customHeight="1" x14ac:dyDescent="0.2">
      <c r="A891" s="478"/>
      <c r="B891" s="397"/>
      <c r="C891" s="28"/>
      <c r="D891" s="27"/>
      <c r="E891" s="89">
        <f t="shared" si="77"/>
        <v>0</v>
      </c>
      <c r="F891" s="144">
        <v>6</v>
      </c>
      <c r="G891" s="510" t="s">
        <v>200</v>
      </c>
      <c r="H891" s="511"/>
      <c r="I891" s="145"/>
      <c r="J891" s="146">
        <f t="shared" si="80"/>
        <v>0</v>
      </c>
      <c r="K891" s="146">
        <f t="shared" si="80"/>
        <v>0</v>
      </c>
      <c r="L891" s="146">
        <f t="shared" si="80"/>
        <v>0</v>
      </c>
      <c r="M891" s="146">
        <f t="shared" si="80"/>
        <v>0</v>
      </c>
      <c r="N891" s="146">
        <f t="shared" si="80"/>
        <v>0</v>
      </c>
      <c r="O891" s="146">
        <f t="shared" si="80"/>
        <v>0</v>
      </c>
      <c r="P891" s="146">
        <f t="shared" si="80"/>
        <v>0</v>
      </c>
      <c r="Q891" s="146">
        <f t="shared" si="80"/>
        <v>0</v>
      </c>
      <c r="R891" s="260">
        <f t="shared" si="79"/>
        <v>0</v>
      </c>
    </row>
    <row r="892" spans="1:18" ht="30" customHeight="1" x14ac:dyDescent="0.2">
      <c r="A892" s="478"/>
      <c r="B892" s="397"/>
      <c r="C892" s="28"/>
      <c r="D892" s="27"/>
      <c r="E892" s="89">
        <f t="shared" si="77"/>
        <v>0</v>
      </c>
      <c r="F892" s="144">
        <v>1</v>
      </c>
      <c r="G892" s="510" t="s">
        <v>201</v>
      </c>
      <c r="H892" s="511"/>
      <c r="I892" s="145"/>
      <c r="J892" s="146">
        <f t="shared" si="80"/>
        <v>0</v>
      </c>
      <c r="K892" s="146">
        <f t="shared" si="80"/>
        <v>0</v>
      </c>
      <c r="L892" s="146">
        <f t="shared" si="80"/>
        <v>0</v>
      </c>
      <c r="M892" s="146">
        <f t="shared" si="80"/>
        <v>0</v>
      </c>
      <c r="N892" s="146">
        <f t="shared" si="80"/>
        <v>0</v>
      </c>
      <c r="O892" s="146">
        <f t="shared" si="80"/>
        <v>0</v>
      </c>
      <c r="P892" s="146">
        <f t="shared" si="80"/>
        <v>0</v>
      </c>
      <c r="Q892" s="146">
        <f t="shared" si="80"/>
        <v>0</v>
      </c>
      <c r="R892" s="260">
        <f t="shared" si="79"/>
        <v>0</v>
      </c>
    </row>
    <row r="893" spans="1:18" ht="30" customHeight="1" x14ac:dyDescent="0.2">
      <c r="A893" s="478"/>
      <c r="B893" s="397"/>
      <c r="C893" s="28"/>
      <c r="D893" s="27"/>
      <c r="E893" s="89">
        <f t="shared" si="77"/>
        <v>0</v>
      </c>
      <c r="F893" s="144">
        <v>1</v>
      </c>
      <c r="G893" s="510" t="s">
        <v>202</v>
      </c>
      <c r="H893" s="511"/>
      <c r="I893" s="145"/>
      <c r="J893" s="146">
        <f t="shared" si="80"/>
        <v>0</v>
      </c>
      <c r="K893" s="146">
        <f t="shared" si="80"/>
        <v>0</v>
      </c>
      <c r="L893" s="146">
        <f t="shared" si="80"/>
        <v>0</v>
      </c>
      <c r="M893" s="146">
        <f t="shared" si="80"/>
        <v>0</v>
      </c>
      <c r="N893" s="146">
        <f t="shared" si="80"/>
        <v>0</v>
      </c>
      <c r="O893" s="146">
        <f t="shared" si="80"/>
        <v>0</v>
      </c>
      <c r="P893" s="146">
        <f t="shared" si="80"/>
        <v>0</v>
      </c>
      <c r="Q893" s="146">
        <f t="shared" si="80"/>
        <v>0</v>
      </c>
      <c r="R893" s="260">
        <f t="shared" si="79"/>
        <v>0</v>
      </c>
    </row>
    <row r="894" spans="1:18" ht="30" customHeight="1" x14ac:dyDescent="0.2">
      <c r="A894" s="478"/>
      <c r="B894" s="397"/>
      <c r="C894" s="28"/>
      <c r="D894" s="27"/>
      <c r="E894" s="89">
        <f t="shared" si="77"/>
        <v>0</v>
      </c>
      <c r="F894" s="144">
        <v>10</v>
      </c>
      <c r="G894" s="510" t="s">
        <v>203</v>
      </c>
      <c r="H894" s="511"/>
      <c r="I894" s="145"/>
      <c r="J894" s="146">
        <f t="shared" si="80"/>
        <v>0</v>
      </c>
      <c r="K894" s="146">
        <f t="shared" si="80"/>
        <v>0</v>
      </c>
      <c r="L894" s="146">
        <f t="shared" si="80"/>
        <v>0</v>
      </c>
      <c r="M894" s="146">
        <f t="shared" si="80"/>
        <v>0</v>
      </c>
      <c r="N894" s="146">
        <f t="shared" si="80"/>
        <v>0</v>
      </c>
      <c r="O894" s="146">
        <f t="shared" si="80"/>
        <v>0</v>
      </c>
      <c r="P894" s="146">
        <f t="shared" si="80"/>
        <v>0</v>
      </c>
      <c r="Q894" s="146">
        <f t="shared" si="80"/>
        <v>0</v>
      </c>
      <c r="R894" s="260">
        <f t="shared" si="79"/>
        <v>0</v>
      </c>
    </row>
    <row r="895" spans="1:18" ht="30" customHeight="1" x14ac:dyDescent="0.2">
      <c r="A895" s="478"/>
      <c r="B895" s="397"/>
      <c r="C895" s="28"/>
      <c r="D895" s="27"/>
      <c r="E895" s="89">
        <f t="shared" si="77"/>
        <v>0</v>
      </c>
      <c r="F895" s="144">
        <v>1</v>
      </c>
      <c r="G895" s="510" t="s">
        <v>43</v>
      </c>
      <c r="H895" s="511"/>
      <c r="I895" s="145"/>
      <c r="J895" s="146">
        <f t="shared" si="80"/>
        <v>0</v>
      </c>
      <c r="K895" s="146">
        <f t="shared" si="80"/>
        <v>0</v>
      </c>
      <c r="L895" s="146">
        <f t="shared" si="80"/>
        <v>0</v>
      </c>
      <c r="M895" s="146">
        <f t="shared" si="80"/>
        <v>0</v>
      </c>
      <c r="N895" s="146">
        <f t="shared" si="80"/>
        <v>0</v>
      </c>
      <c r="O895" s="146">
        <f t="shared" si="80"/>
        <v>0</v>
      </c>
      <c r="P895" s="146">
        <f t="shared" si="80"/>
        <v>0</v>
      </c>
      <c r="Q895" s="146">
        <f t="shared" si="80"/>
        <v>0</v>
      </c>
      <c r="R895" s="260">
        <f t="shared" si="79"/>
        <v>0</v>
      </c>
    </row>
    <row r="896" spans="1:18" ht="30" customHeight="1" x14ac:dyDescent="0.2">
      <c r="A896" s="478"/>
      <c r="B896" s="397"/>
      <c r="C896" s="28"/>
      <c r="D896" s="27"/>
      <c r="E896" s="89">
        <f t="shared" si="77"/>
        <v>0</v>
      </c>
      <c r="F896" s="144">
        <v>1</v>
      </c>
      <c r="G896" s="510" t="s">
        <v>155</v>
      </c>
      <c r="H896" s="511"/>
      <c r="I896" s="145"/>
      <c r="J896" s="146">
        <f t="shared" si="80"/>
        <v>0</v>
      </c>
      <c r="K896" s="146">
        <f t="shared" si="80"/>
        <v>0</v>
      </c>
      <c r="L896" s="146">
        <f t="shared" si="80"/>
        <v>0</v>
      </c>
      <c r="M896" s="146">
        <f t="shared" si="80"/>
        <v>0</v>
      </c>
      <c r="N896" s="146">
        <f t="shared" si="80"/>
        <v>0</v>
      </c>
      <c r="O896" s="146">
        <f t="shared" si="80"/>
        <v>0</v>
      </c>
      <c r="P896" s="146">
        <f t="shared" si="80"/>
        <v>0</v>
      </c>
      <c r="Q896" s="146">
        <f t="shared" si="80"/>
        <v>0</v>
      </c>
      <c r="R896" s="260">
        <f t="shared" si="79"/>
        <v>0</v>
      </c>
    </row>
    <row r="897" spans="1:18" ht="30" customHeight="1" x14ac:dyDescent="0.2">
      <c r="A897" s="478"/>
      <c r="B897" s="397"/>
      <c r="C897" s="28"/>
      <c r="D897" s="27"/>
      <c r="E897" s="89">
        <f t="shared" si="77"/>
        <v>0</v>
      </c>
      <c r="F897" s="144">
        <v>1</v>
      </c>
      <c r="G897" s="510" t="s">
        <v>192</v>
      </c>
      <c r="H897" s="511"/>
      <c r="I897" s="145"/>
      <c r="J897" s="146">
        <f t="shared" ref="J897:Q903" si="81">SUMIF($A$35:$A$872,$G897,J$35:J$872)</f>
        <v>0</v>
      </c>
      <c r="K897" s="146">
        <f t="shared" si="81"/>
        <v>0</v>
      </c>
      <c r="L897" s="146">
        <f t="shared" si="81"/>
        <v>0</v>
      </c>
      <c r="M897" s="146">
        <f t="shared" si="81"/>
        <v>0</v>
      </c>
      <c r="N897" s="146">
        <f t="shared" si="81"/>
        <v>0</v>
      </c>
      <c r="O897" s="146">
        <f t="shared" si="81"/>
        <v>0</v>
      </c>
      <c r="P897" s="146">
        <f t="shared" si="81"/>
        <v>0</v>
      </c>
      <c r="Q897" s="146">
        <f t="shared" si="81"/>
        <v>0</v>
      </c>
      <c r="R897" s="260">
        <f t="shared" si="79"/>
        <v>0</v>
      </c>
    </row>
    <row r="898" spans="1:18" ht="30" customHeight="1" x14ac:dyDescent="0.2">
      <c r="A898" s="478"/>
      <c r="B898" s="397"/>
      <c r="C898" s="28"/>
      <c r="D898" s="27"/>
      <c r="E898" s="89">
        <f t="shared" si="77"/>
        <v>0</v>
      </c>
      <c r="F898" s="144">
        <v>1</v>
      </c>
      <c r="G898" s="510" t="s">
        <v>194</v>
      </c>
      <c r="H898" s="511"/>
      <c r="I898" s="145"/>
      <c r="J898" s="146">
        <f t="shared" si="81"/>
        <v>0</v>
      </c>
      <c r="K898" s="146">
        <f t="shared" si="81"/>
        <v>0</v>
      </c>
      <c r="L898" s="146">
        <f t="shared" si="81"/>
        <v>0</v>
      </c>
      <c r="M898" s="146">
        <f t="shared" si="81"/>
        <v>0</v>
      </c>
      <c r="N898" s="146">
        <f t="shared" si="81"/>
        <v>0</v>
      </c>
      <c r="O898" s="146">
        <f t="shared" si="81"/>
        <v>0</v>
      </c>
      <c r="P898" s="146">
        <f t="shared" si="81"/>
        <v>0</v>
      </c>
      <c r="Q898" s="146">
        <f t="shared" si="81"/>
        <v>0</v>
      </c>
      <c r="R898" s="260">
        <f t="shared" si="79"/>
        <v>0</v>
      </c>
    </row>
    <row r="899" spans="1:18" ht="36" customHeight="1" x14ac:dyDescent="0.2">
      <c r="A899" s="478"/>
      <c r="B899" s="397"/>
      <c r="C899" s="28"/>
      <c r="D899" s="27"/>
      <c r="E899" s="89">
        <f t="shared" si="77"/>
        <v>0</v>
      </c>
      <c r="F899" s="144">
        <v>1</v>
      </c>
      <c r="G899" s="510" t="s">
        <v>190</v>
      </c>
      <c r="H899" s="511"/>
      <c r="I899" s="145"/>
      <c r="J899" s="146">
        <f t="shared" si="81"/>
        <v>0</v>
      </c>
      <c r="K899" s="146">
        <f t="shared" si="81"/>
        <v>0</v>
      </c>
      <c r="L899" s="146">
        <f t="shared" si="81"/>
        <v>0</v>
      </c>
      <c r="M899" s="146">
        <f t="shared" si="81"/>
        <v>0</v>
      </c>
      <c r="N899" s="146">
        <f t="shared" si="81"/>
        <v>0</v>
      </c>
      <c r="O899" s="146">
        <f t="shared" si="81"/>
        <v>0</v>
      </c>
      <c r="P899" s="146">
        <f t="shared" si="81"/>
        <v>0</v>
      </c>
      <c r="Q899" s="146">
        <f t="shared" si="81"/>
        <v>0</v>
      </c>
      <c r="R899" s="260">
        <f t="shared" si="79"/>
        <v>0</v>
      </c>
    </row>
    <row r="900" spans="1:18" ht="30" customHeight="1" x14ac:dyDescent="0.2">
      <c r="A900" s="478"/>
      <c r="B900" s="397"/>
      <c r="C900" s="28"/>
      <c r="D900" s="27"/>
      <c r="E900" s="89">
        <f t="shared" si="77"/>
        <v>0</v>
      </c>
      <c r="F900" s="144">
        <v>1</v>
      </c>
      <c r="G900" s="510" t="s">
        <v>189</v>
      </c>
      <c r="H900" s="511"/>
      <c r="I900" s="145"/>
      <c r="J900" s="146">
        <f t="shared" si="81"/>
        <v>0</v>
      </c>
      <c r="K900" s="146">
        <f t="shared" si="81"/>
        <v>0</v>
      </c>
      <c r="L900" s="146">
        <f t="shared" si="81"/>
        <v>0</v>
      </c>
      <c r="M900" s="146">
        <f t="shared" si="81"/>
        <v>0</v>
      </c>
      <c r="N900" s="146">
        <f t="shared" si="81"/>
        <v>0</v>
      </c>
      <c r="O900" s="146">
        <f t="shared" si="81"/>
        <v>0</v>
      </c>
      <c r="P900" s="146">
        <f t="shared" si="81"/>
        <v>0</v>
      </c>
      <c r="Q900" s="146">
        <f t="shared" si="81"/>
        <v>0</v>
      </c>
      <c r="R900" s="260">
        <f t="shared" si="79"/>
        <v>0</v>
      </c>
    </row>
    <row r="901" spans="1:18" ht="30" customHeight="1" x14ac:dyDescent="0.2">
      <c r="A901" s="478"/>
      <c r="B901" s="397"/>
      <c r="C901" s="28"/>
      <c r="D901" s="27"/>
      <c r="E901" s="89">
        <f t="shared" si="77"/>
        <v>0</v>
      </c>
      <c r="F901" s="144">
        <v>1</v>
      </c>
      <c r="G901" s="510" t="s">
        <v>209</v>
      </c>
      <c r="H901" s="511"/>
      <c r="I901" s="145"/>
      <c r="J901" s="146">
        <f t="shared" si="81"/>
        <v>0</v>
      </c>
      <c r="K901" s="146">
        <f t="shared" si="81"/>
        <v>0</v>
      </c>
      <c r="L901" s="146">
        <f t="shared" si="81"/>
        <v>0</v>
      </c>
      <c r="M901" s="146">
        <f t="shared" si="81"/>
        <v>0</v>
      </c>
      <c r="N901" s="146">
        <f t="shared" si="81"/>
        <v>0</v>
      </c>
      <c r="O901" s="146">
        <f t="shared" si="81"/>
        <v>0</v>
      </c>
      <c r="P901" s="146">
        <f t="shared" si="81"/>
        <v>0</v>
      </c>
      <c r="Q901" s="146">
        <f t="shared" si="81"/>
        <v>0</v>
      </c>
      <c r="R901" s="260">
        <f>SUM(J901:Q901)</f>
        <v>0</v>
      </c>
    </row>
    <row r="902" spans="1:18" ht="30" customHeight="1" x14ac:dyDescent="0.2">
      <c r="A902" s="478"/>
      <c r="B902" s="397"/>
      <c r="C902" s="28"/>
      <c r="D902" s="27"/>
      <c r="E902" s="89">
        <f t="shared" si="77"/>
        <v>0</v>
      </c>
      <c r="F902" s="144">
        <v>1</v>
      </c>
      <c r="G902" s="510" t="s">
        <v>210</v>
      </c>
      <c r="H902" s="511"/>
      <c r="I902" s="145"/>
      <c r="J902" s="146">
        <f t="shared" si="81"/>
        <v>0</v>
      </c>
      <c r="K902" s="146">
        <f t="shared" si="81"/>
        <v>0</v>
      </c>
      <c r="L902" s="146">
        <f t="shared" si="81"/>
        <v>0</v>
      </c>
      <c r="M902" s="146">
        <f t="shared" si="81"/>
        <v>0</v>
      </c>
      <c r="N902" s="146">
        <f t="shared" si="81"/>
        <v>0</v>
      </c>
      <c r="O902" s="146">
        <f t="shared" si="81"/>
        <v>0</v>
      </c>
      <c r="P902" s="146">
        <f t="shared" si="81"/>
        <v>0</v>
      </c>
      <c r="Q902" s="146">
        <f t="shared" si="81"/>
        <v>0</v>
      </c>
      <c r="R902" s="260">
        <f>SUM(J902:Q902)</f>
        <v>0</v>
      </c>
    </row>
    <row r="903" spans="1:18" ht="30" customHeight="1" x14ac:dyDescent="0.2">
      <c r="A903" s="478"/>
      <c r="B903" s="397"/>
      <c r="C903" s="28"/>
      <c r="D903" s="27"/>
      <c r="E903" s="89">
        <f t="shared" si="77"/>
        <v>0</v>
      </c>
      <c r="F903" s="144">
        <v>1</v>
      </c>
      <c r="G903" s="510" t="s">
        <v>212</v>
      </c>
      <c r="H903" s="511"/>
      <c r="I903" s="145"/>
      <c r="J903" s="146">
        <f t="shared" si="81"/>
        <v>0</v>
      </c>
      <c r="K903" s="146">
        <f t="shared" si="81"/>
        <v>0</v>
      </c>
      <c r="L903" s="146">
        <f t="shared" si="81"/>
        <v>0</v>
      </c>
      <c r="M903" s="146">
        <f t="shared" si="81"/>
        <v>0</v>
      </c>
      <c r="N903" s="146">
        <f t="shared" si="81"/>
        <v>0</v>
      </c>
      <c r="O903" s="146">
        <f t="shared" si="81"/>
        <v>0</v>
      </c>
      <c r="P903" s="146">
        <f t="shared" si="81"/>
        <v>0</v>
      </c>
      <c r="Q903" s="146">
        <f t="shared" si="81"/>
        <v>0</v>
      </c>
      <c r="R903" s="260">
        <f>SUM(J903:Q903)</f>
        <v>0</v>
      </c>
    </row>
    <row r="904" spans="1:18" x14ac:dyDescent="0.2">
      <c r="A904" s="479"/>
      <c r="B904" s="397"/>
      <c r="C904" s="28"/>
      <c r="D904" s="27"/>
      <c r="E904" s="27"/>
      <c r="F904" s="114"/>
      <c r="G904" s="27"/>
      <c r="H904" s="29"/>
      <c r="I904" s="39"/>
      <c r="J904" s="30"/>
      <c r="K904" s="30"/>
      <c r="L904" s="30"/>
      <c r="M904" s="30"/>
      <c r="N904" s="30"/>
      <c r="O904" s="30"/>
      <c r="P904" s="30"/>
      <c r="Q904" s="30"/>
      <c r="R904" s="259"/>
    </row>
    <row r="905" spans="1:18" ht="13.5" thickBot="1" x14ac:dyDescent="0.25">
      <c r="A905" s="477"/>
      <c r="B905" s="397"/>
      <c r="C905" s="28"/>
      <c r="D905" s="27"/>
      <c r="E905" s="27"/>
      <c r="F905" s="114"/>
      <c r="G905" s="27"/>
      <c r="H905" s="29"/>
      <c r="I905" s="39"/>
      <c r="J905" s="30"/>
      <c r="K905" s="30"/>
      <c r="L905" s="30"/>
      <c r="M905" s="30"/>
      <c r="N905" s="30"/>
      <c r="O905" s="30"/>
      <c r="P905" s="30"/>
      <c r="Q905" s="30"/>
      <c r="R905" s="259"/>
    </row>
    <row r="906" spans="1:18" ht="60.75" thickTop="1" x14ac:dyDescent="0.2">
      <c r="A906" s="480" t="s">
        <v>30</v>
      </c>
      <c r="B906" s="576"/>
      <c r="C906" s="577"/>
      <c r="D906" s="155" t="str">
        <f>D31</f>
        <v>Сметная стоимость предложения ГП</v>
      </c>
      <c r="E906" s="576"/>
      <c r="F906" s="578"/>
      <c r="G906" s="155" t="str">
        <f>G31</f>
        <v>Себестоимость</v>
      </c>
      <c r="H906" s="156" t="str">
        <f>H31</f>
        <v>Рентабельность</v>
      </c>
      <c r="I906" s="40"/>
      <c r="J906" s="31"/>
      <c r="K906" s="31"/>
      <c r="L906" s="31"/>
      <c r="M906" s="31"/>
      <c r="N906" s="31"/>
      <c r="O906" s="31"/>
      <c r="P906" s="31"/>
      <c r="Q906" s="31"/>
      <c r="R906" s="261"/>
    </row>
    <row r="907" spans="1:18" ht="15" x14ac:dyDescent="0.2">
      <c r="A907" s="481" t="s">
        <v>167</v>
      </c>
      <c r="B907" s="398"/>
      <c r="C907" s="157"/>
      <c r="D907" s="183">
        <v>196565221.19999999</v>
      </c>
      <c r="E907" s="158"/>
      <c r="F907" s="159"/>
      <c r="G907" s="160">
        <f>SUMIF($A$42:$A$872,A907,G$42:G$872)</f>
        <v>440037150.49599999</v>
      </c>
      <c r="H907" s="161">
        <f>(1-G907/D907)</f>
        <v>-1.238631777328878</v>
      </c>
      <c r="I907" s="41"/>
      <c r="J907" s="32"/>
      <c r="K907" s="185"/>
      <c r="L907" s="32"/>
      <c r="M907" s="32"/>
      <c r="N907" s="32"/>
      <c r="O907" s="32"/>
      <c r="P907" s="32"/>
      <c r="Q907" s="32"/>
      <c r="R907" s="81"/>
    </row>
    <row r="908" spans="1:18" ht="15" x14ac:dyDescent="0.2">
      <c r="A908" s="481" t="s">
        <v>1</v>
      </c>
      <c r="B908" s="398"/>
      <c r="C908" s="157"/>
      <c r="D908" s="183">
        <v>157444769</v>
      </c>
      <c r="E908" s="158"/>
      <c r="F908" s="159"/>
      <c r="G908" s="160">
        <f>SUMIF($A$42:$A$872,A908,G$42:G$872)</f>
        <v>67734700.384187549</v>
      </c>
      <c r="H908" s="161">
        <f t="shared" ref="H908:H920" si="82">(1-G908/D908)</f>
        <v>0.56978754636054285</v>
      </c>
      <c r="I908" s="41" t="e">
        <f>G908-ГрафикЖД!I56</f>
        <v>#VALUE!</v>
      </c>
      <c r="J908" s="32"/>
      <c r="K908" s="185"/>
      <c r="L908" s="32"/>
      <c r="M908" s="32"/>
      <c r="N908" s="32"/>
      <c r="O908" s="32"/>
      <c r="P908" s="32"/>
      <c r="Q908" s="32"/>
      <c r="R908" s="81"/>
    </row>
    <row r="909" spans="1:18" ht="15" x14ac:dyDescent="0.2">
      <c r="A909" s="481" t="s">
        <v>164</v>
      </c>
      <c r="B909" s="398"/>
      <c r="C909" s="157"/>
      <c r="D909" s="183" t="e">
        <f>G909</f>
        <v>#VALUE!</v>
      </c>
      <c r="E909" s="158"/>
      <c r="F909" s="159"/>
      <c r="G909" s="160" t="e">
        <f>ГрафикЖД!H56+ГрафикЖД!G56</f>
        <v>#VALUE!</v>
      </c>
      <c r="H909" s="161" t="e">
        <f t="shared" si="82"/>
        <v>#VALUE!</v>
      </c>
      <c r="I909" s="41"/>
      <c r="J909" s="32"/>
      <c r="K909" s="185"/>
      <c r="L909" s="32"/>
      <c r="M909" s="32"/>
      <c r="N909" s="32"/>
      <c r="O909" s="32"/>
      <c r="P909" s="32"/>
      <c r="Q909" s="32"/>
      <c r="R909" s="81"/>
    </row>
    <row r="910" spans="1:18" ht="15" x14ac:dyDescent="0.2">
      <c r="A910" s="481" t="s">
        <v>0</v>
      </c>
      <c r="B910" s="398"/>
      <c r="C910" s="157"/>
      <c r="D910" s="183">
        <v>196450260</v>
      </c>
      <c r="E910" s="158"/>
      <c r="F910" s="159"/>
      <c r="G910" s="160" t="e">
        <f>SUMIF($A$42:$A$872,A910,G$42:G$872)</f>
        <v>#N/A</v>
      </c>
      <c r="H910" s="161" t="e">
        <f t="shared" si="82"/>
        <v>#N/A</v>
      </c>
      <c r="I910" s="41" t="e">
        <f>G910-ГрафикЖД!I4-ГрафикЖД!I5</f>
        <v>#N/A</v>
      </c>
      <c r="J910" s="32"/>
      <c r="K910" s="185"/>
      <c r="L910" s="32"/>
      <c r="M910" s="32"/>
      <c r="N910" s="32"/>
      <c r="O910" s="32"/>
      <c r="P910" s="32"/>
      <c r="Q910" s="32"/>
      <c r="R910" s="81"/>
    </row>
    <row r="911" spans="1:18" ht="15" x14ac:dyDescent="0.2">
      <c r="A911" s="481" t="s">
        <v>204</v>
      </c>
      <c r="B911" s="398"/>
      <c r="C911" s="157"/>
      <c r="D911" s="183">
        <f>G911</f>
        <v>640000</v>
      </c>
      <c r="E911" s="158"/>
      <c r="F911" s="159"/>
      <c r="G911" s="160">
        <f>G39</f>
        <v>640000</v>
      </c>
      <c r="H911" s="161">
        <f t="shared" si="82"/>
        <v>0</v>
      </c>
      <c r="I911" s="41"/>
      <c r="J911" s="32"/>
      <c r="K911" s="185"/>
      <c r="L911" s="32"/>
      <c r="M911" s="32"/>
      <c r="N911" s="32"/>
      <c r="O911" s="32"/>
      <c r="P911" s="32"/>
      <c r="Q911" s="32"/>
      <c r="R911" s="81"/>
    </row>
    <row r="912" spans="1:18" ht="30" x14ac:dyDescent="0.2">
      <c r="A912" s="481" t="s">
        <v>185</v>
      </c>
      <c r="B912" s="398"/>
      <c r="C912" s="157"/>
      <c r="D912" s="183">
        <f>G912</f>
        <v>630000</v>
      </c>
      <c r="E912" s="158"/>
      <c r="F912" s="159"/>
      <c r="G912" s="160">
        <f>G40</f>
        <v>630000</v>
      </c>
      <c r="H912" s="161">
        <f t="shared" si="82"/>
        <v>0</v>
      </c>
      <c r="I912" s="41"/>
      <c r="J912" s="32"/>
      <c r="K912" s="185"/>
      <c r="L912" s="32"/>
      <c r="M912" s="32"/>
      <c r="N912" s="32"/>
      <c r="O912" s="32"/>
      <c r="P912" s="32"/>
      <c r="Q912" s="32"/>
      <c r="R912" s="81"/>
    </row>
    <row r="913" spans="1:18" ht="15" x14ac:dyDescent="0.2">
      <c r="A913" s="481" t="s">
        <v>277</v>
      </c>
      <c r="B913" s="398"/>
      <c r="C913" s="157"/>
      <c r="D913" s="183">
        <v>70153413.840000004</v>
      </c>
      <c r="E913" s="158"/>
      <c r="F913" s="159"/>
      <c r="G913" s="160">
        <f>G41</f>
        <v>449009.76050000003</v>
      </c>
      <c r="H913" s="161">
        <f t="shared" si="82"/>
        <v>0.99359960213021048</v>
      </c>
      <c r="I913" s="41"/>
      <c r="J913" s="32"/>
      <c r="K913" s="185"/>
      <c r="L913" s="81"/>
      <c r="M913" s="32"/>
      <c r="N913" s="32"/>
      <c r="O913" s="32"/>
      <c r="P913" s="32"/>
      <c r="Q913" s="32"/>
      <c r="R913" s="81"/>
    </row>
    <row r="914" spans="1:18" ht="15" x14ac:dyDescent="0.2">
      <c r="A914" s="482" t="s">
        <v>23</v>
      </c>
      <c r="B914" s="398"/>
      <c r="C914" s="157"/>
      <c r="D914" s="183"/>
      <c r="E914" s="158"/>
      <c r="F914" s="159"/>
      <c r="G914" s="163"/>
      <c r="H914" s="161"/>
      <c r="I914" s="41"/>
      <c r="J914" s="32"/>
      <c r="K914" s="185"/>
      <c r="L914" s="32"/>
      <c r="M914" s="82"/>
      <c r="N914" s="32"/>
      <c r="O914" s="32"/>
      <c r="P914" s="32"/>
      <c r="Q914" s="32"/>
      <c r="R914" s="81"/>
    </row>
    <row r="915" spans="1:18" ht="15" x14ac:dyDescent="0.2">
      <c r="A915" s="482" t="s">
        <v>25</v>
      </c>
      <c r="B915" s="398"/>
      <c r="C915" s="157"/>
      <c r="D915" s="183" t="e">
        <f>G915</f>
        <v>#REF!</v>
      </c>
      <c r="E915" s="158"/>
      <c r="F915" s="159"/>
      <c r="G915" s="170" t="e">
        <f>#REF!</f>
        <v>#REF!</v>
      </c>
      <c r="H915" s="161" t="e">
        <f t="shared" si="82"/>
        <v>#REF!</v>
      </c>
      <c r="I915" s="41"/>
      <c r="J915" s="32"/>
      <c r="K915" s="185"/>
      <c r="L915" s="32"/>
      <c r="M915" s="32"/>
      <c r="N915" s="32"/>
      <c r="O915" s="32"/>
      <c r="P915" s="32"/>
      <c r="Q915" s="32"/>
      <c r="R915" s="81"/>
    </row>
    <row r="916" spans="1:18" ht="38.25" x14ac:dyDescent="0.2">
      <c r="A916" s="482" t="s">
        <v>26</v>
      </c>
      <c r="B916" s="398"/>
      <c r="C916" s="157"/>
      <c r="D916" s="183">
        <f>G916</f>
        <v>2689168.34</v>
      </c>
      <c r="E916" s="158"/>
      <c r="F916" s="159"/>
      <c r="G916" s="162">
        <f>1964383.56+724784.78</f>
        <v>2689168.34</v>
      </c>
      <c r="H916" s="161">
        <f t="shared" si="82"/>
        <v>0</v>
      </c>
      <c r="I916" s="41" t="s">
        <v>269</v>
      </c>
      <c r="J916" s="32"/>
      <c r="K916" s="185"/>
      <c r="L916" s="32"/>
      <c r="M916" s="32"/>
      <c r="N916" s="32"/>
      <c r="O916" s="32"/>
      <c r="P916" s="32"/>
      <c r="Q916" s="32"/>
      <c r="R916" s="81"/>
    </row>
    <row r="917" spans="1:18" ht="15" x14ac:dyDescent="0.2">
      <c r="A917" s="483" t="s">
        <v>270</v>
      </c>
      <c r="B917" s="399"/>
      <c r="C917" s="180"/>
      <c r="D917" s="183">
        <f>G917</f>
        <v>722804.5</v>
      </c>
      <c r="E917" s="174"/>
      <c r="F917" s="175"/>
      <c r="G917" s="176">
        <v>722804.5</v>
      </c>
      <c r="H917" s="161">
        <f t="shared" si="82"/>
        <v>0</v>
      </c>
      <c r="I917" s="41"/>
      <c r="J917" s="32"/>
      <c r="K917" s="185"/>
      <c r="L917" s="32"/>
      <c r="M917" s="32"/>
      <c r="N917" s="32"/>
      <c r="O917" s="32"/>
      <c r="P917" s="32"/>
      <c r="Q917" s="32"/>
      <c r="R917" s="81"/>
    </row>
    <row r="918" spans="1:18" ht="25.5" x14ac:dyDescent="0.2">
      <c r="A918" s="483" t="s">
        <v>271</v>
      </c>
      <c r="B918" s="399"/>
      <c r="C918" s="180"/>
      <c r="D918" s="183"/>
      <c r="E918" s="174"/>
      <c r="F918" s="175"/>
      <c r="G918" s="177"/>
      <c r="H918" s="161"/>
      <c r="I918" s="178" t="s">
        <v>272</v>
      </c>
      <c r="J918" s="32" t="s">
        <v>273</v>
      </c>
      <c r="K918" s="185"/>
      <c r="L918" s="32"/>
      <c r="M918" s="32"/>
      <c r="N918" s="32"/>
      <c r="O918" s="32"/>
      <c r="P918" s="32"/>
      <c r="Q918" s="32"/>
      <c r="R918" s="81"/>
    </row>
    <row r="919" spans="1:18" ht="15.75" thickBot="1" x14ac:dyDescent="0.25">
      <c r="A919" s="484" t="s">
        <v>27</v>
      </c>
      <c r="B919" s="400"/>
      <c r="C919" s="181"/>
      <c r="D919" s="183"/>
      <c r="E919" s="182"/>
      <c r="F919" s="164"/>
      <c r="G919" s="165"/>
      <c r="H919" s="161"/>
      <c r="I919" s="41"/>
      <c r="J919" s="32"/>
      <c r="K919" s="185"/>
      <c r="L919" s="32"/>
      <c r="M919" s="32"/>
      <c r="N919" s="32"/>
      <c r="O919" s="32"/>
      <c r="P919" s="32"/>
      <c r="Q919" s="32"/>
      <c r="R919" s="81"/>
    </row>
    <row r="920" spans="1:18" ht="15.75" thickBot="1" x14ac:dyDescent="0.25">
      <c r="A920" s="485" t="s">
        <v>28</v>
      </c>
      <c r="B920" s="401"/>
      <c r="C920" s="166"/>
      <c r="D920" s="183" t="e">
        <f>SUM(D907:D917)</f>
        <v>#VALUE!</v>
      </c>
      <c r="E920" s="167"/>
      <c r="F920" s="168"/>
      <c r="G920" s="169" t="e">
        <f>SUM(G907:G919)</f>
        <v>#VALUE!</v>
      </c>
      <c r="H920" s="161" t="e">
        <f t="shared" si="82"/>
        <v>#VALUE!</v>
      </c>
      <c r="I920" s="38" t="e">
        <f>G907+G908+G911+G910+G912+G913-G35</f>
        <v>#N/A</v>
      </c>
      <c r="J920" s="2"/>
      <c r="K920" s="185"/>
      <c r="L920" s="80"/>
      <c r="M920" s="32"/>
      <c r="N920" s="32"/>
      <c r="O920" s="32"/>
      <c r="P920" s="32"/>
      <c r="Q920" s="32"/>
      <c r="R920" s="81"/>
    </row>
    <row r="921" spans="1:18" ht="14.25" thickTop="1" thickBot="1" x14ac:dyDescent="0.25">
      <c r="A921" s="486"/>
      <c r="B921" s="402"/>
      <c r="C921" s="34"/>
      <c r="D921" s="184"/>
      <c r="E921" s="33"/>
      <c r="F921" s="115"/>
      <c r="G921" s="33"/>
      <c r="H921" s="35"/>
      <c r="I921" s="42"/>
      <c r="J921" s="36"/>
      <c r="K921" s="36"/>
      <c r="L921" s="36"/>
      <c r="M921" s="36"/>
      <c r="N921" s="36"/>
      <c r="O921" s="36"/>
      <c r="P921" s="36"/>
      <c r="Q921" s="36"/>
      <c r="R921" s="262"/>
    </row>
    <row r="922" spans="1:18" ht="13.5" thickTop="1" x14ac:dyDescent="0.2"/>
    <row r="923" spans="1:18" x14ac:dyDescent="0.2">
      <c r="A923" s="44" t="s">
        <v>51</v>
      </c>
      <c r="G923" s="58">
        <v>74372000</v>
      </c>
      <c r="H923" s="59" t="e">
        <f>G920+G923</f>
        <v>#VALUE!</v>
      </c>
      <c r="I923" s="60" t="e">
        <f>H923/0.85</f>
        <v>#VALUE!</v>
      </c>
      <c r="J923" s="179" t="e">
        <f>1-H923/I923</f>
        <v>#VALUE!</v>
      </c>
      <c r="K923" s="61"/>
      <c r="L923" s="61"/>
      <c r="M923" s="61"/>
      <c r="N923" s="61"/>
      <c r="O923" s="61"/>
      <c r="P923" s="61"/>
      <c r="Q923" s="61"/>
    </row>
    <row r="924" spans="1:18" x14ac:dyDescent="0.2">
      <c r="F924" s="116" t="s">
        <v>274</v>
      </c>
      <c r="G924" s="58" t="e">
        <f>G920+G923</f>
        <v>#VALUE!</v>
      </c>
      <c r="H924" s="59"/>
      <c r="I924" s="60" t="e">
        <f>I923*0.06</f>
        <v>#VALUE!</v>
      </c>
      <c r="J924" s="61"/>
      <c r="K924" s="61"/>
      <c r="L924" s="61"/>
      <c r="M924" s="61"/>
      <c r="N924" s="61"/>
      <c r="O924" s="61"/>
      <c r="P924" s="61"/>
      <c r="Q924" s="61"/>
    </row>
    <row r="925" spans="1:18" ht="48" thickBot="1" x14ac:dyDescent="0.25">
      <c r="A925" s="487" t="s">
        <v>36</v>
      </c>
      <c r="B925" s="403" t="s">
        <v>42</v>
      </c>
      <c r="C925" s="130" t="s">
        <v>37</v>
      </c>
      <c r="D925" s="131" t="s">
        <v>38</v>
      </c>
      <c r="E925" s="131" t="s">
        <v>39</v>
      </c>
      <c r="F925" s="508">
        <f>G923*0.15</f>
        <v>11155800</v>
      </c>
      <c r="G925" s="508"/>
      <c r="H925" s="62"/>
      <c r="I925" s="76"/>
      <c r="K925" s="508" t="s">
        <v>60</v>
      </c>
      <c r="L925" s="508"/>
      <c r="M925" s="64"/>
      <c r="N925" s="64"/>
      <c r="O925" s="65"/>
      <c r="P925" s="65"/>
      <c r="Q925" s="65"/>
      <c r="R925" s="3"/>
    </row>
    <row r="926" spans="1:18" ht="15.75" x14ac:dyDescent="0.2">
      <c r="A926" s="445" t="s">
        <v>40</v>
      </c>
      <c r="B926" s="403"/>
      <c r="C926" s="130"/>
      <c r="D926" s="131">
        <v>30000</v>
      </c>
      <c r="E926" s="132">
        <f>D926*8</f>
        <v>240000</v>
      </c>
      <c r="F926" s="116" t="s">
        <v>232</v>
      </c>
      <c r="I926" s="504" t="s">
        <v>134</v>
      </c>
      <c r="J926" s="505"/>
      <c r="K926" s="505"/>
      <c r="L926" s="125" t="s">
        <v>35</v>
      </c>
      <c r="M926" s="126">
        <v>6</v>
      </c>
      <c r="N926" s="65"/>
      <c r="O926" s="65"/>
      <c r="P926" s="65"/>
      <c r="Q926" s="65"/>
      <c r="R926" s="3"/>
    </row>
    <row r="927" spans="1:18" ht="15.75" customHeight="1" x14ac:dyDescent="0.2">
      <c r="A927" s="445" t="s">
        <v>119</v>
      </c>
      <c r="B927" s="404" t="s">
        <v>233</v>
      </c>
      <c r="C927" s="121">
        <v>4</v>
      </c>
      <c r="D927" s="132"/>
      <c r="E927" s="132"/>
      <c r="F927" s="116" t="s">
        <v>232</v>
      </c>
      <c r="G927" s="147"/>
      <c r="I927" s="506" t="s">
        <v>135</v>
      </c>
      <c r="J927" s="507"/>
      <c r="K927" s="507"/>
      <c r="L927" s="77" t="s">
        <v>35</v>
      </c>
      <c r="M927" s="127">
        <v>4</v>
      </c>
      <c r="N927" s="65"/>
      <c r="O927" s="65"/>
      <c r="P927" s="65"/>
      <c r="Q927" s="65"/>
      <c r="R927" s="3"/>
    </row>
    <row r="928" spans="1:18" ht="15.75" customHeight="1" x14ac:dyDescent="0.2">
      <c r="A928" s="445" t="s">
        <v>120</v>
      </c>
      <c r="B928" s="404" t="s">
        <v>233</v>
      </c>
      <c r="C928" s="121">
        <v>4</v>
      </c>
      <c r="D928" s="132"/>
      <c r="E928" s="132"/>
      <c r="F928" s="116" t="s">
        <v>232</v>
      </c>
      <c r="G928" s="147"/>
      <c r="I928" s="506" t="s">
        <v>136</v>
      </c>
      <c r="J928" s="507"/>
      <c r="K928" s="507"/>
      <c r="L928" s="77" t="s">
        <v>35</v>
      </c>
      <c r="M928" s="127">
        <v>2</v>
      </c>
      <c r="N928" s="65"/>
      <c r="O928" s="65"/>
      <c r="P928" s="65"/>
      <c r="Q928" s="65"/>
      <c r="R928" s="3"/>
    </row>
    <row r="929" spans="1:18" ht="15.75" customHeight="1" x14ac:dyDescent="0.2">
      <c r="A929" s="445" t="s">
        <v>121</v>
      </c>
      <c r="B929" s="404" t="s">
        <v>233</v>
      </c>
      <c r="C929" s="121">
        <v>12</v>
      </c>
      <c r="D929" s="132"/>
      <c r="E929" s="132"/>
      <c r="F929" s="116" t="s">
        <v>232</v>
      </c>
      <c r="G929" s="171"/>
      <c r="I929" s="506" t="s">
        <v>137</v>
      </c>
      <c r="J929" s="507"/>
      <c r="K929" s="507"/>
      <c r="L929" s="77" t="s">
        <v>35</v>
      </c>
      <c r="M929" s="127">
        <v>2</v>
      </c>
      <c r="N929" s="65"/>
      <c r="O929" s="65"/>
      <c r="P929" s="65"/>
      <c r="Q929" s="65"/>
      <c r="R929" s="3"/>
    </row>
    <row r="930" spans="1:18" ht="15.75" customHeight="1" x14ac:dyDescent="0.2">
      <c r="A930" s="445" t="s">
        <v>122</v>
      </c>
      <c r="B930" s="404" t="s">
        <v>233</v>
      </c>
      <c r="C930" s="121">
        <v>4</v>
      </c>
      <c r="D930" s="132"/>
      <c r="E930" s="132"/>
      <c r="F930" s="116" t="s">
        <v>232</v>
      </c>
      <c r="G930" s="171"/>
      <c r="I930" s="506" t="s">
        <v>138</v>
      </c>
      <c r="J930" s="507"/>
      <c r="K930" s="507"/>
      <c r="L930" s="77" t="s">
        <v>35</v>
      </c>
      <c r="M930" s="127">
        <v>6</v>
      </c>
      <c r="N930" s="65"/>
      <c r="O930" s="65"/>
      <c r="P930" s="65"/>
      <c r="Q930" s="65"/>
      <c r="R930" s="3"/>
    </row>
    <row r="931" spans="1:18" ht="16.5" customHeight="1" thickBot="1" x14ac:dyDescent="0.25">
      <c r="A931" s="445" t="s">
        <v>59</v>
      </c>
      <c r="B931" s="404" t="s">
        <v>233</v>
      </c>
      <c r="C931" s="121">
        <v>16</v>
      </c>
      <c r="D931" s="133"/>
      <c r="E931" s="134"/>
      <c r="F931" s="116" t="s">
        <v>232</v>
      </c>
      <c r="G931" s="171"/>
      <c r="I931" s="1"/>
      <c r="J931" s="503"/>
      <c r="K931" s="503"/>
      <c r="L931" s="128" t="s">
        <v>3</v>
      </c>
      <c r="M931" s="129">
        <f>SUM(M926:M930)</f>
        <v>20</v>
      </c>
      <c r="N931" s="65"/>
      <c r="O931" s="65"/>
      <c r="P931" s="65"/>
      <c r="Q931" s="65"/>
      <c r="R931" s="3"/>
    </row>
    <row r="932" spans="1:18" ht="15.75" customHeight="1" x14ac:dyDescent="0.2">
      <c r="A932" s="445" t="s">
        <v>77</v>
      </c>
      <c r="B932" s="404" t="s">
        <v>233</v>
      </c>
      <c r="C932" s="121">
        <v>14</v>
      </c>
      <c r="D932" s="135"/>
      <c r="E932" s="136"/>
      <c r="F932" s="116" t="s">
        <v>232</v>
      </c>
      <c r="G932" s="171"/>
      <c r="H932" s="62"/>
      <c r="I932" s="63"/>
      <c r="J932" s="65"/>
      <c r="K932" s="65"/>
      <c r="L932" s="67"/>
      <c r="M932" s="65"/>
      <c r="N932" s="65"/>
      <c r="O932" s="65"/>
      <c r="P932" s="65"/>
      <c r="Q932" s="65"/>
      <c r="R932" s="3"/>
    </row>
    <row r="933" spans="1:18" ht="15.75" x14ac:dyDescent="0.2">
      <c r="A933" s="445" t="s">
        <v>52</v>
      </c>
      <c r="B933" s="404" t="s">
        <v>233</v>
      </c>
      <c r="C933" s="121">
        <v>1</v>
      </c>
      <c r="D933" s="135"/>
      <c r="E933" s="136"/>
      <c r="F933" s="116" t="s">
        <v>232</v>
      </c>
      <c r="G933" s="148"/>
      <c r="H933" s="62"/>
      <c r="I933" s="63"/>
      <c r="J933" s="65"/>
      <c r="K933" s="65"/>
      <c r="L933" s="67"/>
      <c r="M933" s="65"/>
      <c r="N933" s="65"/>
      <c r="O933" s="65"/>
      <c r="P933" s="65"/>
      <c r="Q933" s="65"/>
      <c r="R933" s="3"/>
    </row>
    <row r="934" spans="1:18" ht="15.75" x14ac:dyDescent="0.2">
      <c r="A934" s="445" t="s">
        <v>49</v>
      </c>
      <c r="B934" s="404" t="s">
        <v>233</v>
      </c>
      <c r="C934" s="121">
        <v>1</v>
      </c>
      <c r="D934" s="135"/>
      <c r="E934" s="136"/>
      <c r="F934" s="116" t="s">
        <v>232</v>
      </c>
      <c r="G934" s="148"/>
      <c r="H934" s="62"/>
      <c r="I934" s="63"/>
      <c r="J934" s="65"/>
      <c r="K934" s="65"/>
      <c r="L934" s="67"/>
      <c r="M934" s="65"/>
      <c r="N934" s="65"/>
      <c r="O934" s="65"/>
      <c r="P934" s="65"/>
      <c r="Q934" s="65"/>
      <c r="R934" s="3"/>
    </row>
    <row r="935" spans="1:18" ht="15.75" x14ac:dyDescent="0.2">
      <c r="A935" s="445" t="s">
        <v>160</v>
      </c>
      <c r="B935" s="404" t="s">
        <v>233</v>
      </c>
      <c r="C935" s="121">
        <v>2</v>
      </c>
      <c r="D935" s="135"/>
      <c r="E935" s="136"/>
      <c r="F935" s="116" t="s">
        <v>232</v>
      </c>
      <c r="G935" s="66"/>
      <c r="H935" s="62"/>
      <c r="I935" s="63"/>
      <c r="J935" s="65"/>
      <c r="K935" s="65"/>
      <c r="L935" s="67"/>
      <c r="M935" s="65"/>
      <c r="N935" s="65"/>
      <c r="O935" s="65"/>
      <c r="P935" s="65"/>
      <c r="Q935" s="65"/>
      <c r="R935" s="3"/>
    </row>
    <row r="936" spans="1:18" ht="15.75" x14ac:dyDescent="0.2">
      <c r="A936" s="445" t="s">
        <v>53</v>
      </c>
      <c r="B936" s="404" t="s">
        <v>233</v>
      </c>
      <c r="C936" s="121">
        <v>2</v>
      </c>
      <c r="D936" s="135"/>
      <c r="E936" s="136"/>
      <c r="F936" s="116" t="s">
        <v>232</v>
      </c>
      <c r="G936" s="66"/>
      <c r="H936" s="62"/>
      <c r="I936" s="65"/>
      <c r="J936" s="65"/>
      <c r="K936" s="65"/>
      <c r="L936" s="67"/>
      <c r="M936" s="65"/>
      <c r="N936" s="65"/>
      <c r="O936" s="65"/>
      <c r="P936" s="65"/>
      <c r="Q936" s="65"/>
      <c r="R936" s="3"/>
    </row>
    <row r="937" spans="1:18" ht="15.75" x14ac:dyDescent="0.2">
      <c r="A937" s="445" t="s">
        <v>78</v>
      </c>
      <c r="B937" s="404" t="s">
        <v>233</v>
      </c>
      <c r="C937" s="121">
        <v>4</v>
      </c>
      <c r="D937" s="135"/>
      <c r="E937" s="136"/>
      <c r="F937" s="116" t="s">
        <v>232</v>
      </c>
      <c r="G937" s="66"/>
      <c r="H937" s="62"/>
      <c r="I937" s="65"/>
      <c r="J937" s="65"/>
      <c r="K937" s="65"/>
      <c r="L937" s="67"/>
      <c r="M937" s="65"/>
      <c r="N937" s="65"/>
      <c r="O937" s="65"/>
      <c r="P937" s="65"/>
      <c r="Q937" s="65"/>
      <c r="R937" s="3"/>
    </row>
    <row r="938" spans="1:18" ht="15.75" x14ac:dyDescent="0.2">
      <c r="A938" s="445" t="s">
        <v>50</v>
      </c>
      <c r="B938" s="404" t="s">
        <v>231</v>
      </c>
      <c r="C938" s="121">
        <v>1</v>
      </c>
      <c r="D938" s="135"/>
      <c r="E938" s="136"/>
      <c r="F938" s="119"/>
      <c r="G938" s="47"/>
      <c r="H938" s="48"/>
      <c r="I938" s="3"/>
      <c r="J938" s="3"/>
      <c r="K938" s="3"/>
      <c r="L938" s="49"/>
      <c r="M938" s="3"/>
      <c r="N938" s="3"/>
      <c r="O938" s="3"/>
      <c r="P938" s="3"/>
      <c r="Q938" s="3"/>
      <c r="R938" s="3"/>
    </row>
    <row r="939" spans="1:18" ht="15.75" x14ac:dyDescent="0.2">
      <c r="A939" s="445" t="s">
        <v>61</v>
      </c>
      <c r="B939" s="404" t="s">
        <v>231</v>
      </c>
      <c r="C939" s="121">
        <v>1</v>
      </c>
      <c r="D939" s="135"/>
      <c r="E939" s="136"/>
      <c r="F939" s="119"/>
      <c r="G939" s="47"/>
      <c r="H939" s="48"/>
      <c r="I939" s="3"/>
      <c r="J939" s="3"/>
      <c r="K939" s="3"/>
      <c r="L939" s="49"/>
      <c r="M939" s="3"/>
      <c r="N939" s="3"/>
      <c r="O939" s="3"/>
      <c r="P939" s="3"/>
      <c r="Q939" s="3"/>
      <c r="R939" s="3"/>
    </row>
    <row r="940" spans="1:18" ht="15.75" x14ac:dyDescent="0.2">
      <c r="A940" s="445" t="s">
        <v>126</v>
      </c>
      <c r="B940" s="404" t="s">
        <v>218</v>
      </c>
      <c r="C940" s="121">
        <v>1</v>
      </c>
      <c r="D940" s="135"/>
      <c r="E940" s="136"/>
      <c r="F940" s="119"/>
      <c r="G940" s="47"/>
      <c r="H940" s="48"/>
      <c r="I940" s="3"/>
      <c r="J940" s="3"/>
      <c r="K940" s="3"/>
      <c r="L940" s="49"/>
      <c r="M940" s="3"/>
      <c r="N940" s="3"/>
      <c r="O940" s="3"/>
      <c r="P940" s="3"/>
      <c r="Q940" s="3"/>
      <c r="R940" s="3"/>
    </row>
    <row r="941" spans="1:18" ht="15.75" x14ac:dyDescent="0.2">
      <c r="A941" s="445" t="s">
        <v>127</v>
      </c>
      <c r="B941" s="404" t="s">
        <v>216</v>
      </c>
      <c r="C941" s="121">
        <v>2</v>
      </c>
      <c r="D941" s="135"/>
      <c r="E941" s="136"/>
      <c r="F941" s="120"/>
      <c r="G941" s="47"/>
      <c r="H941" s="48"/>
      <c r="I941" s="3"/>
      <c r="J941" s="3"/>
      <c r="K941" s="3"/>
      <c r="L941" s="49"/>
      <c r="M941" s="3"/>
      <c r="N941" s="3"/>
      <c r="O941" s="3"/>
      <c r="P941" s="3"/>
      <c r="Q941" s="3"/>
      <c r="R941" s="3"/>
    </row>
    <row r="942" spans="1:18" ht="15.75" x14ac:dyDescent="0.2">
      <c r="A942" s="445" t="s">
        <v>128</v>
      </c>
      <c r="B942" s="404" t="s">
        <v>216</v>
      </c>
      <c r="C942" s="121">
        <v>2</v>
      </c>
      <c r="D942" s="135"/>
      <c r="E942" s="136"/>
      <c r="F942" s="120"/>
      <c r="G942" s="47"/>
      <c r="H942" s="48"/>
      <c r="I942" s="3"/>
      <c r="J942" s="3"/>
      <c r="K942" s="3"/>
      <c r="L942" s="49"/>
      <c r="M942" s="3"/>
      <c r="N942" s="3"/>
      <c r="O942" s="3"/>
      <c r="P942" s="3"/>
      <c r="Q942" s="3"/>
      <c r="R942" s="3"/>
    </row>
    <row r="943" spans="1:18" ht="15.75" x14ac:dyDescent="0.2">
      <c r="A943" s="445" t="s">
        <v>129</v>
      </c>
      <c r="B943" s="404" t="s">
        <v>216</v>
      </c>
      <c r="C943" s="121">
        <v>1</v>
      </c>
      <c r="D943" s="135"/>
      <c r="E943" s="136"/>
      <c r="F943" s="120"/>
      <c r="G943" s="47"/>
      <c r="H943" s="48"/>
      <c r="I943" s="3"/>
      <c r="J943" s="3"/>
      <c r="K943" s="3"/>
      <c r="L943" s="49"/>
      <c r="M943" s="3"/>
      <c r="N943" s="3"/>
      <c r="O943" s="3"/>
      <c r="P943" s="3"/>
      <c r="Q943" s="3"/>
      <c r="R943" s="3"/>
    </row>
    <row r="944" spans="1:18" ht="15.75" x14ac:dyDescent="0.2">
      <c r="A944" s="445" t="s">
        <v>130</v>
      </c>
      <c r="B944" s="404" t="s">
        <v>216</v>
      </c>
      <c r="C944" s="121">
        <v>1</v>
      </c>
      <c r="D944" s="135"/>
      <c r="E944" s="136"/>
      <c r="F944" s="120"/>
      <c r="G944" s="47"/>
      <c r="H944" s="48"/>
      <c r="I944" s="3"/>
      <c r="J944" s="3"/>
      <c r="K944" s="3"/>
      <c r="L944" s="49"/>
      <c r="M944" s="3"/>
      <c r="N944" s="3"/>
      <c r="O944" s="3"/>
      <c r="P944" s="3"/>
      <c r="Q944" s="3"/>
      <c r="R944" s="3"/>
    </row>
    <row r="945" spans="1:18" ht="15.75" x14ac:dyDescent="0.2">
      <c r="A945" s="445" t="s">
        <v>180</v>
      </c>
      <c r="B945" s="404" t="s">
        <v>215</v>
      </c>
      <c r="C945" s="121">
        <v>2</v>
      </c>
      <c r="D945" s="135"/>
      <c r="E945" s="136"/>
      <c r="F945" s="120"/>
      <c r="G945" s="47"/>
      <c r="H945" s="48"/>
      <c r="I945" s="3"/>
      <c r="J945" s="3"/>
      <c r="K945" s="3"/>
      <c r="L945" s="49"/>
      <c r="M945" s="3"/>
      <c r="N945" s="3"/>
      <c r="O945" s="3"/>
      <c r="P945" s="3"/>
      <c r="Q945" s="3"/>
      <c r="R945" s="3"/>
    </row>
    <row r="946" spans="1:18" ht="15.75" x14ac:dyDescent="0.2">
      <c r="A946" s="445" t="s">
        <v>219</v>
      </c>
      <c r="B946" s="404" t="s">
        <v>220</v>
      </c>
      <c r="C946" s="121">
        <v>1</v>
      </c>
      <c r="D946" s="135"/>
      <c r="E946" s="136"/>
      <c r="F946" s="120"/>
      <c r="G946" s="47"/>
      <c r="H946" s="48"/>
      <c r="I946" s="3"/>
      <c r="J946" s="3"/>
      <c r="K946" s="3"/>
      <c r="L946" s="49"/>
      <c r="M946" s="3"/>
      <c r="N946" s="3"/>
      <c r="O946" s="3"/>
      <c r="P946" s="3"/>
      <c r="Q946" s="3"/>
      <c r="R946" s="3"/>
    </row>
    <row r="947" spans="1:18" ht="15.75" x14ac:dyDescent="0.2">
      <c r="A947" s="445" t="s">
        <v>131</v>
      </c>
      <c r="B947" s="404" t="s">
        <v>217</v>
      </c>
      <c r="C947" s="121">
        <v>15</v>
      </c>
      <c r="D947" s="135"/>
      <c r="E947" s="136"/>
      <c r="F947" s="120"/>
      <c r="G947" s="47"/>
      <c r="H947" s="48"/>
      <c r="I947" s="3"/>
      <c r="J947" s="3"/>
      <c r="K947" s="3"/>
      <c r="L947" s="49"/>
      <c r="M947" s="3"/>
      <c r="N947" s="3"/>
      <c r="O947" s="3"/>
      <c r="P947" s="3"/>
      <c r="Q947" s="3"/>
      <c r="R947" s="3"/>
    </row>
    <row r="948" spans="1:18" ht="15.75" x14ac:dyDescent="0.2">
      <c r="A948" s="445" t="s">
        <v>132</v>
      </c>
      <c r="B948" s="404" t="s">
        <v>217</v>
      </c>
      <c r="C948" s="121">
        <v>4</v>
      </c>
      <c r="D948" s="135"/>
      <c r="E948" s="136"/>
      <c r="F948" s="120"/>
      <c r="G948" s="47"/>
      <c r="H948" s="48"/>
      <c r="I948" s="3"/>
      <c r="J948" s="3"/>
      <c r="K948" s="3"/>
      <c r="L948" s="49"/>
      <c r="M948" s="3"/>
      <c r="N948" s="3"/>
      <c r="O948" s="3"/>
      <c r="P948" s="3"/>
      <c r="Q948" s="3"/>
      <c r="R948" s="3"/>
    </row>
    <row r="949" spans="1:18" ht="15.75" x14ac:dyDescent="0.2">
      <c r="A949" s="445" t="s">
        <v>133</v>
      </c>
      <c r="B949" s="404" t="s">
        <v>215</v>
      </c>
      <c r="C949" s="121">
        <v>6</v>
      </c>
      <c r="D949" s="135"/>
      <c r="E949" s="136"/>
      <c r="F949" s="120"/>
      <c r="G949" s="47"/>
      <c r="H949" s="48"/>
      <c r="I949" s="3"/>
      <c r="J949" s="3"/>
      <c r="K949" s="3"/>
      <c r="L949" s="49"/>
      <c r="M949" s="3"/>
      <c r="N949" s="3"/>
      <c r="O949" s="3"/>
      <c r="P949" s="3"/>
      <c r="Q949" s="3"/>
      <c r="R949" s="3"/>
    </row>
    <row r="950" spans="1:18" ht="15.75" x14ac:dyDescent="0.2">
      <c r="A950" s="445" t="s">
        <v>177</v>
      </c>
      <c r="B950" s="404" t="s">
        <v>216</v>
      </c>
      <c r="C950" s="121">
        <v>100</v>
      </c>
      <c r="D950" s="135"/>
      <c r="E950" s="136"/>
      <c r="F950" s="120"/>
      <c r="G950" s="47"/>
      <c r="H950" s="48"/>
      <c r="I950" s="3"/>
      <c r="J950" s="3"/>
      <c r="K950" s="3"/>
      <c r="L950" s="49"/>
      <c r="M950" s="3"/>
      <c r="N950" s="3"/>
      <c r="O950" s="3"/>
      <c r="P950" s="3"/>
      <c r="Q950" s="3"/>
      <c r="R950" s="3"/>
    </row>
    <row r="951" spans="1:18" ht="15.75" x14ac:dyDescent="0.2">
      <c r="A951" s="445" t="s">
        <v>175</v>
      </c>
      <c r="B951" s="404" t="s">
        <v>215</v>
      </c>
      <c r="C951" s="121">
        <v>1</v>
      </c>
      <c r="D951" s="135"/>
      <c r="E951" s="136"/>
      <c r="F951" s="120"/>
      <c r="G951" s="47"/>
      <c r="H951" s="48"/>
      <c r="I951" s="3"/>
      <c r="J951" s="3"/>
      <c r="K951" s="3"/>
      <c r="L951" s="49"/>
      <c r="M951" s="3"/>
      <c r="N951" s="3"/>
      <c r="O951" s="3"/>
      <c r="P951" s="3"/>
      <c r="Q951" s="3"/>
      <c r="R951" s="3"/>
    </row>
    <row r="952" spans="1:18" x14ac:dyDescent="0.2">
      <c r="A952" s="488" t="s">
        <v>41</v>
      </c>
      <c r="B952" s="405"/>
      <c r="C952" s="50"/>
      <c r="D952" s="51"/>
      <c r="E952" s="52">
        <f>SUM(E926:E951)</f>
        <v>240000</v>
      </c>
      <c r="F952" s="119"/>
      <c r="G952" s="47"/>
      <c r="H952" s="48"/>
      <c r="I952" s="3"/>
      <c r="J952" s="3"/>
      <c r="K952" s="3"/>
      <c r="L952" s="49"/>
      <c r="M952" s="3"/>
      <c r="N952" s="3"/>
      <c r="O952" s="3"/>
      <c r="P952" s="3"/>
      <c r="Q952" s="3"/>
      <c r="R952" s="3"/>
    </row>
    <row r="953" spans="1:18" x14ac:dyDescent="0.2">
      <c r="A953" s="479"/>
    </row>
  </sheetData>
  <autoFilter ref="A31:Y872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37">
    <mergeCell ref="B906:C906"/>
    <mergeCell ref="E906:F906"/>
    <mergeCell ref="G894:H894"/>
    <mergeCell ref="G895:H895"/>
    <mergeCell ref="G896:H896"/>
    <mergeCell ref="G902:H902"/>
    <mergeCell ref="G903:H903"/>
    <mergeCell ref="A874:C874"/>
    <mergeCell ref="G898:H898"/>
    <mergeCell ref="G899:H899"/>
    <mergeCell ref="G900:H900"/>
    <mergeCell ref="G901:H901"/>
    <mergeCell ref="G892:H892"/>
    <mergeCell ref="O25:R25"/>
    <mergeCell ref="G31:G33"/>
    <mergeCell ref="H31:H33"/>
    <mergeCell ref="G25:I25"/>
    <mergeCell ref="G26:I26"/>
    <mergeCell ref="J25:L25"/>
    <mergeCell ref="M28:N28"/>
    <mergeCell ref="M25:N25"/>
    <mergeCell ref="M26:N26"/>
    <mergeCell ref="G28:I28"/>
    <mergeCell ref="O28:R28"/>
    <mergeCell ref="A1:E1"/>
    <mergeCell ref="G1:R1"/>
    <mergeCell ref="G2:R2"/>
    <mergeCell ref="G3:I3"/>
    <mergeCell ref="J3:L3"/>
    <mergeCell ref="M3:N3"/>
    <mergeCell ref="O3:R3"/>
    <mergeCell ref="G7:I7"/>
    <mergeCell ref="O15:R15"/>
    <mergeCell ref="O10:R10"/>
    <mergeCell ref="J12:L12"/>
    <mergeCell ref="B4:C4"/>
    <mergeCell ref="J6:L6"/>
    <mergeCell ref="B12:C12"/>
    <mergeCell ref="O12:R12"/>
    <mergeCell ref="G15:I15"/>
    <mergeCell ref="O17:R17"/>
    <mergeCell ref="B17:C17"/>
    <mergeCell ref="M17:N17"/>
    <mergeCell ref="M15:N15"/>
    <mergeCell ref="D15:E15"/>
    <mergeCell ref="B6:C6"/>
    <mergeCell ref="J9:L9"/>
    <mergeCell ref="G11:R11"/>
    <mergeCell ref="B11:C11"/>
    <mergeCell ref="G6:I6"/>
    <mergeCell ref="M6:N6"/>
    <mergeCell ref="J15:L15"/>
    <mergeCell ref="M12:N12"/>
    <mergeCell ref="B18:C18"/>
    <mergeCell ref="B5:C5"/>
    <mergeCell ref="G4:R5"/>
    <mergeCell ref="O6:R6"/>
    <mergeCell ref="G9:I10"/>
    <mergeCell ref="M9:N9"/>
    <mergeCell ref="M7:N7"/>
    <mergeCell ref="O7:R7"/>
    <mergeCell ref="J10:L10"/>
    <mergeCell ref="O9:R9"/>
    <mergeCell ref="M10:N10"/>
    <mergeCell ref="B9:C9"/>
    <mergeCell ref="G13:R13"/>
    <mergeCell ref="G14:I14"/>
    <mergeCell ref="M14:N14"/>
    <mergeCell ref="O14:R14"/>
    <mergeCell ref="G16:R16"/>
    <mergeCell ref="G17:I17"/>
    <mergeCell ref="G8:R8"/>
    <mergeCell ref="J7:L7"/>
    <mergeCell ref="G18:R18"/>
    <mergeCell ref="M23:N23"/>
    <mergeCell ref="G20:R20"/>
    <mergeCell ref="M21:N21"/>
    <mergeCell ref="G21:I21"/>
    <mergeCell ref="G22:R22"/>
    <mergeCell ref="G12:I12"/>
    <mergeCell ref="M24:N24"/>
    <mergeCell ref="O21:R21"/>
    <mergeCell ref="G24:I24"/>
    <mergeCell ref="G23:I23"/>
    <mergeCell ref="J24:L24"/>
    <mergeCell ref="O23:R23"/>
    <mergeCell ref="J21:L21"/>
    <mergeCell ref="J23:L23"/>
    <mergeCell ref="G19:I19"/>
    <mergeCell ref="J19:L19"/>
    <mergeCell ref="M19:N19"/>
    <mergeCell ref="O19:R19"/>
    <mergeCell ref="J14:L14"/>
    <mergeCell ref="J17:L17"/>
    <mergeCell ref="O24:R24"/>
    <mergeCell ref="J28:L28"/>
    <mergeCell ref="J26:L26"/>
    <mergeCell ref="J27:L27"/>
    <mergeCell ref="G27:I27"/>
    <mergeCell ref="A30:R30"/>
    <mergeCell ref="O27:R27"/>
    <mergeCell ref="D31:D33"/>
    <mergeCell ref="E31:E33"/>
    <mergeCell ref="G883:H883"/>
    <mergeCell ref="G877:H877"/>
    <mergeCell ref="B31:B33"/>
    <mergeCell ref="G882:H882"/>
    <mergeCell ref="A31:A33"/>
    <mergeCell ref="I31:I33"/>
    <mergeCell ref="J31:R31"/>
    <mergeCell ref="M27:N27"/>
    <mergeCell ref="O26:R26"/>
    <mergeCell ref="C31:C33"/>
    <mergeCell ref="F31:F33"/>
    <mergeCell ref="I931:K931"/>
    <mergeCell ref="I926:K926"/>
    <mergeCell ref="I927:K927"/>
    <mergeCell ref="I928:K928"/>
    <mergeCell ref="I929:K929"/>
    <mergeCell ref="F925:G925"/>
    <mergeCell ref="J32:Q32"/>
    <mergeCell ref="G893:H893"/>
    <mergeCell ref="G886:H886"/>
    <mergeCell ref="G887:H887"/>
    <mergeCell ref="I930:K930"/>
    <mergeCell ref="G878:H878"/>
    <mergeCell ref="G879:H879"/>
    <mergeCell ref="G880:H880"/>
    <mergeCell ref="G881:H881"/>
    <mergeCell ref="G888:H888"/>
    <mergeCell ref="G884:H884"/>
    <mergeCell ref="G885:H885"/>
    <mergeCell ref="G890:H890"/>
    <mergeCell ref="K925:L925"/>
    <mergeCell ref="G891:H891"/>
    <mergeCell ref="G897:H897"/>
    <mergeCell ref="G889:H88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ignoredErrors>
    <ignoredError sqref="F1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57"/>
  <sheetViews>
    <sheetView zoomScale="90" zoomScaleNormal="90" workbookViewId="0">
      <selection activeCell="B6" sqref="B6"/>
    </sheetView>
  </sheetViews>
  <sheetFormatPr defaultRowHeight="12.75" x14ac:dyDescent="0.2"/>
  <cols>
    <col min="1" max="1" width="3.28515625" style="447" bestFit="1" customWidth="1"/>
    <col min="2" max="2" width="47.5703125" style="447" bestFit="1" customWidth="1"/>
    <col min="3" max="6" width="11.42578125" style="447" customWidth="1"/>
    <col min="7" max="7" width="15.5703125" style="447" customWidth="1"/>
    <col min="8" max="8" width="15.28515625" style="447" customWidth="1"/>
    <col min="9" max="9" width="15.5703125" style="447" customWidth="1"/>
    <col min="10" max="10" width="15.28515625" style="447" customWidth="1"/>
    <col min="11" max="12" width="11.42578125" style="447" customWidth="1"/>
    <col min="13" max="13" width="9.5703125" style="447" bestFit="1" customWidth="1"/>
    <col min="14" max="14" width="8.7109375" style="447" bestFit="1" customWidth="1"/>
    <col min="15" max="20" width="15.85546875" style="447" customWidth="1"/>
    <col min="21" max="16384" width="9.140625" style="447"/>
  </cols>
  <sheetData>
    <row r="1" spans="1:20" x14ac:dyDescent="0.2">
      <c r="B1" s="447" t="s">
        <v>262</v>
      </c>
      <c r="C1" s="489" t="s">
        <v>261</v>
      </c>
      <c r="E1" s="447" t="s">
        <v>263</v>
      </c>
      <c r="M1" s="447">
        <f>M4/30</f>
        <v>0</v>
      </c>
      <c r="N1" s="447">
        <f t="shared" ref="N1:S1" si="0">N4/30</f>
        <v>0</v>
      </c>
      <c r="O1" s="447">
        <f t="shared" si="0"/>
        <v>0</v>
      </c>
      <c r="P1" s="447">
        <f t="shared" si="0"/>
        <v>0</v>
      </c>
      <c r="Q1" s="447">
        <f t="shared" si="0"/>
        <v>0</v>
      </c>
      <c r="R1" s="447">
        <f t="shared" si="0"/>
        <v>0</v>
      </c>
      <c r="S1" s="447">
        <f t="shared" si="0"/>
        <v>0</v>
      </c>
    </row>
    <row r="2" spans="1:20" ht="13.5" thickBot="1" x14ac:dyDescent="0.25">
      <c r="B2" s="447" t="s">
        <v>264</v>
      </c>
      <c r="C2" s="489" t="s">
        <v>261</v>
      </c>
      <c r="M2" s="447" t="e">
        <f>M4+M5-'РР '!J37</f>
        <v>#VALUE!</v>
      </c>
      <c r="N2" s="447" t="e">
        <f>N4+N5-'РР '!K37</f>
        <v>#VALUE!</v>
      </c>
      <c r="O2" s="447" t="e">
        <f>O4+O5-'РР '!L37</f>
        <v>#VALUE!</v>
      </c>
      <c r="P2" s="447" t="e">
        <f>P4+P5-'РР '!M37</f>
        <v>#VALUE!</v>
      </c>
      <c r="Q2" s="447" t="e">
        <f>Q4+Q5-'РР '!N37</f>
        <v>#VALUE!</v>
      </c>
      <c r="R2" s="447" t="e">
        <f>R4+R5-'РР '!O37</f>
        <v>#VALUE!</v>
      </c>
      <c r="S2" s="447" t="e">
        <f>S4+S5-'РР '!P37</f>
        <v>#VALUE!</v>
      </c>
      <c r="T2" s="447" t="e">
        <f>T4+T5-'РР '!Q37</f>
        <v>#VALUE!</v>
      </c>
    </row>
    <row r="3" spans="1:20" ht="13.5" thickTop="1" x14ac:dyDescent="0.2">
      <c r="M3" s="490" t="s">
        <v>44</v>
      </c>
      <c r="N3" s="490" t="s">
        <v>45</v>
      </c>
      <c r="O3" s="490" t="s">
        <v>70</v>
      </c>
      <c r="P3" s="490" t="s">
        <v>71</v>
      </c>
      <c r="Q3" s="490" t="s">
        <v>72</v>
      </c>
      <c r="R3" s="490" t="s">
        <v>123</v>
      </c>
      <c r="S3" s="490" t="s">
        <v>124</v>
      </c>
      <c r="T3" s="490" t="s">
        <v>125</v>
      </c>
    </row>
    <row r="4" spans="1:20" ht="24.75" customHeight="1" x14ac:dyDescent="0.2"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50"/>
      <c r="N4" s="450"/>
      <c r="O4" s="450"/>
      <c r="P4" s="450"/>
      <c r="Q4" s="450"/>
      <c r="R4" s="450"/>
      <c r="S4" s="450"/>
      <c r="T4" s="450"/>
    </row>
    <row r="5" spans="1:20" ht="24.75" customHeight="1" thickBot="1" x14ac:dyDescent="0.25">
      <c r="B5" s="448" t="s">
        <v>454</v>
      </c>
      <c r="C5" s="448">
        <f>(65000/0.87/30)</f>
        <v>2490.4214559386974</v>
      </c>
      <c r="D5" s="449"/>
      <c r="E5" s="449"/>
      <c r="F5" s="449"/>
      <c r="G5" s="449"/>
      <c r="H5" s="449"/>
      <c r="I5" s="448" t="e">
        <f>L5*C5*1.309</f>
        <v>#VALUE!</v>
      </c>
      <c r="J5" s="448"/>
      <c r="K5" s="448"/>
      <c r="L5" s="448" t="e">
        <f>SUM(M5:T5)</f>
        <v>#VALUE!</v>
      </c>
      <c r="M5" s="450" t="e">
        <f t="array" ref="M5">SUM(($B5='РР '!$A$43:$A$872)*'РР '!$C$43:$C$872*'РР '!J$43:J$872)</f>
        <v>#VALUE!</v>
      </c>
      <c r="N5" s="450" t="e">
        <f t="array" ref="N5">SUM(($B5='РР '!$A$43:$A$872)*'РР '!$C$43:$C$872*'РР '!K$43:K$872)</f>
        <v>#VALUE!</v>
      </c>
      <c r="O5" s="450" t="e">
        <f t="array" ref="O5">SUM(($B5='РР '!$A$43:$A$872)*'РР '!$C$43:$C$872*'РР '!L$43:L$872)</f>
        <v>#VALUE!</v>
      </c>
      <c r="P5" s="450" t="e">
        <f t="array" ref="P5">SUM(($B5='РР '!$A$43:$A$872)*'РР '!$C$43:$C$872*'РР '!M$43:M$872)</f>
        <v>#VALUE!</v>
      </c>
      <c r="Q5" s="450" t="e">
        <f t="array" ref="Q5">SUM(($B5='РР '!$A$43:$A$872)*'РР '!$C$43:$C$872*'РР '!N$43:N$872)</f>
        <v>#VALUE!</v>
      </c>
      <c r="R5" s="450" t="e">
        <f t="array" ref="R5">SUM(($B5='РР '!$A$43:$A$872)*'РР '!$C$43:$C$872*'РР '!O$43:O$872)</f>
        <v>#VALUE!</v>
      </c>
      <c r="S5" s="450" t="e">
        <f t="array" ref="S5">SUM(($B5='РР '!$A$43:$A$872)*'РР '!$C$43:$C$872*'РР '!P$43:P$872)</f>
        <v>#VALUE!</v>
      </c>
      <c r="T5" s="450" t="e">
        <f t="array" ref="T5">SUM(($B5='РР '!$A$43:$A$872)*'РР '!$C$43:$C$872*'РР '!Q$43:Q$872)</f>
        <v>#VALUE!</v>
      </c>
    </row>
    <row r="6" spans="1:20" ht="24.75" customHeight="1" thickTop="1" thickBot="1" x14ac:dyDescent="0.25">
      <c r="B6" s="449"/>
      <c r="C6" s="449"/>
      <c r="D6" s="449"/>
      <c r="E6" s="449"/>
      <c r="F6" s="449"/>
      <c r="G6" s="449"/>
      <c r="H6" s="449"/>
      <c r="I6" s="449" t="e">
        <f>I4+I5</f>
        <v>#VALUE!</v>
      </c>
      <c r="J6" s="449"/>
      <c r="K6" s="449"/>
      <c r="L6" s="449" t="e">
        <f>L4+L5</f>
        <v>#VALUE!</v>
      </c>
      <c r="M6" s="581" t="s">
        <v>163</v>
      </c>
      <c r="N6" s="581"/>
      <c r="O6" s="581"/>
      <c r="P6" s="581"/>
      <c r="Q6" s="581"/>
      <c r="R6" s="581"/>
      <c r="S6" s="581"/>
      <c r="T6" s="581"/>
    </row>
    <row r="7" spans="1:20" ht="39" thickTop="1" x14ac:dyDescent="0.2">
      <c r="A7" s="491"/>
      <c r="B7" s="492" t="s">
        <v>162</v>
      </c>
      <c r="C7" s="493" t="s">
        <v>221</v>
      </c>
      <c r="D7" s="493" t="s">
        <v>222</v>
      </c>
      <c r="E7" s="493" t="s">
        <v>223</v>
      </c>
      <c r="F7" s="494" t="s">
        <v>224</v>
      </c>
      <c r="G7" s="494" t="s">
        <v>225</v>
      </c>
      <c r="H7" s="494" t="s">
        <v>161</v>
      </c>
      <c r="I7" s="494" t="s">
        <v>226</v>
      </c>
      <c r="J7" s="494" t="s">
        <v>227</v>
      </c>
      <c r="K7" s="448" t="s">
        <v>228</v>
      </c>
      <c r="L7" s="495" t="s">
        <v>226</v>
      </c>
      <c r="M7" s="490" t="s">
        <v>44</v>
      </c>
      <c r="N7" s="490" t="s">
        <v>45</v>
      </c>
      <c r="O7" s="490" t="s">
        <v>70</v>
      </c>
      <c r="P7" s="490" t="s">
        <v>71</v>
      </c>
      <c r="Q7" s="490" t="s">
        <v>72</v>
      </c>
      <c r="R7" s="490" t="s">
        <v>123</v>
      </c>
      <c r="S7" s="490" t="s">
        <v>124</v>
      </c>
      <c r="T7" s="490" t="s">
        <v>125</v>
      </c>
    </row>
    <row r="8" spans="1:20" ht="14.25" x14ac:dyDescent="0.2">
      <c r="A8" s="496"/>
      <c r="B8" s="497" t="s">
        <v>240</v>
      </c>
      <c r="C8" s="493">
        <v>20900</v>
      </c>
      <c r="D8" s="498">
        <v>18150</v>
      </c>
      <c r="E8" s="493">
        <v>18150</v>
      </c>
      <c r="F8" s="494"/>
      <c r="G8" s="497" t="e">
        <f>(K8-L8)*D8</f>
        <v>#VALUE!</v>
      </c>
      <c r="H8" s="497">
        <f t="shared" ref="H8:H29" si="1">E8*F8</f>
        <v>0</v>
      </c>
      <c r="I8" s="497" t="e">
        <f t="shared" ref="I8:I29" si="2">L8*C8</f>
        <v>#VALUE!</v>
      </c>
      <c r="J8" s="497" t="e">
        <f t="shared" ref="J8:J29" si="3">G8+H8+I8</f>
        <v>#VALUE!</v>
      </c>
      <c r="K8" s="497" t="e">
        <f>L8*1.1</f>
        <v>#VALUE!</v>
      </c>
      <c r="L8" s="448" t="e">
        <f>SUM(M8:T8)</f>
        <v>#VALUE!</v>
      </c>
      <c r="M8" s="450" t="e">
        <f t="array" ref="M8">SUM(($B8='РР '!$A$43:$A$872)*'РР '!$C$43:$C$872*'РР '!J$43:J$872)</f>
        <v>#VALUE!</v>
      </c>
      <c r="N8" s="450" t="e">
        <f t="array" ref="N8">SUM(($B8='РР '!$A$43:$A$872)*'РР '!$C$43:$C$872*'РР '!K$43:K$872)</f>
        <v>#VALUE!</v>
      </c>
      <c r="O8" s="450" t="e">
        <f t="array" ref="O8">SUM(($B8='РР '!$A$43:$A$872)*'РР '!$C$43:$C$872*'РР '!L$43:L$872)</f>
        <v>#VALUE!</v>
      </c>
      <c r="P8" s="450" t="e">
        <f t="array" ref="P8">SUM(($B8='РР '!$A$43:$A$872)*'РР '!$C$43:$C$872*'РР '!M$43:M$872)</f>
        <v>#VALUE!</v>
      </c>
      <c r="Q8" s="450" t="e">
        <f t="array" ref="Q8">SUM(($B8='РР '!$A$43:$A$872)*'РР '!$C$43:$C$872*'РР '!N$43:N$872)</f>
        <v>#VALUE!</v>
      </c>
      <c r="R8" s="450" t="e">
        <f t="array" ref="R8">SUM(($B8='РР '!$A$43:$A$872)*'РР '!$C$43:$C$872*'РР '!O$43:O$872)</f>
        <v>#VALUE!</v>
      </c>
      <c r="S8" s="450" t="e">
        <f t="array" ref="S8">SUM(($B8='РР '!$A$43:$A$872)*'РР '!$C$43:$C$872*'РР '!P$43:P$872)</f>
        <v>#VALUE!</v>
      </c>
      <c r="T8" s="450" t="e">
        <f t="array" ref="T8">SUM(($B8='РР '!$A$43:$A$872)*'РР '!$C$43:$C$872*'РР '!Q$43:Q$872)</f>
        <v>#VALUE!</v>
      </c>
    </row>
    <row r="9" spans="1:20" ht="14.25" x14ac:dyDescent="0.2">
      <c r="A9" s="496"/>
      <c r="B9" s="497" t="s">
        <v>241</v>
      </c>
      <c r="C9" s="493">
        <v>16500</v>
      </c>
      <c r="D9" s="498">
        <v>16500</v>
      </c>
      <c r="E9" s="493">
        <v>16500</v>
      </c>
      <c r="F9" s="494"/>
      <c r="G9" s="497" t="e">
        <f>(K9-L9)*D9</f>
        <v>#VALUE!</v>
      </c>
      <c r="H9" s="497">
        <f t="shared" si="1"/>
        <v>0</v>
      </c>
      <c r="I9" s="497" t="e">
        <f t="shared" si="2"/>
        <v>#VALUE!</v>
      </c>
      <c r="J9" s="497" t="e">
        <f t="shared" si="3"/>
        <v>#VALUE!</v>
      </c>
      <c r="K9" s="497" t="e">
        <f t="shared" ref="K9:K31" si="4">L9*1.1</f>
        <v>#VALUE!</v>
      </c>
      <c r="L9" s="448" t="e">
        <f t="shared" ref="L9:L31" si="5">SUM(M9:T9)</f>
        <v>#VALUE!</v>
      </c>
      <c r="M9" s="450" t="e">
        <f t="array" ref="M9">SUM(($B9='РР '!$A$43:$A$872)*'РР '!$C$43:$C$872*'РР '!J$43:J$872)</f>
        <v>#VALUE!</v>
      </c>
      <c r="N9" s="450" t="e">
        <f t="array" ref="N9">SUM(($B9='РР '!$A$43:$A$872)*'РР '!$C$43:$C$872*'РР '!K$43:K$872)</f>
        <v>#VALUE!</v>
      </c>
      <c r="O9" s="450" t="e">
        <f t="array" ref="O9">SUM(($B9='РР '!$A$43:$A$872)*'РР '!$C$43:$C$872*'РР '!L$43:L$872)</f>
        <v>#VALUE!</v>
      </c>
      <c r="P9" s="450" t="e">
        <f t="array" ref="P9">SUM(($B9='РР '!$A$43:$A$872)*'РР '!$C$43:$C$872*'РР '!M$43:M$872)</f>
        <v>#VALUE!</v>
      </c>
      <c r="Q9" s="450" t="e">
        <f t="array" ref="Q9">SUM(($B9='РР '!$A$43:$A$872)*'РР '!$C$43:$C$872*'РР '!N$43:N$872)</f>
        <v>#VALUE!</v>
      </c>
      <c r="R9" s="450" t="e">
        <f t="array" ref="R9">SUM(($B9='РР '!$A$43:$A$872)*'РР '!$C$43:$C$872*'РР '!O$43:O$872)</f>
        <v>#VALUE!</v>
      </c>
      <c r="S9" s="450" t="e">
        <f t="array" ref="S9">SUM(($B9='РР '!$A$43:$A$872)*'РР '!$C$43:$C$872*'РР '!P$43:P$872)</f>
        <v>#VALUE!</v>
      </c>
      <c r="T9" s="450" t="e">
        <f t="array" ref="T9">SUM(($B9='РР '!$A$43:$A$872)*'РР '!$C$43:$C$872*'РР '!Q$43:Q$872)</f>
        <v>#VALUE!</v>
      </c>
    </row>
    <row r="10" spans="1:20" ht="14.25" x14ac:dyDescent="0.2">
      <c r="A10" s="496"/>
      <c r="B10" s="497" t="s">
        <v>242</v>
      </c>
      <c r="C10" s="493">
        <v>19250</v>
      </c>
      <c r="D10" s="498">
        <v>19800</v>
      </c>
      <c r="E10" s="493">
        <v>39600</v>
      </c>
      <c r="F10" s="494"/>
      <c r="G10" s="497" t="e">
        <f t="shared" ref="G10:G29" si="6">(K10-L10)*D10</f>
        <v>#VALUE!</v>
      </c>
      <c r="H10" s="497">
        <f t="shared" si="1"/>
        <v>0</v>
      </c>
      <c r="I10" s="497" t="e">
        <f t="shared" si="2"/>
        <v>#VALUE!</v>
      </c>
      <c r="J10" s="497" t="e">
        <f t="shared" si="3"/>
        <v>#VALUE!</v>
      </c>
      <c r="K10" s="497" t="e">
        <f t="shared" si="4"/>
        <v>#VALUE!</v>
      </c>
      <c r="L10" s="448" t="e">
        <f t="shared" si="5"/>
        <v>#VALUE!</v>
      </c>
      <c r="M10" s="450" t="e">
        <f t="array" ref="M10">SUM(($B10='РР '!$A$43:$A$872)*'РР '!$C$43:$C$872*'РР '!J$43:J$872)</f>
        <v>#VALUE!</v>
      </c>
      <c r="N10" s="450" t="e">
        <f t="array" ref="N10">SUM(($B10='РР '!$A$43:$A$872)*'РР '!$C$43:$C$872*'РР '!K$43:K$872)</f>
        <v>#VALUE!</v>
      </c>
      <c r="O10" s="450" t="e">
        <f t="array" ref="O10">SUM(($B10='РР '!$A$43:$A$872)*'РР '!$C$43:$C$872*'РР '!L$43:L$872)</f>
        <v>#VALUE!</v>
      </c>
      <c r="P10" s="450" t="e">
        <f t="array" ref="P10">SUM(($B10='РР '!$A$43:$A$872)*'РР '!$C$43:$C$872*'РР '!M$43:M$872)</f>
        <v>#VALUE!</v>
      </c>
      <c r="Q10" s="450" t="e">
        <f t="array" ref="Q10">SUM(($B10='РР '!$A$43:$A$872)*'РР '!$C$43:$C$872*'РР '!N$43:N$872)</f>
        <v>#VALUE!</v>
      </c>
      <c r="R10" s="450" t="e">
        <f t="array" ref="R10">SUM(($B10='РР '!$A$43:$A$872)*'РР '!$C$43:$C$872*'РР '!O$43:O$872)</f>
        <v>#VALUE!</v>
      </c>
      <c r="S10" s="450" t="e">
        <f t="array" ref="S10">SUM(($B10='РР '!$A$43:$A$872)*'РР '!$C$43:$C$872*'РР '!P$43:P$872)</f>
        <v>#VALUE!</v>
      </c>
      <c r="T10" s="450" t="e">
        <f t="array" ref="T10">SUM(($B10='РР '!$A$43:$A$872)*'РР '!$C$43:$C$872*'РР '!Q$43:Q$872)</f>
        <v>#VALUE!</v>
      </c>
    </row>
    <row r="11" spans="1:20" ht="14.25" x14ac:dyDescent="0.2">
      <c r="A11" s="496"/>
      <c r="B11" s="497" t="s">
        <v>243</v>
      </c>
      <c r="C11" s="493">
        <v>11000</v>
      </c>
      <c r="D11" s="498">
        <v>19800</v>
      </c>
      <c r="E11" s="493">
        <v>39600</v>
      </c>
      <c r="F11" s="494"/>
      <c r="G11" s="497" t="e">
        <f t="shared" si="6"/>
        <v>#VALUE!</v>
      </c>
      <c r="H11" s="497">
        <f t="shared" si="1"/>
        <v>0</v>
      </c>
      <c r="I11" s="497" t="e">
        <f t="shared" si="2"/>
        <v>#VALUE!</v>
      </c>
      <c r="J11" s="497" t="e">
        <f t="shared" si="3"/>
        <v>#VALUE!</v>
      </c>
      <c r="K11" s="497" t="e">
        <f t="shared" si="4"/>
        <v>#VALUE!</v>
      </c>
      <c r="L11" s="448" t="e">
        <f t="shared" si="5"/>
        <v>#VALUE!</v>
      </c>
      <c r="M11" s="450" t="e">
        <f t="array" ref="M11">SUM(($B11='РР '!$A$43:$A$872)*'РР '!$C$43:$C$872*'РР '!J$43:J$872)</f>
        <v>#VALUE!</v>
      </c>
      <c r="N11" s="450" t="e">
        <f t="array" ref="N11">SUM(($B11='РР '!$A$43:$A$872)*'РР '!$C$43:$C$872*'РР '!K$43:K$872)</f>
        <v>#VALUE!</v>
      </c>
      <c r="O11" s="450" t="e">
        <f t="array" ref="O11">SUM(($B11='РР '!$A$43:$A$872)*'РР '!$C$43:$C$872*'РР '!L$43:L$872)</f>
        <v>#VALUE!</v>
      </c>
      <c r="P11" s="450" t="e">
        <f t="array" ref="P11">SUM(($B11='РР '!$A$43:$A$872)*'РР '!$C$43:$C$872*'РР '!M$43:M$872)</f>
        <v>#VALUE!</v>
      </c>
      <c r="Q11" s="450" t="e">
        <f t="array" ref="Q11">SUM(($B11='РР '!$A$43:$A$872)*'РР '!$C$43:$C$872*'РР '!N$43:N$872)</f>
        <v>#VALUE!</v>
      </c>
      <c r="R11" s="450" t="e">
        <f t="array" ref="R11">SUM(($B11='РР '!$A$43:$A$872)*'РР '!$C$43:$C$872*'РР '!O$43:O$872)</f>
        <v>#VALUE!</v>
      </c>
      <c r="S11" s="450" t="e">
        <f t="array" ref="S11">SUM(($B11='РР '!$A$43:$A$872)*'РР '!$C$43:$C$872*'РР '!P$43:P$872)</f>
        <v>#VALUE!</v>
      </c>
      <c r="T11" s="450" t="e">
        <f t="array" ref="T11">SUM(($B11='РР '!$A$43:$A$872)*'РР '!$C$43:$C$872*'РР '!Q$43:Q$872)</f>
        <v>#VALUE!</v>
      </c>
    </row>
    <row r="12" spans="1:20" ht="14.25" x14ac:dyDescent="0.2">
      <c r="A12" s="496"/>
      <c r="B12" s="497" t="s">
        <v>437</v>
      </c>
      <c r="C12" s="493">
        <v>11000</v>
      </c>
      <c r="D12" s="498"/>
      <c r="E12" s="493"/>
      <c r="F12" s="494"/>
      <c r="G12" s="497"/>
      <c r="H12" s="497"/>
      <c r="I12" s="497" t="e">
        <f t="shared" si="2"/>
        <v>#VALUE!</v>
      </c>
      <c r="J12" s="497"/>
      <c r="K12" s="497" t="e">
        <f t="shared" si="4"/>
        <v>#VALUE!</v>
      </c>
      <c r="L12" s="448" t="e">
        <f t="shared" si="5"/>
        <v>#VALUE!</v>
      </c>
      <c r="M12" s="450" t="e">
        <f t="array" ref="M12">SUM(($B12='РР '!$A$43:$A$872)*'РР '!$C$43:$C$872*'РР '!J$43:J$872)</f>
        <v>#VALUE!</v>
      </c>
      <c r="N12" s="450" t="e">
        <f t="array" ref="N12">SUM(($B12='РР '!$A$43:$A$872)*'РР '!$C$43:$C$872*'РР '!K$43:K$872)</f>
        <v>#VALUE!</v>
      </c>
      <c r="O12" s="450" t="e">
        <f t="array" ref="O12">SUM(($B12='РР '!$A$43:$A$872)*'РР '!$C$43:$C$872*'РР '!L$43:L$872)</f>
        <v>#VALUE!</v>
      </c>
      <c r="P12" s="450" t="e">
        <f t="array" ref="P12">SUM(($B12='РР '!$A$43:$A$872)*'РР '!$C$43:$C$872*'РР '!M$43:M$872)</f>
        <v>#VALUE!</v>
      </c>
      <c r="Q12" s="450" t="e">
        <f t="array" ref="Q12">SUM(($B12='РР '!$A$43:$A$872)*'РР '!$C$43:$C$872*'РР '!N$43:N$872)</f>
        <v>#VALUE!</v>
      </c>
      <c r="R12" s="450" t="e">
        <f t="array" ref="R12">SUM(($B12='РР '!$A$43:$A$872)*'РР '!$C$43:$C$872*'РР '!O$43:O$872)</f>
        <v>#VALUE!</v>
      </c>
      <c r="S12" s="450" t="e">
        <f t="array" ref="S12">SUM(($B12='РР '!$A$43:$A$872)*'РР '!$C$43:$C$872*'РР '!P$43:P$872)</f>
        <v>#VALUE!</v>
      </c>
      <c r="T12" s="450" t="e">
        <f t="array" ref="T12">SUM(($B12='РР '!$A$43:$A$872)*'РР '!$C$43:$C$872*'РР '!Q$43:Q$872)</f>
        <v>#VALUE!</v>
      </c>
    </row>
    <row r="13" spans="1:20" ht="14.25" x14ac:dyDescent="0.2">
      <c r="A13" s="496"/>
      <c r="B13" s="497" t="s">
        <v>244</v>
      </c>
      <c r="C13" s="493">
        <v>16500</v>
      </c>
      <c r="D13" s="498">
        <v>19800</v>
      </c>
      <c r="E13" s="493">
        <v>39600</v>
      </c>
      <c r="F13" s="494"/>
      <c r="G13" s="497" t="e">
        <f t="shared" si="6"/>
        <v>#VALUE!</v>
      </c>
      <c r="H13" s="497">
        <f t="shared" si="1"/>
        <v>0</v>
      </c>
      <c r="I13" s="497" t="e">
        <f t="shared" si="2"/>
        <v>#VALUE!</v>
      </c>
      <c r="J13" s="497" t="e">
        <f t="shared" si="3"/>
        <v>#VALUE!</v>
      </c>
      <c r="K13" s="497" t="e">
        <f t="shared" si="4"/>
        <v>#VALUE!</v>
      </c>
      <c r="L13" s="448" t="e">
        <f t="shared" si="5"/>
        <v>#VALUE!</v>
      </c>
      <c r="M13" s="450" t="e">
        <f t="array" ref="M13">SUM(($B13='РР '!$A$43:$A$872)*'РР '!$C$43:$C$872*'РР '!J$43:J$872)</f>
        <v>#VALUE!</v>
      </c>
      <c r="N13" s="450" t="e">
        <f t="array" ref="N13">SUM(($B13='РР '!$A$43:$A$872)*'РР '!$C$43:$C$872*'РР '!K$43:K$872)</f>
        <v>#VALUE!</v>
      </c>
      <c r="O13" s="450" t="e">
        <f t="array" ref="O13">SUM(($B13='РР '!$A$43:$A$872)*'РР '!$C$43:$C$872*'РР '!L$43:L$872)</f>
        <v>#VALUE!</v>
      </c>
      <c r="P13" s="450" t="e">
        <f t="array" ref="P13">SUM(($B13='РР '!$A$43:$A$872)*'РР '!$C$43:$C$872*'РР '!M$43:M$872)</f>
        <v>#VALUE!</v>
      </c>
      <c r="Q13" s="450" t="e">
        <f t="array" ref="Q13">SUM(($B13='РР '!$A$43:$A$872)*'РР '!$C$43:$C$872*'РР '!N$43:N$872)</f>
        <v>#VALUE!</v>
      </c>
      <c r="R13" s="450" t="e">
        <f t="array" ref="R13">SUM(($B13='РР '!$A$43:$A$872)*'РР '!$C$43:$C$872*'РР '!O$43:O$872)</f>
        <v>#VALUE!</v>
      </c>
      <c r="S13" s="450" t="e">
        <f t="array" ref="S13">SUM(($B13='РР '!$A$43:$A$872)*'РР '!$C$43:$C$872*'РР '!P$43:P$872)</f>
        <v>#VALUE!</v>
      </c>
      <c r="T13" s="450" t="e">
        <f t="array" ref="T13">SUM(($B13='РР '!$A$43:$A$872)*'РР '!$C$43:$C$872*'РР '!Q$43:Q$872)</f>
        <v>#VALUE!</v>
      </c>
    </row>
    <row r="14" spans="1:20" ht="14.25" x14ac:dyDescent="0.2">
      <c r="A14" s="496"/>
      <c r="B14" s="497" t="s">
        <v>245</v>
      </c>
      <c r="C14" s="493">
        <v>14300</v>
      </c>
      <c r="D14" s="498">
        <v>17000</v>
      </c>
      <c r="E14" s="493">
        <v>34000</v>
      </c>
      <c r="F14" s="494"/>
      <c r="G14" s="497" t="e">
        <f t="shared" si="6"/>
        <v>#VALUE!</v>
      </c>
      <c r="H14" s="497">
        <f t="shared" si="1"/>
        <v>0</v>
      </c>
      <c r="I14" s="497" t="e">
        <f t="shared" si="2"/>
        <v>#VALUE!</v>
      </c>
      <c r="J14" s="497" t="e">
        <f t="shared" si="3"/>
        <v>#VALUE!</v>
      </c>
      <c r="K14" s="497" t="e">
        <f t="shared" si="4"/>
        <v>#VALUE!</v>
      </c>
      <c r="L14" s="448" t="e">
        <f t="shared" si="5"/>
        <v>#VALUE!</v>
      </c>
      <c r="M14" s="450" t="e">
        <f t="array" ref="M14">SUM(($B14='РР '!$A$43:$A$872)*'РР '!$C$43:$C$872*'РР '!J$43:J$872)</f>
        <v>#VALUE!</v>
      </c>
      <c r="N14" s="450" t="e">
        <f t="array" ref="N14">SUM(($B14='РР '!$A$43:$A$872)*'РР '!$C$43:$C$872*'РР '!K$43:K$872)</f>
        <v>#VALUE!</v>
      </c>
      <c r="O14" s="450" t="e">
        <f t="array" ref="O14">SUM(($B14='РР '!$A$43:$A$872)*'РР '!$C$43:$C$872*'РР '!L$43:L$872)</f>
        <v>#VALUE!</v>
      </c>
      <c r="P14" s="450" t="e">
        <f t="array" ref="P14">SUM(($B14='РР '!$A$43:$A$872)*'РР '!$C$43:$C$872*'РР '!M$43:M$872)</f>
        <v>#VALUE!</v>
      </c>
      <c r="Q14" s="450" t="e">
        <f t="array" ref="Q14">SUM(($B14='РР '!$A$43:$A$872)*'РР '!$C$43:$C$872*'РР '!N$43:N$872)</f>
        <v>#VALUE!</v>
      </c>
      <c r="R14" s="450" t="e">
        <f t="array" ref="R14">SUM(($B14='РР '!$A$43:$A$872)*'РР '!$C$43:$C$872*'РР '!O$43:O$872)</f>
        <v>#VALUE!</v>
      </c>
      <c r="S14" s="450" t="e">
        <f t="array" ref="S14">SUM(($B14='РР '!$A$43:$A$872)*'РР '!$C$43:$C$872*'РР '!P$43:P$872)</f>
        <v>#VALUE!</v>
      </c>
      <c r="T14" s="450" t="e">
        <f t="array" ref="T14">SUM(($B14='РР '!$A$43:$A$872)*'РР '!$C$43:$C$872*'РР '!Q$43:Q$872)</f>
        <v>#VALUE!</v>
      </c>
    </row>
    <row r="15" spans="1:20" ht="14.25" x14ac:dyDescent="0.2">
      <c r="A15" s="496"/>
      <c r="B15" s="497" t="s">
        <v>246</v>
      </c>
      <c r="C15" s="493">
        <v>18000</v>
      </c>
      <c r="D15" s="498">
        <v>22000</v>
      </c>
      <c r="E15" s="493">
        <v>22000</v>
      </c>
      <c r="F15" s="494"/>
      <c r="G15" s="497" t="e">
        <f t="shared" si="6"/>
        <v>#VALUE!</v>
      </c>
      <c r="H15" s="497">
        <f t="shared" si="1"/>
        <v>0</v>
      </c>
      <c r="I15" s="497" t="e">
        <f t="shared" si="2"/>
        <v>#VALUE!</v>
      </c>
      <c r="J15" s="497" t="e">
        <f t="shared" si="3"/>
        <v>#VALUE!</v>
      </c>
      <c r="K15" s="497" t="e">
        <f t="shared" si="4"/>
        <v>#VALUE!</v>
      </c>
      <c r="L15" s="448" t="e">
        <f t="shared" si="5"/>
        <v>#VALUE!</v>
      </c>
      <c r="M15" s="450" t="e">
        <f t="array" ref="M15">SUM(($B15='РР '!$A$43:$A$872)*'РР '!$C$43:$C$872*'РР '!J$43:J$872)</f>
        <v>#VALUE!</v>
      </c>
      <c r="N15" s="450" t="e">
        <f t="array" ref="N15">SUM(($B15='РР '!$A$43:$A$872)*'РР '!$C$43:$C$872*'РР '!K$43:K$872)</f>
        <v>#VALUE!</v>
      </c>
      <c r="O15" s="450" t="e">
        <f t="array" ref="O15">SUM(($B15='РР '!$A$43:$A$872)*'РР '!$C$43:$C$872*'РР '!L$43:L$872)</f>
        <v>#VALUE!</v>
      </c>
      <c r="P15" s="450" t="e">
        <f t="array" ref="P15">SUM(($B15='РР '!$A$43:$A$872)*'РР '!$C$43:$C$872*'РР '!M$43:M$872)</f>
        <v>#VALUE!</v>
      </c>
      <c r="Q15" s="450" t="e">
        <f t="array" ref="Q15">SUM(($B15='РР '!$A$43:$A$872)*'РР '!$C$43:$C$872*'РР '!N$43:N$872)</f>
        <v>#VALUE!</v>
      </c>
      <c r="R15" s="450" t="e">
        <f t="array" ref="R15">SUM(($B15='РР '!$A$43:$A$872)*'РР '!$C$43:$C$872*'РР '!O$43:O$872)</f>
        <v>#VALUE!</v>
      </c>
      <c r="S15" s="450" t="e">
        <f t="array" ref="S15">SUM(($B15='РР '!$A$43:$A$872)*'РР '!$C$43:$C$872*'РР '!P$43:P$872)</f>
        <v>#VALUE!</v>
      </c>
      <c r="T15" s="450" t="e">
        <f t="array" ref="T15">SUM(($B15='РР '!$A$43:$A$872)*'РР '!$C$43:$C$872*'РР '!Q$43:Q$872)</f>
        <v>#VALUE!</v>
      </c>
    </row>
    <row r="16" spans="1:20" ht="14.25" x14ac:dyDescent="0.2">
      <c r="A16" s="496"/>
      <c r="B16" s="497" t="s">
        <v>247</v>
      </c>
      <c r="C16" s="493">
        <v>55600</v>
      </c>
      <c r="D16" s="498">
        <v>25000</v>
      </c>
      <c r="E16" s="493">
        <v>50000</v>
      </c>
      <c r="F16" s="494"/>
      <c r="G16" s="497" t="e">
        <f t="shared" si="6"/>
        <v>#VALUE!</v>
      </c>
      <c r="H16" s="497">
        <f t="shared" si="1"/>
        <v>0</v>
      </c>
      <c r="I16" s="497" t="e">
        <f t="shared" si="2"/>
        <v>#VALUE!</v>
      </c>
      <c r="J16" s="497" t="e">
        <f t="shared" si="3"/>
        <v>#VALUE!</v>
      </c>
      <c r="K16" s="497" t="e">
        <f t="shared" si="4"/>
        <v>#VALUE!</v>
      </c>
      <c r="L16" s="448" t="e">
        <f t="shared" si="5"/>
        <v>#VALUE!</v>
      </c>
      <c r="M16" s="450" t="e">
        <f t="array" ref="M16">SUM(($B16='РР '!$A$43:$A$872)*'РР '!$C$43:$C$872*'РР '!J$43:J$872)</f>
        <v>#VALUE!</v>
      </c>
      <c r="N16" s="450" t="e">
        <f t="array" ref="N16">SUM(($B16='РР '!$A$43:$A$872)*'РР '!$C$43:$C$872*'РР '!K$43:K$872)</f>
        <v>#VALUE!</v>
      </c>
      <c r="O16" s="450" t="e">
        <f t="array" ref="O16">SUM(($B16='РР '!$A$43:$A$872)*'РР '!$C$43:$C$872*'РР '!L$43:L$872)</f>
        <v>#VALUE!</v>
      </c>
      <c r="P16" s="450" t="e">
        <f t="array" ref="P16">SUM(($B16='РР '!$A$43:$A$872)*'РР '!$C$43:$C$872*'РР '!M$43:M$872)</f>
        <v>#VALUE!</v>
      </c>
      <c r="Q16" s="450" t="e">
        <f t="array" ref="Q16">SUM(($B16='РР '!$A$43:$A$872)*'РР '!$C$43:$C$872*'РР '!N$43:N$872)</f>
        <v>#VALUE!</v>
      </c>
      <c r="R16" s="450" t="e">
        <f t="array" ref="R16">SUM(($B16='РР '!$A$43:$A$872)*'РР '!$C$43:$C$872*'РР '!O$43:O$872)</f>
        <v>#VALUE!</v>
      </c>
      <c r="S16" s="450" t="e">
        <f t="array" ref="S16">SUM(($B16='РР '!$A$43:$A$872)*'РР '!$C$43:$C$872*'РР '!P$43:P$872)</f>
        <v>#VALUE!</v>
      </c>
      <c r="T16" s="450" t="e">
        <f t="array" ref="T16">SUM(($B16='РР '!$A$43:$A$872)*'РР '!$C$43:$C$872*'РР '!Q$43:Q$872)</f>
        <v>#VALUE!</v>
      </c>
    </row>
    <row r="17" spans="1:20" ht="14.25" x14ac:dyDescent="0.2">
      <c r="A17" s="496"/>
      <c r="B17" s="497" t="s">
        <v>248</v>
      </c>
      <c r="C17" s="493">
        <v>29500</v>
      </c>
      <c r="D17" s="498">
        <v>7453</v>
      </c>
      <c r="E17" s="493">
        <v>150000</v>
      </c>
      <c r="F17" s="494"/>
      <c r="G17" s="497" t="e">
        <f t="shared" si="6"/>
        <v>#VALUE!</v>
      </c>
      <c r="H17" s="497">
        <f t="shared" si="1"/>
        <v>0</v>
      </c>
      <c r="I17" s="497" t="e">
        <f t="shared" si="2"/>
        <v>#VALUE!</v>
      </c>
      <c r="J17" s="497" t="e">
        <f t="shared" si="3"/>
        <v>#VALUE!</v>
      </c>
      <c r="K17" s="497" t="e">
        <f t="shared" si="4"/>
        <v>#VALUE!</v>
      </c>
      <c r="L17" s="448" t="e">
        <f t="shared" si="5"/>
        <v>#VALUE!</v>
      </c>
      <c r="M17" s="450" t="e">
        <f t="array" ref="M17">SUM(($B17='РР '!$A$43:$A$872)*'РР '!$C$43:$C$872*'РР '!J$43:J$872)</f>
        <v>#VALUE!</v>
      </c>
      <c r="N17" s="450" t="e">
        <f t="array" ref="N17">SUM(($B17='РР '!$A$43:$A$872)*'РР '!$C$43:$C$872*'РР '!K$43:K$872)</f>
        <v>#VALUE!</v>
      </c>
      <c r="O17" s="450" t="e">
        <f t="array" ref="O17">SUM(($B17='РР '!$A$43:$A$872)*'РР '!$C$43:$C$872*'РР '!L$43:L$872)</f>
        <v>#VALUE!</v>
      </c>
      <c r="P17" s="450" t="e">
        <f t="array" ref="P17">SUM(($B17='РР '!$A$43:$A$872)*'РР '!$C$43:$C$872*'РР '!M$43:M$872)</f>
        <v>#VALUE!</v>
      </c>
      <c r="Q17" s="450" t="e">
        <f t="array" ref="Q17">SUM(($B17='РР '!$A$43:$A$872)*'РР '!$C$43:$C$872*'РР '!N$43:N$872)</f>
        <v>#VALUE!</v>
      </c>
      <c r="R17" s="450" t="e">
        <f t="array" ref="R17">SUM(($B17='РР '!$A$43:$A$872)*'РР '!$C$43:$C$872*'РР '!O$43:O$872)</f>
        <v>#VALUE!</v>
      </c>
      <c r="S17" s="450" t="e">
        <f t="array" ref="S17">SUM(($B17='РР '!$A$43:$A$872)*'РР '!$C$43:$C$872*'РР '!P$43:P$872)</f>
        <v>#VALUE!</v>
      </c>
      <c r="T17" s="450" t="e">
        <f t="array" ref="T17">SUM(($B17='РР '!$A$43:$A$872)*'РР '!$C$43:$C$872*'РР '!Q$43:Q$872)</f>
        <v>#VALUE!</v>
      </c>
    </row>
    <row r="18" spans="1:20" ht="14.25" x14ac:dyDescent="0.2">
      <c r="A18" s="496"/>
      <c r="B18" s="497" t="s">
        <v>249</v>
      </c>
      <c r="C18" s="493">
        <v>2200</v>
      </c>
      <c r="D18" s="498">
        <f>C18</f>
        <v>2200</v>
      </c>
      <c r="E18" s="493">
        <v>20000</v>
      </c>
      <c r="F18" s="494"/>
      <c r="G18" s="497" t="e">
        <f t="shared" si="6"/>
        <v>#VALUE!</v>
      </c>
      <c r="H18" s="497">
        <f t="shared" si="1"/>
        <v>0</v>
      </c>
      <c r="I18" s="497" t="e">
        <f t="shared" si="2"/>
        <v>#VALUE!</v>
      </c>
      <c r="J18" s="497" t="e">
        <f t="shared" si="3"/>
        <v>#VALUE!</v>
      </c>
      <c r="K18" s="497" t="e">
        <f t="shared" si="4"/>
        <v>#VALUE!</v>
      </c>
      <c r="L18" s="448" t="e">
        <f t="shared" si="5"/>
        <v>#VALUE!</v>
      </c>
      <c r="M18" s="450" t="e">
        <f t="array" ref="M18">SUM(($B18='РР '!$A$43:$A$872)*'РР '!$C$43:$C$872*'РР '!J$43:J$872)</f>
        <v>#VALUE!</v>
      </c>
      <c r="N18" s="450" t="e">
        <f t="array" ref="N18">SUM(($B18='РР '!$A$43:$A$872)*'РР '!$C$43:$C$872*'РР '!K$43:K$872)</f>
        <v>#VALUE!</v>
      </c>
      <c r="O18" s="450" t="e">
        <f t="array" ref="O18">SUM(($B18='РР '!$A$43:$A$872)*'РР '!$C$43:$C$872*'РР '!L$43:L$872)</f>
        <v>#VALUE!</v>
      </c>
      <c r="P18" s="450" t="e">
        <f t="array" ref="P18">SUM(($B18='РР '!$A$43:$A$872)*'РР '!$C$43:$C$872*'РР '!M$43:M$872)</f>
        <v>#VALUE!</v>
      </c>
      <c r="Q18" s="450" t="e">
        <f t="array" ref="Q18">SUM(($B18='РР '!$A$43:$A$872)*'РР '!$C$43:$C$872*'РР '!N$43:N$872)</f>
        <v>#VALUE!</v>
      </c>
      <c r="R18" s="450" t="e">
        <f t="array" ref="R18">SUM(($B18='РР '!$A$43:$A$872)*'РР '!$C$43:$C$872*'РР '!O$43:O$872)</f>
        <v>#VALUE!</v>
      </c>
      <c r="S18" s="450" t="e">
        <f t="array" ref="S18">SUM(($B18='РР '!$A$43:$A$872)*'РР '!$C$43:$C$872*'РР '!P$43:P$872)</f>
        <v>#VALUE!</v>
      </c>
      <c r="T18" s="450" t="e">
        <f t="array" ref="T18">SUM(($B18='РР '!$A$43:$A$872)*'РР '!$C$43:$C$872*'РР '!Q$43:Q$872)</f>
        <v>#VALUE!</v>
      </c>
    </row>
    <row r="19" spans="1:20" ht="14.25" x14ac:dyDescent="0.2">
      <c r="A19" s="496"/>
      <c r="B19" s="497" t="s">
        <v>250</v>
      </c>
      <c r="C19" s="493">
        <v>22000</v>
      </c>
      <c r="D19" s="498">
        <f>C19</f>
        <v>22000</v>
      </c>
      <c r="E19" s="493">
        <v>150000</v>
      </c>
      <c r="F19" s="494"/>
      <c r="G19" s="497" t="e">
        <f t="shared" si="6"/>
        <v>#VALUE!</v>
      </c>
      <c r="H19" s="497">
        <f t="shared" si="1"/>
        <v>0</v>
      </c>
      <c r="I19" s="497" t="e">
        <f t="shared" si="2"/>
        <v>#VALUE!</v>
      </c>
      <c r="J19" s="497" t="e">
        <f t="shared" si="3"/>
        <v>#VALUE!</v>
      </c>
      <c r="K19" s="497" t="e">
        <f t="shared" si="4"/>
        <v>#VALUE!</v>
      </c>
      <c r="L19" s="448" t="e">
        <f t="shared" si="5"/>
        <v>#VALUE!</v>
      </c>
      <c r="M19" s="450" t="e">
        <f t="array" ref="M19">SUM(($B19='РР '!$A$43:$A$872)*'РР '!$C$43:$C$872*'РР '!J$43:J$872)</f>
        <v>#VALUE!</v>
      </c>
      <c r="N19" s="450" t="e">
        <f t="array" ref="N19">SUM(($B19='РР '!$A$43:$A$872)*'РР '!$C$43:$C$872*'РР '!K$43:K$872)</f>
        <v>#VALUE!</v>
      </c>
      <c r="O19" s="450" t="e">
        <f t="array" ref="O19">SUM(($B19='РР '!$A$43:$A$872)*'РР '!$C$43:$C$872*'РР '!L$43:L$872)</f>
        <v>#VALUE!</v>
      </c>
      <c r="P19" s="450" t="e">
        <f t="array" ref="P19">SUM(($B19='РР '!$A$43:$A$872)*'РР '!$C$43:$C$872*'РР '!M$43:M$872)</f>
        <v>#VALUE!</v>
      </c>
      <c r="Q19" s="450" t="e">
        <f t="array" ref="Q19">SUM(($B19='РР '!$A$43:$A$872)*'РР '!$C$43:$C$872*'РР '!N$43:N$872)</f>
        <v>#VALUE!</v>
      </c>
      <c r="R19" s="450" t="e">
        <f t="array" ref="R19">SUM(($B19='РР '!$A$43:$A$872)*'РР '!$C$43:$C$872*'РР '!O$43:O$872)</f>
        <v>#VALUE!</v>
      </c>
      <c r="S19" s="450" t="e">
        <f t="array" ref="S19">SUM(($B19='РР '!$A$43:$A$872)*'РР '!$C$43:$C$872*'РР '!P$43:P$872)</f>
        <v>#VALUE!</v>
      </c>
      <c r="T19" s="450" t="e">
        <f t="array" ref="T19">SUM(($B19='РР '!$A$43:$A$872)*'РР '!$C$43:$C$872*'РР '!Q$43:Q$872)</f>
        <v>#VALUE!</v>
      </c>
    </row>
    <row r="20" spans="1:20" ht="14.25" x14ac:dyDescent="0.2">
      <c r="A20" s="496"/>
      <c r="B20" s="497" t="s">
        <v>251</v>
      </c>
      <c r="C20" s="493">
        <v>22000</v>
      </c>
      <c r="D20" s="498">
        <f>C20</f>
        <v>22000</v>
      </c>
      <c r="E20" s="498">
        <v>300000</v>
      </c>
      <c r="F20" s="494"/>
      <c r="G20" s="497" t="e">
        <f t="shared" si="6"/>
        <v>#VALUE!</v>
      </c>
      <c r="H20" s="497">
        <f t="shared" si="1"/>
        <v>0</v>
      </c>
      <c r="I20" s="497" t="e">
        <f t="shared" si="2"/>
        <v>#VALUE!</v>
      </c>
      <c r="J20" s="497" t="e">
        <f t="shared" si="3"/>
        <v>#VALUE!</v>
      </c>
      <c r="K20" s="497" t="e">
        <f t="shared" si="4"/>
        <v>#VALUE!</v>
      </c>
      <c r="L20" s="448" t="e">
        <f t="shared" si="5"/>
        <v>#VALUE!</v>
      </c>
      <c r="M20" s="450" t="e">
        <f t="array" ref="M20">SUM(($B20='РР '!$A$43:$A$872)*'РР '!$C$43:$C$872*'РР '!J$43:J$872)</f>
        <v>#VALUE!</v>
      </c>
      <c r="N20" s="450" t="e">
        <f t="array" ref="N20">SUM(($B20='РР '!$A$43:$A$872)*'РР '!$C$43:$C$872*'РР '!K$43:K$872)</f>
        <v>#VALUE!</v>
      </c>
      <c r="O20" s="450" t="e">
        <f t="array" ref="O20">SUM(($B20='РР '!$A$43:$A$872)*'РР '!$C$43:$C$872*'РР '!L$43:L$872)</f>
        <v>#VALUE!</v>
      </c>
      <c r="P20" s="450" t="e">
        <f t="array" ref="P20">SUM(($B20='РР '!$A$43:$A$872)*'РР '!$C$43:$C$872*'РР '!M$43:M$872)</f>
        <v>#VALUE!</v>
      </c>
      <c r="Q20" s="450" t="e">
        <f t="array" ref="Q20">SUM(($B20='РР '!$A$43:$A$872)*'РР '!$C$43:$C$872*'РР '!N$43:N$872)</f>
        <v>#VALUE!</v>
      </c>
      <c r="R20" s="450" t="e">
        <f t="array" ref="R20">SUM(($B20='РР '!$A$43:$A$872)*'РР '!$C$43:$C$872*'РР '!O$43:O$872)</f>
        <v>#VALUE!</v>
      </c>
      <c r="S20" s="450" t="e">
        <f t="array" ref="S20">SUM(($B20='РР '!$A$43:$A$872)*'РР '!$C$43:$C$872*'РР '!P$43:P$872)</f>
        <v>#VALUE!</v>
      </c>
      <c r="T20" s="450" t="e">
        <f t="array" ref="T20">SUM(($B20='РР '!$A$43:$A$872)*'РР '!$C$43:$C$872*'РР '!Q$43:Q$872)</f>
        <v>#VALUE!</v>
      </c>
    </row>
    <row r="21" spans="1:20" ht="14.25" x14ac:dyDescent="0.2">
      <c r="A21" s="496"/>
      <c r="B21" s="497" t="s">
        <v>252</v>
      </c>
      <c r="C21" s="493">
        <v>84600</v>
      </c>
      <c r="D21" s="498">
        <v>11597.9283270219</v>
      </c>
      <c r="E21" s="493">
        <v>290586.87254160916</v>
      </c>
      <c r="F21" s="494"/>
      <c r="G21" s="497" t="e">
        <f t="shared" si="6"/>
        <v>#VALUE!</v>
      </c>
      <c r="H21" s="497">
        <f t="shared" si="1"/>
        <v>0</v>
      </c>
      <c r="I21" s="497" t="e">
        <f t="shared" si="2"/>
        <v>#VALUE!</v>
      </c>
      <c r="J21" s="497" t="e">
        <f t="shared" si="3"/>
        <v>#VALUE!</v>
      </c>
      <c r="K21" s="497" t="e">
        <f t="shared" si="4"/>
        <v>#VALUE!</v>
      </c>
      <c r="L21" s="448" t="e">
        <f t="shared" si="5"/>
        <v>#VALUE!</v>
      </c>
      <c r="M21" s="450" t="e">
        <f t="array" ref="M21">SUM(($B21='РР '!$A$43:$A$872)*'РР '!$C$43:$C$872*'РР '!J$43:J$872)</f>
        <v>#VALUE!</v>
      </c>
      <c r="N21" s="450" t="e">
        <f t="array" ref="N21">SUM(($B21='РР '!$A$43:$A$872)*'РР '!$C$43:$C$872*'РР '!K$43:K$872)</f>
        <v>#VALUE!</v>
      </c>
      <c r="O21" s="450" t="e">
        <f t="array" ref="O21">SUM(($B21='РР '!$A$43:$A$872)*'РР '!$C$43:$C$872*'РР '!L$43:L$872)</f>
        <v>#VALUE!</v>
      </c>
      <c r="P21" s="450" t="e">
        <f t="array" ref="P21">SUM(($B21='РР '!$A$43:$A$872)*'РР '!$C$43:$C$872*'РР '!M$43:M$872)</f>
        <v>#VALUE!</v>
      </c>
      <c r="Q21" s="450" t="e">
        <f t="array" ref="Q21">SUM(($B21='РР '!$A$43:$A$872)*'РР '!$C$43:$C$872*'РР '!N$43:N$872)</f>
        <v>#VALUE!</v>
      </c>
      <c r="R21" s="450" t="e">
        <f t="array" ref="R21">SUM(($B21='РР '!$A$43:$A$872)*'РР '!$C$43:$C$872*'РР '!O$43:O$872)</f>
        <v>#VALUE!</v>
      </c>
      <c r="S21" s="450" t="e">
        <f t="array" ref="S21">SUM(($B21='РР '!$A$43:$A$872)*'РР '!$C$43:$C$872*'РР '!P$43:P$872)</f>
        <v>#VALUE!</v>
      </c>
      <c r="T21" s="450" t="e">
        <f t="array" ref="T21">SUM(($B21='РР '!$A$43:$A$872)*'РР '!$C$43:$C$872*'РР '!Q$43:Q$872)</f>
        <v>#VALUE!</v>
      </c>
    </row>
    <row r="22" spans="1:20" ht="14.25" x14ac:dyDescent="0.2">
      <c r="A22" s="496"/>
      <c r="B22" s="497" t="s">
        <v>253</v>
      </c>
      <c r="C22" s="493">
        <v>2200</v>
      </c>
      <c r="D22" s="498">
        <f t="shared" ref="D22:D27" si="7">C22</f>
        <v>2200</v>
      </c>
      <c r="E22" s="493">
        <v>20000</v>
      </c>
      <c r="F22" s="494"/>
      <c r="G22" s="497" t="e">
        <f t="shared" si="6"/>
        <v>#VALUE!</v>
      </c>
      <c r="H22" s="497">
        <f t="shared" si="1"/>
        <v>0</v>
      </c>
      <c r="I22" s="497" t="e">
        <f t="shared" si="2"/>
        <v>#VALUE!</v>
      </c>
      <c r="J22" s="497" t="e">
        <f t="shared" si="3"/>
        <v>#VALUE!</v>
      </c>
      <c r="K22" s="497" t="e">
        <f t="shared" si="4"/>
        <v>#VALUE!</v>
      </c>
      <c r="L22" s="448" t="e">
        <f t="shared" si="5"/>
        <v>#VALUE!</v>
      </c>
      <c r="M22" s="450" t="e">
        <f t="array" ref="M22">SUM(($B22='РР '!$A$43:$A$872)*'РР '!$C$43:$C$872*'РР '!J$43:J$872)</f>
        <v>#VALUE!</v>
      </c>
      <c r="N22" s="450" t="e">
        <f t="array" ref="N22">SUM(($B22='РР '!$A$43:$A$872)*'РР '!$C$43:$C$872*'РР '!K$43:K$872)</f>
        <v>#VALUE!</v>
      </c>
      <c r="O22" s="450" t="e">
        <f t="array" ref="O22">SUM(($B22='РР '!$A$43:$A$872)*'РР '!$C$43:$C$872*'РР '!L$43:L$872)</f>
        <v>#VALUE!</v>
      </c>
      <c r="P22" s="450" t="e">
        <f t="array" ref="P22">SUM(($B22='РР '!$A$43:$A$872)*'РР '!$C$43:$C$872*'РР '!M$43:M$872)</f>
        <v>#VALUE!</v>
      </c>
      <c r="Q22" s="450" t="e">
        <f t="array" ref="Q22">SUM(($B22='РР '!$A$43:$A$872)*'РР '!$C$43:$C$872*'РР '!N$43:N$872)</f>
        <v>#VALUE!</v>
      </c>
      <c r="R22" s="450" t="e">
        <f t="array" ref="R22">SUM(($B22='РР '!$A$43:$A$872)*'РР '!$C$43:$C$872*'РР '!O$43:O$872)</f>
        <v>#VALUE!</v>
      </c>
      <c r="S22" s="450" t="e">
        <f t="array" ref="S22">SUM(($B22='РР '!$A$43:$A$872)*'РР '!$C$43:$C$872*'РР '!P$43:P$872)</f>
        <v>#VALUE!</v>
      </c>
      <c r="T22" s="450" t="e">
        <f t="array" ref="T22">SUM(($B22='РР '!$A$43:$A$872)*'РР '!$C$43:$C$872*'РР '!Q$43:Q$872)</f>
        <v>#VALUE!</v>
      </c>
    </row>
    <row r="23" spans="1:20" ht="14.25" x14ac:dyDescent="0.2">
      <c r="A23" s="496"/>
      <c r="B23" s="497" t="s">
        <v>254</v>
      </c>
      <c r="C23" s="493">
        <v>47600</v>
      </c>
      <c r="D23" s="498">
        <f t="shared" si="7"/>
        <v>47600</v>
      </c>
      <c r="E23" s="493">
        <v>160583.33333333331</v>
      </c>
      <c r="F23" s="494"/>
      <c r="G23" s="497" t="e">
        <f t="shared" si="6"/>
        <v>#VALUE!</v>
      </c>
      <c r="H23" s="497">
        <f t="shared" si="1"/>
        <v>0</v>
      </c>
      <c r="I23" s="497" t="e">
        <f t="shared" si="2"/>
        <v>#VALUE!</v>
      </c>
      <c r="J23" s="497" t="e">
        <f t="shared" si="3"/>
        <v>#VALUE!</v>
      </c>
      <c r="K23" s="497" t="e">
        <f t="shared" si="4"/>
        <v>#VALUE!</v>
      </c>
      <c r="L23" s="448" t="e">
        <f t="shared" si="5"/>
        <v>#VALUE!</v>
      </c>
      <c r="M23" s="450" t="e">
        <f t="array" ref="M23">SUM(($B23='РР '!$A$43:$A$872)*'РР '!$C$43:$C$872*'РР '!J$43:J$872)</f>
        <v>#VALUE!</v>
      </c>
      <c r="N23" s="450" t="e">
        <f t="array" ref="N23">SUM(($B23='РР '!$A$43:$A$872)*'РР '!$C$43:$C$872*'РР '!K$43:K$872)</f>
        <v>#VALUE!</v>
      </c>
      <c r="O23" s="450" t="e">
        <f t="array" ref="O23">SUM(($B23='РР '!$A$43:$A$872)*'РР '!$C$43:$C$872*'РР '!L$43:L$872)</f>
        <v>#VALUE!</v>
      </c>
      <c r="P23" s="450" t="e">
        <f t="array" ref="P23">SUM(($B23='РР '!$A$43:$A$872)*'РР '!$C$43:$C$872*'РР '!M$43:M$872)</f>
        <v>#VALUE!</v>
      </c>
      <c r="Q23" s="450" t="e">
        <f t="array" ref="Q23">SUM(($B23='РР '!$A$43:$A$872)*'РР '!$C$43:$C$872*'РР '!N$43:N$872)</f>
        <v>#VALUE!</v>
      </c>
      <c r="R23" s="450" t="e">
        <f t="array" ref="R23">SUM(($B23='РР '!$A$43:$A$872)*'РР '!$C$43:$C$872*'РР '!O$43:O$872)</f>
        <v>#VALUE!</v>
      </c>
      <c r="S23" s="450" t="e">
        <f t="array" ref="S23">SUM(($B23='РР '!$A$43:$A$872)*'РР '!$C$43:$C$872*'РР '!P$43:P$872)</f>
        <v>#VALUE!</v>
      </c>
      <c r="T23" s="450" t="e">
        <f t="array" ref="T23">SUM(($B23='РР '!$A$43:$A$872)*'РР '!$C$43:$C$872*'РР '!Q$43:Q$872)</f>
        <v>#VALUE!</v>
      </c>
    </row>
    <row r="24" spans="1:20" ht="14.25" x14ac:dyDescent="0.2">
      <c r="A24" s="496"/>
      <c r="B24" s="497" t="s">
        <v>255</v>
      </c>
      <c r="C24" s="493">
        <v>2200</v>
      </c>
      <c r="D24" s="498">
        <f t="shared" si="7"/>
        <v>2200</v>
      </c>
      <c r="E24" s="493">
        <v>20000</v>
      </c>
      <c r="F24" s="494"/>
      <c r="G24" s="497" t="e">
        <f t="shared" si="6"/>
        <v>#VALUE!</v>
      </c>
      <c r="H24" s="497">
        <f t="shared" si="1"/>
        <v>0</v>
      </c>
      <c r="I24" s="497" t="e">
        <f t="shared" si="2"/>
        <v>#VALUE!</v>
      </c>
      <c r="J24" s="497" t="e">
        <f t="shared" si="3"/>
        <v>#VALUE!</v>
      </c>
      <c r="K24" s="497" t="e">
        <f t="shared" si="4"/>
        <v>#VALUE!</v>
      </c>
      <c r="L24" s="448" t="e">
        <f t="shared" si="5"/>
        <v>#VALUE!</v>
      </c>
      <c r="M24" s="450" t="e">
        <f t="array" ref="M24">SUM(($B24='РР '!$A$43:$A$872)*'РР '!$C$43:$C$872*'РР '!J$43:J$872)</f>
        <v>#VALUE!</v>
      </c>
      <c r="N24" s="450" t="e">
        <f t="array" ref="N24">SUM(($B24='РР '!$A$43:$A$872)*'РР '!$C$43:$C$872*'РР '!K$43:K$872)</f>
        <v>#VALUE!</v>
      </c>
      <c r="O24" s="450" t="e">
        <f t="array" ref="O24">SUM(($B24='РР '!$A$43:$A$872)*'РР '!$C$43:$C$872*'РР '!L$43:L$872)</f>
        <v>#VALUE!</v>
      </c>
      <c r="P24" s="450" t="e">
        <f t="array" ref="P24">SUM(($B24='РР '!$A$43:$A$872)*'РР '!$C$43:$C$872*'РР '!M$43:M$872)</f>
        <v>#VALUE!</v>
      </c>
      <c r="Q24" s="450" t="e">
        <f t="array" ref="Q24">SUM(($B24='РР '!$A$43:$A$872)*'РР '!$C$43:$C$872*'РР '!N$43:N$872)</f>
        <v>#VALUE!</v>
      </c>
      <c r="R24" s="450" t="e">
        <f t="array" ref="R24">SUM(($B24='РР '!$A$43:$A$872)*'РР '!$C$43:$C$872*'РР '!O$43:O$872)</f>
        <v>#VALUE!</v>
      </c>
      <c r="S24" s="450" t="e">
        <f t="array" ref="S24">SUM(($B24='РР '!$A$43:$A$872)*'РР '!$C$43:$C$872*'РР '!P$43:P$872)</f>
        <v>#VALUE!</v>
      </c>
      <c r="T24" s="450" t="e">
        <f t="array" ref="T24">SUM(($B24='РР '!$A$43:$A$872)*'РР '!$C$43:$C$872*'РР '!Q$43:Q$872)</f>
        <v>#VALUE!</v>
      </c>
    </row>
    <row r="25" spans="1:20" ht="14.25" x14ac:dyDescent="0.2">
      <c r="A25" s="496"/>
      <c r="B25" s="497" t="s">
        <v>256</v>
      </c>
      <c r="C25" s="493">
        <v>2500</v>
      </c>
      <c r="D25" s="498">
        <f t="shared" si="7"/>
        <v>2500</v>
      </c>
      <c r="E25" s="498">
        <v>20000</v>
      </c>
      <c r="F25" s="494"/>
      <c r="G25" s="497" t="e">
        <f t="shared" si="6"/>
        <v>#VALUE!</v>
      </c>
      <c r="H25" s="497">
        <f t="shared" si="1"/>
        <v>0</v>
      </c>
      <c r="I25" s="497" t="e">
        <f t="shared" si="2"/>
        <v>#VALUE!</v>
      </c>
      <c r="J25" s="497" t="e">
        <f t="shared" si="3"/>
        <v>#VALUE!</v>
      </c>
      <c r="K25" s="497" t="e">
        <f t="shared" si="4"/>
        <v>#VALUE!</v>
      </c>
      <c r="L25" s="448" t="e">
        <f t="shared" si="5"/>
        <v>#VALUE!</v>
      </c>
      <c r="M25" s="450" t="e">
        <f t="array" ref="M25">SUM(($B25='РР '!$A$43:$A$872)*'РР '!$C$43:$C$872*'РР '!J$43:J$872)</f>
        <v>#VALUE!</v>
      </c>
      <c r="N25" s="450" t="e">
        <f t="array" ref="N25">SUM(($B25='РР '!$A$43:$A$872)*'РР '!$C$43:$C$872*'РР '!K$43:K$872)</f>
        <v>#VALUE!</v>
      </c>
      <c r="O25" s="450" t="e">
        <f t="array" ref="O25">SUM(($B25='РР '!$A$43:$A$872)*'РР '!$C$43:$C$872*'РР '!L$43:L$872)</f>
        <v>#VALUE!</v>
      </c>
      <c r="P25" s="450" t="e">
        <f t="array" ref="P25">SUM(($B25='РР '!$A$43:$A$872)*'РР '!$C$43:$C$872*'РР '!M$43:M$872)</f>
        <v>#VALUE!</v>
      </c>
      <c r="Q25" s="450" t="e">
        <f t="array" ref="Q25">SUM(($B25='РР '!$A$43:$A$872)*'РР '!$C$43:$C$872*'РР '!N$43:N$872)</f>
        <v>#VALUE!</v>
      </c>
      <c r="R25" s="450" t="e">
        <f t="array" ref="R25">SUM(($B25='РР '!$A$43:$A$872)*'РР '!$C$43:$C$872*'РР '!O$43:O$872)</f>
        <v>#VALUE!</v>
      </c>
      <c r="S25" s="450" t="e">
        <f t="array" ref="S25">SUM(($B25='РР '!$A$43:$A$872)*'РР '!$C$43:$C$872*'РР '!P$43:P$872)</f>
        <v>#VALUE!</v>
      </c>
      <c r="T25" s="450" t="e">
        <f t="array" ref="T25">SUM(($B25='РР '!$A$43:$A$872)*'РР '!$C$43:$C$872*'РР '!Q$43:Q$872)</f>
        <v>#VALUE!</v>
      </c>
    </row>
    <row r="26" spans="1:20" ht="14.25" x14ac:dyDescent="0.2">
      <c r="A26" s="496"/>
      <c r="B26" s="497" t="s">
        <v>257</v>
      </c>
      <c r="C26" s="493">
        <v>15100</v>
      </c>
      <c r="D26" s="498">
        <f t="shared" si="7"/>
        <v>15100</v>
      </c>
      <c r="E26" s="493">
        <v>28989.937836926896</v>
      </c>
      <c r="F26" s="494"/>
      <c r="G26" s="497" t="e">
        <f t="shared" si="6"/>
        <v>#VALUE!</v>
      </c>
      <c r="H26" s="497">
        <f t="shared" si="1"/>
        <v>0</v>
      </c>
      <c r="I26" s="497" t="e">
        <f t="shared" si="2"/>
        <v>#VALUE!</v>
      </c>
      <c r="J26" s="497" t="e">
        <f t="shared" si="3"/>
        <v>#VALUE!</v>
      </c>
      <c r="K26" s="497" t="e">
        <f t="shared" si="4"/>
        <v>#VALUE!</v>
      </c>
      <c r="L26" s="448" t="e">
        <f t="shared" si="5"/>
        <v>#VALUE!</v>
      </c>
      <c r="M26" s="450" t="e">
        <f t="array" ref="M26">SUM(($B26='РР '!$A$43:$A$872)*'РР '!$C$43:$C$872*'РР '!J$43:J$872)</f>
        <v>#VALUE!</v>
      </c>
      <c r="N26" s="450" t="e">
        <f t="array" ref="N26">SUM(($B26='РР '!$A$43:$A$872)*'РР '!$C$43:$C$872*'РР '!K$43:K$872)</f>
        <v>#VALUE!</v>
      </c>
      <c r="O26" s="450" t="e">
        <f t="array" ref="O26">SUM(($B26='РР '!$A$43:$A$872)*'РР '!$C$43:$C$872*'РР '!L$43:L$872)</f>
        <v>#VALUE!</v>
      </c>
      <c r="P26" s="450" t="e">
        <f t="array" ref="P26">SUM(($B26='РР '!$A$43:$A$872)*'РР '!$C$43:$C$872*'РР '!M$43:M$872)</f>
        <v>#VALUE!</v>
      </c>
      <c r="Q26" s="450" t="e">
        <f t="array" ref="Q26">SUM(($B26='РР '!$A$43:$A$872)*'РР '!$C$43:$C$872*'РР '!N$43:N$872)</f>
        <v>#VALUE!</v>
      </c>
      <c r="R26" s="450" t="e">
        <f t="array" ref="R26">SUM(($B26='РР '!$A$43:$A$872)*'РР '!$C$43:$C$872*'РР '!O$43:O$872)</f>
        <v>#VALUE!</v>
      </c>
      <c r="S26" s="450" t="e">
        <f t="array" ref="S26">SUM(($B26='РР '!$A$43:$A$872)*'РР '!$C$43:$C$872*'РР '!P$43:P$872)</f>
        <v>#VALUE!</v>
      </c>
      <c r="T26" s="450" t="e">
        <f t="array" ref="T26">SUM(($B26='РР '!$A$43:$A$872)*'РР '!$C$43:$C$872*'РР '!Q$43:Q$872)</f>
        <v>#VALUE!</v>
      </c>
    </row>
    <row r="27" spans="1:20" ht="14.25" x14ac:dyDescent="0.2">
      <c r="A27" s="496"/>
      <c r="B27" s="497" t="s">
        <v>258</v>
      </c>
      <c r="C27" s="493">
        <v>150000</v>
      </c>
      <c r="D27" s="498">
        <f t="shared" si="7"/>
        <v>150000</v>
      </c>
      <c r="E27" s="498">
        <v>260000</v>
      </c>
      <c r="F27" s="494"/>
      <c r="G27" s="497" t="e">
        <f t="shared" si="6"/>
        <v>#VALUE!</v>
      </c>
      <c r="H27" s="497">
        <f t="shared" si="1"/>
        <v>0</v>
      </c>
      <c r="I27" s="497" t="e">
        <f t="shared" si="2"/>
        <v>#VALUE!</v>
      </c>
      <c r="J27" s="497" t="e">
        <f t="shared" si="3"/>
        <v>#VALUE!</v>
      </c>
      <c r="K27" s="497" t="e">
        <f t="shared" si="4"/>
        <v>#VALUE!</v>
      </c>
      <c r="L27" s="448" t="e">
        <f t="shared" si="5"/>
        <v>#VALUE!</v>
      </c>
      <c r="M27" s="450" t="e">
        <f t="array" ref="M27">SUM(($B27='РР '!$A$43:$A$872)*'РР '!$C$43:$C$872*'РР '!J$43:J$872)</f>
        <v>#VALUE!</v>
      </c>
      <c r="N27" s="450" t="e">
        <f t="array" ref="N27">SUM(($B27='РР '!$A$43:$A$872)*'РР '!$C$43:$C$872*'РР '!K$43:K$872)</f>
        <v>#VALUE!</v>
      </c>
      <c r="O27" s="450" t="e">
        <f t="array" ref="O27">SUM(($B27='РР '!$A$43:$A$872)*'РР '!$C$43:$C$872*'РР '!L$43:L$872)</f>
        <v>#VALUE!</v>
      </c>
      <c r="P27" s="450" t="e">
        <f t="array" ref="P27">SUM(($B27='РР '!$A$43:$A$872)*'РР '!$C$43:$C$872*'РР '!M$43:M$872)</f>
        <v>#VALUE!</v>
      </c>
      <c r="Q27" s="450" t="e">
        <f t="array" ref="Q27">SUM(($B27='РР '!$A$43:$A$872)*'РР '!$C$43:$C$872*'РР '!N$43:N$872)</f>
        <v>#VALUE!</v>
      </c>
      <c r="R27" s="450" t="e">
        <f t="array" ref="R27">SUM(($B27='РР '!$A$43:$A$872)*'РР '!$C$43:$C$872*'РР '!O$43:O$872)</f>
        <v>#VALUE!</v>
      </c>
      <c r="S27" s="450" t="e">
        <f t="array" ref="S27">SUM(($B27='РР '!$A$43:$A$872)*'РР '!$C$43:$C$872*'РР '!P$43:P$872)</f>
        <v>#VALUE!</v>
      </c>
      <c r="T27" s="450" t="e">
        <f t="array" ref="T27">SUM(($B27='РР '!$A$43:$A$872)*'РР '!$C$43:$C$872*'РР '!Q$43:Q$872)</f>
        <v>#VALUE!</v>
      </c>
    </row>
    <row r="28" spans="1:20" ht="14.25" x14ac:dyDescent="0.2">
      <c r="A28" s="496"/>
      <c r="B28" s="497" t="s">
        <v>259</v>
      </c>
      <c r="C28" s="493">
        <v>7000</v>
      </c>
      <c r="D28" s="498">
        <v>10000</v>
      </c>
      <c r="E28" s="493">
        <v>20000</v>
      </c>
      <c r="F28" s="494"/>
      <c r="G28" s="497" t="e">
        <f t="shared" si="6"/>
        <v>#VALUE!</v>
      </c>
      <c r="H28" s="497">
        <f t="shared" si="1"/>
        <v>0</v>
      </c>
      <c r="I28" s="497" t="e">
        <f t="shared" si="2"/>
        <v>#VALUE!</v>
      </c>
      <c r="J28" s="497" t="e">
        <f t="shared" si="3"/>
        <v>#VALUE!</v>
      </c>
      <c r="K28" s="497" t="e">
        <f t="shared" si="4"/>
        <v>#VALUE!</v>
      </c>
      <c r="L28" s="448" t="e">
        <f t="shared" si="5"/>
        <v>#VALUE!</v>
      </c>
      <c r="M28" s="450" t="e">
        <f t="array" ref="M28">SUM(($B28='РР '!$A$43:$A$872)*'РР '!$C$43:$C$872*'РР '!J$43:J$872)</f>
        <v>#VALUE!</v>
      </c>
      <c r="N28" s="450" t="e">
        <f t="array" ref="N28">SUM(($B28='РР '!$A$43:$A$872)*'РР '!$C$43:$C$872*'РР '!K$43:K$872)</f>
        <v>#VALUE!</v>
      </c>
      <c r="O28" s="450" t="e">
        <f t="array" ref="O28">SUM(($B28='РР '!$A$43:$A$872)*'РР '!$C$43:$C$872*'РР '!L$43:L$872)</f>
        <v>#VALUE!</v>
      </c>
      <c r="P28" s="450" t="e">
        <f t="array" ref="P28">SUM(($B28='РР '!$A$43:$A$872)*'РР '!$C$43:$C$872*'РР '!M$43:M$872)</f>
        <v>#VALUE!</v>
      </c>
      <c r="Q28" s="450" t="e">
        <f t="array" ref="Q28">SUM(($B28='РР '!$A$43:$A$872)*'РР '!$C$43:$C$872*'РР '!N$43:N$872)</f>
        <v>#VALUE!</v>
      </c>
      <c r="R28" s="450" t="e">
        <f t="array" ref="R28">SUM(($B28='РР '!$A$43:$A$872)*'РР '!$C$43:$C$872*'РР '!O$43:O$872)</f>
        <v>#VALUE!</v>
      </c>
      <c r="S28" s="450" t="e">
        <f t="array" ref="S28">SUM(($B28='РР '!$A$43:$A$872)*'РР '!$C$43:$C$872*'РР '!P$43:P$872)</f>
        <v>#VALUE!</v>
      </c>
      <c r="T28" s="450" t="e">
        <f t="array" ref="T28">SUM(($B28='РР '!$A$43:$A$872)*'РР '!$C$43:$C$872*'РР '!Q$43:Q$872)</f>
        <v>#VALUE!</v>
      </c>
    </row>
    <row r="29" spans="1:20" ht="14.25" x14ac:dyDescent="0.2">
      <c r="A29" s="496"/>
      <c r="B29" s="491" t="s">
        <v>357</v>
      </c>
      <c r="C29" s="493">
        <v>20625</v>
      </c>
      <c r="D29" s="498">
        <v>18000</v>
      </c>
      <c r="E29" s="493">
        <v>18000</v>
      </c>
      <c r="F29" s="494"/>
      <c r="G29" s="497" t="e">
        <f t="shared" si="6"/>
        <v>#VALUE!</v>
      </c>
      <c r="H29" s="497">
        <f t="shared" si="1"/>
        <v>0</v>
      </c>
      <c r="I29" s="497" t="e">
        <f t="shared" si="2"/>
        <v>#VALUE!</v>
      </c>
      <c r="J29" s="497" t="e">
        <f t="shared" si="3"/>
        <v>#VALUE!</v>
      </c>
      <c r="K29" s="497" t="e">
        <f t="shared" si="4"/>
        <v>#VALUE!</v>
      </c>
      <c r="L29" s="448" t="e">
        <f t="shared" si="5"/>
        <v>#VALUE!</v>
      </c>
      <c r="M29" s="450" t="e">
        <f t="array" ref="M29">SUM(($B29='РР '!$A$43:$A$872)*'РР '!$C$43:$C$872*'РР '!J$43:J$872)</f>
        <v>#VALUE!</v>
      </c>
      <c r="N29" s="450" t="e">
        <f t="array" ref="N29">SUM(($B29='РР '!$A$43:$A$872)*'РР '!$C$43:$C$872*'РР '!K$43:K$872)</f>
        <v>#VALUE!</v>
      </c>
      <c r="O29" s="450" t="e">
        <f t="array" ref="O29">SUM(($B29='РР '!$A$43:$A$872)*'РР '!$C$43:$C$872*'РР '!L$43:L$872)</f>
        <v>#VALUE!</v>
      </c>
      <c r="P29" s="450" t="e">
        <f t="array" ref="P29">SUM(($B29='РР '!$A$43:$A$872)*'РР '!$C$43:$C$872*'РР '!M$43:M$872)</f>
        <v>#VALUE!</v>
      </c>
      <c r="Q29" s="450" t="e">
        <f t="array" ref="Q29">SUM(($B29='РР '!$A$43:$A$872)*'РР '!$C$43:$C$872*'РР '!N$43:N$872)</f>
        <v>#VALUE!</v>
      </c>
      <c r="R29" s="450" t="e">
        <f t="array" ref="R29">SUM(($B29='РР '!$A$43:$A$872)*'РР '!$C$43:$C$872*'РР '!O$43:O$872)</f>
        <v>#VALUE!</v>
      </c>
      <c r="S29" s="450" t="e">
        <f t="array" ref="S29">SUM(($B29='РР '!$A$43:$A$872)*'РР '!$C$43:$C$872*'РР '!P$43:P$872)</f>
        <v>#VALUE!</v>
      </c>
      <c r="T29" s="450" t="e">
        <f t="array" ref="T29">SUM(($B29='РР '!$A$43:$A$872)*'РР '!$C$43:$C$872*'РР '!Q$43:Q$872)</f>
        <v>#VALUE!</v>
      </c>
    </row>
    <row r="30" spans="1:20" ht="14.25" x14ac:dyDescent="0.2">
      <c r="A30" s="499"/>
      <c r="B30" s="497" t="s">
        <v>435</v>
      </c>
      <c r="C30" s="497">
        <f>11*2000</f>
        <v>22000</v>
      </c>
      <c r="D30" s="497"/>
      <c r="E30" s="497">
        <f>C30</f>
        <v>22000</v>
      </c>
      <c r="F30" s="497"/>
      <c r="G30" s="497"/>
      <c r="H30" s="497"/>
      <c r="I30" s="497"/>
      <c r="J30" s="497"/>
      <c r="K30" s="497" t="e">
        <f t="shared" si="4"/>
        <v>#VALUE!</v>
      </c>
      <c r="L30" s="448" t="e">
        <f t="shared" si="5"/>
        <v>#VALUE!</v>
      </c>
      <c r="M30" s="450" t="e">
        <f t="array" ref="M30">SUM(($B30='РР '!$A$43:$A$872)*'РР '!$C$43:$C$872*'РР '!J$43:J$872)</f>
        <v>#VALUE!</v>
      </c>
      <c r="N30" s="450" t="e">
        <f t="array" ref="N30">SUM(($B30='РР '!$A$43:$A$872)*'РР '!$C$43:$C$872*'РР '!K$43:K$872)</f>
        <v>#VALUE!</v>
      </c>
      <c r="O30" s="450" t="e">
        <f t="array" ref="O30">SUM(($B30='РР '!$A$43:$A$872)*'РР '!$C$43:$C$872*'РР '!L$43:L$872)</f>
        <v>#VALUE!</v>
      </c>
      <c r="P30" s="450" t="e">
        <f t="array" ref="P30">SUM(($B30='РР '!$A$43:$A$872)*'РР '!$C$43:$C$872*'РР '!M$43:M$872)</f>
        <v>#VALUE!</v>
      </c>
      <c r="Q30" s="450" t="e">
        <f t="array" ref="Q30">SUM(($B30='РР '!$A$43:$A$872)*'РР '!$C$43:$C$872*'РР '!N$43:N$872)</f>
        <v>#VALUE!</v>
      </c>
      <c r="R30" s="450" t="e">
        <f t="array" ref="R30">SUM(($B30='РР '!$A$43:$A$872)*'РР '!$C$43:$C$872*'РР '!O$43:O$872)</f>
        <v>#VALUE!</v>
      </c>
      <c r="S30" s="450" t="e">
        <f t="array" ref="S30">SUM(($B30='РР '!$A$43:$A$872)*'РР '!$C$43:$C$872*'РР '!P$43:P$872)</f>
        <v>#VALUE!</v>
      </c>
      <c r="T30" s="450" t="e">
        <f t="array" ref="T30">SUM(($B30='РР '!$A$43:$A$872)*'РР '!$C$43:$C$872*'РР '!Q$43:Q$872)</f>
        <v>#VALUE!</v>
      </c>
    </row>
    <row r="31" spans="1:20" ht="14.25" x14ac:dyDescent="0.2">
      <c r="A31" s="499"/>
      <c r="B31" s="497" t="s">
        <v>441</v>
      </c>
      <c r="C31" s="497">
        <f>1500*11</f>
        <v>16500</v>
      </c>
      <c r="D31" s="497"/>
      <c r="E31" s="497">
        <f>C31</f>
        <v>16500</v>
      </c>
      <c r="F31" s="497"/>
      <c r="G31" s="497"/>
      <c r="H31" s="497"/>
      <c r="I31" s="497"/>
      <c r="J31" s="497"/>
      <c r="K31" s="497" t="e">
        <f t="shared" si="4"/>
        <v>#VALUE!</v>
      </c>
      <c r="L31" s="448" t="e">
        <f t="shared" si="5"/>
        <v>#VALUE!</v>
      </c>
      <c r="M31" s="450" t="e">
        <f t="array" ref="M31">SUM(($B31='РР '!$A$43:$A$872)*'РР '!$C$43:$C$872*'РР '!J$43:J$872)</f>
        <v>#VALUE!</v>
      </c>
      <c r="N31" s="450" t="e">
        <f t="array" ref="N31">SUM(($B31='РР '!$A$43:$A$872)*'РР '!$C$43:$C$872*'РР '!K$43:K$872)</f>
        <v>#VALUE!</v>
      </c>
      <c r="O31" s="450" t="e">
        <f t="array" ref="O31">SUM(($B31='РР '!$A$43:$A$872)*'РР '!$C$43:$C$872*'РР '!L$43:L$872)</f>
        <v>#VALUE!</v>
      </c>
      <c r="P31" s="450" t="e">
        <f t="array" ref="P31">SUM(($B31='РР '!$A$43:$A$872)*'РР '!$C$43:$C$872*'РР '!M$43:M$872)</f>
        <v>#VALUE!</v>
      </c>
      <c r="Q31" s="450" t="e">
        <f t="array" ref="Q31">SUM(($B31='РР '!$A$43:$A$872)*'РР '!$C$43:$C$872*'РР '!N$43:N$872)</f>
        <v>#VALUE!</v>
      </c>
      <c r="R31" s="450" t="e">
        <f t="array" ref="R31">SUM(($B31='РР '!$A$43:$A$872)*'РР '!$C$43:$C$872*'РР '!O$43:O$872)</f>
        <v>#VALUE!</v>
      </c>
      <c r="S31" s="450" t="e">
        <f t="array" ref="S31">SUM(($B31='РР '!$A$43:$A$872)*'РР '!$C$43:$C$872*'РР '!P$43:P$872)</f>
        <v>#VALUE!</v>
      </c>
      <c r="T31" s="450" t="e">
        <f t="array" ref="T31">SUM(($B31='РР '!$A$43:$A$872)*'РР '!$C$43:$C$872*'РР '!Q$43:Q$872)</f>
        <v>#VALUE!</v>
      </c>
    </row>
    <row r="32" spans="1:20" ht="14.25" x14ac:dyDescent="0.2">
      <c r="A32" s="499"/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48"/>
      <c r="M32" s="450"/>
      <c r="N32" s="450"/>
      <c r="O32" s="450"/>
      <c r="P32" s="450"/>
      <c r="Q32" s="450"/>
      <c r="R32" s="450"/>
      <c r="S32" s="450"/>
      <c r="T32" s="450"/>
    </row>
    <row r="33" spans="1:20" ht="14.25" x14ac:dyDescent="0.2">
      <c r="A33" s="499"/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48"/>
      <c r="M33" s="450"/>
      <c r="N33" s="450"/>
      <c r="O33" s="450"/>
      <c r="P33" s="450"/>
      <c r="Q33" s="450"/>
      <c r="R33" s="450"/>
      <c r="S33" s="450"/>
      <c r="T33" s="450"/>
    </row>
    <row r="34" spans="1:20" ht="14.25" x14ac:dyDescent="0.2">
      <c r="A34" s="499"/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48"/>
      <c r="M34" s="450"/>
      <c r="N34" s="450"/>
      <c r="O34" s="450"/>
      <c r="P34" s="450"/>
      <c r="Q34" s="450"/>
      <c r="R34" s="450"/>
      <c r="S34" s="450"/>
      <c r="T34" s="450"/>
    </row>
    <row r="35" spans="1:20" ht="14.25" x14ac:dyDescent="0.2">
      <c r="A35" s="499"/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48"/>
      <c r="M35" s="450"/>
      <c r="N35" s="450"/>
      <c r="O35" s="450"/>
      <c r="P35" s="450"/>
      <c r="Q35" s="450"/>
      <c r="R35" s="450"/>
      <c r="S35" s="450"/>
      <c r="T35" s="450"/>
    </row>
    <row r="36" spans="1:20" ht="14.25" x14ac:dyDescent="0.2">
      <c r="A36" s="499"/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48"/>
      <c r="M36" s="450"/>
      <c r="N36" s="450"/>
      <c r="O36" s="450"/>
      <c r="P36" s="450"/>
      <c r="Q36" s="450"/>
      <c r="R36" s="450"/>
      <c r="S36" s="450"/>
      <c r="T36" s="450"/>
    </row>
    <row r="37" spans="1:20" ht="14.25" x14ac:dyDescent="0.2">
      <c r="A37" s="499"/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48"/>
      <c r="M37" s="450"/>
      <c r="N37" s="450"/>
      <c r="O37" s="450"/>
      <c r="P37" s="450"/>
      <c r="Q37" s="450"/>
      <c r="R37" s="450"/>
      <c r="S37" s="450"/>
      <c r="T37" s="450"/>
    </row>
    <row r="38" spans="1:20" ht="14.25" x14ac:dyDescent="0.2">
      <c r="A38" s="499"/>
      <c r="B38" s="497"/>
      <c r="C38" s="497"/>
      <c r="D38" s="497"/>
      <c r="E38" s="497"/>
      <c r="F38" s="497"/>
      <c r="G38" s="497"/>
      <c r="H38" s="497"/>
      <c r="I38" s="497"/>
      <c r="J38" s="497"/>
      <c r="K38" s="497"/>
      <c r="L38" s="448"/>
      <c r="M38" s="450"/>
      <c r="N38" s="450"/>
      <c r="O38" s="450"/>
      <c r="P38" s="450"/>
      <c r="Q38" s="450"/>
      <c r="R38" s="450"/>
      <c r="S38" s="450"/>
      <c r="T38" s="450"/>
    </row>
    <row r="39" spans="1:20" ht="14.25" x14ac:dyDescent="0.2">
      <c r="A39" s="499"/>
      <c r="B39" s="497"/>
      <c r="C39" s="497"/>
      <c r="D39" s="497"/>
      <c r="E39" s="497"/>
      <c r="F39" s="497"/>
      <c r="G39" s="497"/>
      <c r="H39" s="497"/>
      <c r="I39" s="497"/>
      <c r="J39" s="497"/>
      <c r="K39" s="497"/>
      <c r="L39" s="448"/>
      <c r="M39" s="450"/>
      <c r="N39" s="450"/>
      <c r="O39" s="450"/>
      <c r="P39" s="450"/>
      <c r="Q39" s="450"/>
      <c r="R39" s="450"/>
      <c r="S39" s="450"/>
      <c r="T39" s="450"/>
    </row>
    <row r="40" spans="1:20" ht="14.25" x14ac:dyDescent="0.2">
      <c r="A40" s="499"/>
      <c r="B40" s="497"/>
      <c r="C40" s="497"/>
      <c r="D40" s="497"/>
      <c r="E40" s="497"/>
      <c r="F40" s="497"/>
      <c r="G40" s="497"/>
      <c r="H40" s="497"/>
      <c r="I40" s="497"/>
      <c r="J40" s="497"/>
      <c r="K40" s="497"/>
      <c r="L40" s="448"/>
      <c r="M40" s="450"/>
      <c r="N40" s="450"/>
      <c r="O40" s="450"/>
      <c r="P40" s="450"/>
      <c r="Q40" s="450"/>
      <c r="R40" s="450"/>
      <c r="S40" s="450"/>
      <c r="T40" s="450"/>
    </row>
    <row r="41" spans="1:20" ht="14.25" x14ac:dyDescent="0.2">
      <c r="A41" s="499"/>
      <c r="B41" s="497"/>
      <c r="C41" s="497"/>
      <c r="D41" s="497"/>
      <c r="E41" s="497"/>
      <c r="F41" s="497"/>
      <c r="G41" s="497"/>
      <c r="H41" s="497"/>
      <c r="I41" s="497"/>
      <c r="J41" s="497"/>
      <c r="K41" s="497"/>
      <c r="L41" s="448"/>
      <c r="M41" s="450"/>
      <c r="N41" s="450"/>
      <c r="O41" s="450"/>
      <c r="P41" s="450"/>
      <c r="Q41" s="450"/>
      <c r="R41" s="450"/>
      <c r="S41" s="450"/>
      <c r="T41" s="450"/>
    </row>
    <row r="42" spans="1:20" ht="14.25" x14ac:dyDescent="0.2">
      <c r="A42" s="499"/>
      <c r="B42" s="497"/>
      <c r="C42" s="497"/>
      <c r="D42" s="497"/>
      <c r="E42" s="497"/>
      <c r="F42" s="497"/>
      <c r="G42" s="497"/>
      <c r="H42" s="497"/>
      <c r="I42" s="497"/>
      <c r="J42" s="497"/>
      <c r="K42" s="497"/>
      <c r="L42" s="448"/>
      <c r="M42" s="450"/>
      <c r="N42" s="450"/>
      <c r="O42" s="450"/>
      <c r="P42" s="450"/>
      <c r="Q42" s="450"/>
      <c r="R42" s="450"/>
      <c r="S42" s="450"/>
      <c r="T42" s="450"/>
    </row>
    <row r="43" spans="1:20" ht="14.25" x14ac:dyDescent="0.2">
      <c r="A43" s="499"/>
      <c r="B43" s="497"/>
      <c r="C43" s="497"/>
      <c r="D43" s="497"/>
      <c r="E43" s="497"/>
      <c r="F43" s="497"/>
      <c r="G43" s="497"/>
      <c r="H43" s="497"/>
      <c r="I43" s="497"/>
      <c r="J43" s="497"/>
      <c r="K43" s="497"/>
      <c r="L43" s="448"/>
      <c r="M43" s="450"/>
      <c r="N43" s="450"/>
      <c r="O43" s="450"/>
      <c r="P43" s="450"/>
      <c r="Q43" s="450"/>
      <c r="R43" s="450"/>
      <c r="S43" s="450"/>
      <c r="T43" s="450"/>
    </row>
    <row r="44" spans="1:20" ht="14.25" x14ac:dyDescent="0.2">
      <c r="A44" s="499"/>
      <c r="B44" s="497"/>
      <c r="C44" s="497"/>
      <c r="D44" s="497"/>
      <c r="E44" s="497"/>
      <c r="F44" s="497"/>
      <c r="G44" s="497"/>
      <c r="H44" s="497"/>
      <c r="I44" s="497"/>
      <c r="J44" s="497"/>
      <c r="K44" s="497"/>
      <c r="L44" s="448"/>
      <c r="M44" s="450"/>
      <c r="N44" s="450"/>
      <c r="O44" s="450"/>
      <c r="P44" s="450"/>
      <c r="Q44" s="450"/>
      <c r="R44" s="450"/>
      <c r="S44" s="450"/>
      <c r="T44" s="450"/>
    </row>
    <row r="45" spans="1:20" ht="14.25" x14ac:dyDescent="0.2">
      <c r="A45" s="499"/>
      <c r="B45" s="497"/>
      <c r="C45" s="497"/>
      <c r="D45" s="497"/>
      <c r="E45" s="497"/>
      <c r="F45" s="497"/>
      <c r="G45" s="497"/>
      <c r="H45" s="497"/>
      <c r="I45" s="497"/>
      <c r="J45" s="497"/>
      <c r="K45" s="497"/>
      <c r="L45" s="448"/>
      <c r="M45" s="450"/>
      <c r="N45" s="450"/>
      <c r="O45" s="450"/>
      <c r="P45" s="450"/>
      <c r="Q45" s="450"/>
      <c r="R45" s="450"/>
      <c r="S45" s="450"/>
      <c r="T45" s="450"/>
    </row>
    <row r="46" spans="1:20" ht="14.25" x14ac:dyDescent="0.2">
      <c r="A46" s="499"/>
      <c r="B46" s="497"/>
      <c r="C46" s="497"/>
      <c r="D46" s="497"/>
      <c r="E46" s="497"/>
      <c r="F46" s="497"/>
      <c r="G46" s="497"/>
      <c r="H46" s="497"/>
      <c r="I46" s="497"/>
      <c r="J46" s="497"/>
      <c r="K46" s="497"/>
      <c r="L46" s="448"/>
      <c r="M46" s="450"/>
      <c r="N46" s="450"/>
      <c r="O46" s="450"/>
      <c r="P46" s="450"/>
      <c r="Q46" s="450"/>
      <c r="R46" s="450"/>
      <c r="S46" s="450"/>
      <c r="T46" s="450"/>
    </row>
    <row r="47" spans="1:20" ht="14.25" x14ac:dyDescent="0.2">
      <c r="A47" s="499"/>
      <c r="B47" s="497"/>
      <c r="C47" s="497"/>
      <c r="D47" s="497"/>
      <c r="E47" s="497"/>
      <c r="F47" s="497"/>
      <c r="G47" s="497"/>
      <c r="H47" s="497"/>
      <c r="I47" s="497"/>
      <c r="J47" s="497"/>
      <c r="K47" s="497"/>
      <c r="L47" s="448"/>
      <c r="M47" s="450"/>
      <c r="N47" s="450"/>
      <c r="O47" s="450"/>
      <c r="P47" s="450"/>
      <c r="Q47" s="450"/>
      <c r="R47" s="450"/>
      <c r="S47" s="450"/>
      <c r="T47" s="450"/>
    </row>
    <row r="48" spans="1:20" ht="14.25" x14ac:dyDescent="0.2">
      <c r="A48" s="499"/>
      <c r="B48" s="497"/>
      <c r="C48" s="497"/>
      <c r="D48" s="497"/>
      <c r="E48" s="497"/>
      <c r="F48" s="497"/>
      <c r="G48" s="497"/>
      <c r="H48" s="497"/>
      <c r="I48" s="497"/>
      <c r="J48" s="497"/>
      <c r="K48" s="497"/>
      <c r="L48" s="448"/>
      <c r="M48" s="450"/>
      <c r="N48" s="450"/>
      <c r="O48" s="450"/>
      <c r="P48" s="450"/>
      <c r="Q48" s="450"/>
      <c r="R48" s="450"/>
      <c r="S48" s="450"/>
      <c r="T48" s="450"/>
    </row>
    <row r="49" spans="1:20" ht="14.25" x14ac:dyDescent="0.2">
      <c r="A49" s="499"/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48"/>
      <c r="M49" s="450"/>
      <c r="N49" s="450"/>
      <c r="O49" s="450"/>
      <c r="P49" s="450"/>
      <c r="Q49" s="450"/>
      <c r="R49" s="450"/>
      <c r="S49" s="450"/>
      <c r="T49" s="450"/>
    </row>
    <row r="50" spans="1:20" ht="14.25" x14ac:dyDescent="0.2">
      <c r="A50" s="499"/>
      <c r="B50" s="497"/>
      <c r="C50" s="497"/>
      <c r="D50" s="497"/>
      <c r="E50" s="497"/>
      <c r="F50" s="497"/>
      <c r="G50" s="497"/>
      <c r="H50" s="497"/>
      <c r="I50" s="497"/>
      <c r="J50" s="497"/>
      <c r="K50" s="497"/>
      <c r="L50" s="448"/>
      <c r="M50" s="450"/>
      <c r="N50" s="450"/>
      <c r="O50" s="450"/>
      <c r="P50" s="450"/>
      <c r="Q50" s="450"/>
      <c r="R50" s="450"/>
      <c r="S50" s="450"/>
      <c r="T50" s="450"/>
    </row>
    <row r="51" spans="1:20" ht="14.25" x14ac:dyDescent="0.2">
      <c r="A51" s="499"/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48"/>
      <c r="M51" s="450"/>
      <c r="N51" s="450"/>
      <c r="O51" s="450"/>
      <c r="P51" s="450"/>
      <c r="Q51" s="450"/>
      <c r="R51" s="450"/>
      <c r="S51" s="450"/>
      <c r="T51" s="450"/>
    </row>
    <row r="52" spans="1:20" ht="14.25" x14ac:dyDescent="0.2">
      <c r="A52" s="499"/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48"/>
      <c r="M52" s="450"/>
      <c r="N52" s="450"/>
      <c r="O52" s="450"/>
      <c r="P52" s="450"/>
      <c r="Q52" s="450"/>
      <c r="R52" s="450"/>
      <c r="S52" s="450"/>
      <c r="T52" s="450"/>
    </row>
    <row r="53" spans="1:20" ht="15" x14ac:dyDescent="0.2">
      <c r="A53" s="499"/>
      <c r="B53" s="500"/>
      <c r="C53" s="500"/>
      <c r="D53" s="497"/>
      <c r="E53" s="497"/>
      <c r="F53" s="497"/>
      <c r="G53" s="497"/>
      <c r="H53" s="497"/>
      <c r="I53" s="497"/>
      <c r="J53" s="497"/>
      <c r="K53" s="497"/>
      <c r="L53" s="448"/>
      <c r="M53" s="450"/>
      <c r="N53" s="450"/>
      <c r="O53" s="450"/>
      <c r="P53" s="450"/>
      <c r="Q53" s="450"/>
      <c r="R53" s="450"/>
      <c r="S53" s="450"/>
      <c r="T53" s="450"/>
    </row>
    <row r="54" spans="1:20" ht="14.25" x14ac:dyDescent="0.2">
      <c r="A54" s="499"/>
      <c r="B54" s="491"/>
      <c r="C54" s="491"/>
      <c r="D54" s="497"/>
      <c r="E54" s="497"/>
      <c r="F54" s="497"/>
      <c r="G54" s="497"/>
      <c r="H54" s="497"/>
      <c r="I54" s="497"/>
      <c r="J54" s="497"/>
      <c r="K54" s="497"/>
      <c r="L54" s="448"/>
      <c r="M54" s="450"/>
      <c r="N54" s="450"/>
      <c r="O54" s="450"/>
      <c r="P54" s="450"/>
      <c r="Q54" s="450"/>
      <c r="R54" s="450"/>
      <c r="S54" s="450"/>
      <c r="T54" s="450"/>
    </row>
    <row r="55" spans="1:20" ht="14.25" x14ac:dyDescent="0.2">
      <c r="A55" s="499"/>
      <c r="B55" s="491"/>
      <c r="C55" s="491"/>
      <c r="D55" s="497"/>
      <c r="E55" s="497"/>
      <c r="F55" s="497"/>
      <c r="G55" s="497"/>
      <c r="H55" s="497"/>
      <c r="I55" s="497"/>
      <c r="J55" s="497"/>
      <c r="K55" s="497"/>
      <c r="L55" s="448"/>
      <c r="M55" s="450"/>
      <c r="N55" s="450"/>
      <c r="O55" s="450"/>
      <c r="P55" s="450"/>
      <c r="Q55" s="450"/>
      <c r="R55" s="450"/>
      <c r="S55" s="450"/>
      <c r="T55" s="450"/>
    </row>
    <row r="56" spans="1:20" x14ac:dyDescent="0.2">
      <c r="B56" s="501" t="s">
        <v>41</v>
      </c>
      <c r="G56" s="447" t="e">
        <f>SUM(G8:G55)</f>
        <v>#VALUE!</v>
      </c>
      <c r="H56" s="447">
        <f>SUM(H8:H55)</f>
        <v>0</v>
      </c>
      <c r="I56" s="447" t="e">
        <f>SUM(I8:I55)</f>
        <v>#VALUE!</v>
      </c>
      <c r="J56" s="447" t="e">
        <f>SUM(J8:J55)</f>
        <v>#VALUE!</v>
      </c>
    </row>
    <row r="57" spans="1:20" x14ac:dyDescent="0.2">
      <c r="C57" s="501" t="s">
        <v>230</v>
      </c>
    </row>
  </sheetData>
  <mergeCells count="1">
    <mergeCell ref="M6:T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РР </vt:lpstr>
      <vt:lpstr>ГрафикЖД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Артур</cp:lastModifiedBy>
  <cp:lastPrinted>2019-03-11T11:24:35Z</cp:lastPrinted>
  <dcterms:created xsi:type="dcterms:W3CDTF">1996-10-08T23:32:33Z</dcterms:created>
  <dcterms:modified xsi:type="dcterms:W3CDTF">2020-11-28T15:13:06Z</dcterms:modified>
</cp:coreProperties>
</file>