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2" r:id="rId1"/>
    <sheet name="с отриц. трением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V5" i="2" l="1"/>
  <c r="U46" i="2" l="1"/>
  <c r="AS57" i="2" l="1"/>
  <c r="AS56" i="2"/>
  <c r="AM57" i="2"/>
  <c r="AM56" i="2"/>
  <c r="AG57" i="2"/>
  <c r="AG56" i="2"/>
  <c r="AA54" i="2"/>
  <c r="AA55" i="2"/>
  <c r="T54" i="2"/>
  <c r="AU39" i="2" l="1"/>
  <c r="AU38" i="2"/>
  <c r="AU37" i="2"/>
  <c r="AU36" i="2"/>
  <c r="AU35" i="2"/>
  <c r="AU34" i="2"/>
  <c r="AU33" i="2"/>
  <c r="AU32" i="2"/>
  <c r="AU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U18" i="2"/>
  <c r="AU17" i="2"/>
  <c r="AU16" i="2"/>
  <c r="AU15" i="2"/>
  <c r="AU14" i="2"/>
  <c r="AU47" i="2" l="1"/>
  <c r="AO39" i="2"/>
  <c r="AO38" i="2"/>
  <c r="AO37" i="2"/>
  <c r="AO36" i="2"/>
  <c r="AO35" i="2"/>
  <c r="AO34" i="2"/>
  <c r="AO33" i="2"/>
  <c r="AO32" i="2"/>
  <c r="AO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O18" i="2"/>
  <c r="AO17" i="2"/>
  <c r="AO16" i="2"/>
  <c r="AO15" i="2"/>
  <c r="AO14" i="2"/>
  <c r="AM46" i="2"/>
  <c r="AM48" i="2" s="1"/>
  <c r="AN46" i="2"/>
  <c r="AI39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B46" i="2"/>
  <c r="AA46" i="2"/>
  <c r="AA48" i="2" s="1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V46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14" i="2"/>
  <c r="AG46" i="2"/>
  <c r="AG48" i="2" s="1"/>
  <c r="AT46" i="2"/>
  <c r="AH46" i="2"/>
  <c r="AS46" i="2"/>
  <c r="AS48" i="2" s="1"/>
  <c r="AU50" i="2" s="1"/>
  <c r="U48" i="2"/>
  <c r="W47" i="2" l="1"/>
  <c r="W50" i="2"/>
  <c r="AI47" i="2"/>
  <c r="AC47" i="2"/>
  <c r="AC50" i="2" s="1"/>
  <c r="AO47" i="2"/>
  <c r="AO50" i="2" s="1"/>
  <c r="AI50" i="2"/>
  <c r="J17" i="1" l="1"/>
  <c r="K17" i="1" s="1"/>
  <c r="L17" i="1" s="1"/>
  <c r="M17" i="1" s="1"/>
  <c r="K16" i="1"/>
  <c r="L16" i="1" s="1"/>
  <c r="M16" i="1" s="1"/>
  <c r="J16" i="1"/>
  <c r="J15" i="1"/>
  <c r="K15" i="1" s="1"/>
  <c r="L15" i="1" s="1"/>
  <c r="M15" i="1" s="1"/>
  <c r="J14" i="1"/>
  <c r="K14" i="1" s="1"/>
  <c r="L14" i="1" s="1"/>
  <c r="M14" i="1" s="1"/>
  <c r="H14" i="1"/>
  <c r="J13" i="1"/>
  <c r="K13" i="1" s="1"/>
  <c r="J12" i="1"/>
  <c r="K12" i="1" s="1"/>
  <c r="L12" i="1" s="1"/>
  <c r="M12" i="1" s="1"/>
  <c r="J11" i="1"/>
  <c r="K11" i="1" s="1"/>
  <c r="L11" i="1" s="1"/>
  <c r="M11" i="1" s="1"/>
  <c r="J8" i="1"/>
  <c r="K8" i="1" s="1"/>
  <c r="K6" i="1"/>
  <c r="J6" i="1"/>
  <c r="J5" i="1"/>
  <c r="K5" i="1" s="1"/>
  <c r="L5" i="1" s="1"/>
  <c r="M5" i="1" s="1"/>
  <c r="G14" i="1"/>
  <c r="Q11" i="1"/>
  <c r="R11" i="1" s="1"/>
  <c r="S16" i="1"/>
  <c r="T16" i="1" s="1"/>
  <c r="S17" i="1"/>
  <c r="T17" i="1" s="1"/>
  <c r="G5" i="1"/>
  <c r="Q8" i="1"/>
  <c r="R8" i="1" s="1"/>
  <c r="S8" i="1" s="1"/>
  <c r="G16" i="1"/>
  <c r="G17" i="1"/>
  <c r="W17" i="1"/>
  <c r="W16" i="1"/>
  <c r="W7" i="1"/>
  <c r="W9" i="1"/>
  <c r="W10" i="1"/>
  <c r="W12" i="1"/>
  <c r="W15" i="1"/>
  <c r="Q15" i="1"/>
  <c r="R15" i="1" s="1"/>
  <c r="S15" i="1" s="1"/>
  <c r="G15" i="1"/>
  <c r="Q13" i="1"/>
  <c r="R13" i="1" s="1"/>
  <c r="S13" i="1" s="1"/>
  <c r="H13" i="1"/>
  <c r="G13" i="1"/>
  <c r="Q12" i="1"/>
  <c r="R12" i="1" s="1"/>
  <c r="S12" i="1" s="1"/>
  <c r="H11" i="1"/>
  <c r="W11" i="1" s="1"/>
  <c r="G12" i="1"/>
  <c r="G11" i="1"/>
  <c r="H8" i="1"/>
  <c r="W8" i="1" s="1"/>
  <c r="G8" i="1"/>
  <c r="H5" i="1"/>
  <c r="S5" i="1" s="1"/>
  <c r="T5" i="1" s="1"/>
  <c r="H6" i="1"/>
  <c r="S6" i="1" s="1"/>
  <c r="T6" i="1" s="1"/>
  <c r="G6" i="1"/>
  <c r="L6" i="1" l="1"/>
  <c r="M6" i="1" s="1"/>
  <c r="W6" i="1"/>
  <c r="L13" i="1"/>
  <c r="M13" i="1" s="1"/>
  <c r="S11" i="1"/>
  <c r="T15" i="1"/>
  <c r="L8" i="1"/>
  <c r="M8" i="1" s="1"/>
  <c r="T12" i="1"/>
  <c r="W5" i="1"/>
  <c r="W13" i="1"/>
  <c r="T13" i="1"/>
  <c r="T11" i="1"/>
  <c r="T8" i="1"/>
</calcChain>
</file>

<file path=xl/sharedStrings.xml><?xml version="1.0" encoding="utf-8"?>
<sst xmlns="http://schemas.openxmlformats.org/spreadsheetml/2006/main" count="180" uniqueCount="79">
  <si>
    <t>N скв.</t>
  </si>
  <si>
    <t>L сваи</t>
  </si>
  <si>
    <t>м</t>
  </si>
  <si>
    <t>т</t>
  </si>
  <si>
    <t>N=Fu/1,25</t>
  </si>
  <si>
    <t>учет отрицательного трения</t>
  </si>
  <si>
    <t>р-р сваи</t>
  </si>
  <si>
    <t>300х300</t>
  </si>
  <si>
    <t>мм</t>
  </si>
  <si>
    <t>скв.</t>
  </si>
  <si>
    <t>сваи</t>
  </si>
  <si>
    <t>отм.устья*</t>
  </si>
  <si>
    <t>насыпн.**</t>
  </si>
  <si>
    <t>до 1м</t>
  </si>
  <si>
    <t>отм. низа</t>
  </si>
  <si>
    <t>Fu*</t>
  </si>
  <si>
    <t>Fu</t>
  </si>
  <si>
    <t>кПа</t>
  </si>
  <si>
    <t>Fu отр.</t>
  </si>
  <si>
    <t>fз ср*</t>
  </si>
  <si>
    <t>без учета насыпняка</t>
  </si>
  <si>
    <t>насыпн.***</t>
  </si>
  <si>
    <t>***-толщина насыпного грунта под подошвой ростверка</t>
  </si>
  <si>
    <t>Fu=Fu*-Fu(нас.)</t>
  </si>
  <si>
    <t>* - данные расчета предельного сопротивления в точке статического зондирования (см. геологический отчет)</t>
  </si>
  <si>
    <t>Fu (нас.)*</t>
  </si>
  <si>
    <t>**-толщина насыпного грунта выше подошвы ростверка</t>
  </si>
  <si>
    <t>Fu*- сопротивление погружению забивных свай на глубине h</t>
  </si>
  <si>
    <t>глубина h</t>
  </si>
  <si>
    <t>fз ср* - среднее боковое трение по толщине насыпного грунта выше подошвы ростверка</t>
  </si>
  <si>
    <t>Fu(нас.)*- сопротивление погружению забивных свай по толщине насыпного грунта выше подошвы ростверка</t>
  </si>
  <si>
    <t>Fu- сопротивление погружению забивных свай на глубине h с учетом насыпного грунта выше подошвы ростверка</t>
  </si>
  <si>
    <t>N-несущая способность свай</t>
  </si>
  <si>
    <t>Fu*- сопротивление погружению забивных свай на глубине h по данным расчета предельного сопротивления в точке статического зондирования (см. геологический отчет)</t>
  </si>
  <si>
    <t>насыпн.**-толщина насыпного грунта выше подошвы ростверка</t>
  </si>
  <si>
    <t>0.000=164,50</t>
  </si>
  <si>
    <t>верх ростверка</t>
  </si>
  <si>
    <t>низ ростверка</t>
  </si>
  <si>
    <t>низ сваи 1</t>
  </si>
  <si>
    <t>низ сваи 2</t>
  </si>
  <si>
    <t>боковое</t>
  </si>
  <si>
    <t>=</t>
  </si>
  <si>
    <t>снизу</t>
  </si>
  <si>
    <t>среднее +/-1м</t>
  </si>
  <si>
    <t>q</t>
  </si>
  <si>
    <t>f</t>
  </si>
  <si>
    <t>h</t>
  </si>
  <si>
    <t>скв 1</t>
  </si>
  <si>
    <t>скв 6</t>
  </si>
  <si>
    <t>скв 2</t>
  </si>
  <si>
    <t>низ сваи</t>
  </si>
  <si>
    <t>скв 3</t>
  </si>
  <si>
    <t>скв 4</t>
  </si>
  <si>
    <t>среднее</t>
  </si>
  <si>
    <t>по грунту</t>
  </si>
  <si>
    <t xml:space="preserve">по скважинам 3 и 4 лобовое взял +0,8/-1, потому что значения на 1м выше низа сваи по статике сильно больше среднего значения </t>
  </si>
  <si>
    <t>и несущая способность получалась на много больше</t>
  </si>
  <si>
    <t>-</t>
  </si>
  <si>
    <r>
      <t xml:space="preserve">Среднее значение сопротивления грунта </t>
    </r>
    <r>
      <rPr>
        <i/>
        <sz val="10"/>
        <color indexed="8"/>
        <rFont val="Times New Roman"/>
        <family val="1"/>
        <charset val="204"/>
      </rPr>
      <t>q</t>
    </r>
    <r>
      <rPr>
        <i/>
        <vertAlign val="subscript"/>
        <sz val="10"/>
        <color indexed="8"/>
        <rFont val="Times New Roman"/>
        <family val="1"/>
        <charset val="204"/>
      </rPr>
      <t>s</t>
    </r>
    <r>
      <rPr>
        <sz val="10"/>
        <color indexed="8"/>
        <rFont val="Times New Roman"/>
        <family val="1"/>
        <charset val="204"/>
      </rPr>
      <t>, кПа</t>
    </r>
  </si>
  <si>
    <r>
      <t xml:space="preserve">Коэффициент перехода от </t>
    </r>
    <r>
      <rPr>
        <i/>
        <sz val="10"/>
        <color indexed="8"/>
        <rFont val="Times New Roman"/>
        <family val="1"/>
        <charset val="204"/>
      </rPr>
      <t>q</t>
    </r>
    <r>
      <rPr>
        <i/>
        <vertAlign val="subscript"/>
        <sz val="10"/>
        <color indexed="8"/>
        <rFont val="Times New Roman"/>
        <family val="1"/>
        <charset val="204"/>
      </rPr>
      <t>s</t>
    </r>
    <r>
      <rPr>
        <sz val="10"/>
        <color indexed="8"/>
        <rFont val="Times New Roman"/>
        <family val="1"/>
        <charset val="204"/>
      </rPr>
      <t xml:space="preserve"> к </t>
    </r>
    <r>
      <rPr>
        <i/>
        <sz val="10"/>
        <color indexed="8"/>
        <rFont val="Times New Roman"/>
        <family val="1"/>
        <charset val="204"/>
      </rPr>
      <t>R</t>
    </r>
    <r>
      <rPr>
        <i/>
        <vertAlign val="subscript"/>
        <sz val="10"/>
        <color indexed="8"/>
        <rFont val="Times New Roman"/>
        <family val="1"/>
        <charset val="204"/>
      </rPr>
      <t>s</t>
    </r>
    <r>
      <rPr>
        <sz val="10"/>
        <color indexed="8"/>
        <rFont val="Times New Roman"/>
        <family val="1"/>
        <charset val="204"/>
      </rPr>
      <t>, β</t>
    </r>
    <r>
      <rPr>
        <vertAlign val="subscript"/>
        <sz val="10"/>
        <color indexed="8"/>
        <rFont val="Times New Roman"/>
        <family val="1"/>
        <charset val="204"/>
      </rPr>
      <t>1</t>
    </r>
  </si>
  <si>
    <r>
      <t xml:space="preserve">Среднее значение сопротивления грунта </t>
    </r>
    <r>
      <rPr>
        <i/>
        <sz val="10"/>
        <color indexed="8"/>
        <rFont val="Times New Roman"/>
        <family val="1"/>
        <charset val="204"/>
      </rPr>
      <t>f</t>
    </r>
    <r>
      <rPr>
        <i/>
        <vertAlign val="subscript"/>
        <sz val="10"/>
        <color indexed="8"/>
        <rFont val="Times New Roman"/>
        <family val="1"/>
        <charset val="204"/>
      </rPr>
      <t>s</t>
    </r>
    <r>
      <rPr>
        <sz val="10"/>
        <color indexed="8"/>
        <rFont val="Times New Roman"/>
        <family val="1"/>
        <charset val="204"/>
      </rPr>
      <t xml:space="preserve">, </t>
    </r>
    <r>
      <rPr>
        <i/>
        <sz val="10"/>
        <color indexed="8"/>
        <rFont val="Times New Roman"/>
        <family val="1"/>
        <charset val="204"/>
      </rPr>
      <t>f</t>
    </r>
    <r>
      <rPr>
        <i/>
        <vertAlign val="subscript"/>
        <sz val="10"/>
        <color indexed="8"/>
        <rFont val="Times New Roman"/>
        <family val="1"/>
        <charset val="204"/>
      </rPr>
      <t>si</t>
    </r>
    <r>
      <rPr>
        <sz val="10"/>
        <color indexed="8"/>
        <rFont val="Times New Roman"/>
        <family val="1"/>
        <charset val="204"/>
      </rPr>
      <t>, кПа</t>
    </r>
  </si>
  <si>
    <r>
      <t xml:space="preserve">Коэффициент перехода от </t>
    </r>
    <r>
      <rPr>
        <i/>
        <sz val="10"/>
        <color indexed="8"/>
        <rFont val="Times New Roman"/>
        <family val="1"/>
        <charset val="204"/>
      </rPr>
      <t>f</t>
    </r>
    <r>
      <rPr>
        <i/>
        <vertAlign val="subscript"/>
        <sz val="10"/>
        <color indexed="8"/>
        <rFont val="Times New Roman"/>
        <family val="1"/>
        <charset val="204"/>
      </rPr>
      <t>s</t>
    </r>
    <r>
      <rPr>
        <sz val="10"/>
        <color indexed="8"/>
        <rFont val="Times New Roman"/>
        <family val="1"/>
        <charset val="204"/>
      </rPr>
      <t xml:space="preserve"> к </t>
    </r>
    <r>
      <rPr>
        <i/>
        <sz val="10"/>
        <color indexed="8"/>
        <rFont val="Times New Roman"/>
        <family val="1"/>
        <charset val="204"/>
      </rPr>
      <t>f</t>
    </r>
    <r>
      <rPr>
        <sz val="10"/>
        <color indexed="8"/>
        <rFont val="Times New Roman"/>
        <family val="1"/>
        <charset val="204"/>
      </rPr>
      <t xml:space="preserve"> для зонда типа I, β</t>
    </r>
    <r>
      <rPr>
        <vertAlign val="subscript"/>
        <sz val="10"/>
        <color indexed="8"/>
        <rFont val="Times New Roman"/>
        <family val="1"/>
        <charset val="204"/>
      </rPr>
      <t>2</t>
    </r>
  </si>
  <si>
    <r>
      <t xml:space="preserve">Коэффициент перехода от </t>
    </r>
    <r>
      <rPr>
        <i/>
        <sz val="10"/>
        <color indexed="8"/>
        <rFont val="Times New Roman"/>
        <family val="1"/>
        <charset val="204"/>
      </rPr>
      <t>f</t>
    </r>
    <r>
      <rPr>
        <i/>
        <vertAlign val="subscript"/>
        <sz val="10"/>
        <color indexed="8"/>
        <rFont val="Times New Roman"/>
        <family val="1"/>
        <charset val="204"/>
      </rPr>
      <t>si</t>
    </r>
    <r>
      <rPr>
        <sz val="10"/>
        <color indexed="8"/>
        <rFont val="Times New Roman"/>
        <family val="1"/>
        <charset val="204"/>
      </rPr>
      <t xml:space="preserve"> к </t>
    </r>
    <r>
      <rPr>
        <i/>
        <sz val="10"/>
        <color indexed="8"/>
        <rFont val="Times New Roman"/>
        <family val="1"/>
        <charset val="204"/>
      </rPr>
      <t>f</t>
    </r>
    <r>
      <rPr>
        <sz val="10"/>
        <color indexed="8"/>
        <rFont val="Times New Roman"/>
        <family val="1"/>
        <charset val="204"/>
      </rPr>
      <t xml:space="preserve"> для зонда типа II или III, β</t>
    </r>
    <r>
      <rPr>
        <i/>
        <vertAlign val="subscript"/>
        <sz val="10"/>
        <color indexed="8"/>
        <rFont val="Times New Roman"/>
        <family val="1"/>
        <charset val="204"/>
      </rPr>
      <t>i</t>
    </r>
  </si>
  <si>
    <t>для забивных свай</t>
  </si>
  <si>
    <t>для винтовых свай при нагрузке</t>
  </si>
  <si>
    <t>сжимающей</t>
  </si>
  <si>
    <t>выдергивающей</t>
  </si>
  <si>
    <t>при песчаных грунтах</t>
  </si>
  <si>
    <t>при глинистых грунтах</t>
  </si>
  <si>
    <t>Данные статического зондирования</t>
  </si>
  <si>
    <t>Глуб., м</t>
  </si>
  <si>
    <t>fs, кПа</t>
  </si>
  <si>
    <t>Тип грунта</t>
  </si>
  <si>
    <t>10,6 низ сваи</t>
  </si>
  <si>
    <t>f=βi*fsi*hi</t>
  </si>
  <si>
    <t>qs, МПа</t>
  </si>
  <si>
    <t>β1 для qs</t>
  </si>
  <si>
    <t>Rs=β1*qs</t>
  </si>
  <si>
    <t>((B7-B8)/(A8-A7))*($B$18*1000-A7)+B7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</si>
</sst>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vertAlign val="subscript"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99"/>
      <name val="Courier New"/>
      <family val="3"/>
      <charset val="204"/>
    </font>
    <font>
      <sz val="10"/>
      <color rgb="FF000000"/>
      <name val="Courier New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/>
    <xf numFmtId="2" fontId="0" fillId="2" borderId="0" xfId="0" applyNumberForma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0" fillId="2" borderId="0" xfId="0" applyNumberFormat="1" applyFill="1"/>
    <xf numFmtId="2" fontId="2" fillId="0" borderId="0" xfId="0" applyNumberFormat="1" applyFont="1"/>
    <xf numFmtId="0" fontId="0" fillId="0" borderId="5" xfId="0" applyBorder="1"/>
    <xf numFmtId="0" fontId="1" fillId="0" borderId="6" xfId="0" applyFont="1" applyBorder="1"/>
    <xf numFmtId="0" fontId="0" fillId="0" borderId="0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4" xfId="0" applyBorder="1"/>
    <xf numFmtId="0" fontId="3" fillId="0" borderId="14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2" borderId="27" xfId="0" applyNumberFormat="1" applyFont="1" applyFill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0" fontId="0" fillId="0" borderId="0" xfId="0" applyFill="1" applyBorder="1"/>
    <xf numFmtId="2" fontId="2" fillId="0" borderId="0" xfId="0" applyNumberFormat="1" applyFont="1" applyBorder="1" applyAlignment="1">
      <alignment horizontal="center"/>
    </xf>
    <xf numFmtId="2" fontId="0" fillId="0" borderId="0" xfId="0" applyNumberFormat="1" applyBorder="1"/>
    <xf numFmtId="2" fontId="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/>
    <xf numFmtId="2" fontId="0" fillId="0" borderId="0" xfId="0" applyNumberFormat="1" applyFill="1" applyBorder="1" applyAlignment="1">
      <alignment horizontal="center"/>
    </xf>
    <xf numFmtId="0" fontId="0" fillId="0" borderId="31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0" fillId="0" borderId="32" xfId="0" applyNumberFormat="1" applyBorder="1"/>
    <xf numFmtId="0" fontId="0" fillId="0" borderId="33" xfId="0" applyBorder="1" applyAlignment="1">
      <alignment horizontal="center"/>
    </xf>
    <xf numFmtId="2" fontId="0" fillId="0" borderId="34" xfId="0" applyNumberFormat="1" applyBorder="1"/>
    <xf numFmtId="0" fontId="0" fillId="0" borderId="34" xfId="0" applyBorder="1"/>
    <xf numFmtId="0" fontId="0" fillId="0" borderId="33" xfId="0" applyFill="1" applyBorder="1" applyAlignment="1">
      <alignment horizontal="center"/>
    </xf>
    <xf numFmtId="0" fontId="0" fillId="0" borderId="33" xfId="0" applyBorder="1"/>
    <xf numFmtId="0" fontId="0" fillId="0" borderId="35" xfId="0" applyBorder="1"/>
    <xf numFmtId="0" fontId="0" fillId="0" borderId="19" xfId="0" applyBorder="1"/>
    <xf numFmtId="0" fontId="0" fillId="0" borderId="36" xfId="0" applyBorder="1"/>
    <xf numFmtId="0" fontId="0" fillId="0" borderId="31" xfId="0" applyBorder="1"/>
    <xf numFmtId="0" fontId="0" fillId="0" borderId="32" xfId="0" applyBorder="1"/>
    <xf numFmtId="2" fontId="0" fillId="0" borderId="29" xfId="0" applyNumberFormat="1" applyBorder="1" applyAlignment="1">
      <alignment horizontal="center"/>
    </xf>
    <xf numFmtId="0" fontId="0" fillId="0" borderId="37" xfId="0" applyBorder="1"/>
    <xf numFmtId="0" fontId="0" fillId="0" borderId="38" xfId="0" applyBorder="1"/>
    <xf numFmtId="0" fontId="0" fillId="0" borderId="39" xfId="0" applyFill="1" applyBorder="1"/>
    <xf numFmtId="2" fontId="0" fillId="0" borderId="15" xfId="0" applyNumberFormat="1" applyFont="1" applyBorder="1" applyAlignment="1">
      <alignment horizont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2" fontId="0" fillId="0" borderId="29" xfId="0" applyNumberFormat="1" applyFont="1" applyBorder="1" applyAlignment="1">
      <alignment horizontal="center"/>
    </xf>
    <xf numFmtId="0" fontId="0" fillId="3" borderId="43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164" fontId="0" fillId="2" borderId="46" xfId="0" applyNumberFormat="1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4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Border="1"/>
    <xf numFmtId="0" fontId="0" fillId="0" borderId="0" xfId="0" applyNumberFormat="1"/>
    <xf numFmtId="0" fontId="0" fillId="3" borderId="45" xfId="0" applyNumberFormat="1" applyFill="1" applyBorder="1" applyAlignment="1">
      <alignment horizontal="center" vertical="center"/>
    </xf>
    <xf numFmtId="0" fontId="0" fillId="2" borderId="30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2" xfId="0" applyNumberForma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2" fontId="0" fillId="0" borderId="37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0" fontId="6" fillId="3" borderId="46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52669</xdr:colOff>
      <xdr:row>12</xdr:row>
      <xdr:rowOff>164726</xdr:rowOff>
    </xdr:from>
    <xdr:to>
      <xdr:col>18</xdr:col>
      <xdr:colOff>134472</xdr:colOff>
      <xdr:row>42</xdr:row>
      <xdr:rowOff>110227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0869"/>
        <a:stretch/>
      </xdr:blipFill>
      <xdr:spPr>
        <a:xfrm>
          <a:off x="8255375" y="3403226"/>
          <a:ext cx="7600950" cy="5694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8"/>
  <sheetViews>
    <sheetView tabSelected="1" zoomScaleNormal="100" workbookViewId="0">
      <selection activeCell="E18" sqref="E18"/>
    </sheetView>
  </sheetViews>
  <sheetFormatPr defaultRowHeight="15" x14ac:dyDescent="0.25"/>
  <cols>
    <col min="1" max="2" width="16.7109375" customWidth="1"/>
    <col min="3" max="3" width="16.7109375" style="106" customWidth="1"/>
    <col min="4" max="4" width="14.140625" bestFit="1" customWidth="1"/>
    <col min="5" max="9" width="19.7109375" customWidth="1"/>
    <col min="10" max="11" width="6" customWidth="1"/>
    <col min="12" max="14" width="9.28515625" customWidth="1"/>
    <col min="15" max="15" width="10.28515625" customWidth="1"/>
    <col min="16" max="16" width="8.85546875" customWidth="1"/>
    <col min="17" max="17" width="8.42578125" customWidth="1"/>
    <col min="18" max="18" width="6" customWidth="1"/>
    <col min="19" max="19" width="11" customWidth="1"/>
    <col min="20" max="20" width="7.85546875" customWidth="1"/>
    <col min="21" max="21" width="10.5703125" customWidth="1"/>
    <col min="22" max="22" width="7.42578125" customWidth="1"/>
    <col min="23" max="23" width="9.85546875" customWidth="1"/>
  </cols>
  <sheetData>
    <row r="1" spans="1:48" ht="46.5" customHeight="1" x14ac:dyDescent="0.25">
      <c r="A1" s="118" t="s">
        <v>58</v>
      </c>
      <c r="B1" s="111" t="s">
        <v>59</v>
      </c>
      <c r="C1" s="111"/>
      <c r="D1" s="111"/>
      <c r="E1" s="111" t="s">
        <v>60</v>
      </c>
      <c r="F1" s="111" t="s">
        <v>61</v>
      </c>
      <c r="G1" s="111"/>
      <c r="H1" s="111" t="s">
        <v>62</v>
      </c>
      <c r="I1" s="112"/>
      <c r="X1" s="13" t="s">
        <v>33</v>
      </c>
      <c r="AM1" s="1"/>
    </row>
    <row r="2" spans="1:48" ht="32.25" customHeight="1" thickBot="1" x14ac:dyDescent="0.3">
      <c r="A2" s="119"/>
      <c r="B2" s="113" t="s">
        <v>63</v>
      </c>
      <c r="C2" s="113" t="s">
        <v>64</v>
      </c>
      <c r="D2" s="113"/>
      <c r="E2" s="113"/>
      <c r="F2" s="113"/>
      <c r="G2" s="113"/>
      <c r="H2" s="113"/>
      <c r="I2" s="114"/>
      <c r="S2" s="63"/>
      <c r="T2" s="63"/>
      <c r="U2" s="63"/>
      <c r="V2" s="13"/>
      <c r="W2" s="13"/>
      <c r="X2" s="59" t="s">
        <v>34</v>
      </c>
    </row>
    <row r="3" spans="1:48" ht="30.75" customHeight="1" thickBot="1" x14ac:dyDescent="0.3">
      <c r="A3" s="119"/>
      <c r="B3" s="113"/>
      <c r="C3" s="103" t="s">
        <v>65</v>
      </c>
      <c r="D3" s="85" t="s">
        <v>66</v>
      </c>
      <c r="E3" s="113"/>
      <c r="F3" s="85" t="s">
        <v>67</v>
      </c>
      <c r="G3" s="85" t="s">
        <v>68</v>
      </c>
      <c r="H3" s="85" t="s">
        <v>67</v>
      </c>
      <c r="I3" s="86" t="s">
        <v>68</v>
      </c>
      <c r="J3" s="26"/>
      <c r="K3" s="26"/>
      <c r="L3" s="26"/>
      <c r="M3" s="26"/>
      <c r="N3" s="26"/>
      <c r="O3" s="91"/>
      <c r="P3" s="26"/>
      <c r="Q3" s="26"/>
      <c r="R3" s="26"/>
      <c r="S3" s="13"/>
      <c r="T3" s="13"/>
      <c r="U3" s="64" t="s">
        <v>35</v>
      </c>
      <c r="W3" s="13"/>
      <c r="X3" s="59" t="s">
        <v>29</v>
      </c>
    </row>
    <row r="4" spans="1:48" ht="17.25" customHeight="1" x14ac:dyDescent="0.25">
      <c r="A4" s="87">
        <v>1000</v>
      </c>
      <c r="B4" s="85">
        <v>0.9</v>
      </c>
      <c r="C4" s="103">
        <v>0.5</v>
      </c>
      <c r="D4" s="85">
        <v>0.4</v>
      </c>
      <c r="E4" s="85">
        <v>20</v>
      </c>
      <c r="F4" s="85">
        <v>2.4</v>
      </c>
      <c r="G4" s="85">
        <v>1.5</v>
      </c>
      <c r="H4" s="85">
        <v>0.75</v>
      </c>
      <c r="I4" s="86">
        <v>1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 t="s">
        <v>36</v>
      </c>
      <c r="V4" s="13">
        <v>164.1</v>
      </c>
      <c r="W4" s="13"/>
      <c r="X4" t="s">
        <v>30</v>
      </c>
    </row>
    <row r="5" spans="1:48" ht="15.75" customHeight="1" x14ac:dyDescent="0.25">
      <c r="A5" s="87">
        <v>2500</v>
      </c>
      <c r="B5" s="85">
        <v>0.8</v>
      </c>
      <c r="C5" s="103">
        <v>0.45</v>
      </c>
      <c r="D5" s="85">
        <v>0.38</v>
      </c>
      <c r="E5" s="85">
        <v>40</v>
      </c>
      <c r="F5" s="85">
        <v>1.65</v>
      </c>
      <c r="G5" s="85">
        <v>1</v>
      </c>
      <c r="H5" s="85">
        <v>0.6</v>
      </c>
      <c r="I5" s="86">
        <v>0.75</v>
      </c>
      <c r="J5" s="1"/>
      <c r="K5" s="1"/>
      <c r="L5" s="1"/>
      <c r="M5" s="1"/>
      <c r="N5" s="1"/>
      <c r="O5" s="1"/>
      <c r="P5" s="1"/>
      <c r="Q5" s="1"/>
      <c r="R5" s="1"/>
      <c r="S5" s="27"/>
      <c r="T5" s="16"/>
      <c r="U5" s="16" t="s">
        <v>37</v>
      </c>
      <c r="V5" s="13">
        <f>V4-1.1</f>
        <v>163</v>
      </c>
      <c r="W5" s="60"/>
      <c r="X5" t="s">
        <v>31</v>
      </c>
    </row>
    <row r="6" spans="1:48" ht="15.75" customHeight="1" x14ac:dyDescent="0.25">
      <c r="A6" s="87">
        <v>5000</v>
      </c>
      <c r="B6" s="85">
        <v>0.65</v>
      </c>
      <c r="C6" s="103">
        <v>0.32</v>
      </c>
      <c r="D6" s="85">
        <v>0.27</v>
      </c>
      <c r="E6" s="85">
        <v>60</v>
      </c>
      <c r="F6" s="85">
        <v>1.2</v>
      </c>
      <c r="G6" s="85">
        <v>0.75</v>
      </c>
      <c r="H6" s="85">
        <v>0.55000000000000004</v>
      </c>
      <c r="I6" s="86">
        <v>0.6</v>
      </c>
      <c r="J6" s="1"/>
      <c r="K6" s="1"/>
      <c r="L6" s="1"/>
      <c r="M6" s="1"/>
      <c r="N6" s="1"/>
      <c r="O6" s="1"/>
      <c r="P6" s="1"/>
      <c r="Q6" s="1"/>
      <c r="R6" s="1"/>
      <c r="S6" s="27"/>
      <c r="T6" s="16"/>
      <c r="U6" s="16"/>
      <c r="V6" s="16"/>
      <c r="W6" s="60"/>
      <c r="X6" t="s">
        <v>32</v>
      </c>
    </row>
    <row r="7" spans="1:48" ht="15.75" customHeight="1" x14ac:dyDescent="0.25">
      <c r="A7" s="87">
        <v>7500</v>
      </c>
      <c r="B7" s="85">
        <v>0.55000000000000004</v>
      </c>
      <c r="C7" s="103">
        <v>0.26</v>
      </c>
      <c r="D7" s="85">
        <v>0.22</v>
      </c>
      <c r="E7" s="85">
        <v>80</v>
      </c>
      <c r="F7" s="85">
        <v>1</v>
      </c>
      <c r="G7" s="85">
        <v>0.6</v>
      </c>
      <c r="H7" s="85">
        <v>0.5</v>
      </c>
      <c r="I7" s="86">
        <v>0.45</v>
      </c>
      <c r="J7" s="1"/>
      <c r="K7" s="1"/>
      <c r="L7" s="1"/>
      <c r="M7" s="1"/>
      <c r="N7" s="1"/>
      <c r="O7" s="1"/>
      <c r="P7" s="1"/>
      <c r="Q7" s="1"/>
      <c r="R7" s="1"/>
      <c r="S7" s="27"/>
      <c r="T7" s="16"/>
      <c r="U7" s="16" t="s">
        <v>38</v>
      </c>
      <c r="V7" s="16">
        <v>158</v>
      </c>
      <c r="W7" s="60"/>
      <c r="X7" s="61"/>
    </row>
    <row r="8" spans="1:48" ht="15.75" customHeight="1" x14ac:dyDescent="0.25">
      <c r="A8" s="87">
        <v>10000</v>
      </c>
      <c r="B8" s="85">
        <v>0.45</v>
      </c>
      <c r="C8" s="103">
        <v>0.23</v>
      </c>
      <c r="D8" s="85">
        <v>0.19</v>
      </c>
      <c r="E8" s="85">
        <v>100</v>
      </c>
      <c r="F8" s="85">
        <v>0.85</v>
      </c>
      <c r="G8" s="85">
        <v>0.5</v>
      </c>
      <c r="H8" s="85">
        <v>0.45</v>
      </c>
      <c r="I8" s="86">
        <v>0.4</v>
      </c>
      <c r="J8" s="1"/>
      <c r="K8" s="1"/>
      <c r="L8" s="1"/>
      <c r="M8" s="1"/>
      <c r="N8" s="1"/>
      <c r="O8" s="1"/>
      <c r="P8" s="1"/>
      <c r="Q8" s="1"/>
      <c r="R8" s="1"/>
      <c r="S8" s="63"/>
      <c r="T8" s="16"/>
      <c r="U8" s="16" t="s">
        <v>39</v>
      </c>
      <c r="V8" s="16">
        <v>151.5</v>
      </c>
      <c r="W8" s="60"/>
      <c r="X8" s="61"/>
    </row>
    <row r="9" spans="1:48" ht="15.75" customHeight="1" x14ac:dyDescent="0.25">
      <c r="A9" s="87">
        <v>15000</v>
      </c>
      <c r="B9" s="85">
        <v>0.35</v>
      </c>
      <c r="C9" s="103" t="s">
        <v>57</v>
      </c>
      <c r="D9" s="85" t="s">
        <v>57</v>
      </c>
      <c r="E9" s="85">
        <v>120</v>
      </c>
      <c r="F9" s="85">
        <v>0.75</v>
      </c>
      <c r="G9" s="85">
        <v>0.4</v>
      </c>
      <c r="H9" s="85">
        <v>0.4</v>
      </c>
      <c r="I9" s="86">
        <v>0.3</v>
      </c>
      <c r="J9" s="1"/>
      <c r="K9" s="1"/>
      <c r="L9" s="1"/>
      <c r="M9" s="1"/>
      <c r="N9" s="1"/>
      <c r="O9" s="1"/>
      <c r="P9" s="1"/>
      <c r="Q9" s="1"/>
      <c r="R9" s="1"/>
      <c r="S9" s="27"/>
      <c r="T9" s="16"/>
      <c r="U9" s="62"/>
      <c r="V9" s="16"/>
      <c r="W9" s="60"/>
      <c r="X9" s="61"/>
    </row>
    <row r="10" spans="1:48" ht="15.75" customHeight="1" x14ac:dyDescent="0.25">
      <c r="A10" s="87">
        <v>20000</v>
      </c>
      <c r="B10" s="85">
        <v>0.3</v>
      </c>
      <c r="C10" s="103" t="s">
        <v>57</v>
      </c>
      <c r="D10" s="85" t="s">
        <v>57</v>
      </c>
      <c r="E10" s="85"/>
      <c r="F10" s="85" t="s">
        <v>57</v>
      </c>
      <c r="G10" s="85" t="s">
        <v>57</v>
      </c>
      <c r="H10" s="85" t="s">
        <v>57</v>
      </c>
      <c r="I10" s="86" t="s">
        <v>57</v>
      </c>
      <c r="J10" s="1"/>
      <c r="K10" s="1"/>
      <c r="L10" s="1"/>
      <c r="M10" s="1"/>
      <c r="N10" s="1"/>
      <c r="O10" s="1"/>
      <c r="P10" s="1"/>
      <c r="Q10" s="1"/>
      <c r="R10" s="1"/>
      <c r="S10" s="27"/>
      <c r="T10" s="16"/>
      <c r="U10" s="62"/>
      <c r="V10" s="16"/>
      <c r="W10" s="60"/>
      <c r="X10" s="61"/>
    </row>
    <row r="11" spans="1:48" ht="15.75" customHeight="1" thickBot="1" x14ac:dyDescent="0.3">
      <c r="A11" s="88">
        <v>30000</v>
      </c>
      <c r="B11" s="89">
        <v>0.2</v>
      </c>
      <c r="C11" s="104" t="s">
        <v>57</v>
      </c>
      <c r="D11" s="89" t="s">
        <v>57</v>
      </c>
      <c r="E11" s="89" t="s">
        <v>57</v>
      </c>
      <c r="F11" s="89" t="s">
        <v>57</v>
      </c>
      <c r="G11" s="89" t="s">
        <v>57</v>
      </c>
      <c r="H11" s="89" t="s">
        <v>57</v>
      </c>
      <c r="I11" s="90" t="s">
        <v>57</v>
      </c>
      <c r="J11" s="1"/>
      <c r="K11" s="1"/>
      <c r="L11" s="1"/>
      <c r="M11" s="1"/>
      <c r="N11" s="1"/>
      <c r="O11" s="1"/>
      <c r="P11" s="1"/>
      <c r="Q11" s="1"/>
      <c r="R11" s="1"/>
      <c r="S11" s="16"/>
      <c r="T11" s="16"/>
      <c r="U11" s="62"/>
      <c r="V11" s="16"/>
      <c r="W11" s="60"/>
      <c r="X11" s="61"/>
    </row>
    <row r="12" spans="1:48" ht="15.75" thickBot="1" x14ac:dyDescent="0.3">
      <c r="A12" s="13"/>
      <c r="B12" s="13"/>
      <c r="C12" s="105"/>
      <c r="D12" s="13"/>
      <c r="E12" s="13"/>
      <c r="F12" s="13"/>
      <c r="G12" s="13"/>
      <c r="H12" s="13"/>
      <c r="I12" s="13"/>
      <c r="S12" s="16"/>
      <c r="T12" s="16"/>
      <c r="U12" s="62"/>
      <c r="V12" s="80" t="s">
        <v>47</v>
      </c>
      <c r="W12" s="60"/>
      <c r="X12" s="61"/>
      <c r="AA12" s="64" t="s">
        <v>49</v>
      </c>
      <c r="AG12" s="64" t="s">
        <v>51</v>
      </c>
      <c r="AM12" s="64" t="s">
        <v>52</v>
      </c>
      <c r="AS12" s="64" t="s">
        <v>48</v>
      </c>
    </row>
    <row r="13" spans="1:48" x14ac:dyDescent="0.25">
      <c r="S13" s="66"/>
      <c r="T13" s="67" t="s">
        <v>46</v>
      </c>
      <c r="U13" s="84" t="s">
        <v>44</v>
      </c>
      <c r="V13" s="67" t="s">
        <v>45</v>
      </c>
      <c r="W13" s="68"/>
      <c r="X13" s="69"/>
      <c r="Y13" s="78"/>
      <c r="Z13" s="36" t="s">
        <v>46</v>
      </c>
      <c r="AA13" s="36" t="s">
        <v>44</v>
      </c>
      <c r="AB13" s="36" t="s">
        <v>45</v>
      </c>
      <c r="AC13" s="36"/>
      <c r="AD13" s="79"/>
      <c r="AE13" s="78"/>
      <c r="AF13" s="36" t="s">
        <v>46</v>
      </c>
      <c r="AG13" s="36" t="s">
        <v>44</v>
      </c>
      <c r="AH13" s="36" t="s">
        <v>45</v>
      </c>
      <c r="AI13" s="36"/>
      <c r="AJ13" s="79"/>
      <c r="AK13" s="78"/>
      <c r="AL13" s="36" t="s">
        <v>46</v>
      </c>
      <c r="AM13" s="36" t="s">
        <v>44</v>
      </c>
      <c r="AN13" s="36" t="s">
        <v>45</v>
      </c>
      <c r="AO13" s="36"/>
      <c r="AP13" s="79"/>
      <c r="AQ13" s="78"/>
      <c r="AR13" s="36" t="s">
        <v>46</v>
      </c>
      <c r="AS13" s="36" t="s">
        <v>44</v>
      </c>
      <c r="AT13" s="36" t="s">
        <v>45</v>
      </c>
      <c r="AU13" s="36"/>
      <c r="AV13" s="79"/>
    </row>
    <row r="14" spans="1:48" x14ac:dyDescent="0.25">
      <c r="F14" t="s">
        <v>78</v>
      </c>
      <c r="S14" s="70">
        <v>1</v>
      </c>
      <c r="T14" s="16">
        <v>2</v>
      </c>
      <c r="U14" s="62"/>
      <c r="V14" s="16">
        <v>98</v>
      </c>
      <c r="W14" s="60">
        <f>V14*0.2</f>
        <v>19.600000000000001</v>
      </c>
      <c r="X14" s="71"/>
      <c r="Y14" s="70">
        <v>1</v>
      </c>
      <c r="Z14" s="13">
        <v>3.2</v>
      </c>
      <c r="AA14" s="13"/>
      <c r="AB14" s="13">
        <v>27</v>
      </c>
      <c r="AC14" s="60">
        <f>AB14*0.2</f>
        <v>5.4</v>
      </c>
      <c r="AD14" s="72"/>
      <c r="AE14" s="70">
        <v>1</v>
      </c>
      <c r="AF14" s="13">
        <v>4.8</v>
      </c>
      <c r="AG14" s="13"/>
      <c r="AH14" s="13">
        <v>72</v>
      </c>
      <c r="AI14" s="60">
        <f>AH14*0.2</f>
        <v>14.4</v>
      </c>
      <c r="AJ14" s="72"/>
      <c r="AK14" s="70">
        <v>1</v>
      </c>
      <c r="AL14" s="13">
        <v>4.8</v>
      </c>
      <c r="AM14" s="13"/>
      <c r="AN14" s="13">
        <v>107</v>
      </c>
      <c r="AO14" s="60">
        <f>AN14*0.2</f>
        <v>21.400000000000002</v>
      </c>
      <c r="AP14" s="72"/>
      <c r="AQ14" s="70">
        <v>1</v>
      </c>
      <c r="AR14" s="13">
        <v>5.2</v>
      </c>
      <c r="AS14" s="13"/>
      <c r="AT14" s="13">
        <v>47</v>
      </c>
      <c r="AU14" s="60">
        <f>AT14*0.2</f>
        <v>9.4</v>
      </c>
      <c r="AV14" s="72"/>
    </row>
    <row r="15" spans="1:48" ht="15.75" thickBot="1" x14ac:dyDescent="0.3">
      <c r="S15" s="70">
        <v>2</v>
      </c>
      <c r="T15" s="16">
        <v>2.2000000000000002</v>
      </c>
      <c r="U15" s="62"/>
      <c r="V15" s="16">
        <v>65</v>
      </c>
      <c r="W15" s="60">
        <f t="shared" ref="W15:W39" si="0">V15*0.2</f>
        <v>13</v>
      </c>
      <c r="X15" s="71"/>
      <c r="Y15" s="70">
        <v>2</v>
      </c>
      <c r="Z15" s="13">
        <v>3.4</v>
      </c>
      <c r="AA15" s="13"/>
      <c r="AB15" s="13">
        <v>59</v>
      </c>
      <c r="AC15" s="60">
        <f t="shared" ref="AC15:AC39" si="1">AB15*0.2</f>
        <v>11.8</v>
      </c>
      <c r="AD15" s="72"/>
      <c r="AE15" s="70">
        <v>2</v>
      </c>
      <c r="AF15" s="13">
        <v>5</v>
      </c>
      <c r="AG15" s="13"/>
      <c r="AH15" s="13">
        <v>143</v>
      </c>
      <c r="AI15" s="60">
        <f t="shared" ref="AI15:AI39" si="2">AH15*0.2</f>
        <v>28.6</v>
      </c>
      <c r="AJ15" s="72"/>
      <c r="AK15" s="70">
        <v>2</v>
      </c>
      <c r="AL15" s="13">
        <v>5</v>
      </c>
      <c r="AM15" s="13"/>
      <c r="AN15" s="13">
        <v>102</v>
      </c>
      <c r="AO15" s="60">
        <f t="shared" ref="AO15:AO39" si="3">AN15*0.2</f>
        <v>20.400000000000002</v>
      </c>
      <c r="AP15" s="72"/>
      <c r="AQ15" s="70">
        <v>2</v>
      </c>
      <c r="AR15" s="13">
        <v>5.4</v>
      </c>
      <c r="AS15" s="13"/>
      <c r="AT15" s="13">
        <v>53</v>
      </c>
      <c r="AU15" s="60">
        <f t="shared" ref="AU15:AU39" si="4">AT15*0.2</f>
        <v>10.600000000000001</v>
      </c>
      <c r="AV15" s="72"/>
    </row>
    <row r="16" spans="1:48" ht="15.75" thickBot="1" x14ac:dyDescent="0.3">
      <c r="A16" s="115" t="s">
        <v>69</v>
      </c>
      <c r="B16" s="116"/>
      <c r="C16" s="116"/>
      <c r="D16" s="117"/>
      <c r="S16" s="70">
        <v>3</v>
      </c>
      <c r="T16" s="16">
        <v>2.4</v>
      </c>
      <c r="U16" s="16"/>
      <c r="V16" s="16">
        <v>85</v>
      </c>
      <c r="W16" s="60">
        <f t="shared" si="0"/>
        <v>17</v>
      </c>
      <c r="X16" s="71"/>
      <c r="Y16" s="70">
        <v>3</v>
      </c>
      <c r="Z16" s="13">
        <v>3.6</v>
      </c>
      <c r="AA16" s="13"/>
      <c r="AB16" s="13">
        <v>60</v>
      </c>
      <c r="AC16" s="60">
        <f t="shared" si="1"/>
        <v>12</v>
      </c>
      <c r="AD16" s="72"/>
      <c r="AE16" s="70">
        <v>3</v>
      </c>
      <c r="AF16" s="13">
        <v>5.2</v>
      </c>
      <c r="AG16" s="13"/>
      <c r="AH16" s="13">
        <v>119</v>
      </c>
      <c r="AI16" s="60">
        <f t="shared" si="2"/>
        <v>23.8</v>
      </c>
      <c r="AJ16" s="72"/>
      <c r="AK16" s="70">
        <v>3</v>
      </c>
      <c r="AL16" s="13">
        <v>5.2</v>
      </c>
      <c r="AM16" s="13"/>
      <c r="AN16" s="13">
        <v>83</v>
      </c>
      <c r="AO16" s="60">
        <f t="shared" si="3"/>
        <v>16.600000000000001</v>
      </c>
      <c r="AP16" s="72"/>
      <c r="AQ16" s="70">
        <v>3</v>
      </c>
      <c r="AR16" s="13">
        <v>5.6</v>
      </c>
      <c r="AS16" s="13"/>
      <c r="AT16" s="13">
        <v>56</v>
      </c>
      <c r="AU16" s="60">
        <f t="shared" si="4"/>
        <v>11.200000000000001</v>
      </c>
      <c r="AV16" s="72"/>
    </row>
    <row r="17" spans="1:48" ht="15.75" thickBot="1" x14ac:dyDescent="0.3">
      <c r="A17" s="92" t="s">
        <v>70</v>
      </c>
      <c r="B17" s="93" t="s">
        <v>75</v>
      </c>
      <c r="C17" s="107" t="s">
        <v>71</v>
      </c>
      <c r="D17" s="93" t="s">
        <v>72</v>
      </c>
      <c r="E17" s="91" t="s">
        <v>76</v>
      </c>
      <c r="F17" s="91" t="s">
        <v>77</v>
      </c>
      <c r="G17" s="91" t="s">
        <v>74</v>
      </c>
      <c r="H17" s="124"/>
      <c r="S17" s="70">
        <v>4</v>
      </c>
      <c r="T17" s="16">
        <v>2.6</v>
      </c>
      <c r="U17" s="16"/>
      <c r="V17" s="16">
        <v>112</v>
      </c>
      <c r="W17" s="60">
        <f t="shared" si="0"/>
        <v>22.400000000000002</v>
      </c>
      <c r="X17" s="71"/>
      <c r="Y17" s="70">
        <v>4</v>
      </c>
      <c r="Z17" s="13">
        <v>3.8</v>
      </c>
      <c r="AA17" s="13"/>
      <c r="AB17" s="59">
        <v>34</v>
      </c>
      <c r="AC17" s="60">
        <f t="shared" si="1"/>
        <v>6.8000000000000007</v>
      </c>
      <c r="AD17" s="72"/>
      <c r="AE17" s="70">
        <v>4</v>
      </c>
      <c r="AF17" s="13">
        <v>5.4</v>
      </c>
      <c r="AG17" s="13"/>
      <c r="AH17" s="59">
        <v>79</v>
      </c>
      <c r="AI17" s="60">
        <f t="shared" si="2"/>
        <v>15.8</v>
      </c>
      <c r="AJ17" s="72"/>
      <c r="AK17" s="70">
        <v>4</v>
      </c>
      <c r="AL17" s="13">
        <v>5.4</v>
      </c>
      <c r="AM17" s="13"/>
      <c r="AN17" s="59">
        <v>95</v>
      </c>
      <c r="AO17" s="60">
        <f t="shared" si="3"/>
        <v>19</v>
      </c>
      <c r="AP17" s="72"/>
      <c r="AQ17" s="70">
        <v>4</v>
      </c>
      <c r="AR17" s="13">
        <v>5.8</v>
      </c>
      <c r="AS17" s="13"/>
      <c r="AT17" s="13">
        <v>61</v>
      </c>
      <c r="AU17" s="60">
        <f t="shared" si="4"/>
        <v>12.200000000000001</v>
      </c>
      <c r="AV17" s="72"/>
    </row>
    <row r="18" spans="1:48" x14ac:dyDescent="0.25">
      <c r="A18" s="94">
        <v>0</v>
      </c>
      <c r="B18" s="95">
        <v>7900</v>
      </c>
      <c r="C18" s="108">
        <v>0</v>
      </c>
      <c r="D18" s="96"/>
      <c r="E18">
        <f>-((B7-B8)/(A8-A7))*($B$18-A7)+B7</f>
        <v>0.53400000000000003</v>
      </c>
      <c r="H18" s="124"/>
      <c r="S18" s="70">
        <v>5</v>
      </c>
      <c r="T18" s="16">
        <v>2.8</v>
      </c>
      <c r="U18" s="16"/>
      <c r="V18" s="61">
        <v>120</v>
      </c>
      <c r="W18" s="60">
        <f t="shared" si="0"/>
        <v>24</v>
      </c>
      <c r="X18" s="71"/>
      <c r="Y18" s="70">
        <v>5</v>
      </c>
      <c r="Z18" s="13">
        <v>4</v>
      </c>
      <c r="AA18" s="13"/>
      <c r="AB18" s="59">
        <v>26</v>
      </c>
      <c r="AC18" s="60">
        <f t="shared" si="1"/>
        <v>5.2</v>
      </c>
      <c r="AD18" s="72"/>
      <c r="AE18" s="70">
        <v>5</v>
      </c>
      <c r="AF18" s="13">
        <v>5.6</v>
      </c>
      <c r="AG18" s="13"/>
      <c r="AH18" s="59">
        <v>61</v>
      </c>
      <c r="AI18" s="60">
        <f t="shared" si="2"/>
        <v>12.200000000000001</v>
      </c>
      <c r="AJ18" s="72"/>
      <c r="AK18" s="70">
        <v>5</v>
      </c>
      <c r="AL18" s="13">
        <v>5.6</v>
      </c>
      <c r="AM18" s="13"/>
      <c r="AN18" s="59">
        <v>88</v>
      </c>
      <c r="AO18" s="60">
        <f t="shared" si="3"/>
        <v>17.600000000000001</v>
      </c>
      <c r="AP18" s="72"/>
      <c r="AQ18" s="70">
        <v>5</v>
      </c>
      <c r="AR18" s="13">
        <v>6</v>
      </c>
      <c r="AS18" s="13"/>
      <c r="AT18" s="13">
        <v>59</v>
      </c>
      <c r="AU18" s="60">
        <f t="shared" si="4"/>
        <v>11.8</v>
      </c>
      <c r="AV18" s="72"/>
    </row>
    <row r="19" spans="1:48" x14ac:dyDescent="0.25">
      <c r="A19" s="97">
        <v>0.2</v>
      </c>
      <c r="B19" s="98">
        <v>7900</v>
      </c>
      <c r="C19" s="109">
        <v>0</v>
      </c>
      <c r="D19" s="99"/>
      <c r="H19" s="125"/>
      <c r="S19" s="70">
        <v>6</v>
      </c>
      <c r="T19" s="65">
        <v>3</v>
      </c>
      <c r="U19" s="63"/>
      <c r="V19" s="65">
        <v>117</v>
      </c>
      <c r="W19" s="60">
        <f t="shared" si="0"/>
        <v>23.400000000000002</v>
      </c>
      <c r="X19" s="72"/>
      <c r="Y19" s="70">
        <v>6</v>
      </c>
      <c r="Z19" s="13">
        <v>4.2</v>
      </c>
      <c r="AA19" s="13"/>
      <c r="AB19" s="59">
        <v>33</v>
      </c>
      <c r="AC19" s="60">
        <f t="shared" si="1"/>
        <v>6.6000000000000005</v>
      </c>
      <c r="AD19" s="72"/>
      <c r="AE19" s="70">
        <v>6</v>
      </c>
      <c r="AF19" s="13">
        <v>5.8</v>
      </c>
      <c r="AG19" s="13"/>
      <c r="AH19" s="59">
        <v>64</v>
      </c>
      <c r="AI19" s="60">
        <f t="shared" si="2"/>
        <v>12.8</v>
      </c>
      <c r="AJ19" s="72"/>
      <c r="AK19" s="70">
        <v>6</v>
      </c>
      <c r="AL19" s="13">
        <v>5.8</v>
      </c>
      <c r="AM19" s="13"/>
      <c r="AN19" s="59">
        <v>74</v>
      </c>
      <c r="AO19" s="60">
        <f t="shared" si="3"/>
        <v>14.8</v>
      </c>
      <c r="AP19" s="72"/>
      <c r="AQ19" s="70">
        <v>6</v>
      </c>
      <c r="AR19" s="13">
        <v>6.2</v>
      </c>
      <c r="AS19" s="13"/>
      <c r="AT19" s="13">
        <v>55</v>
      </c>
      <c r="AU19" s="60">
        <f t="shared" si="4"/>
        <v>11</v>
      </c>
      <c r="AV19" s="72"/>
    </row>
    <row r="20" spans="1:48" x14ac:dyDescent="0.25">
      <c r="A20" s="100">
        <v>0.4</v>
      </c>
      <c r="B20" s="98">
        <v>10500</v>
      </c>
      <c r="C20" s="109">
        <v>0</v>
      </c>
      <c r="D20" s="99"/>
      <c r="H20" s="124"/>
      <c r="S20" s="70">
        <v>7</v>
      </c>
      <c r="T20" s="65">
        <v>3.2</v>
      </c>
      <c r="U20" s="63"/>
      <c r="V20" s="65">
        <v>114</v>
      </c>
      <c r="W20" s="60">
        <f t="shared" si="0"/>
        <v>22.8</v>
      </c>
      <c r="X20" s="72"/>
      <c r="Y20" s="70">
        <v>7</v>
      </c>
      <c r="Z20" s="13">
        <v>4.4000000000000004</v>
      </c>
      <c r="AA20" s="13"/>
      <c r="AB20" s="59">
        <v>36</v>
      </c>
      <c r="AC20" s="60">
        <f t="shared" si="1"/>
        <v>7.2</v>
      </c>
      <c r="AD20" s="72"/>
      <c r="AE20" s="70">
        <v>7</v>
      </c>
      <c r="AF20" s="13">
        <v>6</v>
      </c>
      <c r="AG20" s="13"/>
      <c r="AH20" s="59">
        <v>61</v>
      </c>
      <c r="AI20" s="60">
        <f t="shared" si="2"/>
        <v>12.200000000000001</v>
      </c>
      <c r="AJ20" s="72"/>
      <c r="AK20" s="70">
        <v>7</v>
      </c>
      <c r="AL20" s="13">
        <v>6</v>
      </c>
      <c r="AM20" s="13"/>
      <c r="AN20" s="59">
        <v>97</v>
      </c>
      <c r="AO20" s="60">
        <f t="shared" si="3"/>
        <v>19.400000000000002</v>
      </c>
      <c r="AP20" s="72"/>
      <c r="AQ20" s="70">
        <v>7</v>
      </c>
      <c r="AR20" s="13">
        <v>6.4</v>
      </c>
      <c r="AS20" s="13"/>
      <c r="AT20" s="13">
        <v>65</v>
      </c>
      <c r="AU20" s="60">
        <f t="shared" si="4"/>
        <v>13</v>
      </c>
      <c r="AV20" s="72"/>
    </row>
    <row r="21" spans="1:48" x14ac:dyDescent="0.25">
      <c r="A21" s="97">
        <v>0.6</v>
      </c>
      <c r="B21" s="98">
        <v>19700</v>
      </c>
      <c r="C21" s="109">
        <v>0</v>
      </c>
      <c r="D21" s="99"/>
      <c r="H21" s="125"/>
      <c r="S21" s="73">
        <v>8</v>
      </c>
      <c r="T21" s="65">
        <v>3.4</v>
      </c>
      <c r="U21" s="63"/>
      <c r="V21" s="65">
        <v>132</v>
      </c>
      <c r="W21" s="60">
        <f t="shared" si="0"/>
        <v>26.400000000000002</v>
      </c>
      <c r="X21" s="72"/>
      <c r="Y21" s="73">
        <v>8</v>
      </c>
      <c r="Z21" s="13">
        <v>4.5999999999999996</v>
      </c>
      <c r="AA21" s="13"/>
      <c r="AB21" s="59">
        <v>87</v>
      </c>
      <c r="AC21" s="60">
        <f t="shared" si="1"/>
        <v>17.400000000000002</v>
      </c>
      <c r="AD21" s="72"/>
      <c r="AE21" s="73">
        <v>8</v>
      </c>
      <c r="AF21" s="13">
        <v>6.2</v>
      </c>
      <c r="AG21" s="13"/>
      <c r="AH21" s="59">
        <v>42</v>
      </c>
      <c r="AI21" s="60">
        <f t="shared" si="2"/>
        <v>8.4</v>
      </c>
      <c r="AJ21" s="72"/>
      <c r="AK21" s="73">
        <v>8</v>
      </c>
      <c r="AL21" s="13">
        <v>6.2</v>
      </c>
      <c r="AM21" s="13"/>
      <c r="AN21" s="59">
        <v>105</v>
      </c>
      <c r="AO21" s="60">
        <f t="shared" si="3"/>
        <v>21</v>
      </c>
      <c r="AP21" s="72"/>
      <c r="AQ21" s="73">
        <v>8</v>
      </c>
      <c r="AR21" s="13">
        <v>6.6</v>
      </c>
      <c r="AS21" s="13"/>
      <c r="AT21" s="13">
        <v>77</v>
      </c>
      <c r="AU21" s="60">
        <f t="shared" si="4"/>
        <v>15.4</v>
      </c>
      <c r="AV21" s="72"/>
    </row>
    <row r="22" spans="1:48" x14ac:dyDescent="0.25">
      <c r="A22" s="100">
        <v>0.8</v>
      </c>
      <c r="B22" s="98">
        <v>15400</v>
      </c>
      <c r="C22" s="109">
        <v>0</v>
      </c>
      <c r="D22" s="99"/>
      <c r="E22" s="123"/>
      <c r="H22" s="124"/>
      <c r="S22" s="73">
        <v>9</v>
      </c>
      <c r="T22" s="65">
        <v>3.6</v>
      </c>
      <c r="U22" s="63"/>
      <c r="V22" s="65">
        <v>117</v>
      </c>
      <c r="W22" s="60">
        <f t="shared" si="0"/>
        <v>23.400000000000002</v>
      </c>
      <c r="X22" s="72"/>
      <c r="Y22" s="73">
        <v>9</v>
      </c>
      <c r="Z22" s="13">
        <v>4.8</v>
      </c>
      <c r="AA22" s="13"/>
      <c r="AB22" s="59">
        <v>117</v>
      </c>
      <c r="AC22" s="60">
        <f t="shared" si="1"/>
        <v>23.400000000000002</v>
      </c>
      <c r="AD22" s="72"/>
      <c r="AE22" s="73">
        <v>9</v>
      </c>
      <c r="AF22" s="13">
        <v>6.4</v>
      </c>
      <c r="AG22" s="13"/>
      <c r="AH22" s="59">
        <v>48</v>
      </c>
      <c r="AI22" s="60">
        <f t="shared" si="2"/>
        <v>9.6000000000000014</v>
      </c>
      <c r="AJ22" s="72"/>
      <c r="AK22" s="73">
        <v>9</v>
      </c>
      <c r="AL22" s="13">
        <v>6.4</v>
      </c>
      <c r="AM22" s="13"/>
      <c r="AN22" s="59">
        <v>141</v>
      </c>
      <c r="AO22" s="60">
        <f t="shared" si="3"/>
        <v>28.200000000000003</v>
      </c>
      <c r="AP22" s="72"/>
      <c r="AQ22" s="73">
        <v>9</v>
      </c>
      <c r="AR22" s="13">
        <v>6.8</v>
      </c>
      <c r="AS22" s="13"/>
      <c r="AT22" s="13">
        <v>85</v>
      </c>
      <c r="AU22" s="60">
        <f t="shared" si="4"/>
        <v>17</v>
      </c>
      <c r="AV22" s="72"/>
    </row>
    <row r="23" spans="1:48" x14ac:dyDescent="0.25">
      <c r="A23" s="97">
        <v>1</v>
      </c>
      <c r="B23" s="98"/>
      <c r="C23" s="109">
        <v>0</v>
      </c>
      <c r="D23" s="99"/>
      <c r="H23" s="124"/>
      <c r="S23" s="73">
        <v>10</v>
      </c>
      <c r="T23" s="65">
        <v>3.8</v>
      </c>
      <c r="U23" s="63"/>
      <c r="V23" s="65">
        <v>101</v>
      </c>
      <c r="W23" s="60">
        <f t="shared" si="0"/>
        <v>20.200000000000003</v>
      </c>
      <c r="X23" s="72"/>
      <c r="Y23" s="73">
        <v>10</v>
      </c>
      <c r="Z23" s="13">
        <v>5</v>
      </c>
      <c r="AA23" s="13"/>
      <c r="AB23" s="59">
        <v>59</v>
      </c>
      <c r="AC23" s="60">
        <f t="shared" si="1"/>
        <v>11.8</v>
      </c>
      <c r="AD23" s="72"/>
      <c r="AE23" s="73">
        <v>10</v>
      </c>
      <c r="AF23" s="13">
        <v>6.6</v>
      </c>
      <c r="AG23" s="13"/>
      <c r="AH23" s="59">
        <v>41</v>
      </c>
      <c r="AI23" s="60">
        <f t="shared" si="2"/>
        <v>8.2000000000000011</v>
      </c>
      <c r="AJ23" s="72"/>
      <c r="AK23" s="73">
        <v>10</v>
      </c>
      <c r="AL23" s="13">
        <v>6.6</v>
      </c>
      <c r="AM23" s="13"/>
      <c r="AN23" s="59">
        <v>112</v>
      </c>
      <c r="AO23" s="60">
        <f t="shared" si="3"/>
        <v>22.400000000000002</v>
      </c>
      <c r="AP23" s="72"/>
      <c r="AQ23" s="73">
        <v>10</v>
      </c>
      <c r="AR23" s="13">
        <v>7</v>
      </c>
      <c r="AS23" s="13"/>
      <c r="AT23" s="13">
        <v>72</v>
      </c>
      <c r="AU23" s="60">
        <f t="shared" si="4"/>
        <v>14.4</v>
      </c>
      <c r="AV23" s="72"/>
    </row>
    <row r="24" spans="1:48" x14ac:dyDescent="0.25">
      <c r="A24" s="100">
        <v>1.2</v>
      </c>
      <c r="B24" s="98"/>
      <c r="C24" s="109">
        <v>0</v>
      </c>
      <c r="D24" s="99"/>
      <c r="H24" s="124"/>
      <c r="S24" s="73">
        <v>11</v>
      </c>
      <c r="T24" s="65">
        <v>4</v>
      </c>
      <c r="U24" s="63"/>
      <c r="V24" s="65">
        <v>125</v>
      </c>
      <c r="W24" s="60">
        <f t="shared" si="0"/>
        <v>25</v>
      </c>
      <c r="X24" s="72"/>
      <c r="Y24" s="73">
        <v>11</v>
      </c>
      <c r="Z24" s="13">
        <v>5.2</v>
      </c>
      <c r="AA24" s="13"/>
      <c r="AB24" s="59">
        <v>67</v>
      </c>
      <c r="AC24" s="60">
        <f t="shared" si="1"/>
        <v>13.4</v>
      </c>
      <c r="AD24" s="72"/>
      <c r="AE24" s="73">
        <v>11</v>
      </c>
      <c r="AF24" s="13">
        <v>6.8</v>
      </c>
      <c r="AG24" s="13"/>
      <c r="AH24" s="59">
        <v>38</v>
      </c>
      <c r="AI24" s="60">
        <f t="shared" si="2"/>
        <v>7.6000000000000005</v>
      </c>
      <c r="AJ24" s="72"/>
      <c r="AK24" s="73">
        <v>11</v>
      </c>
      <c r="AL24" s="13">
        <v>6.8</v>
      </c>
      <c r="AM24" s="13"/>
      <c r="AN24" s="59">
        <v>100</v>
      </c>
      <c r="AO24" s="60">
        <f t="shared" si="3"/>
        <v>20</v>
      </c>
      <c r="AP24" s="72"/>
      <c r="AQ24" s="73">
        <v>11</v>
      </c>
      <c r="AR24" s="13">
        <v>7.2</v>
      </c>
      <c r="AS24" s="13"/>
      <c r="AT24" s="13">
        <v>61</v>
      </c>
      <c r="AU24" s="60">
        <f t="shared" si="4"/>
        <v>12.200000000000001</v>
      </c>
      <c r="AV24" s="72"/>
    </row>
    <row r="25" spans="1:48" ht="15" customHeight="1" x14ac:dyDescent="0.25">
      <c r="A25" s="97">
        <v>1.4</v>
      </c>
      <c r="B25" s="98"/>
      <c r="C25" s="109">
        <v>0</v>
      </c>
      <c r="D25" s="101"/>
      <c r="H25" s="125"/>
      <c r="S25" s="73">
        <v>12</v>
      </c>
      <c r="T25" s="65">
        <v>4.2</v>
      </c>
      <c r="U25" s="63"/>
      <c r="V25" s="65">
        <v>192</v>
      </c>
      <c r="W25" s="60">
        <f t="shared" si="0"/>
        <v>38.400000000000006</v>
      </c>
      <c r="X25" s="72"/>
      <c r="Y25" s="73">
        <v>12</v>
      </c>
      <c r="Z25" s="13">
        <v>5.4</v>
      </c>
      <c r="AA25" s="13"/>
      <c r="AB25" s="59">
        <v>77</v>
      </c>
      <c r="AC25" s="60">
        <f t="shared" si="1"/>
        <v>15.4</v>
      </c>
      <c r="AD25" s="72"/>
      <c r="AE25" s="73">
        <v>12</v>
      </c>
      <c r="AF25" s="13">
        <v>7</v>
      </c>
      <c r="AG25" s="13"/>
      <c r="AH25" s="59">
        <v>22</v>
      </c>
      <c r="AI25" s="60">
        <f t="shared" si="2"/>
        <v>4.4000000000000004</v>
      </c>
      <c r="AJ25" s="72"/>
      <c r="AK25" s="73">
        <v>12</v>
      </c>
      <c r="AL25" s="13">
        <v>7</v>
      </c>
      <c r="AM25" s="13"/>
      <c r="AN25" s="59">
        <v>89</v>
      </c>
      <c r="AO25" s="60">
        <f t="shared" si="3"/>
        <v>17.8</v>
      </c>
      <c r="AP25" s="72"/>
      <c r="AQ25" s="73">
        <v>12</v>
      </c>
      <c r="AR25" s="13">
        <v>7.4</v>
      </c>
      <c r="AS25" s="13"/>
      <c r="AT25" s="13">
        <v>68</v>
      </c>
      <c r="AU25" s="60">
        <f t="shared" si="4"/>
        <v>13.600000000000001</v>
      </c>
      <c r="AV25" s="72"/>
    </row>
    <row r="26" spans="1:48" x14ac:dyDescent="0.25">
      <c r="A26" s="100">
        <v>1.6</v>
      </c>
      <c r="B26" s="98"/>
      <c r="C26" s="109">
        <v>0</v>
      </c>
      <c r="D26" s="101"/>
      <c r="H26" s="124"/>
      <c r="S26" s="73">
        <v>13</v>
      </c>
      <c r="T26" s="65">
        <v>4.4000000000000004</v>
      </c>
      <c r="U26" s="63"/>
      <c r="V26" s="65">
        <v>238</v>
      </c>
      <c r="W26" s="60">
        <f t="shared" si="0"/>
        <v>47.6</v>
      </c>
      <c r="X26" s="72"/>
      <c r="Y26" s="73">
        <v>13</v>
      </c>
      <c r="Z26" s="13">
        <v>5.6</v>
      </c>
      <c r="AA26" s="13"/>
      <c r="AB26" s="59">
        <v>59</v>
      </c>
      <c r="AC26" s="60">
        <f t="shared" si="1"/>
        <v>11.8</v>
      </c>
      <c r="AD26" s="72"/>
      <c r="AE26" s="73">
        <v>13</v>
      </c>
      <c r="AF26" s="13">
        <v>7.2</v>
      </c>
      <c r="AG26" s="13"/>
      <c r="AH26" s="59">
        <v>15</v>
      </c>
      <c r="AI26" s="60">
        <f t="shared" si="2"/>
        <v>3</v>
      </c>
      <c r="AJ26" s="72"/>
      <c r="AK26" s="73">
        <v>13</v>
      </c>
      <c r="AL26" s="13">
        <v>7.2</v>
      </c>
      <c r="AM26" s="13"/>
      <c r="AN26" s="59">
        <v>82</v>
      </c>
      <c r="AO26" s="60">
        <f t="shared" si="3"/>
        <v>16.400000000000002</v>
      </c>
      <c r="AP26" s="72"/>
      <c r="AQ26" s="73">
        <v>13</v>
      </c>
      <c r="AR26" s="13">
        <v>7.6</v>
      </c>
      <c r="AS26" s="13"/>
      <c r="AT26" s="13">
        <v>102</v>
      </c>
      <c r="AU26" s="60">
        <f t="shared" si="4"/>
        <v>20.400000000000002</v>
      </c>
      <c r="AV26" s="72"/>
    </row>
    <row r="27" spans="1:48" x14ac:dyDescent="0.25">
      <c r="A27" s="97">
        <v>1.8</v>
      </c>
      <c r="B27" s="98"/>
      <c r="C27" s="109">
        <v>0</v>
      </c>
      <c r="D27" s="101"/>
      <c r="H27" s="125"/>
      <c r="S27" s="73">
        <v>14</v>
      </c>
      <c r="T27" s="65">
        <v>4.5999999999999996</v>
      </c>
      <c r="U27" s="63"/>
      <c r="V27" s="65">
        <v>130</v>
      </c>
      <c r="W27" s="60">
        <f t="shared" si="0"/>
        <v>26</v>
      </c>
      <c r="X27" s="72"/>
      <c r="Y27" s="73">
        <v>14</v>
      </c>
      <c r="Z27" s="13">
        <v>5.8</v>
      </c>
      <c r="AA27" s="13"/>
      <c r="AB27" s="59">
        <v>84</v>
      </c>
      <c r="AC27" s="60">
        <f t="shared" si="1"/>
        <v>16.8</v>
      </c>
      <c r="AD27" s="72"/>
      <c r="AE27" s="73">
        <v>14</v>
      </c>
      <c r="AF27" s="13">
        <v>7.4</v>
      </c>
      <c r="AG27" s="13"/>
      <c r="AH27" s="59">
        <v>15</v>
      </c>
      <c r="AI27" s="60">
        <f t="shared" si="2"/>
        <v>3</v>
      </c>
      <c r="AJ27" s="72"/>
      <c r="AK27" s="73">
        <v>14</v>
      </c>
      <c r="AL27" s="13">
        <v>7.4</v>
      </c>
      <c r="AM27" s="13"/>
      <c r="AN27" s="59">
        <v>107</v>
      </c>
      <c r="AO27" s="60">
        <f t="shared" si="3"/>
        <v>21.400000000000002</v>
      </c>
      <c r="AP27" s="72"/>
      <c r="AQ27" s="73">
        <v>14</v>
      </c>
      <c r="AR27" s="13">
        <v>7.8</v>
      </c>
      <c r="AS27" s="13"/>
      <c r="AT27" s="13">
        <v>57</v>
      </c>
      <c r="AU27" s="60">
        <f t="shared" si="4"/>
        <v>11.4</v>
      </c>
      <c r="AV27" s="72"/>
    </row>
    <row r="28" spans="1:48" x14ac:dyDescent="0.25">
      <c r="A28" s="100">
        <v>2</v>
      </c>
      <c r="B28" s="98"/>
      <c r="C28" s="109">
        <v>26.9</v>
      </c>
      <c r="D28" s="101"/>
      <c r="H28" s="125"/>
      <c r="S28" s="73">
        <v>15</v>
      </c>
      <c r="T28" s="65">
        <v>4.8</v>
      </c>
      <c r="U28" s="63"/>
      <c r="V28" s="65">
        <v>97</v>
      </c>
      <c r="W28" s="60">
        <f t="shared" si="0"/>
        <v>19.400000000000002</v>
      </c>
      <c r="X28" s="72"/>
      <c r="Y28" s="73">
        <v>15</v>
      </c>
      <c r="Z28" s="13">
        <v>6</v>
      </c>
      <c r="AA28" s="13"/>
      <c r="AB28" s="59">
        <v>121</v>
      </c>
      <c r="AC28" s="60">
        <f t="shared" si="1"/>
        <v>24.200000000000003</v>
      </c>
      <c r="AD28" s="72"/>
      <c r="AE28" s="73">
        <v>15</v>
      </c>
      <c r="AF28" s="13">
        <v>7.6</v>
      </c>
      <c r="AG28" s="13"/>
      <c r="AH28" s="59">
        <v>12</v>
      </c>
      <c r="AI28" s="60">
        <f t="shared" si="2"/>
        <v>2.4000000000000004</v>
      </c>
      <c r="AJ28" s="72"/>
      <c r="AK28" s="73">
        <v>15</v>
      </c>
      <c r="AL28" s="13">
        <v>7.6</v>
      </c>
      <c r="AM28" s="13"/>
      <c r="AN28" s="59">
        <v>148</v>
      </c>
      <c r="AO28" s="60">
        <f t="shared" si="3"/>
        <v>29.6</v>
      </c>
      <c r="AP28" s="72"/>
      <c r="AQ28" s="73">
        <v>15</v>
      </c>
      <c r="AR28" s="13">
        <v>8</v>
      </c>
      <c r="AS28" s="13"/>
      <c r="AT28" s="13">
        <v>70</v>
      </c>
      <c r="AU28" s="60">
        <f t="shared" si="4"/>
        <v>14</v>
      </c>
      <c r="AV28" s="72"/>
    </row>
    <row r="29" spans="1:48" x14ac:dyDescent="0.25">
      <c r="A29" s="97">
        <v>2.2000000000000002</v>
      </c>
      <c r="B29" s="98"/>
      <c r="C29" s="109">
        <v>39.4</v>
      </c>
      <c r="D29" s="101"/>
      <c r="H29" s="124"/>
      <c r="S29" s="73">
        <v>16</v>
      </c>
      <c r="T29" s="65">
        <v>5</v>
      </c>
      <c r="U29" s="63"/>
      <c r="V29" s="65">
        <v>207</v>
      </c>
      <c r="W29" s="60">
        <f t="shared" si="0"/>
        <v>41.400000000000006</v>
      </c>
      <c r="X29" s="72"/>
      <c r="Y29" s="73">
        <v>16</v>
      </c>
      <c r="Z29" s="13">
        <v>6.2</v>
      </c>
      <c r="AA29" s="13"/>
      <c r="AB29" s="59">
        <v>137</v>
      </c>
      <c r="AC29" s="60">
        <f t="shared" si="1"/>
        <v>27.400000000000002</v>
      </c>
      <c r="AD29" s="72"/>
      <c r="AE29" s="73">
        <v>16</v>
      </c>
      <c r="AF29" s="13">
        <v>7.8</v>
      </c>
      <c r="AG29" s="13"/>
      <c r="AH29" s="59">
        <v>18</v>
      </c>
      <c r="AI29" s="60">
        <f t="shared" si="2"/>
        <v>3.6</v>
      </c>
      <c r="AJ29" s="72"/>
      <c r="AK29" s="73">
        <v>16</v>
      </c>
      <c r="AL29" s="13">
        <v>7.8</v>
      </c>
      <c r="AM29" s="13"/>
      <c r="AN29" s="59">
        <v>174</v>
      </c>
      <c r="AO29" s="60">
        <f t="shared" si="3"/>
        <v>34.800000000000004</v>
      </c>
      <c r="AP29" s="72"/>
      <c r="AQ29" s="73">
        <v>16</v>
      </c>
      <c r="AR29" s="13">
        <v>8.1999999999999993</v>
      </c>
      <c r="AS29" s="13"/>
      <c r="AT29" s="13">
        <v>94</v>
      </c>
      <c r="AU29" s="60">
        <f t="shared" si="4"/>
        <v>18.8</v>
      </c>
      <c r="AV29" s="72"/>
    </row>
    <row r="30" spans="1:48" x14ac:dyDescent="0.25">
      <c r="A30" s="100">
        <v>2.4</v>
      </c>
      <c r="B30" s="98"/>
      <c r="C30" s="109">
        <v>60.6</v>
      </c>
      <c r="D30" s="101"/>
      <c r="H30" s="124"/>
      <c r="S30" s="73">
        <v>17</v>
      </c>
      <c r="T30" s="65">
        <v>5.2</v>
      </c>
      <c r="U30" s="63"/>
      <c r="V30" s="65">
        <v>187</v>
      </c>
      <c r="W30" s="60">
        <f t="shared" si="0"/>
        <v>37.4</v>
      </c>
      <c r="X30" s="72"/>
      <c r="Y30" s="73">
        <v>17</v>
      </c>
      <c r="Z30" s="13">
        <v>6.4</v>
      </c>
      <c r="AA30" s="13"/>
      <c r="AB30" s="59">
        <v>81</v>
      </c>
      <c r="AC30" s="60">
        <f t="shared" si="1"/>
        <v>16.2</v>
      </c>
      <c r="AD30" s="72"/>
      <c r="AE30" s="73">
        <v>17</v>
      </c>
      <c r="AF30" s="13">
        <v>8</v>
      </c>
      <c r="AG30" s="13"/>
      <c r="AH30" s="59">
        <v>28</v>
      </c>
      <c r="AI30" s="60">
        <f t="shared" si="2"/>
        <v>5.6000000000000005</v>
      </c>
      <c r="AJ30" s="72"/>
      <c r="AK30" s="73">
        <v>17</v>
      </c>
      <c r="AL30" s="13">
        <v>8</v>
      </c>
      <c r="AM30" s="13"/>
      <c r="AN30" s="59">
        <v>83</v>
      </c>
      <c r="AO30" s="60">
        <f t="shared" si="3"/>
        <v>16.600000000000001</v>
      </c>
      <c r="AP30" s="72"/>
      <c r="AQ30" s="73">
        <v>17</v>
      </c>
      <c r="AR30" s="13">
        <v>8.4</v>
      </c>
      <c r="AS30" s="13"/>
      <c r="AT30" s="13">
        <v>111</v>
      </c>
      <c r="AU30" s="60">
        <f t="shared" si="4"/>
        <v>22.200000000000003</v>
      </c>
      <c r="AV30" s="72"/>
    </row>
    <row r="31" spans="1:48" x14ac:dyDescent="0.25">
      <c r="A31" s="97">
        <v>2.6</v>
      </c>
      <c r="B31" s="98"/>
      <c r="C31" s="109">
        <v>23.8</v>
      </c>
      <c r="D31" s="101"/>
      <c r="S31" s="73">
        <v>18</v>
      </c>
      <c r="T31" s="65">
        <v>5.4</v>
      </c>
      <c r="U31" s="63"/>
      <c r="V31" s="65">
        <v>142</v>
      </c>
      <c r="W31" s="60">
        <f t="shared" si="0"/>
        <v>28.400000000000002</v>
      </c>
      <c r="X31" s="72"/>
      <c r="Y31" s="73">
        <v>18</v>
      </c>
      <c r="Z31" s="13">
        <v>6.6</v>
      </c>
      <c r="AA31" s="13"/>
      <c r="AB31" s="59">
        <v>114</v>
      </c>
      <c r="AC31" s="60">
        <f t="shared" si="1"/>
        <v>22.8</v>
      </c>
      <c r="AD31" s="72"/>
      <c r="AE31" s="73">
        <v>18</v>
      </c>
      <c r="AF31" s="13">
        <v>8.1999999999999993</v>
      </c>
      <c r="AG31" s="13"/>
      <c r="AH31" s="59">
        <v>136</v>
      </c>
      <c r="AI31" s="60">
        <f t="shared" si="2"/>
        <v>27.200000000000003</v>
      </c>
      <c r="AJ31" s="72"/>
      <c r="AK31" s="73">
        <v>18</v>
      </c>
      <c r="AL31" s="13">
        <v>8.1999999999999993</v>
      </c>
      <c r="AM31" s="13"/>
      <c r="AN31" s="59">
        <v>202</v>
      </c>
      <c r="AO31" s="60">
        <f t="shared" si="3"/>
        <v>40.400000000000006</v>
      </c>
      <c r="AP31" s="72"/>
      <c r="AQ31" s="73">
        <v>18</v>
      </c>
      <c r="AR31" s="13">
        <v>8.6</v>
      </c>
      <c r="AS31" s="13"/>
      <c r="AT31" s="13">
        <v>66</v>
      </c>
      <c r="AU31" s="60">
        <f t="shared" si="4"/>
        <v>13.200000000000001</v>
      </c>
      <c r="AV31" s="72"/>
    </row>
    <row r="32" spans="1:48" x14ac:dyDescent="0.25">
      <c r="A32" s="100">
        <v>2.8</v>
      </c>
      <c r="B32" s="98"/>
      <c r="C32" s="109">
        <v>32.4</v>
      </c>
      <c r="D32" s="101"/>
      <c r="S32" s="73">
        <v>19</v>
      </c>
      <c r="T32" s="65">
        <v>5.6</v>
      </c>
      <c r="U32" s="63"/>
      <c r="V32" s="65">
        <v>185</v>
      </c>
      <c r="W32" s="60">
        <f t="shared" si="0"/>
        <v>37</v>
      </c>
      <c r="X32" s="72"/>
      <c r="Y32" s="73">
        <v>19</v>
      </c>
      <c r="Z32" s="13">
        <v>6.8</v>
      </c>
      <c r="AA32" s="13"/>
      <c r="AB32" s="59">
        <v>100</v>
      </c>
      <c r="AC32" s="60">
        <f t="shared" si="1"/>
        <v>20</v>
      </c>
      <c r="AD32" s="72"/>
      <c r="AE32" s="73">
        <v>19</v>
      </c>
      <c r="AF32" s="59">
        <v>8.4</v>
      </c>
      <c r="AG32" s="13"/>
      <c r="AH32" s="59">
        <v>175</v>
      </c>
      <c r="AI32" s="60">
        <f t="shared" si="2"/>
        <v>35</v>
      </c>
      <c r="AJ32" s="72"/>
      <c r="AK32" s="73">
        <v>19</v>
      </c>
      <c r="AL32" s="59">
        <v>8.4</v>
      </c>
      <c r="AM32" s="13"/>
      <c r="AN32" s="59">
        <v>167</v>
      </c>
      <c r="AO32" s="60">
        <f t="shared" si="3"/>
        <v>33.4</v>
      </c>
      <c r="AP32" s="72"/>
      <c r="AQ32" s="73">
        <v>19</v>
      </c>
      <c r="AR32" s="13">
        <v>8.8000000000000007</v>
      </c>
      <c r="AS32" s="13"/>
      <c r="AT32" s="13">
        <v>157</v>
      </c>
      <c r="AU32" s="60">
        <f t="shared" si="4"/>
        <v>31.400000000000002</v>
      </c>
      <c r="AV32" s="72"/>
    </row>
    <row r="33" spans="1:48" x14ac:dyDescent="0.25">
      <c r="A33" s="97">
        <v>3</v>
      </c>
      <c r="B33" s="98"/>
      <c r="C33" s="109">
        <v>21.1</v>
      </c>
      <c r="D33" s="101"/>
      <c r="S33" s="73">
        <v>20</v>
      </c>
      <c r="T33" s="65">
        <v>5.8</v>
      </c>
      <c r="U33" s="63"/>
      <c r="V33" s="65">
        <v>102</v>
      </c>
      <c r="W33" s="60">
        <f t="shared" si="0"/>
        <v>20.400000000000002</v>
      </c>
      <c r="X33" s="72"/>
      <c r="Y33" s="73">
        <v>20</v>
      </c>
      <c r="Z33" s="13">
        <v>7</v>
      </c>
      <c r="AA33" s="13"/>
      <c r="AB33" s="59">
        <v>152</v>
      </c>
      <c r="AC33" s="60">
        <f t="shared" si="1"/>
        <v>30.400000000000002</v>
      </c>
      <c r="AD33" s="72"/>
      <c r="AE33" s="73">
        <v>20</v>
      </c>
      <c r="AF33" s="59">
        <v>8.6</v>
      </c>
      <c r="AG33" s="13"/>
      <c r="AH33" s="59">
        <v>159</v>
      </c>
      <c r="AI33" s="60">
        <f t="shared" si="2"/>
        <v>31.8</v>
      </c>
      <c r="AJ33" s="72"/>
      <c r="AK33" s="73">
        <v>20</v>
      </c>
      <c r="AL33" s="59">
        <v>8.6</v>
      </c>
      <c r="AM33" s="13"/>
      <c r="AN33" s="59">
        <v>97</v>
      </c>
      <c r="AO33" s="60">
        <f t="shared" si="3"/>
        <v>19.400000000000002</v>
      </c>
      <c r="AP33" s="72"/>
      <c r="AQ33" s="73">
        <v>20</v>
      </c>
      <c r="AR33" s="13">
        <v>9</v>
      </c>
      <c r="AS33" s="13"/>
      <c r="AT33" s="13">
        <v>91</v>
      </c>
      <c r="AU33" s="60">
        <f t="shared" si="4"/>
        <v>18.2</v>
      </c>
      <c r="AV33" s="72"/>
    </row>
    <row r="34" spans="1:48" x14ac:dyDescent="0.25">
      <c r="A34" s="100">
        <v>3.2</v>
      </c>
      <c r="B34" s="98"/>
      <c r="C34" s="109">
        <v>61</v>
      </c>
      <c r="D34" s="101"/>
      <c r="S34" s="73">
        <v>21</v>
      </c>
      <c r="T34" s="65">
        <v>6</v>
      </c>
      <c r="U34" s="63"/>
      <c r="V34" s="65">
        <v>98</v>
      </c>
      <c r="W34" s="60">
        <f t="shared" si="0"/>
        <v>19.600000000000001</v>
      </c>
      <c r="X34" s="72"/>
      <c r="Y34" s="73">
        <v>21</v>
      </c>
      <c r="Z34" s="13">
        <v>7.2</v>
      </c>
      <c r="AA34" s="13"/>
      <c r="AB34" s="59">
        <v>94</v>
      </c>
      <c r="AC34" s="60">
        <f t="shared" si="1"/>
        <v>18.8</v>
      </c>
      <c r="AD34" s="72"/>
      <c r="AE34" s="73">
        <v>21</v>
      </c>
      <c r="AF34" s="59">
        <v>8.8000000000000007</v>
      </c>
      <c r="AG34" s="13"/>
      <c r="AH34" s="59">
        <v>118</v>
      </c>
      <c r="AI34" s="60">
        <f t="shared" si="2"/>
        <v>23.6</v>
      </c>
      <c r="AJ34" s="72"/>
      <c r="AK34" s="73">
        <v>21</v>
      </c>
      <c r="AL34" s="59">
        <v>8.8000000000000007</v>
      </c>
      <c r="AM34" s="13"/>
      <c r="AN34" s="59">
        <v>106</v>
      </c>
      <c r="AO34" s="60">
        <f t="shared" si="3"/>
        <v>21.200000000000003</v>
      </c>
      <c r="AP34" s="72"/>
      <c r="AQ34" s="73">
        <v>21</v>
      </c>
      <c r="AR34" s="13">
        <v>9.1999999999999993</v>
      </c>
      <c r="AS34" s="13"/>
      <c r="AT34" s="13">
        <v>59</v>
      </c>
      <c r="AU34" s="60">
        <f t="shared" si="4"/>
        <v>11.8</v>
      </c>
      <c r="AV34" s="72"/>
    </row>
    <row r="35" spans="1:48" x14ac:dyDescent="0.25">
      <c r="A35" s="97">
        <v>3.4</v>
      </c>
      <c r="B35" s="98"/>
      <c r="C35" s="109">
        <v>100.2</v>
      </c>
      <c r="D35" s="101"/>
      <c r="S35" s="73">
        <v>22</v>
      </c>
      <c r="T35" s="65">
        <v>6.2</v>
      </c>
      <c r="U35" s="63">
        <v>2.1</v>
      </c>
      <c r="V35" s="65">
        <v>98</v>
      </c>
      <c r="W35" s="60">
        <f t="shared" si="0"/>
        <v>19.600000000000001</v>
      </c>
      <c r="X35" s="72"/>
      <c r="Y35" s="73">
        <v>22</v>
      </c>
      <c r="Z35" s="13">
        <v>7.4</v>
      </c>
      <c r="AA35" s="13">
        <v>1.6</v>
      </c>
      <c r="AB35" s="59">
        <v>77</v>
      </c>
      <c r="AC35" s="60">
        <f t="shared" si="1"/>
        <v>15.4</v>
      </c>
      <c r="AD35" s="72"/>
      <c r="AE35" s="73">
        <v>22</v>
      </c>
      <c r="AF35" s="59">
        <v>9</v>
      </c>
      <c r="AG35" s="13"/>
      <c r="AH35" s="59">
        <v>110</v>
      </c>
      <c r="AI35" s="60">
        <f t="shared" si="2"/>
        <v>22</v>
      </c>
      <c r="AJ35" s="72"/>
      <c r="AK35" s="73">
        <v>22</v>
      </c>
      <c r="AL35" s="59">
        <v>9</v>
      </c>
      <c r="AM35" s="13"/>
      <c r="AN35" s="59">
        <v>119</v>
      </c>
      <c r="AO35" s="60">
        <f t="shared" si="3"/>
        <v>23.8</v>
      </c>
      <c r="AP35" s="72"/>
      <c r="AQ35" s="73">
        <v>22</v>
      </c>
      <c r="AR35" s="13">
        <v>9.4</v>
      </c>
      <c r="AS35" s="13">
        <v>1.3</v>
      </c>
      <c r="AT35" s="13">
        <v>67</v>
      </c>
      <c r="AU35" s="60">
        <f t="shared" si="4"/>
        <v>13.4</v>
      </c>
      <c r="AV35" s="72"/>
    </row>
    <row r="36" spans="1:48" x14ac:dyDescent="0.25">
      <c r="A36" s="100">
        <v>3.6</v>
      </c>
      <c r="B36" s="98"/>
      <c r="C36" s="109">
        <v>39.700000000000003</v>
      </c>
      <c r="D36" s="101"/>
      <c r="H36" s="13"/>
      <c r="I36" s="13"/>
      <c r="S36" s="73">
        <v>23</v>
      </c>
      <c r="T36" s="65">
        <v>6.4</v>
      </c>
      <c r="U36" s="63">
        <v>2</v>
      </c>
      <c r="V36" s="65">
        <v>115</v>
      </c>
      <c r="W36" s="60">
        <f t="shared" si="0"/>
        <v>23</v>
      </c>
      <c r="X36" s="72"/>
      <c r="Y36" s="73">
        <v>23</v>
      </c>
      <c r="Z36" s="13">
        <v>7.6</v>
      </c>
      <c r="AA36" s="13">
        <v>1.2</v>
      </c>
      <c r="AB36" s="59">
        <v>68</v>
      </c>
      <c r="AC36" s="60">
        <f t="shared" si="1"/>
        <v>13.600000000000001</v>
      </c>
      <c r="AD36" s="72"/>
      <c r="AE36" s="73">
        <v>23</v>
      </c>
      <c r="AF36" s="59">
        <v>9.1999999999999993</v>
      </c>
      <c r="AG36" s="13">
        <v>1.9</v>
      </c>
      <c r="AH36" s="59">
        <v>68</v>
      </c>
      <c r="AI36" s="60">
        <f t="shared" si="2"/>
        <v>13.600000000000001</v>
      </c>
      <c r="AJ36" s="72"/>
      <c r="AK36" s="73">
        <v>23</v>
      </c>
      <c r="AL36" s="59">
        <v>9.1999999999999993</v>
      </c>
      <c r="AM36" s="13">
        <v>14.6</v>
      </c>
      <c r="AN36" s="59">
        <v>93</v>
      </c>
      <c r="AO36" s="60">
        <f t="shared" si="3"/>
        <v>18.600000000000001</v>
      </c>
      <c r="AP36" s="72"/>
      <c r="AQ36" s="73">
        <v>23</v>
      </c>
      <c r="AR36" s="13">
        <v>9.6</v>
      </c>
      <c r="AS36" s="13">
        <v>1.3</v>
      </c>
      <c r="AT36" s="13">
        <v>64</v>
      </c>
      <c r="AU36" s="60">
        <f t="shared" si="4"/>
        <v>12.8</v>
      </c>
      <c r="AV36" s="72"/>
    </row>
    <row r="37" spans="1:48" x14ac:dyDescent="0.25">
      <c r="A37" s="97">
        <v>3.8</v>
      </c>
      <c r="B37" s="98"/>
      <c r="C37" s="109">
        <v>93.1</v>
      </c>
      <c r="D37" s="101"/>
      <c r="H37" s="13"/>
      <c r="I37" s="13"/>
      <c r="S37" s="73">
        <v>24</v>
      </c>
      <c r="T37" s="65">
        <v>6.6</v>
      </c>
      <c r="U37" s="63">
        <v>5.4</v>
      </c>
      <c r="V37" s="65">
        <v>138</v>
      </c>
      <c r="W37" s="60">
        <f t="shared" si="0"/>
        <v>27.6</v>
      </c>
      <c r="X37" s="72"/>
      <c r="Y37" s="73">
        <v>24</v>
      </c>
      <c r="Z37" s="13">
        <v>7.8</v>
      </c>
      <c r="AA37" s="13">
        <v>1.2</v>
      </c>
      <c r="AB37" s="59">
        <v>54</v>
      </c>
      <c r="AC37" s="60">
        <f t="shared" si="1"/>
        <v>10.8</v>
      </c>
      <c r="AD37" s="72"/>
      <c r="AE37" s="73">
        <v>24</v>
      </c>
      <c r="AF37" s="59">
        <v>9.4</v>
      </c>
      <c r="AG37" s="13">
        <v>1.6</v>
      </c>
      <c r="AH37" s="59">
        <v>55</v>
      </c>
      <c r="AI37" s="60">
        <f t="shared" si="2"/>
        <v>11</v>
      </c>
      <c r="AJ37" s="72"/>
      <c r="AK37" s="73">
        <v>24</v>
      </c>
      <c r="AL37" s="59">
        <v>9.4</v>
      </c>
      <c r="AM37" s="13">
        <v>6.1</v>
      </c>
      <c r="AN37" s="59">
        <v>172</v>
      </c>
      <c r="AO37" s="60">
        <f t="shared" si="3"/>
        <v>34.4</v>
      </c>
      <c r="AP37" s="72"/>
      <c r="AQ37" s="73">
        <v>24</v>
      </c>
      <c r="AR37" s="13">
        <v>9.8000000000000007</v>
      </c>
      <c r="AS37" s="13">
        <v>1.1000000000000001</v>
      </c>
      <c r="AT37" s="13">
        <v>63</v>
      </c>
      <c r="AU37" s="60">
        <f t="shared" si="4"/>
        <v>12.600000000000001</v>
      </c>
      <c r="AV37" s="72"/>
    </row>
    <row r="38" spans="1:48" x14ac:dyDescent="0.25">
      <c r="A38" s="100">
        <v>4</v>
      </c>
      <c r="B38" s="98"/>
      <c r="C38" s="109">
        <v>107.1</v>
      </c>
      <c r="D38" s="98"/>
      <c r="H38" s="13"/>
      <c r="I38" s="13"/>
      <c r="S38" s="73">
        <v>25</v>
      </c>
      <c r="T38" s="65">
        <v>6.8</v>
      </c>
      <c r="U38" s="63">
        <v>9.4</v>
      </c>
      <c r="V38" s="65">
        <v>155</v>
      </c>
      <c r="W38" s="60">
        <f t="shared" si="0"/>
        <v>31</v>
      </c>
      <c r="X38" s="72"/>
      <c r="Y38" s="73">
        <v>25</v>
      </c>
      <c r="Z38" s="13">
        <v>8</v>
      </c>
      <c r="AA38" s="13">
        <v>1.1000000000000001</v>
      </c>
      <c r="AB38" s="59">
        <v>50</v>
      </c>
      <c r="AC38" s="60">
        <f t="shared" si="1"/>
        <v>10</v>
      </c>
      <c r="AD38" s="72"/>
      <c r="AE38" s="73">
        <v>25</v>
      </c>
      <c r="AF38" s="59">
        <v>9.6</v>
      </c>
      <c r="AG38" s="13">
        <v>1.1000000000000001</v>
      </c>
      <c r="AH38" s="59">
        <v>47</v>
      </c>
      <c r="AI38" s="60">
        <f t="shared" si="2"/>
        <v>9.4</v>
      </c>
      <c r="AJ38" s="72"/>
      <c r="AK38" s="73">
        <v>25</v>
      </c>
      <c r="AL38" s="59">
        <v>9.6</v>
      </c>
      <c r="AM38" s="13">
        <v>2.6</v>
      </c>
      <c r="AN38" s="59">
        <v>158</v>
      </c>
      <c r="AO38" s="60">
        <f t="shared" si="3"/>
        <v>31.6</v>
      </c>
      <c r="AP38" s="72"/>
      <c r="AQ38" s="73">
        <v>25</v>
      </c>
      <c r="AR38" s="13">
        <v>10</v>
      </c>
      <c r="AS38" s="13">
        <v>1.1000000000000001</v>
      </c>
      <c r="AT38" s="13">
        <v>59</v>
      </c>
      <c r="AU38" s="60">
        <f t="shared" si="4"/>
        <v>11.8</v>
      </c>
      <c r="AV38" s="72"/>
    </row>
    <row r="39" spans="1:48" x14ac:dyDescent="0.25">
      <c r="A39" s="97">
        <v>4.2</v>
      </c>
      <c r="B39" s="98"/>
      <c r="C39" s="109"/>
      <c r="D39" s="101"/>
      <c r="H39" s="13"/>
      <c r="I39" s="13"/>
      <c r="S39" s="73">
        <v>26</v>
      </c>
      <c r="T39" s="65">
        <v>7</v>
      </c>
      <c r="U39" s="63">
        <v>7.2</v>
      </c>
      <c r="V39" s="65">
        <v>170</v>
      </c>
      <c r="W39" s="60">
        <f t="shared" si="0"/>
        <v>34</v>
      </c>
      <c r="X39" s="13" t="s">
        <v>50</v>
      </c>
      <c r="Y39" s="73">
        <v>26</v>
      </c>
      <c r="Z39" s="13">
        <v>8.1999999999999993</v>
      </c>
      <c r="AA39" s="13">
        <v>1.4</v>
      </c>
      <c r="AB39" s="59">
        <v>48</v>
      </c>
      <c r="AC39" s="60">
        <f t="shared" si="1"/>
        <v>9.6000000000000014</v>
      </c>
      <c r="AD39" s="13" t="s">
        <v>50</v>
      </c>
      <c r="AE39" s="73">
        <v>26</v>
      </c>
      <c r="AF39" s="59">
        <v>9.8000000000000007</v>
      </c>
      <c r="AG39" s="13">
        <v>1.2</v>
      </c>
      <c r="AH39" s="59">
        <v>16</v>
      </c>
      <c r="AI39" s="60">
        <f t="shared" si="2"/>
        <v>3.2</v>
      </c>
      <c r="AJ39" s="13" t="s">
        <v>50</v>
      </c>
      <c r="AK39" s="73">
        <v>26</v>
      </c>
      <c r="AL39" s="59">
        <v>9.8000000000000007</v>
      </c>
      <c r="AM39" s="13">
        <v>2.1</v>
      </c>
      <c r="AN39" s="59">
        <v>114</v>
      </c>
      <c r="AO39" s="60">
        <f t="shared" si="3"/>
        <v>22.8</v>
      </c>
      <c r="AP39" s="13" t="s">
        <v>50</v>
      </c>
      <c r="AQ39" s="73">
        <v>26</v>
      </c>
      <c r="AR39" s="13">
        <v>10.199999999999999</v>
      </c>
      <c r="AS39" s="13">
        <v>1.3</v>
      </c>
      <c r="AT39" s="13">
        <v>47</v>
      </c>
      <c r="AU39" s="60">
        <f t="shared" si="4"/>
        <v>9.4</v>
      </c>
      <c r="AV39" s="13" t="s">
        <v>50</v>
      </c>
    </row>
    <row r="40" spans="1:48" x14ac:dyDescent="0.25">
      <c r="A40" s="100">
        <v>4.4000000000000004</v>
      </c>
      <c r="B40" s="98"/>
      <c r="C40" s="109"/>
      <c r="D40" s="101"/>
      <c r="H40" s="13"/>
      <c r="I40" s="13"/>
      <c r="S40" s="73"/>
      <c r="T40" s="65"/>
      <c r="U40" s="63">
        <v>1.7</v>
      </c>
      <c r="V40" s="65"/>
      <c r="W40" s="13"/>
      <c r="X40" s="72"/>
      <c r="Y40" s="74"/>
      <c r="Z40" s="13"/>
      <c r="AA40" s="13">
        <v>1.3</v>
      </c>
      <c r="AB40" s="59"/>
      <c r="AC40" s="13"/>
      <c r="AD40" s="72"/>
      <c r="AE40" s="74"/>
      <c r="AF40" s="13"/>
      <c r="AG40" s="13">
        <v>1.1000000000000001</v>
      </c>
      <c r="AH40" s="59"/>
      <c r="AI40" s="13"/>
      <c r="AJ40" s="72"/>
      <c r="AK40" s="74"/>
      <c r="AL40" s="13"/>
      <c r="AM40" s="13">
        <v>2.2000000000000002</v>
      </c>
      <c r="AN40" s="59"/>
      <c r="AO40" s="13"/>
      <c r="AP40" s="72"/>
      <c r="AQ40" s="74"/>
      <c r="AR40" s="13"/>
      <c r="AS40" s="13">
        <v>1.4</v>
      </c>
      <c r="AT40" s="13"/>
      <c r="AU40" s="13"/>
      <c r="AV40" s="72"/>
    </row>
    <row r="41" spans="1:48" x14ac:dyDescent="0.25">
      <c r="A41" s="97">
        <v>4.5999999999999996</v>
      </c>
      <c r="B41" s="98"/>
      <c r="C41" s="109"/>
      <c r="D41" s="101"/>
      <c r="H41" s="13"/>
      <c r="I41" s="13"/>
      <c r="S41" s="73"/>
      <c r="T41" s="65"/>
      <c r="U41" s="63">
        <v>1.9</v>
      </c>
      <c r="V41" s="65"/>
      <c r="W41" s="13"/>
      <c r="X41" s="72"/>
      <c r="Y41" s="74"/>
      <c r="Z41" s="13"/>
      <c r="AA41" s="13">
        <v>1.3</v>
      </c>
      <c r="AB41" s="13"/>
      <c r="AC41" s="13"/>
      <c r="AD41" s="72"/>
      <c r="AE41" s="74"/>
      <c r="AF41" s="13"/>
      <c r="AG41" s="13">
        <v>1.2</v>
      </c>
      <c r="AH41" s="13"/>
      <c r="AI41" s="13"/>
      <c r="AJ41" s="72"/>
      <c r="AK41" s="74"/>
      <c r="AL41" s="13"/>
      <c r="AM41" s="13">
        <v>2.2999999999999998</v>
      </c>
      <c r="AN41" s="13"/>
      <c r="AO41" s="13"/>
      <c r="AP41" s="72"/>
      <c r="AQ41" s="74"/>
      <c r="AR41" s="13"/>
      <c r="AS41" s="13">
        <v>1.3</v>
      </c>
      <c r="AT41" s="13"/>
      <c r="AU41" s="13"/>
      <c r="AV41" s="72"/>
    </row>
    <row r="42" spans="1:48" x14ac:dyDescent="0.25">
      <c r="A42" s="100">
        <v>4.8</v>
      </c>
      <c r="B42" s="98"/>
      <c r="C42" s="109"/>
      <c r="D42" s="101"/>
      <c r="S42" s="73"/>
      <c r="T42" s="65"/>
      <c r="U42" s="63">
        <v>3</v>
      </c>
      <c r="V42" s="65"/>
      <c r="W42" s="13"/>
      <c r="X42" s="72"/>
      <c r="Y42" s="74"/>
      <c r="Z42" s="13"/>
      <c r="AA42" s="13">
        <v>1.5</v>
      </c>
      <c r="AB42" s="13"/>
      <c r="AC42" s="13"/>
      <c r="AD42" s="72"/>
      <c r="AE42" s="74"/>
      <c r="AF42" s="13"/>
      <c r="AG42" s="13">
        <v>1.3</v>
      </c>
      <c r="AH42" s="13"/>
      <c r="AI42" s="13"/>
      <c r="AJ42" s="72"/>
      <c r="AK42" s="74"/>
      <c r="AL42" s="13"/>
      <c r="AM42" s="13">
        <v>2.2999999999999998</v>
      </c>
      <c r="AN42" s="13"/>
      <c r="AO42" s="13"/>
      <c r="AP42" s="72"/>
      <c r="AQ42" s="74"/>
      <c r="AR42" s="13"/>
      <c r="AS42" s="13">
        <v>1.1000000000000001</v>
      </c>
      <c r="AT42" s="13"/>
      <c r="AU42" s="13"/>
      <c r="AV42" s="72"/>
    </row>
    <row r="43" spans="1:48" x14ac:dyDescent="0.25">
      <c r="A43" s="97">
        <v>5</v>
      </c>
      <c r="B43" s="98"/>
      <c r="C43" s="109"/>
      <c r="D43" s="101"/>
      <c r="S43" s="73"/>
      <c r="T43" s="65"/>
      <c r="U43" s="63">
        <v>3</v>
      </c>
      <c r="V43" s="65"/>
      <c r="W43" s="13"/>
      <c r="X43" s="72"/>
      <c r="Y43" s="74"/>
      <c r="Z43" s="13"/>
      <c r="AA43" s="13">
        <v>2.9</v>
      </c>
      <c r="AB43" s="13"/>
      <c r="AC43" s="13"/>
      <c r="AD43" s="72"/>
      <c r="AE43" s="74"/>
      <c r="AF43" s="13"/>
      <c r="AG43" s="13">
        <v>1.1000000000000001</v>
      </c>
      <c r="AH43" s="13"/>
      <c r="AI43" s="13"/>
      <c r="AJ43" s="72"/>
      <c r="AK43" s="74"/>
      <c r="AL43" s="13"/>
      <c r="AM43" s="13">
        <v>1.9</v>
      </c>
      <c r="AN43" s="13"/>
      <c r="AO43" s="13"/>
      <c r="AP43" s="72"/>
      <c r="AQ43" s="74"/>
      <c r="AR43" s="13"/>
      <c r="AS43" s="13">
        <v>1.1000000000000001</v>
      </c>
      <c r="AT43" s="13"/>
      <c r="AU43" s="13"/>
      <c r="AV43" s="72"/>
    </row>
    <row r="44" spans="1:48" x14ac:dyDescent="0.25">
      <c r="A44" s="100">
        <v>5.2</v>
      </c>
      <c r="B44" s="98"/>
      <c r="C44" s="109"/>
      <c r="D44" s="101"/>
      <c r="S44" s="74"/>
      <c r="T44" s="13"/>
      <c r="U44" s="63">
        <v>2.2999999999999998</v>
      </c>
      <c r="V44" s="13"/>
      <c r="W44" s="13"/>
      <c r="X44" s="72"/>
      <c r="Y44" s="74"/>
      <c r="Z44" s="13"/>
      <c r="AA44" s="13">
        <v>2.9</v>
      </c>
      <c r="AB44" s="13"/>
      <c r="AC44" s="13"/>
      <c r="AD44" s="72"/>
      <c r="AE44" s="74"/>
      <c r="AF44" s="13"/>
      <c r="AG44" s="13">
        <v>3.7</v>
      </c>
      <c r="AH44" s="13"/>
      <c r="AI44" s="13"/>
      <c r="AJ44" s="72"/>
      <c r="AK44" s="74"/>
      <c r="AL44" s="13"/>
      <c r="AM44" s="13">
        <v>2.8</v>
      </c>
      <c r="AN44" s="13"/>
      <c r="AO44" s="13"/>
      <c r="AP44" s="72"/>
      <c r="AQ44" s="74"/>
      <c r="AR44" s="13"/>
      <c r="AS44" s="13">
        <v>0.9</v>
      </c>
      <c r="AT44" s="13"/>
      <c r="AU44" s="13"/>
      <c r="AV44" s="72"/>
    </row>
    <row r="45" spans="1:48" x14ac:dyDescent="0.25">
      <c r="A45" s="97">
        <v>5.4</v>
      </c>
      <c r="B45" s="98"/>
      <c r="C45" s="109"/>
      <c r="D45" s="101"/>
      <c r="S45" s="74"/>
      <c r="T45" s="13"/>
      <c r="U45" s="63"/>
      <c r="V45" s="13"/>
      <c r="W45" s="13"/>
      <c r="X45" s="72"/>
      <c r="Y45" s="74"/>
      <c r="Z45" s="13"/>
      <c r="AA45" s="13"/>
      <c r="AB45" s="13"/>
      <c r="AC45" s="13"/>
      <c r="AD45" s="72"/>
      <c r="AE45" s="74"/>
      <c r="AF45" s="13"/>
      <c r="AG45" s="13"/>
      <c r="AH45" s="13"/>
      <c r="AI45" s="13"/>
      <c r="AJ45" s="72"/>
      <c r="AK45" s="74"/>
      <c r="AL45" s="13"/>
      <c r="AM45" s="13"/>
      <c r="AN45" s="13"/>
      <c r="AO45" s="13"/>
      <c r="AP45" s="72"/>
      <c r="AQ45" s="74"/>
      <c r="AR45" s="13"/>
      <c r="AS45" s="13"/>
      <c r="AT45" s="13"/>
      <c r="AU45" s="13"/>
      <c r="AV45" s="72"/>
    </row>
    <row r="46" spans="1:48" x14ac:dyDescent="0.25">
      <c r="A46" s="100">
        <v>5.6</v>
      </c>
      <c r="B46" s="98"/>
      <c r="C46" s="109"/>
      <c r="D46" s="101"/>
      <c r="S46" s="74" t="s">
        <v>43</v>
      </c>
      <c r="T46" s="13"/>
      <c r="U46" s="63">
        <f>SUM(U35:U44)/10</f>
        <v>3.7999999999999994</v>
      </c>
      <c r="V46" s="13">
        <f>SUM(V14:V39)/26</f>
        <v>132.30769230769232</v>
      </c>
      <c r="W46" s="13"/>
      <c r="X46" s="72" t="s">
        <v>53</v>
      </c>
      <c r="Y46" s="74" t="s">
        <v>43</v>
      </c>
      <c r="Z46" s="13"/>
      <c r="AA46" s="63">
        <f>SUM(AA35:AA44)/10</f>
        <v>1.64</v>
      </c>
      <c r="AB46" s="13">
        <f>SUM(AB14:AB39)/26</f>
        <v>73.884615384615387</v>
      </c>
      <c r="AC46" s="13"/>
      <c r="AD46" s="72" t="s">
        <v>53</v>
      </c>
      <c r="AE46" s="74" t="s">
        <v>43</v>
      </c>
      <c r="AF46" s="13"/>
      <c r="AG46" s="63">
        <f>SUM(AG36:AG44)/9</f>
        <v>1.5777777777777777</v>
      </c>
      <c r="AH46" s="13">
        <f>SUM(AH14:AH39)/26</f>
        <v>67.769230769230774</v>
      </c>
      <c r="AI46" s="13"/>
      <c r="AJ46" s="72" t="s">
        <v>53</v>
      </c>
      <c r="AK46" s="74" t="s">
        <v>43</v>
      </c>
      <c r="AL46" s="13"/>
      <c r="AM46" s="63">
        <f>SUM(AM36:AM44)/9</f>
        <v>4.0999999999999996</v>
      </c>
      <c r="AN46" s="13">
        <f>SUM(AN14:AN39)/26</f>
        <v>115.96153846153847</v>
      </c>
      <c r="AO46" s="13"/>
      <c r="AP46" s="72" t="s">
        <v>53</v>
      </c>
      <c r="AQ46" s="74" t="s">
        <v>43</v>
      </c>
      <c r="AR46" s="13"/>
      <c r="AS46" s="63">
        <f>SUM(AS35:AS44)/10</f>
        <v>1.19</v>
      </c>
      <c r="AT46" s="13">
        <f>SUM(AT14:AT39)/26</f>
        <v>71.769230769230774</v>
      </c>
      <c r="AU46" s="13"/>
      <c r="AV46" s="72" t="s">
        <v>53</v>
      </c>
    </row>
    <row r="47" spans="1:48" x14ac:dyDescent="0.25">
      <c r="A47" s="97">
        <v>5.8</v>
      </c>
      <c r="B47" s="98"/>
      <c r="C47" s="109"/>
      <c r="D47" s="101"/>
      <c r="S47" s="74"/>
      <c r="T47" s="13"/>
      <c r="U47" s="13"/>
      <c r="V47" s="13"/>
      <c r="W47" s="13">
        <f>SUM(W14:W39)*0.4*4*0.3/10</f>
        <v>33.023999999999994</v>
      </c>
      <c r="X47" s="72" t="s">
        <v>40</v>
      </c>
      <c r="Y47" s="74"/>
      <c r="Z47" s="13"/>
      <c r="AA47" s="13"/>
      <c r="AB47" s="13"/>
      <c r="AC47" s="13">
        <f>SUM(AC14:AC39)*0.4*4*AA55/10</f>
        <v>31.258512000000003</v>
      </c>
      <c r="AD47" s="72" t="s">
        <v>40</v>
      </c>
      <c r="AE47" s="74"/>
      <c r="AF47" s="13"/>
      <c r="AG47" s="13"/>
      <c r="AH47" s="13"/>
      <c r="AI47" s="13">
        <f>SUM(AI14:AI39)*0.4*4*AG57/10</f>
        <v>30.574224000000005</v>
      </c>
      <c r="AJ47" s="72" t="s">
        <v>40</v>
      </c>
      <c r="AK47" s="74"/>
      <c r="AL47" s="13"/>
      <c r="AM47" s="13"/>
      <c r="AN47" s="13"/>
      <c r="AO47" s="13">
        <f>SUM(AO14:AO39)*0.4*4*AM57/10</f>
        <v>31.356000000000005</v>
      </c>
      <c r="AP47" s="72" t="s">
        <v>40</v>
      </c>
      <c r="AQ47" s="74"/>
      <c r="AR47" s="13"/>
      <c r="AS47" s="13"/>
      <c r="AT47" s="13"/>
      <c r="AU47" s="13">
        <f>SUM(AU14:AU39)*0.4*4*AS57/10</f>
        <v>30.587471999999998</v>
      </c>
      <c r="AV47" s="72" t="s">
        <v>40</v>
      </c>
    </row>
    <row r="48" spans="1:48" x14ac:dyDescent="0.25">
      <c r="A48" s="100">
        <v>6</v>
      </c>
      <c r="B48" s="98"/>
      <c r="C48" s="109"/>
      <c r="D48" s="101"/>
      <c r="S48" s="74"/>
      <c r="T48" s="13"/>
      <c r="U48" s="63">
        <f>U46*100*T54*0.4*0.4</f>
        <v>43.897599999999997</v>
      </c>
      <c r="V48" s="13"/>
      <c r="W48" s="13"/>
      <c r="X48" s="72" t="s">
        <v>42</v>
      </c>
      <c r="Y48" s="74"/>
      <c r="Z48" s="13"/>
      <c r="AA48" s="63">
        <f>AA46*100*AA54*0.4*0.4</f>
        <v>22.496426666666668</v>
      </c>
      <c r="AB48" s="13"/>
      <c r="AC48" s="13"/>
      <c r="AD48" s="72" t="s">
        <v>42</v>
      </c>
      <c r="AE48" s="74"/>
      <c r="AF48" s="13"/>
      <c r="AG48" s="63">
        <f>AG46*100*AG56*0.4*0.4</f>
        <v>21.748930370370374</v>
      </c>
      <c r="AH48" s="13"/>
      <c r="AI48" s="13"/>
      <c r="AJ48" s="72" t="s">
        <v>42</v>
      </c>
      <c r="AK48" s="74"/>
      <c r="AL48" s="13"/>
      <c r="AM48" s="63">
        <f>AM46*100*0.7*0.4*0.4</f>
        <v>45.919999999999995</v>
      </c>
      <c r="AN48" s="13"/>
      <c r="AO48" s="13"/>
      <c r="AP48" s="72" t="s">
        <v>42</v>
      </c>
      <c r="AQ48" s="74"/>
      <c r="AR48" s="13"/>
      <c r="AS48" s="63">
        <f>AS46*100*AS56*0.4*0.4</f>
        <v>16.894826666666667</v>
      </c>
      <c r="AT48" s="13"/>
      <c r="AU48" s="13"/>
      <c r="AV48" s="72" t="s">
        <v>42</v>
      </c>
    </row>
    <row r="49" spans="1:48" ht="15.75" thickBot="1" x14ac:dyDescent="0.3">
      <c r="A49" s="97">
        <v>6.2</v>
      </c>
      <c r="B49" s="98"/>
      <c r="C49" s="109"/>
      <c r="D49" s="101"/>
      <c r="S49" s="74"/>
      <c r="T49" s="13"/>
      <c r="U49" s="13"/>
      <c r="V49" s="13"/>
      <c r="W49" s="13"/>
      <c r="X49" s="72"/>
      <c r="Y49" s="74"/>
      <c r="Z49" s="13"/>
      <c r="AA49" s="13"/>
      <c r="AB49" s="13"/>
      <c r="AC49" s="13"/>
      <c r="AD49" s="72"/>
      <c r="AE49" s="74"/>
      <c r="AF49" s="13"/>
      <c r="AG49" s="13"/>
      <c r="AH49" s="13"/>
      <c r="AI49" s="13"/>
      <c r="AJ49" s="72"/>
      <c r="AK49" s="74"/>
      <c r="AL49" s="13"/>
      <c r="AM49" s="13"/>
      <c r="AN49" s="13"/>
      <c r="AO49" s="13"/>
      <c r="AP49" s="72"/>
      <c r="AQ49" s="74"/>
      <c r="AR49" s="13"/>
      <c r="AS49" s="13"/>
      <c r="AT49" s="13"/>
      <c r="AU49" s="13"/>
      <c r="AV49" s="72"/>
    </row>
    <row r="50" spans="1:48" ht="15.75" thickBot="1" x14ac:dyDescent="0.3">
      <c r="A50" s="100">
        <v>6.4</v>
      </c>
      <c r="B50" s="98"/>
      <c r="C50" s="109"/>
      <c r="D50" s="101"/>
      <c r="S50" s="75"/>
      <c r="T50" s="76"/>
      <c r="U50" s="76"/>
      <c r="V50" s="76" t="s">
        <v>41</v>
      </c>
      <c r="W50" s="64">
        <f>(U48+W47)/1.25</f>
        <v>61.537279999999988</v>
      </c>
      <c r="X50" s="77" t="s">
        <v>3</v>
      </c>
      <c r="Y50" s="75"/>
      <c r="Z50" s="76"/>
      <c r="AA50" s="76"/>
      <c r="AB50" s="76" t="s">
        <v>41</v>
      </c>
      <c r="AC50" s="64">
        <f>(AA48+AC47)/1.25</f>
        <v>43.003950933333343</v>
      </c>
      <c r="AD50" s="77" t="s">
        <v>3</v>
      </c>
      <c r="AE50" s="75"/>
      <c r="AF50" s="76"/>
      <c r="AG50" s="76"/>
      <c r="AH50" s="76" t="s">
        <v>41</v>
      </c>
      <c r="AI50" s="64">
        <f>(AG48+AI47)/1.25</f>
        <v>41.8585234962963</v>
      </c>
      <c r="AJ50" s="77" t="s">
        <v>3</v>
      </c>
      <c r="AK50" s="75"/>
      <c r="AL50" s="76"/>
      <c r="AM50" s="76"/>
      <c r="AN50" s="76" t="s">
        <v>41</v>
      </c>
      <c r="AO50" s="64">
        <f>(AM48+AO47)/1.25</f>
        <v>61.820799999999998</v>
      </c>
      <c r="AP50" s="77" t="s">
        <v>3</v>
      </c>
      <c r="AQ50" s="75"/>
      <c r="AR50" s="76"/>
      <c r="AS50" s="76"/>
      <c r="AT50" s="76" t="s">
        <v>41</v>
      </c>
      <c r="AU50" s="64">
        <f>(AS48+AU47)/1.25</f>
        <v>37.985838933333334</v>
      </c>
      <c r="AV50" s="77" t="s">
        <v>3</v>
      </c>
    </row>
    <row r="51" spans="1:48" ht="15.75" thickBot="1" x14ac:dyDescent="0.3">
      <c r="A51" s="97">
        <v>6.6</v>
      </c>
      <c r="B51" s="98"/>
      <c r="C51" s="109"/>
      <c r="D51" s="101"/>
      <c r="U51" s="81" t="s">
        <v>54</v>
      </c>
      <c r="V51" s="82" t="s">
        <v>41</v>
      </c>
      <c r="W51" s="64">
        <v>52.9</v>
      </c>
      <c r="X51" s="83" t="s">
        <v>3</v>
      </c>
      <c r="AA51" s="81" t="s">
        <v>54</v>
      </c>
      <c r="AB51" s="82" t="s">
        <v>41</v>
      </c>
      <c r="AC51" s="64">
        <v>55.7</v>
      </c>
      <c r="AD51" s="83" t="s">
        <v>3</v>
      </c>
      <c r="AG51" s="81" t="s">
        <v>54</v>
      </c>
      <c r="AH51" s="82" t="s">
        <v>41</v>
      </c>
      <c r="AI51" s="64">
        <v>49.2</v>
      </c>
      <c r="AJ51" s="83" t="s">
        <v>3</v>
      </c>
      <c r="AM51" s="81" t="s">
        <v>54</v>
      </c>
      <c r="AN51" s="82" t="s">
        <v>41</v>
      </c>
      <c r="AO51" s="64">
        <v>75.8</v>
      </c>
      <c r="AP51" s="83" t="s">
        <v>3</v>
      </c>
      <c r="AS51" s="81" t="s">
        <v>54</v>
      </c>
      <c r="AT51" s="82" t="s">
        <v>41</v>
      </c>
      <c r="AU51" s="64">
        <v>70.8</v>
      </c>
      <c r="AV51" s="83" t="s">
        <v>3</v>
      </c>
    </row>
    <row r="52" spans="1:48" x14ac:dyDescent="0.25">
      <c r="A52" s="100">
        <v>6.8</v>
      </c>
      <c r="B52" s="98"/>
      <c r="C52" s="109"/>
      <c r="D52" s="101"/>
    </row>
    <row r="53" spans="1:48" x14ac:dyDescent="0.25">
      <c r="A53" s="97">
        <v>7</v>
      </c>
      <c r="B53" s="98"/>
      <c r="C53" s="109"/>
      <c r="D53" s="101"/>
      <c r="AE53" t="s">
        <v>55</v>
      </c>
    </row>
    <row r="54" spans="1:48" x14ac:dyDescent="0.25">
      <c r="A54" s="100">
        <v>7.2</v>
      </c>
      <c r="B54" s="102"/>
      <c r="C54" s="110"/>
      <c r="D54" s="101"/>
      <c r="T54">
        <f>0.8-(0.8-0.65)/2500*1300</f>
        <v>0.72199999999999998</v>
      </c>
      <c r="AA54">
        <f>0.9-(0.9-0.8)/1500*640</f>
        <v>0.85733333333333339</v>
      </c>
      <c r="AE54" t="s">
        <v>56</v>
      </c>
    </row>
    <row r="55" spans="1:48" x14ac:dyDescent="0.25">
      <c r="A55" s="97">
        <v>7.4</v>
      </c>
      <c r="B55" s="98"/>
      <c r="C55" s="109"/>
      <c r="D55" s="101"/>
      <c r="AA55">
        <f>0.6-(0.6-0.45)/20*12.2</f>
        <v>0.50849999999999995</v>
      </c>
    </row>
    <row r="56" spans="1:48" x14ac:dyDescent="0.25">
      <c r="A56" s="100">
        <v>7.6</v>
      </c>
      <c r="B56" s="98"/>
      <c r="C56" s="109"/>
      <c r="D56" s="101"/>
      <c r="AG56">
        <f>0.9-(0.9-0.8)/1500*577</f>
        <v>0.86153333333333337</v>
      </c>
      <c r="AM56">
        <f>0.8-(0.8-0.65)/2500*1600</f>
        <v>0.70400000000000007</v>
      </c>
      <c r="AS56">
        <f>0.9-(0.9-0.8)/1500*190</f>
        <v>0.88733333333333331</v>
      </c>
    </row>
    <row r="57" spans="1:48" x14ac:dyDescent="0.25">
      <c r="A57" s="97">
        <v>7.8</v>
      </c>
      <c r="B57" s="98"/>
      <c r="C57" s="109"/>
      <c r="D57" s="101"/>
      <c r="AG57">
        <f>0.6-(0.6-0.45)/20*7.7</f>
        <v>0.54225000000000001</v>
      </c>
      <c r="AM57">
        <f>0.4-(0.4-0.3)/20*15</f>
        <v>0.32500000000000001</v>
      </c>
      <c r="AS57">
        <f>0.6-(0.6-0.45)/20*11.7</f>
        <v>0.51224999999999998</v>
      </c>
    </row>
    <row r="58" spans="1:48" x14ac:dyDescent="0.25">
      <c r="A58" s="100">
        <v>8</v>
      </c>
      <c r="B58" s="98"/>
      <c r="C58" s="109"/>
      <c r="D58" s="101"/>
    </row>
    <row r="59" spans="1:48" x14ac:dyDescent="0.25">
      <c r="A59" s="97">
        <v>8.1999999999999993</v>
      </c>
      <c r="B59" s="98"/>
      <c r="C59" s="109"/>
      <c r="D59" s="101"/>
    </row>
    <row r="60" spans="1:48" x14ac:dyDescent="0.25">
      <c r="A60" s="100">
        <v>8.4</v>
      </c>
      <c r="B60" s="98"/>
      <c r="C60" s="109"/>
      <c r="D60" s="101"/>
    </row>
    <row r="61" spans="1:48" x14ac:dyDescent="0.25">
      <c r="A61" s="97">
        <v>8.6</v>
      </c>
      <c r="B61" s="98"/>
      <c r="C61" s="109"/>
      <c r="D61" s="101"/>
    </row>
    <row r="62" spans="1:48" ht="15.75" customHeight="1" x14ac:dyDescent="0.25">
      <c r="A62" s="100">
        <v>8.8000000000000007</v>
      </c>
      <c r="B62" s="98"/>
      <c r="C62" s="109"/>
      <c r="D62" s="101"/>
    </row>
    <row r="63" spans="1:48" ht="15.75" customHeight="1" x14ac:dyDescent="0.25">
      <c r="A63" s="97">
        <v>9</v>
      </c>
      <c r="B63" s="98"/>
      <c r="C63" s="109"/>
      <c r="D63" s="101"/>
    </row>
    <row r="64" spans="1:48" ht="15.75" customHeight="1" x14ac:dyDescent="0.25">
      <c r="A64" s="100">
        <v>9.1999999999999993</v>
      </c>
      <c r="B64" s="98"/>
      <c r="C64" s="109"/>
      <c r="D64" s="101"/>
    </row>
    <row r="65" spans="1:4" x14ac:dyDescent="0.25">
      <c r="A65" s="97">
        <v>9.4</v>
      </c>
      <c r="B65" s="98"/>
      <c r="C65" s="109"/>
      <c r="D65" s="101"/>
    </row>
    <row r="66" spans="1:4" x14ac:dyDescent="0.25">
      <c r="A66" s="100">
        <v>9.6</v>
      </c>
      <c r="B66" s="98"/>
      <c r="C66" s="109"/>
      <c r="D66" s="101"/>
    </row>
    <row r="67" spans="1:4" x14ac:dyDescent="0.25">
      <c r="A67" s="97">
        <v>9.8000000000000007</v>
      </c>
      <c r="B67" s="98"/>
      <c r="C67" s="109"/>
      <c r="D67" s="101"/>
    </row>
    <row r="68" spans="1:4" x14ac:dyDescent="0.25">
      <c r="A68" s="100">
        <v>10</v>
      </c>
      <c r="B68" s="98"/>
      <c r="C68" s="109"/>
      <c r="D68" s="101"/>
    </row>
    <row r="69" spans="1:4" x14ac:dyDescent="0.25">
      <c r="A69" s="97">
        <v>10.199999999999999</v>
      </c>
      <c r="B69" s="98">
        <v>7.9</v>
      </c>
      <c r="C69" s="109"/>
      <c r="D69" s="101"/>
    </row>
    <row r="70" spans="1:4" x14ac:dyDescent="0.25">
      <c r="A70" s="100">
        <v>10.4</v>
      </c>
      <c r="B70" s="98">
        <v>19.399999999999999</v>
      </c>
      <c r="C70" s="109"/>
      <c r="D70" s="101"/>
    </row>
    <row r="71" spans="1:4" x14ac:dyDescent="0.25">
      <c r="A71" s="97" t="s">
        <v>73</v>
      </c>
      <c r="B71" s="98">
        <v>17.7</v>
      </c>
      <c r="C71" s="109"/>
      <c r="D71" s="101"/>
    </row>
    <row r="72" spans="1:4" x14ac:dyDescent="0.25">
      <c r="A72" s="100">
        <v>10.8</v>
      </c>
      <c r="B72" s="98">
        <v>21.2</v>
      </c>
      <c r="C72" s="109"/>
      <c r="D72" s="101"/>
    </row>
    <row r="73" spans="1:4" x14ac:dyDescent="0.25">
      <c r="A73" s="97">
        <v>11</v>
      </c>
      <c r="B73" s="98">
        <v>10.5</v>
      </c>
      <c r="C73" s="109"/>
      <c r="D73" s="101"/>
    </row>
    <row r="74" spans="1:4" x14ac:dyDescent="0.25">
      <c r="A74" s="97">
        <v>11.2</v>
      </c>
      <c r="B74" s="98">
        <v>10.6</v>
      </c>
      <c r="C74" s="109"/>
      <c r="D74" s="101"/>
    </row>
    <row r="75" spans="1:4" ht="17.25" customHeight="1" x14ac:dyDescent="0.25">
      <c r="A75" s="97">
        <v>11.4</v>
      </c>
      <c r="B75" s="98">
        <v>9.1</v>
      </c>
      <c r="C75" s="109"/>
      <c r="D75" s="101"/>
    </row>
    <row r="76" spans="1:4" ht="15.75" customHeight="1" x14ac:dyDescent="0.25">
      <c r="A76" s="97">
        <v>11.6</v>
      </c>
      <c r="B76" s="98">
        <v>10.199999999999999</v>
      </c>
      <c r="C76" s="109"/>
      <c r="D76" s="101"/>
    </row>
    <row r="77" spans="1:4" ht="16.5" customHeight="1" x14ac:dyDescent="0.25">
      <c r="A77" s="97">
        <v>11.8</v>
      </c>
      <c r="B77" s="98">
        <v>11.2</v>
      </c>
      <c r="C77" s="109"/>
      <c r="D77" s="101"/>
    </row>
    <row r="78" spans="1:4" ht="17.25" customHeight="1" x14ac:dyDescent="0.25">
      <c r="A78" s="97">
        <v>12</v>
      </c>
      <c r="B78" s="98"/>
      <c r="C78" s="109"/>
      <c r="D78" s="101"/>
    </row>
  </sheetData>
  <mergeCells count="8">
    <mergeCell ref="H1:I2"/>
    <mergeCell ref="A16:D16"/>
    <mergeCell ref="A1:A3"/>
    <mergeCell ref="B1:D1"/>
    <mergeCell ref="E1:E3"/>
    <mergeCell ref="F1:G2"/>
    <mergeCell ref="B2:B3"/>
    <mergeCell ref="C2:D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7"/>
  <sheetViews>
    <sheetView workbookViewId="0">
      <selection activeCell="B28" sqref="B28"/>
    </sheetView>
  </sheetViews>
  <sheetFormatPr defaultRowHeight="15" x14ac:dyDescent="0.25"/>
  <cols>
    <col min="2" max="2" width="7.42578125" customWidth="1"/>
    <col min="4" max="4" width="7" customWidth="1"/>
    <col min="5" max="5" width="10.28515625" customWidth="1"/>
    <col min="6" max="6" width="10.42578125" customWidth="1"/>
    <col min="7" max="7" width="10.28515625" customWidth="1"/>
    <col min="8" max="8" width="7.42578125" customWidth="1"/>
    <col min="9" max="9" width="10.28515625" customWidth="1"/>
    <col min="10" max="10" width="6.5703125" customWidth="1"/>
    <col min="11" max="11" width="10" customWidth="1"/>
    <col min="12" max="12" width="15.42578125" customWidth="1"/>
    <col min="13" max="15" width="11.42578125" customWidth="1"/>
    <col min="16" max="16" width="11" customWidth="1"/>
    <col min="17" max="17" width="7.85546875" customWidth="1"/>
    <col min="18" max="18" width="8.5703125" customWidth="1"/>
    <col min="19" max="19" width="7.42578125" customWidth="1"/>
    <col min="20" max="20" width="9.85546875" customWidth="1"/>
  </cols>
  <sheetData>
    <row r="2" spans="2:23" ht="15.75" thickBot="1" x14ac:dyDescent="0.3">
      <c r="P2" s="120" t="s">
        <v>5</v>
      </c>
      <c r="Q2" s="121"/>
      <c r="R2" s="122"/>
    </row>
    <row r="3" spans="2:23" x14ac:dyDescent="0.25">
      <c r="B3" s="34" t="s">
        <v>0</v>
      </c>
      <c r="C3" s="35" t="s">
        <v>6</v>
      </c>
      <c r="D3" s="36" t="s">
        <v>1</v>
      </c>
      <c r="E3" s="37" t="s">
        <v>11</v>
      </c>
      <c r="F3" s="36" t="s">
        <v>14</v>
      </c>
      <c r="G3" s="37" t="s">
        <v>28</v>
      </c>
      <c r="H3" s="36" t="s">
        <v>15</v>
      </c>
      <c r="I3" s="37" t="s">
        <v>12</v>
      </c>
      <c r="J3" s="36" t="s">
        <v>19</v>
      </c>
      <c r="K3" s="38" t="s">
        <v>25</v>
      </c>
      <c r="L3" s="36" t="s">
        <v>23</v>
      </c>
      <c r="M3" s="39" t="s">
        <v>4</v>
      </c>
      <c r="N3" s="26"/>
      <c r="O3" s="26"/>
      <c r="P3" s="11" t="s">
        <v>21</v>
      </c>
      <c r="Q3" s="11" t="s">
        <v>19</v>
      </c>
      <c r="R3" s="12" t="s">
        <v>18</v>
      </c>
      <c r="S3" t="s">
        <v>16</v>
      </c>
      <c r="T3" t="s">
        <v>4</v>
      </c>
      <c r="W3" t="s">
        <v>20</v>
      </c>
    </row>
    <row r="4" spans="2:23" ht="15.75" thickBot="1" x14ac:dyDescent="0.3">
      <c r="B4" s="40"/>
      <c r="C4" s="41" t="s">
        <v>8</v>
      </c>
      <c r="D4" s="42" t="s">
        <v>2</v>
      </c>
      <c r="E4" s="41" t="s">
        <v>9</v>
      </c>
      <c r="F4" s="42" t="s">
        <v>10</v>
      </c>
      <c r="G4" s="41" t="s">
        <v>2</v>
      </c>
      <c r="H4" s="42" t="s">
        <v>3</v>
      </c>
      <c r="I4" s="41" t="s">
        <v>2</v>
      </c>
      <c r="J4" s="42" t="s">
        <v>17</v>
      </c>
      <c r="K4" s="41" t="s">
        <v>3</v>
      </c>
      <c r="L4" s="42" t="s">
        <v>3</v>
      </c>
      <c r="M4" s="43" t="s">
        <v>3</v>
      </c>
      <c r="N4" s="13"/>
      <c r="O4" s="13"/>
      <c r="P4" s="13" t="s">
        <v>2</v>
      </c>
      <c r="Q4" s="13" t="s">
        <v>17</v>
      </c>
      <c r="R4" s="14" t="s">
        <v>3</v>
      </c>
      <c r="S4" t="s">
        <v>3</v>
      </c>
      <c r="T4" t="s">
        <v>3</v>
      </c>
    </row>
    <row r="5" spans="2:23" x14ac:dyDescent="0.25">
      <c r="B5" s="44">
        <v>3</v>
      </c>
      <c r="C5" s="32" t="s">
        <v>7</v>
      </c>
      <c r="D5" s="32">
        <v>5</v>
      </c>
      <c r="E5" s="32">
        <v>129.19999999999999</v>
      </c>
      <c r="F5" s="32">
        <v>124.5</v>
      </c>
      <c r="G5" s="32">
        <f>E5-F5</f>
        <v>4.6999999999999886</v>
      </c>
      <c r="H5" s="32">
        <f>(75+75.6)/2</f>
        <v>75.3</v>
      </c>
      <c r="I5" s="32">
        <v>0.5</v>
      </c>
      <c r="J5" s="32">
        <f>(0+116+161+190)/4</f>
        <v>116.75</v>
      </c>
      <c r="K5" s="33">
        <f>0.3*4*I5*J5/10</f>
        <v>7.0049999999999999</v>
      </c>
      <c r="L5" s="50">
        <f>H5-K5</f>
        <v>68.295000000000002</v>
      </c>
      <c r="M5" s="54">
        <f>L5/1.25</f>
        <v>54.636000000000003</v>
      </c>
      <c r="N5" s="1"/>
      <c r="O5" s="1"/>
      <c r="P5" s="15" t="s">
        <v>13</v>
      </c>
      <c r="Q5" s="16"/>
      <c r="R5" s="17"/>
      <c r="S5" s="4">
        <f>H5</f>
        <v>75.3</v>
      </c>
      <c r="T5" s="5">
        <f>S5/1.25</f>
        <v>60.239999999999995</v>
      </c>
      <c r="U5" s="6"/>
      <c r="W5">
        <f>H5/1.25</f>
        <v>60.239999999999995</v>
      </c>
    </row>
    <row r="6" spans="2:23" x14ac:dyDescent="0.25">
      <c r="B6" s="45"/>
      <c r="C6" s="28" t="s">
        <v>7</v>
      </c>
      <c r="D6" s="28">
        <v>9</v>
      </c>
      <c r="E6" s="28">
        <v>129.19999999999999</v>
      </c>
      <c r="F6" s="28">
        <v>120.5</v>
      </c>
      <c r="G6" s="28">
        <f>E6-F6</f>
        <v>8.6999999999999886</v>
      </c>
      <c r="H6" s="28">
        <f>(111.1+115.1)/2</f>
        <v>113.1</v>
      </c>
      <c r="I6" s="28">
        <v>0.5</v>
      </c>
      <c r="J6" s="28">
        <f>(0+116+161+190)/4</f>
        <v>116.75</v>
      </c>
      <c r="K6" s="29">
        <f>0.3*4*I6*J6/10</f>
        <v>7.0049999999999999</v>
      </c>
      <c r="L6" s="51">
        <f>H6-K6</f>
        <v>106.095</v>
      </c>
      <c r="M6" s="55">
        <f>L6/1.25</f>
        <v>84.876000000000005</v>
      </c>
      <c r="N6" s="1"/>
      <c r="O6" s="1"/>
      <c r="P6" s="15"/>
      <c r="Q6" s="16"/>
      <c r="R6" s="17"/>
      <c r="S6" s="4">
        <f>H6</f>
        <v>113.1</v>
      </c>
      <c r="T6" s="5">
        <f>S6/1.25</f>
        <v>90.47999999999999</v>
      </c>
      <c r="U6" s="6"/>
      <c r="W6">
        <f t="shared" ref="W6:W15" si="0">H6/1.25</f>
        <v>90.47999999999999</v>
      </c>
    </row>
    <row r="7" spans="2:23" s="3" customFormat="1" x14ac:dyDescent="0.25">
      <c r="B7" s="46">
        <v>4</v>
      </c>
      <c r="C7" s="30" t="s">
        <v>7</v>
      </c>
      <c r="D7" s="30"/>
      <c r="E7" s="30">
        <v>129.1</v>
      </c>
      <c r="F7" s="30">
        <v>120.5</v>
      </c>
      <c r="G7" s="30"/>
      <c r="H7" s="30"/>
      <c r="I7" s="30"/>
      <c r="J7" s="30"/>
      <c r="K7" s="31"/>
      <c r="L7" s="52"/>
      <c r="M7" s="56"/>
      <c r="N7" s="2"/>
      <c r="O7" s="2"/>
      <c r="P7" s="18"/>
      <c r="Q7" s="19"/>
      <c r="R7" s="20"/>
      <c r="S7" s="7"/>
      <c r="T7" s="8"/>
      <c r="U7" s="9"/>
      <c r="W7" s="3">
        <f t="shared" si="0"/>
        <v>0</v>
      </c>
    </row>
    <row r="8" spans="2:23" x14ac:dyDescent="0.25">
      <c r="B8" s="45">
        <v>5</v>
      </c>
      <c r="C8" s="28" t="s">
        <v>7</v>
      </c>
      <c r="D8" s="28">
        <v>9</v>
      </c>
      <c r="E8" s="28">
        <v>129.22</v>
      </c>
      <c r="F8" s="28">
        <v>120.5</v>
      </c>
      <c r="G8" s="28">
        <f>E8-F8</f>
        <v>8.7199999999999989</v>
      </c>
      <c r="H8" s="28">
        <f>(107.7+110.6)/2</f>
        <v>109.15</v>
      </c>
      <c r="I8" s="28">
        <v>0.52</v>
      </c>
      <c r="J8" s="28">
        <f>(0+0+0+9)/4</f>
        <v>2.25</v>
      </c>
      <c r="K8" s="29">
        <f t="shared" ref="K8:K17" si="1">0.3*4*I8*J8/10</f>
        <v>0.1404</v>
      </c>
      <c r="L8" s="51">
        <f t="shared" ref="L8:L17" si="2">H8-K8</f>
        <v>109.00960000000001</v>
      </c>
      <c r="M8" s="55">
        <f t="shared" ref="M8:M17" si="3">L8/1.25</f>
        <v>87.207680000000011</v>
      </c>
      <c r="N8" s="1"/>
      <c r="O8" s="1"/>
      <c r="P8" s="15">
        <v>1.5</v>
      </c>
      <c r="Q8" s="16">
        <f>(9+139+127+46+40+18+30)/9</f>
        <v>45.444444444444443</v>
      </c>
      <c r="R8" s="21">
        <f>0.3*4*Q8/10*P8</f>
        <v>8.18</v>
      </c>
      <c r="S8" s="4">
        <f>H8-R8*2</f>
        <v>92.79</v>
      </c>
      <c r="T8" s="5">
        <f>S8/1.25</f>
        <v>74.231999999999999</v>
      </c>
      <c r="U8" s="6"/>
      <c r="W8">
        <f t="shared" si="0"/>
        <v>87.320000000000007</v>
      </c>
    </row>
    <row r="9" spans="2:23" s="3" customFormat="1" x14ac:dyDescent="0.25">
      <c r="B9" s="46">
        <v>6</v>
      </c>
      <c r="C9" s="30" t="s">
        <v>7</v>
      </c>
      <c r="D9" s="30">
        <v>5</v>
      </c>
      <c r="E9" s="30">
        <v>129.30000000000001</v>
      </c>
      <c r="F9" s="30">
        <v>120.5</v>
      </c>
      <c r="G9" s="30"/>
      <c r="H9" s="30"/>
      <c r="I9" s="30"/>
      <c r="J9" s="30"/>
      <c r="K9" s="31"/>
      <c r="L9" s="52"/>
      <c r="M9" s="56"/>
      <c r="N9" s="2"/>
      <c r="O9" s="2"/>
      <c r="P9" s="18"/>
      <c r="Q9" s="19"/>
      <c r="R9" s="22"/>
      <c r="S9" s="7"/>
      <c r="T9" s="8"/>
      <c r="U9" s="9"/>
      <c r="W9" s="3">
        <f t="shared" si="0"/>
        <v>0</v>
      </c>
    </row>
    <row r="10" spans="2:23" s="3" customFormat="1" x14ac:dyDescent="0.25">
      <c r="B10" s="46"/>
      <c r="C10" s="30" t="s">
        <v>7</v>
      </c>
      <c r="D10" s="30">
        <v>9</v>
      </c>
      <c r="E10" s="30"/>
      <c r="F10" s="30"/>
      <c r="G10" s="30"/>
      <c r="H10" s="30"/>
      <c r="I10" s="30"/>
      <c r="J10" s="30"/>
      <c r="K10" s="31"/>
      <c r="L10" s="52"/>
      <c r="M10" s="56"/>
      <c r="N10" s="2"/>
      <c r="O10" s="2"/>
      <c r="P10" s="18"/>
      <c r="Q10" s="19"/>
      <c r="R10" s="22"/>
      <c r="S10" s="7"/>
      <c r="T10" s="8"/>
      <c r="U10" s="9"/>
      <c r="W10" s="3">
        <f t="shared" si="0"/>
        <v>0</v>
      </c>
    </row>
    <row r="11" spans="2:23" x14ac:dyDescent="0.25">
      <c r="B11" s="45">
        <v>7</v>
      </c>
      <c r="C11" s="28" t="s">
        <v>7</v>
      </c>
      <c r="D11" s="28">
        <v>5</v>
      </c>
      <c r="E11" s="28">
        <v>129.4</v>
      </c>
      <c r="F11" s="28">
        <v>124.5</v>
      </c>
      <c r="G11" s="28">
        <f t="shared" ref="G11:G17" si="4">E11-F11</f>
        <v>4.9000000000000057</v>
      </c>
      <c r="H11" s="28">
        <f>(72.2+72.4)/2</f>
        <v>72.300000000000011</v>
      </c>
      <c r="I11" s="28">
        <v>0.7</v>
      </c>
      <c r="J11" s="28">
        <f>(0+32+134+160+234)/5</f>
        <v>112</v>
      </c>
      <c r="K11" s="29">
        <f t="shared" si="1"/>
        <v>9.4079999999999995</v>
      </c>
      <c r="L11" s="51">
        <f t="shared" si="2"/>
        <v>62.89200000000001</v>
      </c>
      <c r="M11" s="58">
        <f t="shared" si="3"/>
        <v>50.313600000000008</v>
      </c>
      <c r="N11" s="1"/>
      <c r="O11" s="1"/>
      <c r="P11" s="15">
        <v>2.1</v>
      </c>
      <c r="Q11" s="16">
        <f>(160+234+138+94+56+138+56+55+54)/9</f>
        <v>109.44444444444444</v>
      </c>
      <c r="R11" s="21">
        <f>0.3*4*Q11/10*P11</f>
        <v>27.579999999999995</v>
      </c>
      <c r="S11" s="4">
        <f>H11-R11*2</f>
        <v>17.140000000000022</v>
      </c>
      <c r="T11" s="5">
        <f>S11/1.25</f>
        <v>13.712000000000018</v>
      </c>
      <c r="U11" s="6"/>
      <c r="W11">
        <f t="shared" si="0"/>
        <v>57.840000000000011</v>
      </c>
    </row>
    <row r="12" spans="2:23" x14ac:dyDescent="0.25">
      <c r="B12" s="45"/>
      <c r="C12" s="28" t="s">
        <v>7</v>
      </c>
      <c r="D12" s="28">
        <v>9</v>
      </c>
      <c r="E12" s="28">
        <v>129.4</v>
      </c>
      <c r="F12" s="28">
        <v>120.4</v>
      </c>
      <c r="G12" s="28">
        <f t="shared" si="4"/>
        <v>9</v>
      </c>
      <c r="H12" s="28">
        <v>111.2</v>
      </c>
      <c r="I12" s="28">
        <v>0.7</v>
      </c>
      <c r="J12" s="28">
        <f>(0+32+134+160+234)/5</f>
        <v>112</v>
      </c>
      <c r="K12" s="29">
        <f t="shared" si="1"/>
        <v>9.4079999999999995</v>
      </c>
      <c r="L12" s="51">
        <f t="shared" si="2"/>
        <v>101.792</v>
      </c>
      <c r="M12" s="55">
        <f t="shared" si="3"/>
        <v>81.433599999999998</v>
      </c>
      <c r="N12" s="1"/>
      <c r="O12" s="1"/>
      <c r="P12" s="15">
        <v>2.1</v>
      </c>
      <c r="Q12" s="16">
        <f>(160+234+138+94+56+138+56+55+54)/9</f>
        <v>109.44444444444444</v>
      </c>
      <c r="R12" s="21">
        <f t="shared" ref="R12" si="5">0.3*4*Q12/10*P12</f>
        <v>27.579999999999995</v>
      </c>
      <c r="S12" s="4">
        <f t="shared" ref="S12:S17" si="6">H12-R12*2</f>
        <v>56.040000000000013</v>
      </c>
      <c r="T12" s="5">
        <f>S12/1.25</f>
        <v>44.832000000000008</v>
      </c>
      <c r="U12" s="6"/>
      <c r="W12">
        <f t="shared" si="0"/>
        <v>88.960000000000008</v>
      </c>
    </row>
    <row r="13" spans="2:23" x14ac:dyDescent="0.25">
      <c r="B13" s="45">
        <v>8</v>
      </c>
      <c r="C13" s="28" t="s">
        <v>7</v>
      </c>
      <c r="D13" s="28">
        <v>9</v>
      </c>
      <c r="E13" s="28">
        <v>129.4</v>
      </c>
      <c r="F13" s="28">
        <v>120.5</v>
      </c>
      <c r="G13" s="28">
        <f t="shared" si="4"/>
        <v>8.9000000000000057</v>
      </c>
      <c r="H13" s="28">
        <f>(102.9+104.9)/2</f>
        <v>103.9</v>
      </c>
      <c r="I13" s="28">
        <v>0.7</v>
      </c>
      <c r="J13" s="28">
        <f>(0+58+38+51)/4</f>
        <v>36.75</v>
      </c>
      <c r="K13" s="29">
        <f t="shared" si="1"/>
        <v>3.0869999999999997</v>
      </c>
      <c r="L13" s="51">
        <f t="shared" si="2"/>
        <v>100.813</v>
      </c>
      <c r="M13" s="58">
        <f t="shared" si="3"/>
        <v>80.650400000000005</v>
      </c>
      <c r="N13" s="1"/>
      <c r="O13" s="1"/>
      <c r="P13" s="15">
        <v>1.8</v>
      </c>
      <c r="Q13" s="16">
        <f>(38+51+39+62+45+41+41)/7</f>
        <v>45.285714285714285</v>
      </c>
      <c r="R13" s="21">
        <f t="shared" ref="R13" si="7">0.3*4*Q13/10*P13</f>
        <v>9.7817142857142851</v>
      </c>
      <c r="S13" s="4">
        <f t="shared" si="6"/>
        <v>84.336571428571432</v>
      </c>
      <c r="T13" s="5">
        <f>S13/1.25</f>
        <v>67.469257142857145</v>
      </c>
      <c r="U13" s="6"/>
      <c r="W13">
        <f t="shared" si="0"/>
        <v>83.12</v>
      </c>
    </row>
    <row r="14" spans="2:23" x14ac:dyDescent="0.25">
      <c r="B14" s="45"/>
      <c r="C14" s="28" t="s">
        <v>7</v>
      </c>
      <c r="D14" s="28">
        <v>10</v>
      </c>
      <c r="E14" s="28">
        <v>129.4</v>
      </c>
      <c r="F14" s="28">
        <v>119.5</v>
      </c>
      <c r="G14" s="28">
        <f t="shared" si="4"/>
        <v>9.9000000000000057</v>
      </c>
      <c r="H14" s="28">
        <f>(114.1+116.4)/2</f>
        <v>115.25</v>
      </c>
      <c r="I14" s="28">
        <v>0.7</v>
      </c>
      <c r="J14" s="28">
        <f>(0+58+38+51)/4</f>
        <v>36.75</v>
      </c>
      <c r="K14" s="29">
        <f t="shared" si="1"/>
        <v>3.0869999999999997</v>
      </c>
      <c r="L14" s="51">
        <f t="shared" si="2"/>
        <v>112.163</v>
      </c>
      <c r="M14" s="55">
        <f t="shared" si="3"/>
        <v>89.730400000000003</v>
      </c>
      <c r="N14" s="1"/>
      <c r="O14" s="1"/>
      <c r="P14" s="15"/>
      <c r="Q14" s="16"/>
      <c r="R14" s="21"/>
      <c r="S14" s="4"/>
      <c r="T14" s="5"/>
      <c r="U14" s="6"/>
    </row>
    <row r="15" spans="2:23" x14ac:dyDescent="0.25">
      <c r="B15" s="45">
        <v>9</v>
      </c>
      <c r="C15" s="28" t="s">
        <v>7</v>
      </c>
      <c r="D15" s="28">
        <v>9</v>
      </c>
      <c r="E15" s="28">
        <v>129.1</v>
      </c>
      <c r="F15" s="28">
        <v>120.5</v>
      </c>
      <c r="G15" s="28">
        <f t="shared" si="4"/>
        <v>8.5999999999999943</v>
      </c>
      <c r="H15" s="28">
        <v>106.4</v>
      </c>
      <c r="I15" s="28">
        <v>0.4</v>
      </c>
      <c r="J15" s="28">
        <f>(0+7+107)/3</f>
        <v>38</v>
      </c>
      <c r="K15" s="29">
        <f t="shared" si="1"/>
        <v>1.8239999999999998</v>
      </c>
      <c r="L15" s="51">
        <f t="shared" si="2"/>
        <v>104.57600000000001</v>
      </c>
      <c r="M15" s="55">
        <f t="shared" si="3"/>
        <v>83.660800000000009</v>
      </c>
      <c r="N15" s="1"/>
      <c r="O15" s="1"/>
      <c r="P15" s="15">
        <v>1.6</v>
      </c>
      <c r="Q15" s="16">
        <f>(107+173+214+208+66+49+20+34+100)/9</f>
        <v>107.88888888888889</v>
      </c>
      <c r="R15" s="21">
        <f t="shared" ref="R15" si="8">0.3*4*Q15/10*P15</f>
        <v>20.71466666666667</v>
      </c>
      <c r="S15" s="4">
        <f t="shared" si="6"/>
        <v>64.970666666666659</v>
      </c>
      <c r="T15" s="5">
        <f>S15/1.25</f>
        <v>51.976533333333329</v>
      </c>
      <c r="U15" s="6"/>
      <c r="W15">
        <f t="shared" si="0"/>
        <v>85.12</v>
      </c>
    </row>
    <row r="16" spans="2:23" x14ac:dyDescent="0.25">
      <c r="B16" s="45">
        <v>10</v>
      </c>
      <c r="C16" s="28" t="s">
        <v>7</v>
      </c>
      <c r="D16" s="28">
        <v>5</v>
      </c>
      <c r="E16" s="28">
        <v>129.30000000000001</v>
      </c>
      <c r="F16" s="28">
        <v>124.5</v>
      </c>
      <c r="G16" s="28">
        <f t="shared" si="4"/>
        <v>4.8000000000000114</v>
      </c>
      <c r="H16" s="28">
        <v>75.099999999999994</v>
      </c>
      <c r="I16" s="28">
        <v>0.6</v>
      </c>
      <c r="J16" s="28">
        <f>(0+40+43)/3</f>
        <v>27.666666666666668</v>
      </c>
      <c r="K16" s="29">
        <f t="shared" si="1"/>
        <v>1.9920000000000002</v>
      </c>
      <c r="L16" s="51">
        <f t="shared" si="2"/>
        <v>73.10799999999999</v>
      </c>
      <c r="M16" s="55">
        <f t="shared" si="3"/>
        <v>58.486399999999989</v>
      </c>
      <c r="N16" s="1"/>
      <c r="O16" s="1"/>
      <c r="P16" s="15" t="s">
        <v>13</v>
      </c>
      <c r="Q16" s="16"/>
      <c r="R16" s="17"/>
      <c r="S16" s="4">
        <f t="shared" si="6"/>
        <v>75.099999999999994</v>
      </c>
      <c r="T16" s="5">
        <f>S16/1.25</f>
        <v>60.08</v>
      </c>
      <c r="U16" s="6"/>
      <c r="W16">
        <f>H16/1.25</f>
        <v>60.08</v>
      </c>
    </row>
    <row r="17" spans="2:23" ht="15.75" thickBot="1" x14ac:dyDescent="0.3">
      <c r="B17" s="47"/>
      <c r="C17" s="48" t="s">
        <v>7</v>
      </c>
      <c r="D17" s="48">
        <v>9</v>
      </c>
      <c r="E17" s="48">
        <v>129.30000000000001</v>
      </c>
      <c r="F17" s="48">
        <v>120.5</v>
      </c>
      <c r="G17" s="48">
        <f t="shared" si="4"/>
        <v>8.8000000000000114</v>
      </c>
      <c r="H17" s="48">
        <v>113.7</v>
      </c>
      <c r="I17" s="48">
        <v>0.6</v>
      </c>
      <c r="J17" s="48">
        <f>(0+40+43)/3</f>
        <v>27.666666666666668</v>
      </c>
      <c r="K17" s="49">
        <f t="shared" si="1"/>
        <v>1.9920000000000002</v>
      </c>
      <c r="L17" s="53">
        <f t="shared" si="2"/>
        <v>111.708</v>
      </c>
      <c r="M17" s="57">
        <f t="shared" si="3"/>
        <v>89.366399999999999</v>
      </c>
      <c r="N17" s="1"/>
      <c r="O17" s="1"/>
      <c r="P17" s="23" t="s">
        <v>13</v>
      </c>
      <c r="Q17" s="24"/>
      <c r="R17" s="25"/>
      <c r="S17" s="4">
        <f t="shared" si="6"/>
        <v>113.7</v>
      </c>
      <c r="T17" s="5">
        <f>S17/1.25</f>
        <v>90.960000000000008</v>
      </c>
      <c r="U17" s="6"/>
      <c r="W17">
        <f>H17/1.25</f>
        <v>90.960000000000008</v>
      </c>
    </row>
    <row r="18" spans="2:23" x14ac:dyDescent="0.25">
      <c r="Q18" s="6"/>
      <c r="R18" s="6"/>
      <c r="S18" s="6"/>
      <c r="T18" s="10"/>
      <c r="U18" s="6"/>
    </row>
    <row r="19" spans="2:23" x14ac:dyDescent="0.25">
      <c r="B19" t="s">
        <v>24</v>
      </c>
    </row>
    <row r="20" spans="2:23" x14ac:dyDescent="0.25">
      <c r="B20" t="s">
        <v>26</v>
      </c>
    </row>
    <row r="21" spans="2:23" x14ac:dyDescent="0.25">
      <c r="B21" t="s">
        <v>22</v>
      </c>
    </row>
    <row r="23" spans="2:23" x14ac:dyDescent="0.25">
      <c r="B23" s="13" t="s">
        <v>27</v>
      </c>
    </row>
    <row r="24" spans="2:23" x14ac:dyDescent="0.25">
      <c r="B24" s="59" t="s">
        <v>29</v>
      </c>
    </row>
    <row r="25" spans="2:23" x14ac:dyDescent="0.25">
      <c r="B25" t="s">
        <v>30</v>
      </c>
    </row>
    <row r="26" spans="2:23" x14ac:dyDescent="0.25">
      <c r="B26" t="s">
        <v>31</v>
      </c>
    </row>
    <row r="27" spans="2:23" x14ac:dyDescent="0.25">
      <c r="B27" t="s">
        <v>32</v>
      </c>
    </row>
  </sheetData>
  <mergeCells count="1">
    <mergeCell ref="P2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 отриц. трением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2022-02-09T13:52:28Z</dcterms:created>
  <dcterms:modified xsi:type="dcterms:W3CDTF">2022-07-05T06:34:21Z</dcterms:modified>
</cp:coreProperties>
</file>