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00" windowHeight="11760" activeTab="1"/>
  </bookViews>
  <sheets>
    <sheet name="смр" sheetId="1" r:id="rId1"/>
    <sheet name="Лист1" sheetId="2" r:id="rId2"/>
  </sheets>
  <externalReferences>
    <externalReference r:id="rId3"/>
  </externalReferences>
  <definedNames>
    <definedName name="__xlnm_Print_Area">смр!$A$1:$J$66</definedName>
    <definedName name="_xlnm._FilterDatabase" localSheetId="0" hidden="1">смр!#REF!</definedName>
    <definedName name="Excel_BuiltIn_Print_Area_1">смр!$A$1:$J$66</definedName>
    <definedName name="Excel_BuiltIn_Print_Area_1_1">смр!$A$1:$J$66</definedName>
    <definedName name="Excel_BuiltIn_Print_Area_1_1_1">смр!$A$1:$J$66</definedName>
    <definedName name="Excel_BuiltIn_Print_Area_1_1_1_1">смр!$A$1:$J$66</definedName>
    <definedName name="Excel_BuiltIn_Print_Area_1_1_1_1_1">смр!$A$1:$J$66</definedName>
    <definedName name="Excel_BuiltIn_Print_Area_1_1_1_1_1_1">смр!$A$1:$J$66</definedName>
    <definedName name="Excel_BuiltIn_Print_Area_1_1_1_1_1_1_1">смр!$A$1:$J$66</definedName>
    <definedName name="_xlnm.Print_Area" localSheetId="0">смр!$A$1:$J$66</definedName>
    <definedName name="рогшпр_тгшр">[1]Смета!#REF!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  <c r="I6"/>
  <c r="H118" i="2"/>
  <c r="F118"/>
  <c r="H117"/>
  <c r="F117"/>
  <c r="H116"/>
  <c r="F116"/>
  <c r="F115"/>
  <c r="F114"/>
  <c r="E113"/>
  <c r="F113" s="1"/>
  <c r="F112"/>
  <c r="H111"/>
  <c r="F111"/>
  <c r="H110"/>
  <c r="F110"/>
  <c r="G109"/>
  <c r="H109" s="1"/>
  <c r="E109"/>
  <c r="F109" s="1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E83"/>
  <c r="F83" s="1"/>
  <c r="H82"/>
  <c r="F82"/>
  <c r="H81"/>
  <c r="F81"/>
  <c r="H80"/>
  <c r="F80"/>
  <c r="G79"/>
  <c r="H79" s="1"/>
  <c r="G78"/>
  <c r="H78" s="1"/>
  <c r="G77"/>
  <c r="H77" s="1"/>
  <c r="E77"/>
  <c r="F77" s="1"/>
  <c r="G76"/>
  <c r="H76" s="1"/>
  <c r="G75"/>
  <c r="H75" s="1"/>
  <c r="E75"/>
  <c r="F75" s="1"/>
  <c r="H74"/>
  <c r="F74"/>
  <c r="H73"/>
  <c r="F73"/>
  <c r="H72"/>
  <c r="F72"/>
  <c r="H71"/>
  <c r="F71"/>
  <c r="H70"/>
  <c r="F70"/>
  <c r="G69"/>
  <c r="H69" s="1"/>
  <c r="E69"/>
  <c r="F69" s="1"/>
  <c r="H68"/>
  <c r="G68"/>
  <c r="E68"/>
  <c r="F68" s="1"/>
  <c r="G67"/>
  <c r="H67" s="1"/>
  <c r="F67"/>
  <c r="E67"/>
  <c r="G66"/>
  <c r="H66" s="1"/>
  <c r="E66"/>
  <c r="F66" s="1"/>
  <c r="H65"/>
  <c r="F65"/>
  <c r="H64"/>
  <c r="F64"/>
  <c r="H63"/>
  <c r="F63"/>
  <c r="H62"/>
  <c r="F62"/>
  <c r="G61"/>
  <c r="H61" s="1"/>
  <c r="E61"/>
  <c r="F61" s="1"/>
  <c r="H60"/>
  <c r="E60"/>
  <c r="F60" s="1"/>
  <c r="G59"/>
  <c r="H59" s="1"/>
  <c r="E59"/>
  <c r="F59" s="1"/>
  <c r="G58"/>
  <c r="H58" s="1"/>
  <c r="E58"/>
  <c r="F58" s="1"/>
  <c r="G57"/>
  <c r="H57" s="1"/>
  <c r="E57"/>
  <c r="F57" s="1"/>
  <c r="G56"/>
  <c r="H56" s="1"/>
  <c r="E56"/>
  <c r="F56" s="1"/>
  <c r="G55"/>
  <c r="H55" s="1"/>
  <c r="E55"/>
  <c r="F55" s="1"/>
  <c r="G54"/>
  <c r="H54" s="1"/>
  <c r="E54"/>
  <c r="F54" s="1"/>
  <c r="G53"/>
  <c r="H53" s="1"/>
  <c r="E53"/>
  <c r="G52"/>
  <c r="H52" s="1"/>
  <c r="E52"/>
  <c r="G51"/>
  <c r="H51" s="1"/>
  <c r="E51"/>
  <c r="G50"/>
  <c r="H50" s="1"/>
  <c r="E50"/>
  <c r="G49"/>
  <c r="H49" s="1"/>
  <c r="E49"/>
  <c r="G48"/>
  <c r="H48" s="1"/>
  <c r="E48"/>
  <c r="G47"/>
  <c r="H47" s="1"/>
  <c r="E47"/>
  <c r="G46"/>
  <c r="H46" s="1"/>
  <c r="E46"/>
  <c r="G45"/>
  <c r="H45" s="1"/>
  <c r="E45"/>
  <c r="F45" s="1"/>
  <c r="G44"/>
  <c r="H44" s="1"/>
  <c r="E44"/>
  <c r="F44" s="1"/>
  <c r="H43"/>
  <c r="E43"/>
  <c r="F43" s="1"/>
  <c r="H42"/>
  <c r="E42"/>
  <c r="F42" s="1"/>
  <c r="H41"/>
  <c r="E41"/>
  <c r="F41" s="1"/>
  <c r="H40"/>
  <c r="E40"/>
  <c r="F40" s="1"/>
  <c r="H39"/>
  <c r="E39"/>
  <c r="F39" s="1"/>
  <c r="H38"/>
  <c r="F38"/>
  <c r="H37"/>
  <c r="F37"/>
  <c r="H36"/>
  <c r="F36"/>
  <c r="G35"/>
  <c r="H35" s="1"/>
  <c r="G34"/>
  <c r="H34" s="1"/>
  <c r="G33"/>
  <c r="H33" s="1"/>
  <c r="E33"/>
  <c r="F33" s="1"/>
  <c r="H32"/>
  <c r="G32"/>
  <c r="G31"/>
  <c r="H31" s="1"/>
  <c r="E31"/>
  <c r="F31" s="1"/>
  <c r="H30"/>
  <c r="G30"/>
  <c r="E30"/>
  <c r="F30" s="1"/>
  <c r="G29"/>
  <c r="H29" s="1"/>
  <c r="E29"/>
  <c r="G28"/>
  <c r="H28" s="1"/>
  <c r="E28"/>
  <c r="F28" s="1"/>
  <c r="G27"/>
  <c r="H27" s="1"/>
  <c r="E27"/>
  <c r="F27" s="1"/>
  <c r="G26"/>
  <c r="H26" s="1"/>
  <c r="E26"/>
  <c r="F26" s="1"/>
  <c r="G25"/>
  <c r="H25" s="1"/>
  <c r="E25"/>
  <c r="G24"/>
  <c r="H24" s="1"/>
  <c r="E24"/>
  <c r="F24" s="1"/>
  <c r="H23"/>
  <c r="F23"/>
  <c r="G22"/>
  <c r="H22" s="1"/>
  <c r="F22"/>
  <c r="H21"/>
  <c r="F21"/>
  <c r="F20"/>
  <c r="F19"/>
  <c r="F18"/>
  <c r="E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B20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118" s="1"/>
  <c r="I64" i="1" l="1"/>
  <c r="J64" s="1"/>
  <c r="F64"/>
  <c r="G64" s="1"/>
  <c r="I46" l="1"/>
  <c r="J46" s="1"/>
  <c r="F46"/>
  <c r="G46" s="1"/>
  <c r="I44"/>
  <c r="J44" s="1"/>
  <c r="F44"/>
  <c r="G44" s="1"/>
  <c r="I42"/>
  <c r="J42" s="1"/>
  <c r="F42"/>
  <c r="G42" s="1"/>
  <c r="I14"/>
  <c r="J14" s="1"/>
  <c r="F14"/>
  <c r="G14" s="1"/>
  <c r="I55" l="1"/>
  <c r="J55" s="1"/>
  <c r="F55"/>
  <c r="G55" s="1"/>
  <c r="I54"/>
  <c r="J54" s="1"/>
  <c r="F54"/>
  <c r="G54" s="1"/>
  <c r="I15"/>
  <c r="J15" s="1"/>
  <c r="I49"/>
  <c r="J49" s="1"/>
  <c r="F49"/>
  <c r="G49" s="1"/>
  <c r="I17"/>
  <c r="J17" s="1"/>
  <c r="F17"/>
  <c r="G17" s="1"/>
  <c r="I50" l="1"/>
  <c r="J50" s="1"/>
  <c r="F50"/>
  <c r="G50" s="1"/>
  <c r="I45" l="1"/>
  <c r="J45" s="1"/>
  <c r="F45"/>
  <c r="G45" s="1"/>
  <c r="I65" l="1"/>
  <c r="J65" s="1"/>
  <c r="F65"/>
  <c r="G65" s="1"/>
  <c r="I63"/>
  <c r="J63" s="1"/>
  <c r="F63"/>
  <c r="G63" s="1"/>
  <c r="I62"/>
  <c r="J62" s="1"/>
  <c r="F62"/>
  <c r="G62" s="1"/>
  <c r="I61"/>
  <c r="J61" s="1"/>
  <c r="F61"/>
  <c r="G61" s="1"/>
  <c r="I60"/>
  <c r="J60" s="1"/>
  <c r="F60"/>
  <c r="G60" s="1"/>
  <c r="I59"/>
  <c r="J59" s="1"/>
  <c r="F59"/>
  <c r="G59" s="1"/>
  <c r="A59"/>
  <c r="A61" s="1"/>
  <c r="A62" s="1"/>
  <c r="A63" s="1"/>
  <c r="A64" s="1"/>
  <c r="A65" s="1"/>
  <c r="I56"/>
  <c r="J56" s="1"/>
  <c r="F56"/>
  <c r="G56" s="1"/>
  <c r="I53"/>
  <c r="J53" s="1"/>
  <c r="F53"/>
  <c r="G53" s="1"/>
  <c r="I52"/>
  <c r="J52" s="1"/>
  <c r="F52"/>
  <c r="G52" s="1"/>
  <c r="I51"/>
  <c r="J51" s="1"/>
  <c r="F51"/>
  <c r="G51" s="1"/>
  <c r="I48"/>
  <c r="J48" s="1"/>
  <c r="F48"/>
  <c r="G48" s="1"/>
  <c r="I47"/>
  <c r="J47" s="1"/>
  <c r="F47"/>
  <c r="G47" s="1"/>
  <c r="I43"/>
  <c r="J43" s="1"/>
  <c r="F43"/>
  <c r="G43" s="1"/>
  <c r="I41"/>
  <c r="J41" s="1"/>
  <c r="F41"/>
  <c r="G41" s="1"/>
  <c r="I40"/>
  <c r="J40" s="1"/>
  <c r="F40"/>
  <c r="G40" s="1"/>
  <c r="I39"/>
  <c r="J39" s="1"/>
  <c r="F39"/>
  <c r="G39" s="1"/>
  <c r="I38"/>
  <c r="J38" s="1"/>
  <c r="F38"/>
  <c r="G38" s="1"/>
  <c r="I37"/>
  <c r="J37" s="1"/>
  <c r="F37"/>
  <c r="G37" s="1"/>
  <c r="I36"/>
  <c r="J36" s="1"/>
  <c r="F36"/>
  <c r="G36" s="1"/>
  <c r="I35"/>
  <c r="J35" s="1"/>
  <c r="F35"/>
  <c r="G35" s="1"/>
  <c r="I34"/>
  <c r="J34" s="1"/>
  <c r="F34"/>
  <c r="G34" s="1"/>
  <c r="I33"/>
  <c r="J33" s="1"/>
  <c r="F33"/>
  <c r="G33" s="1"/>
  <c r="I32"/>
  <c r="J32" s="1"/>
  <c r="F32"/>
  <c r="G32" s="1"/>
  <c r="I31"/>
  <c r="J31" s="1"/>
  <c r="F31"/>
  <c r="G31" s="1"/>
  <c r="I30"/>
  <c r="J30" s="1"/>
  <c r="F30"/>
  <c r="G30" s="1"/>
  <c r="I29"/>
  <c r="J29" s="1"/>
  <c r="F29"/>
  <c r="G29" s="1"/>
  <c r="I28"/>
  <c r="J28" s="1"/>
  <c r="F28"/>
  <c r="G28" s="1"/>
  <c r="I27"/>
  <c r="J27" s="1"/>
  <c r="F27"/>
  <c r="G27" s="1"/>
  <c r="I26"/>
  <c r="J26" s="1"/>
  <c r="F26"/>
  <c r="G26" s="1"/>
  <c r="I25"/>
  <c r="J25" s="1"/>
  <c r="F25"/>
  <c r="G25" s="1"/>
  <c r="I24"/>
  <c r="J24" s="1"/>
  <c r="F24"/>
  <c r="G24" s="1"/>
  <c r="I22"/>
  <c r="J22" s="1"/>
  <c r="F22"/>
  <c r="G22" s="1"/>
  <c r="I21"/>
  <c r="J21" s="1"/>
  <c r="F21"/>
  <c r="G21" s="1"/>
  <c r="I20"/>
  <c r="J20" s="1"/>
  <c r="F20"/>
  <c r="G20" s="1"/>
  <c r="I19"/>
  <c r="J19" s="1"/>
  <c r="F19"/>
  <c r="G19" s="1"/>
  <c r="I18"/>
  <c r="J18" s="1"/>
  <c r="F18"/>
  <c r="G18" s="1"/>
  <c r="I16"/>
  <c r="J16" s="1"/>
  <c r="F16"/>
  <c r="G16" s="1"/>
  <c r="I13"/>
  <c r="J13" s="1"/>
  <c r="F13"/>
  <c r="G13" s="1"/>
  <c r="I10"/>
  <c r="J10" s="1"/>
  <c r="F10"/>
  <c r="G10" s="1"/>
  <c r="I9"/>
  <c r="J9" s="1"/>
  <c r="F9"/>
  <c r="G9" s="1"/>
  <c r="I8"/>
  <c r="J8" s="1"/>
  <c r="F8"/>
  <c r="G8" s="1"/>
  <c r="I7"/>
  <c r="J7" s="1"/>
  <c r="F7"/>
  <c r="G7" s="1"/>
  <c r="A7"/>
  <c r="A8" s="1"/>
  <c r="A9" s="1"/>
  <c r="A10" s="1"/>
  <c r="F6"/>
  <c r="G57" l="1"/>
  <c r="J57"/>
  <c r="G66"/>
  <c r="J11"/>
  <c r="J66"/>
  <c r="G11"/>
</calcChain>
</file>

<file path=xl/sharedStrings.xml><?xml version="1.0" encoding="utf-8"?>
<sst xmlns="http://schemas.openxmlformats.org/spreadsheetml/2006/main" count="371" uniqueCount="173">
  <si>
    <t>м.п.</t>
  </si>
  <si>
    <t>шт.</t>
  </si>
  <si>
    <t>комп.</t>
  </si>
  <si>
    <t>шт</t>
  </si>
  <si>
    <t>компл.</t>
  </si>
  <si>
    <t>Инженерные сети</t>
  </si>
  <si>
    <t>Раздел 2. Электромонтажные работы</t>
  </si>
  <si>
    <t xml:space="preserve"> Устройство временного освещения.</t>
  </si>
  <si>
    <t>1</t>
  </si>
  <si>
    <t xml:space="preserve">Прокладка кабеля ВВГнг-LS 3x2,5 </t>
  </si>
  <si>
    <t>Прокладка кабеля ВВГнг-LS 3x1,5</t>
  </si>
  <si>
    <t>Светильник 4х18</t>
  </si>
  <si>
    <t xml:space="preserve">Монтаж розеток  силовых, 16А </t>
  </si>
  <si>
    <t>Установка и сборка и подключение распределительного эл.щита в компл.(счетчик трехфазный прямого включения, автоматы, корпус щита)</t>
  </si>
  <si>
    <t>Итого устройство временного освещения:</t>
  </si>
  <si>
    <t xml:space="preserve"> Электромонтажные работы</t>
  </si>
  <si>
    <t>Монтаж выключателей, 10А, одноклавишный, Legrand  230В, IP20 Valena Allure Legrand, артикул 774401</t>
  </si>
  <si>
    <t>Суппорт с рамкой для розеток  Mosaic 3 х 2К+З, на 6 модуля Mosaic Legrand</t>
  </si>
  <si>
    <t>Силовая розетка с заземлением (одинарная, скрытой установки), 10/16 А - 250В, 2К+З, IP20  Valena Allure Legrand, артикул 753721</t>
  </si>
  <si>
    <t>Силовая розетка с заземлением (белая, двойная), 10/16 А - 250В, 2 х 2К+З для установки в каб. канал DLP Mosaic Legrand, артикул  0 776 02</t>
  </si>
  <si>
    <t>Монтаж и подключение светильников эвакуационного освещения  ("ВЫХОД") MIZAR 4023-4 LED S 4502001110</t>
  </si>
  <si>
    <t>Пиктограмма "Выход", для аварийного светильника MIZAR S 2502000050,  в комплекте 2 ШТ.!</t>
  </si>
  <si>
    <t>Светодиодный светильник встраиваемый, 35W, 4000K, IP54/20, "Lighting Technologies" OWP/R ECO LED 595</t>
  </si>
  <si>
    <t>Светодиодный светильник встраиваемый, 35W, 4000K, IP20, "Lighting Technologies" PRS ECO LED 595</t>
  </si>
  <si>
    <t>Монтаж и подключение блока питания  для светодиодной ленты</t>
  </si>
  <si>
    <t xml:space="preserve">Лоток металлический перфорированный 100х50х3000 мм </t>
  </si>
  <si>
    <t xml:space="preserve">Угол горизонтальный CPO 90, для лотка шириной 100 мм </t>
  </si>
  <si>
    <t xml:space="preserve">Ответвитель Т-образный DPT, для лотка шириной 100 мм </t>
  </si>
  <si>
    <t>Кабельный ПВХ канал 105х50 мм</t>
  </si>
  <si>
    <t>Заглушка для кабельного ПВХ канала 105х50 мм</t>
  </si>
  <si>
    <t>Прокладка кабеля ППГнг(А)-HF 3х2.5мм в гофре</t>
  </si>
  <si>
    <t>Коробка модульная установочная (с саморезами), ∅65х40мм</t>
  </si>
  <si>
    <t>Коробка ответвительная безгалогенная 100х100х50 мм, IP55 44303HF</t>
  </si>
  <si>
    <t>Устройство электровыпусков для подключения оборудования  3х2,5</t>
  </si>
  <si>
    <t>Подключение фанкойлов</t>
  </si>
  <si>
    <t>Итого электромонтажные работы:</t>
  </si>
  <si>
    <t>СКС</t>
  </si>
  <si>
    <t>Кабель неэкранированный UTP 4x2x0,5</t>
  </si>
  <si>
    <t>Шкаф телекоммуникационный 19, настенный  12U, (600х650), дверь стекло</t>
  </si>
  <si>
    <t>Итого СКС:</t>
  </si>
  <si>
    <t>Рамка однопостовая  (для розеток/выключателей на 2 модуля) Valena Allure Legrand</t>
  </si>
  <si>
    <t>Патч-панель 19", 24 порта RJ–45, категория 5e</t>
  </si>
  <si>
    <t>Блок розеток в стойку 19 Rack PDU 220В</t>
  </si>
  <si>
    <t>Комплект проводов заземления для шкафа ШРН, универсальный</t>
  </si>
  <si>
    <r>
      <rPr>
        <sz val="10"/>
        <rFont val="Arial"/>
        <family val="2"/>
        <charset val="204"/>
      </rPr>
      <t>м</t>
    </r>
  </si>
  <si>
    <r>
      <rPr>
        <sz val="10"/>
        <rFont val="Arial"/>
        <family val="2"/>
        <charset val="204"/>
      </rPr>
      <t>шт.</t>
    </r>
  </si>
  <si>
    <t>Светильник XCS SASSO+MIDI FLUSH SPOT CRI90, 18 W
цвет: черный/ color black (Поставка Заказчика)</t>
  </si>
  <si>
    <t>Светильник BO 70 Basic, Spot 13°, 3500K, 30 W, цвет:
черный/ color black (Поставка Заказчика)</t>
  </si>
  <si>
    <t>BO 70 BASIC SPOT 13 DEGR 20W LED COB 3500K CRI80+, 20
W, цвет: черный/ color black (Поставка Заказчика)</t>
  </si>
  <si>
    <t>Светильник STRETTA CK SRECESSED T8 LED LED G13
220-240V, 14 W, цвет: черный/ color black (Поставка Заказчика)</t>
  </si>
  <si>
    <t>Подсветка LED лента,встроенная в карман потолка LED
STRIPE 900 3000K, 8.2W/m, цвет: белый/ color white</t>
  </si>
  <si>
    <t>Шинопровод 3-phase track surface mounted, цвет: черный/
color black (Поставка Заказчика)</t>
  </si>
  <si>
    <t>Шинопровод 3-phase track, recessed,Length = 2000mm, цвет:
черный/ color black (Поставка Заказчика)</t>
  </si>
  <si>
    <t>Провод гибкий ПуГВнг(А)-LS-0,4, 1х6 мм2</t>
  </si>
  <si>
    <t>Коробка уравнивания потенциалов (КУП) 85х85х50, IP54</t>
  </si>
  <si>
    <t xml:space="preserve">Прокладка кабеля в гофре ППГнг(А)-FRLS 3x2,5мм </t>
  </si>
  <si>
    <t>Коробка ответвительная FS 100х100х50 мм, IP55 FSB11404</t>
  </si>
  <si>
    <t>Средства эл. защиты (перчатки диэлектрические, плакаты, коврик диэлектрический, указатель низкого напряжения, боты диэлектрические, пиростикеры)</t>
  </si>
  <si>
    <t>Подключение вывески</t>
  </si>
  <si>
    <t>Подключение трансформатора</t>
  </si>
  <si>
    <t>Клеммный зажим с рычажком на 2 провода сеч. до 4 мм²</t>
  </si>
  <si>
    <t>Клеммный зажим с рычажком на 3 провода сеч. до 4 мм²</t>
  </si>
  <si>
    <t>Сборка и монтаж электрощита  в сборе (шкаф  ABB, SNAIDER ELECTRIC комплект,автоматы,импульсное реле,устройства дист.управления,счетчик,узо,диф.автоматы и др.) 96 модулей</t>
  </si>
  <si>
    <t>Сборка и монтаж электрощита  в сборе (шкаф  ABB, SNAIDER ELECTRIC комплект,автоматы,импульсное реле,устройства дист.управления,счетчик,узо,диф.автоматы и др.) 12 модулей</t>
  </si>
  <si>
    <t>Прокладка кабеля ППГнг(А)-HF 3х1.5мм в гофре</t>
  </si>
  <si>
    <t xml:space="preserve">Прокладка кабеля в гофре ППГнг(А)-FRLS 3x1,5мм </t>
  </si>
  <si>
    <t>Провод гибкий ПуГВнг(А)-LS-0,4, 1х4 мм2</t>
  </si>
  <si>
    <t>Светильник XCS SASSO+MIDI FLUSH MEDIUM CRI90, 18 W
цвет: черный/ color black (Поставка Заказчика)</t>
  </si>
  <si>
    <t>Силовая розетка с заземлением (одинарная, открытой установки), 10/16 А - 250В, 2К+З, IP20  Valena Allure Legrand, артикул 753721</t>
  </si>
  <si>
    <t>Розетка RJ 45 Кат.  5е серии UTP - 2 модуля серия Mozaic,  , артикул 76554</t>
  </si>
  <si>
    <t xml:space="preserve">Розетка RJ 45 Кат.  5е серии UTP Legrand Valena </t>
  </si>
  <si>
    <t>Светодиодный аварийный светильник 5W. Накладной с АКБ. Starlet White LED SO Intelight</t>
  </si>
  <si>
    <t>№ п/п</t>
  </si>
  <si>
    <t>Вид работ</t>
  </si>
  <si>
    <t>Ед.изм</t>
  </si>
  <si>
    <t>Работы, руб. с НДС 20%</t>
  </si>
  <si>
    <t>Работы, руб. без НДС</t>
  </si>
  <si>
    <t>Материалы, руб. с НДС 20%</t>
  </si>
  <si>
    <t>Материалы, руб. без НДС</t>
  </si>
  <si>
    <t>-</t>
  </si>
  <si>
    <t>Монтаж выключателей, 10А, двухклавишный, Legrand  230В, IP20 Valena Allure Legrand, артикул 774401</t>
  </si>
  <si>
    <t>Монтаж выключателей, серия Valena, одноклавишный</t>
  </si>
  <si>
    <t>Монтаж выключателей, серия Valena, двухклавишный</t>
  </si>
  <si>
    <t>Рамка трехместная, цвет белый, Серия Valena</t>
  </si>
  <si>
    <t>Монтажная коробка для сухих перегородок</t>
  </si>
  <si>
    <t>Монтаж автоматических выключателей силовых, RX3 1 фаза10A 1М (Тип C) 4,5 kA</t>
  </si>
  <si>
    <t>Монтаж автоматических выключателей силовых,RX3 1 фаза 16A 1М (Тип C) 4,5 kA</t>
  </si>
  <si>
    <t>Монтаж автоматических выключателей силовых, TX3 1 фаза 25A 1М (Тип C) 6 kA</t>
  </si>
  <si>
    <t>Монтаж розетки одноместной  Legrand 16А, с/п</t>
  </si>
  <si>
    <t>Монтаж розетки одноместной Plexo 16А, о/п</t>
  </si>
  <si>
    <t>Монтаж розеток двухместной Plexo 16А, о/п</t>
  </si>
  <si>
    <t>Монтаж розеток  силовых, 16А Legrand серия Mozaic  в короб с суппортом</t>
  </si>
  <si>
    <t>Розетка компьютерная RJ45 (Кат.5е FTP) 1 модуль, серия Mozaic,  артикул  76552</t>
  </si>
  <si>
    <t>Монтаж розеток информационных RJ 45 (комп., тел.)Legrand, двухместная, серия Valena, скрытой установки,  артикул 774231</t>
  </si>
  <si>
    <t>Рамка одноместная Legrand</t>
  </si>
  <si>
    <t>Рамка двухместная Legrand</t>
  </si>
  <si>
    <t>Рамка четырехместная Legrand</t>
  </si>
  <si>
    <t>Рамка пятиместная Legrand</t>
  </si>
  <si>
    <t>Силовая розетка с заземлением (одинарная, скрытой установки), 10/16 А - 250В, 2К+З, IP20, со шторками  Valena Allure Legrand, артикул 753720</t>
  </si>
  <si>
    <t>Силовая розетка с заземлением (двойная, открытой установки), 10/16 А - 250В, 2К+З, IP44</t>
  </si>
  <si>
    <t>Суппорт с рамкой для розеток Mosaic 2 х 2К+З, на 4 модуля Mosaic 0 109 54 Legrand, артикул 010954</t>
  </si>
  <si>
    <t>Втулка уплотнительная, IP44, для диаметра 25мм 43920</t>
  </si>
  <si>
    <t>Коробка монтажная огнестойкая КМ-О(4к) - IP41 (КМ-О(4к)-IP41) КМ-О(4к)-IP41</t>
  </si>
  <si>
    <t>Монтаж установочной коробки</t>
  </si>
  <si>
    <t>Монтаж закарнизной подсветки</t>
  </si>
  <si>
    <t>Монтаж и подключение подвесных светильников (светильники заказчика), SkyGarden, Lambers</t>
  </si>
  <si>
    <t xml:space="preserve">Монтаж и подключение  светильников навесных  (светильники поставка заказчика) </t>
  </si>
  <si>
    <t>Монтаж и подключение светильников встраиваемых  (поставка заказчика)</t>
  </si>
  <si>
    <t>Монтаж и подключение светильников врезных (светильники заказчика)</t>
  </si>
  <si>
    <t>Монтаж и подключение светильников на шинопровод  (светильники поставка заказчика)</t>
  </si>
  <si>
    <t>Монтаж и подключение шинопровода (шинопровод поставка заказчика)</t>
  </si>
  <si>
    <t>OPTIMA.OPL ECO LED 595 4000K GRILIATO, артикул 1166000050, Световые Технологии</t>
  </si>
  <si>
    <t xml:space="preserve">OPTIMA.OPL ECO LED 595 ЕМ 4000K GRILIATO, артикул 1166000560, Световые Технологии
</t>
  </si>
  <si>
    <t xml:space="preserve">OPTIMA.OPL ECO LED 595 4000K,под Армстронг, артикул  1166000010 Световые Технологии,  </t>
  </si>
  <si>
    <t>OPTIMA.OPL ECO LED 595 EM ( с аварийным блоком) под Армстронг,  4000K, артикул 1166000040, Световые Технологии</t>
  </si>
  <si>
    <t>OPL/R ECO LED 595 4000K ARMSTRONG, артикул  1028000270, Световые Технологии</t>
  </si>
  <si>
    <t>OWP/R ECO LED 595 IP54/IP40 4000K EM (С АВАРИЙНЫМ БЛОКОМ) под Армстронг или ГКЛ, артикул 1376000100 , Световые Технологии</t>
  </si>
  <si>
    <t>OWP/R ECO LED 595 IP54/IP40 4000K  под Армстронг или ГКЛ, артикул 1376000010 , Световые Технологии</t>
  </si>
  <si>
    <t>Светильник светодиодный, ARCTIC.OPL ECO LED 1200 5000K, 220В, IP65</t>
  </si>
  <si>
    <t>Светодиодная панель LPU-ПРИЗМА-РRО (25,36,45w)</t>
  </si>
  <si>
    <t>Аварийный  светильник ЭРА SPO-6-36-4K-P(A) с аварийным блоком</t>
  </si>
  <si>
    <t xml:space="preserve">Указатели ( светильники)и эвакуационные:  TDM CCA1(односторонний) и ССА2(2-х сторонний)      </t>
  </si>
  <si>
    <t xml:space="preserve"> Аварийный светильник SIRAH 2011-3 LED, аккумулятор на 1 час работы SIRAH 2011-3 LED</t>
  </si>
  <si>
    <t>Эвакуционный светильник БС BS-ORBITA-10-L1-BZ</t>
  </si>
  <si>
    <t>Монтаж пиктограмм, в комплекте 2 шт,</t>
  </si>
  <si>
    <t>Монтаж и подключение светильников аварийного освещения, непостоянного действия,  1 час автономной работы, лампа 11 Вт, MARS EFS-380</t>
  </si>
  <si>
    <t>Монтаж распределительных коробок 100x100x50</t>
  </si>
  <si>
    <t>Монтаж шкафа коммутационного настенного ЦМО ШРН 9.300 (высота 9U), 501x600x450</t>
  </si>
  <si>
    <t>Монтаж и подключение патч панели cat5e 24 порта</t>
  </si>
  <si>
    <t xml:space="preserve">Профиль BPL-29 (PSL), длиной 3000мм </t>
  </si>
  <si>
    <t>Монтаж электротехнического лотка RNK-150</t>
  </si>
  <si>
    <t>Монтаж электротехнического лотка RNK-200</t>
  </si>
  <si>
    <t>Монтаж электротехнического лотка 150*50 L3000</t>
  </si>
  <si>
    <t xml:space="preserve">Монтаж электротехнического короба Legrand 105x50 </t>
  </si>
  <si>
    <t xml:space="preserve">Монтаж электротехнического короба Legrand 150x65 </t>
  </si>
  <si>
    <t>Кабельный ПВХ канал 110х50 мм с направляющими</t>
  </si>
  <si>
    <t xml:space="preserve">Накладка на стык профиля 110х50 </t>
  </si>
  <si>
    <t xml:space="preserve">Заглушка короба торцевая </t>
  </si>
  <si>
    <t>Перенос розеток (демонтаж, монтаж)</t>
  </si>
  <si>
    <t>Подключение рекламы</t>
  </si>
  <si>
    <t>Подключение светильников 1х28 Вт</t>
  </si>
  <si>
    <t xml:space="preserve">Подключение светильников для зеркал </t>
  </si>
  <si>
    <t xml:space="preserve">Монтаж светильников скрытой подсветки </t>
  </si>
  <si>
    <t xml:space="preserve">Монтаж и подключение светодиодной ленты </t>
  </si>
  <si>
    <t xml:space="preserve">Прокладка провода ПВ3 1х1,5 </t>
  </si>
  <si>
    <t xml:space="preserve">Прокладка провода ПВ3 1х4 </t>
  </si>
  <si>
    <t>Прокладка кабеля UTP 4х2х0,5</t>
  </si>
  <si>
    <t>Прокладка кабеля ВВГнгLS 3x1,5 в гофре Ø20 мм</t>
  </si>
  <si>
    <t>Прокладка кабеля ВВГнгFRLS 3x1,5 в гофре Ø20 мм</t>
  </si>
  <si>
    <t>Прокладка кабеля ВВГнгLS 3x2,5 в гофре Ø20 мм</t>
  </si>
  <si>
    <t>Прокладка кабеля ВВГнгLS 5x1,5 в гофре Ø20 мм</t>
  </si>
  <si>
    <t>Прокладка кабеля ВВГнгLS 2x1,5 в гофре Ø20 мм</t>
  </si>
  <si>
    <t>Прокладка кабеля ВВГнгLS 5х6 в гофре Ø20 мм</t>
  </si>
  <si>
    <t>Прокладка кабеля ВВГнгLS 5х4 в гофре Ø20 мм</t>
  </si>
  <si>
    <t>Прокладка кабеля ВВГнгLS 5х10 в гофре Ø20 мм</t>
  </si>
  <si>
    <t>Прокладка кабеля ВВГнгLS 5x2,5 в гофре Ø20 мм</t>
  </si>
  <si>
    <t>Прокладка кабеля ВВГнгLS 5x4 в лотке</t>
  </si>
  <si>
    <t>Прокладка кабеля ВВГнгLS 5x10 в лотке</t>
  </si>
  <si>
    <t>Прокладка кабеля ВВГнгLS 5х16 в лотке</t>
  </si>
  <si>
    <t>Прокладка кабеля ВВГнг-FRLS 5x50 в лотке</t>
  </si>
  <si>
    <t>Прокладка кабеля ППГнг(А)-HF 3x1,5мм в гофре</t>
  </si>
  <si>
    <t>Прокладка кабеля ППГнг(А)-HF 2x1,5мм в гофре</t>
  </si>
  <si>
    <t>Прокладка кабеля ППГнг(А)-HF 1х4мм в гофре</t>
  </si>
  <si>
    <t>Прокладка кабеля ППГнг(А)-HF 5x1,5мм в гофре</t>
  </si>
  <si>
    <t xml:space="preserve">Прокладка вводного кабеля в гофре ППГнг(А)-FRLS 3x1,5мм </t>
  </si>
  <si>
    <t xml:space="preserve">Прокладка вводного кабеля в гофре ППГнг(А)-FRLS 3x2,5мм </t>
  </si>
  <si>
    <t>Сборка и монтаж электрощита  в сборе (шкаф ABB, SNAIDER ELECTRIC комплект,автоматы,импульсное реле,устройства дист.управления,счетчик,узо,диф.автоматы и др.) 1080х595 мм навесной на 168 модулей. Материалы по факту</t>
  </si>
  <si>
    <t>Сборка и монтаж электрощита  в сборе (шкаф  ABB, SNAIDER ELECTRIC комплект,автоматы,импульсное реле,устройства дист.управления,счетчик,узо,диф.автоматы и др.) 72 модуля 630х595 мм. Материалы по факту</t>
  </si>
  <si>
    <t>Сборка и монтаж электрощита  в сборе (шкаф  ABB, SNAIDER ELECTRIC комплект,автоматы,импульсное реле,устройства дист.управления,счетчик,узо,диф.автоматы и др.) 630х595  на 96 модулей. Материалы по факту</t>
  </si>
  <si>
    <t>Сборка и монтаж электрощита  в сборе (шкаф  ABB, SNAIDER ELECTRIC комплект,автоматы,импульсное реле,устройства дист.управления,счетчик,узо,диф.автоматы и др.) 120 модулей. Материалы по факту</t>
  </si>
  <si>
    <t>Сверление отверстий для розеток по плитке, ГКЛ Ø68 мм</t>
  </si>
  <si>
    <t>Устройство закарнизной подсветки, светильник люминесцентный L-1200мм 36 Вт</t>
  </si>
  <si>
    <t>ЕД.наимен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</si>
</sst>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\ #,##0.00&quot;    &quot;;\-#,##0.00&quot;    &quot;;&quot; -&quot;#&quot;    &quot;;@\ "/>
    <numFmt numFmtId="166" formatCode="&quot; &quot;#,##0.00&quot; &quot;;&quot; (&quot;#,##0.00&quot;)&quot;;&quot; -&quot;#&quot; &quot;;&quot; &quot;@&quot; &quot;"/>
    <numFmt numFmtId="169" formatCode="0.0"/>
    <numFmt numFmtId="170" formatCode="_-* #,##0.00_р_._-;\-* #,##0.00_р_._-;_-* &quot;-&quot;??_р_._-;_-@_-"/>
  </numFmts>
  <fonts count="20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Helv"/>
      <charset val="204"/>
    </font>
    <font>
      <sz val="8"/>
      <name val="Arial"/>
      <family val="2"/>
      <charset val="1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165" fontId="3" fillId="0" borderId="0"/>
    <xf numFmtId="166" fontId="4" fillId="0" borderId="0"/>
    <xf numFmtId="0" fontId="5" fillId="0" borderId="0"/>
    <xf numFmtId="0" fontId="3" fillId="0" borderId="0"/>
    <xf numFmtId="0" fontId="3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2" borderId="4" xfId="5" applyFont="1" applyFill="1" applyBorder="1" applyAlignment="1">
      <alignment horizontal="left" vertical="center" wrapText="1"/>
    </xf>
    <xf numFmtId="169" fontId="0" fillId="0" borderId="4" xfId="5" applyNumberFormat="1" applyFont="1" applyBorder="1" applyAlignment="1">
      <alignment horizontal="center" vertical="center" wrapText="1"/>
    </xf>
    <xf numFmtId="0" fontId="0" fillId="0" borderId="0" xfId="0" applyFont="1"/>
    <xf numFmtId="4" fontId="0" fillId="0" borderId="0" xfId="0" applyNumberFormat="1" applyFont="1"/>
    <xf numFmtId="4" fontId="0" fillId="3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/>
    <xf numFmtId="1" fontId="0" fillId="0" borderId="0" xfId="5" applyNumberFormat="1" applyFont="1" applyAlignment="1">
      <alignment horizontal="center" vertical="center" wrapText="1"/>
    </xf>
    <xf numFmtId="0" fontId="0" fillId="0" borderId="0" xfId="5" applyFont="1" applyAlignment="1">
      <alignment wrapText="1"/>
    </xf>
    <xf numFmtId="4" fontId="0" fillId="0" borderId="0" xfId="5" applyNumberFormat="1" applyFont="1" applyAlignment="1">
      <alignment horizontal="center" wrapText="1"/>
    </xf>
    <xf numFmtId="4" fontId="0" fillId="0" borderId="0" xfId="5" applyNumberFormat="1" applyFont="1" applyAlignment="1">
      <alignment horizontal="center" vertical="center" wrapText="1"/>
    </xf>
    <xf numFmtId="166" fontId="9" fillId="2" borderId="4" xfId="3" applyFont="1" applyFill="1" applyBorder="1" applyAlignment="1">
      <alignment horizontal="right" vertical="center"/>
    </xf>
    <xf numFmtId="166" fontId="8" fillId="2" borderId="4" xfId="3" applyFont="1" applyFill="1" applyBorder="1" applyAlignment="1">
      <alignment horizontal="right" vertical="center"/>
    </xf>
    <xf numFmtId="166" fontId="0" fillId="2" borderId="4" xfId="3" applyFont="1" applyFill="1" applyBorder="1" applyAlignment="1">
      <alignment horizontal="right" vertical="center"/>
    </xf>
    <xf numFmtId="164" fontId="0" fillId="2" borderId="4" xfId="1" applyFont="1" applyFill="1" applyBorder="1" applyAlignment="1">
      <alignment horizontal="center" vertical="top" wrapText="1"/>
    </xf>
    <xf numFmtId="0" fontId="0" fillId="2" borderId="4" xfId="6" applyFont="1" applyFill="1" applyBorder="1" applyAlignment="1">
      <alignment vertical="top" wrapText="1"/>
    </xf>
    <xf numFmtId="0" fontId="10" fillId="5" borderId="4" xfId="0" applyFont="1" applyFill="1" applyBorder="1" applyAlignment="1">
      <alignment horizontal="right" vertical="center"/>
    </xf>
    <xf numFmtId="2" fontId="10" fillId="5" borderId="4" xfId="0" applyNumberFormat="1" applyFont="1" applyFill="1" applyBorder="1" applyAlignment="1">
      <alignment horizontal="right" vertical="center"/>
    </xf>
    <xf numFmtId="49" fontId="0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0" fillId="0" borderId="4" xfId="3" applyNumberFormat="1" applyFont="1" applyBorder="1" applyAlignment="1">
      <alignment horizontal="center" vertical="center" wrapText="1"/>
    </xf>
    <xf numFmtId="169" fontId="0" fillId="0" borderId="4" xfId="3" applyNumberFormat="1" applyFont="1" applyBorder="1" applyAlignment="1">
      <alignment horizontal="center" vertical="center"/>
    </xf>
    <xf numFmtId="2" fontId="0" fillId="2" borderId="4" xfId="3" applyNumberFormat="1" applyFont="1" applyFill="1" applyBorder="1" applyAlignment="1">
      <alignment horizontal="center" vertical="center" wrapText="1"/>
    </xf>
    <xf numFmtId="164" fontId="0" fillId="2" borderId="4" xfId="1" applyFont="1" applyFill="1" applyBorder="1" applyAlignment="1">
      <alignment horizontal="center" vertical="center" wrapText="1"/>
    </xf>
    <xf numFmtId="166" fontId="9" fillId="0" borderId="4" xfId="3" applyFont="1" applyFill="1" applyBorder="1" applyAlignment="1">
      <alignment horizontal="right" vertical="center"/>
    </xf>
    <xf numFmtId="0" fontId="11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3" fillId="2" borderId="4" xfId="3" applyNumberFormat="1" applyFont="1" applyFill="1" applyBorder="1" applyAlignment="1">
      <alignment horizontal="center" vertical="center"/>
    </xf>
    <xf numFmtId="166" fontId="6" fillId="2" borderId="4" xfId="3" applyFont="1" applyFill="1" applyBorder="1" applyAlignment="1">
      <alignment horizontal="center" vertical="center"/>
    </xf>
    <xf numFmtId="166" fontId="13" fillId="2" borderId="4" xfId="3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right" vertical="center"/>
    </xf>
    <xf numFmtId="164" fontId="0" fillId="0" borderId="4" xfId="1" applyFont="1" applyFill="1" applyBorder="1" applyAlignment="1">
      <alignment horizontal="center" vertical="center" wrapText="1"/>
    </xf>
    <xf numFmtId="166" fontId="0" fillId="0" borderId="4" xfId="3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166" fontId="13" fillId="2" borderId="4" xfId="3" applyFont="1" applyFill="1" applyBorder="1" applyAlignment="1">
      <alignment horizontal="right" vertical="center"/>
    </xf>
    <xf numFmtId="166" fontId="6" fillId="2" borderId="4" xfId="3" applyFont="1" applyFill="1" applyBorder="1" applyAlignment="1">
      <alignment horizontal="right" vertical="center"/>
    </xf>
    <xf numFmtId="166" fontId="9" fillId="0" borderId="4" xfId="3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166" fontId="9" fillId="0" borderId="3" xfId="3" applyFont="1" applyBorder="1" applyAlignment="1">
      <alignment horizontal="right" vertical="center"/>
    </xf>
    <xf numFmtId="166" fontId="8" fillId="0" borderId="4" xfId="3" applyFont="1" applyBorder="1" applyAlignment="1">
      <alignment horizontal="right" vertical="center"/>
    </xf>
    <xf numFmtId="166" fontId="0" fillId="0" borderId="4" xfId="3" applyFont="1" applyBorder="1" applyAlignment="1">
      <alignment horizontal="right" vertical="center"/>
    </xf>
    <xf numFmtId="166" fontId="9" fillId="0" borderId="4" xfId="3" applyFon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166" fontId="9" fillId="6" borderId="4" xfId="3" applyFont="1" applyFill="1" applyBorder="1" applyAlignment="1">
      <alignment horizontal="right" vertical="center"/>
    </xf>
    <xf numFmtId="169" fontId="0" fillId="0" borderId="2" xfId="5" applyNumberFormat="1" applyFont="1" applyBorder="1" applyAlignment="1">
      <alignment horizontal="center" vertical="center" wrapText="1"/>
    </xf>
    <xf numFmtId="166" fontId="9" fillId="2" borderId="3" xfId="3" applyFont="1" applyFill="1" applyBorder="1" applyAlignment="1">
      <alignment horizontal="right" vertical="center"/>
    </xf>
    <xf numFmtId="43" fontId="0" fillId="0" borderId="0" xfId="0" applyNumberFormat="1" applyFont="1"/>
    <xf numFmtId="0" fontId="14" fillId="4" borderId="0" xfId="0" applyFont="1" applyFill="1"/>
    <xf numFmtId="4" fontId="15" fillId="2" borderId="0" xfId="3" applyNumberFormat="1" applyFont="1" applyFill="1" applyAlignment="1">
      <alignment horizontal="center"/>
    </xf>
    <xf numFmtId="4" fontId="14" fillId="2" borderId="0" xfId="3" applyNumberFormat="1" applyFont="1" applyFill="1" applyAlignment="1">
      <alignment horizontal="center"/>
    </xf>
    <xf numFmtId="49" fontId="14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4" fontId="18" fillId="2" borderId="0" xfId="3" applyNumberFormat="1" applyFont="1" applyFill="1"/>
    <xf numFmtId="4" fontId="14" fillId="2" borderId="0" xfId="3" applyNumberFormat="1" applyFont="1" applyFill="1"/>
    <xf numFmtId="0" fontId="17" fillId="4" borderId="0" xfId="0" applyFont="1" applyFill="1"/>
    <xf numFmtId="4" fontId="18" fillId="2" borderId="4" xfId="3" applyNumberFormat="1" applyFont="1" applyFill="1" applyBorder="1" applyAlignment="1">
      <alignment horizontal="center" vertical="center" wrapText="1"/>
    </xf>
    <xf numFmtId="4" fontId="17" fillId="2" borderId="4" xfId="3" applyNumberFormat="1" applyFont="1" applyFill="1" applyBorder="1" applyAlignment="1">
      <alignment horizontal="center" vertical="center" wrapText="1"/>
    </xf>
    <xf numFmtId="4" fontId="15" fillId="2" borderId="4" xfId="3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4" fontId="18" fillId="2" borderId="4" xfId="1" applyNumberFormat="1" applyFont="1" applyFill="1" applyBorder="1" applyAlignment="1">
      <alignment horizontal="center" vertical="top" wrapText="1"/>
    </xf>
    <xf numFmtId="170" fontId="14" fillId="2" borderId="4" xfId="1" applyNumberFormat="1" applyFont="1" applyFill="1" applyBorder="1" applyAlignment="1">
      <alignment horizontal="center" vertical="top" wrapText="1"/>
    </xf>
    <xf numFmtId="170" fontId="15" fillId="2" borderId="4" xfId="1" applyNumberFormat="1" applyFont="1" applyFill="1" applyBorder="1" applyAlignment="1">
      <alignment horizontal="center" vertical="top" wrapText="1"/>
    </xf>
    <xf numFmtId="0" fontId="14" fillId="2" borderId="4" xfId="6" applyFont="1" applyFill="1" applyBorder="1" applyAlignment="1">
      <alignment vertical="center" wrapText="1"/>
    </xf>
    <xf numFmtId="0" fontId="14" fillId="0" borderId="4" xfId="6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top" wrapText="1"/>
    </xf>
    <xf numFmtId="0" fontId="14" fillId="0" borderId="4" xfId="6" applyFont="1" applyBorder="1" applyAlignment="1">
      <alignment vertical="center" wrapText="1"/>
    </xf>
    <xf numFmtId="0" fontId="14" fillId="4" borderId="0" xfId="0" applyFont="1" applyFill="1" applyAlignment="1">
      <alignment vertical="top"/>
    </xf>
    <xf numFmtId="0" fontId="14" fillId="2" borderId="2" xfId="0" applyFont="1" applyFill="1" applyBorder="1" applyAlignment="1">
      <alignment vertical="top"/>
    </xf>
    <xf numFmtId="170" fontId="14" fillId="0" borderId="4" xfId="1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4" fontId="18" fillId="0" borderId="4" xfId="1" applyNumberFormat="1" applyFont="1" applyBorder="1" applyAlignment="1">
      <alignment horizontal="center" vertical="top" wrapText="1"/>
    </xf>
    <xf numFmtId="0" fontId="19" fillId="0" borderId="0" xfId="0" applyFont="1" applyAlignment="1">
      <alignment vertical="top"/>
    </xf>
    <xf numFmtId="0" fontId="14" fillId="0" borderId="4" xfId="0" applyFont="1" applyFill="1" applyBorder="1" applyAlignment="1">
      <alignment vertical="center" wrapText="1"/>
    </xf>
    <xf numFmtId="170" fontId="15" fillId="0" borderId="4" xfId="1" applyNumberFormat="1" applyFont="1" applyBorder="1" applyAlignment="1">
      <alignment horizontal="center" vertical="top" wrapText="1"/>
    </xf>
    <xf numFmtId="0" fontId="15" fillId="2" borderId="4" xfId="0" applyFont="1" applyFill="1" applyBorder="1" applyAlignment="1">
      <alignment vertical="top"/>
    </xf>
    <xf numFmtId="0" fontId="16" fillId="2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</cellXfs>
  <cellStyles count="11">
    <cellStyle name="Excel Built-in Normal" xfId="5"/>
    <cellStyle name="Excel_BuiltIn_Comma" xfId="3"/>
    <cellStyle name="Обычный" xfId="0" builtinId="0"/>
    <cellStyle name="Обычный 2" xfId="8"/>
    <cellStyle name="Обычный 2 2" xfId="6"/>
    <cellStyle name="Обычный 2 2 3" xfId="10"/>
    <cellStyle name="Обычный 2 4" xfId="9"/>
    <cellStyle name="Обычный 4" xfId="4"/>
    <cellStyle name="Финансовый" xfId="1" builtinId="3"/>
    <cellStyle name="Финансовый 10" xfId="7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66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C882112-56BE-4CD3-8E20-7834E352BDD0}"/>
            </a:ext>
          </a:extLst>
        </xdr:cNvPr>
        <xdr:cNvSpPr txBox="1"/>
      </xdr:nvSpPr>
      <xdr:spPr>
        <a:xfrm>
          <a:off x="11410950" y="117348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0</xdr:colOff>
      <xdr:row>66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BB898059-A1E0-4397-8BF1-8172774C3C36}"/>
            </a:ext>
          </a:extLst>
        </xdr:cNvPr>
        <xdr:cNvSpPr txBox="1"/>
      </xdr:nvSpPr>
      <xdr:spPr>
        <a:xfrm>
          <a:off x="11410950" y="117348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eta%20PTO/Desktop/&#1072;&#1082;&#1091;&#1083;&#1072;/&#1050;&#1086;&#1083;&#1086;&#1084;&#1085;&#1072;%20&#1056;&#1048;&#1054;/&#1040;&#1082;&#1091;&#1083;&#1072;%20&#1050;&#1086;&#1083;&#1086;&#1084;&#1085;&#1072;%20&#1056;&#1048;&#1054;%20&#1073;&#1102;&#1076;&#1078;&#1077;&#1090;%2016.01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Реклама"/>
      <sheetName val="Нормы расхода материалов"/>
      <sheetName val="ЗП бригада"/>
      <sheetName val="ЗП электрика"/>
      <sheetName val="Трудозатраты"/>
      <sheetName val="Итог"/>
    </sheetNames>
    <sheetDataSet>
      <sheetData sheetId="0">
        <row r="21">
          <cell r="G21">
            <v>0</v>
          </cell>
        </row>
      </sheetData>
      <sheetData sheetId="1"/>
      <sheetData sheetId="2">
        <row r="51">
          <cell r="D51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zoomScale="85" zoomScaleNormal="85" zoomScaleSheetLayoutView="100" workbookViewId="0">
      <selection activeCell="G10" sqref="G10"/>
    </sheetView>
  </sheetViews>
  <sheetFormatPr defaultColWidth="9.140625" defaultRowHeight="12.75" customHeight="1"/>
  <cols>
    <col min="1" max="1" width="4" style="11" customWidth="1"/>
    <col min="2" max="2" width="60" style="12" customWidth="1"/>
    <col min="3" max="3" width="9.85546875" style="13" customWidth="1"/>
    <col min="4" max="4" width="9.85546875" style="14" customWidth="1"/>
    <col min="5" max="5" width="12" style="14" hidden="1" customWidth="1"/>
    <col min="6" max="6" width="12.140625" style="14" customWidth="1"/>
    <col min="7" max="7" width="14.5703125" style="14" customWidth="1"/>
    <col min="8" max="8" width="11.28515625" style="14" hidden="1" customWidth="1"/>
    <col min="9" max="9" width="11.140625" style="14" customWidth="1"/>
    <col min="10" max="10" width="14.85546875" style="14" customWidth="1"/>
    <col min="11" max="11" width="14.42578125" style="3" customWidth="1"/>
    <col min="12" max="12" width="14.85546875" style="3" customWidth="1"/>
    <col min="13" max="13" width="13.140625" style="3" customWidth="1"/>
    <col min="14" max="14" width="5.7109375" style="3" customWidth="1"/>
    <col min="15" max="15" width="9.140625" style="3" customWidth="1"/>
    <col min="16" max="16" width="17.140625" style="3" customWidth="1"/>
    <col min="17" max="19" width="9.140625" style="3" customWidth="1"/>
    <col min="20" max="16384" width="9.140625" style="3"/>
  </cols>
  <sheetData>
    <row r="1" spans="1:12" ht="15" customHeight="1">
      <c r="A1" s="22"/>
      <c r="B1" s="23"/>
      <c r="C1" s="8"/>
      <c r="D1" s="24"/>
      <c r="E1" s="24"/>
      <c r="F1" s="24"/>
      <c r="G1" s="25"/>
      <c r="H1" s="25"/>
      <c r="I1" s="25"/>
      <c r="J1" s="25"/>
      <c r="K1" s="64"/>
      <c r="L1" s="4"/>
    </row>
    <row r="2" spans="1:12" ht="45.75" customHeight="1">
      <c r="A2" s="22"/>
      <c r="B2" s="23"/>
      <c r="C2" s="8"/>
      <c r="D2" s="26" t="s">
        <v>172</v>
      </c>
      <c r="E2" s="24"/>
      <c r="F2" s="74" t="s">
        <v>76</v>
      </c>
      <c r="H2" s="75" t="s">
        <v>77</v>
      </c>
      <c r="I2" s="74" t="s">
        <v>78</v>
      </c>
      <c r="K2" s="64"/>
      <c r="L2" s="4"/>
    </row>
    <row r="3" spans="1:12">
      <c r="A3" s="36"/>
      <c r="B3" s="32" t="s">
        <v>5</v>
      </c>
      <c r="C3" s="32"/>
      <c r="D3" s="37"/>
      <c r="E3" s="38"/>
      <c r="F3" s="38"/>
      <c r="G3" s="39"/>
      <c r="H3" s="40"/>
      <c r="I3" s="40"/>
      <c r="J3" s="39"/>
      <c r="K3" s="64"/>
      <c r="L3" s="4"/>
    </row>
    <row r="4" spans="1:12">
      <c r="A4" s="36"/>
      <c r="B4" s="32" t="s">
        <v>6</v>
      </c>
      <c r="C4" s="32"/>
      <c r="D4" s="37"/>
      <c r="E4" s="38"/>
      <c r="F4" s="38"/>
      <c r="G4" s="39"/>
      <c r="H4" s="40"/>
      <c r="I4" s="40"/>
      <c r="J4" s="39"/>
      <c r="K4" s="64"/>
      <c r="L4" s="4"/>
    </row>
    <row r="5" spans="1:12">
      <c r="A5" s="36"/>
      <c r="B5" s="32" t="s">
        <v>7</v>
      </c>
      <c r="C5" s="32"/>
      <c r="D5" s="37"/>
      <c r="E5" s="38"/>
      <c r="F5" s="38"/>
      <c r="G5" s="39"/>
      <c r="H5" s="40"/>
      <c r="I5" s="40"/>
      <c r="J5" s="39"/>
      <c r="K5" s="64"/>
      <c r="L5" s="4"/>
    </row>
    <row r="6" spans="1:12">
      <c r="A6" s="6" t="s">
        <v>8</v>
      </c>
      <c r="B6" s="31" t="s">
        <v>9</v>
      </c>
      <c r="C6" s="35" t="s">
        <v>0</v>
      </c>
      <c r="D6" s="41">
        <v>15</v>
      </c>
      <c r="E6" s="15">
        <v>56.95</v>
      </c>
      <c r="F6" s="16">
        <f>E6/1.2</f>
        <v>47.458333333333336</v>
      </c>
      <c r="G6" s="17">
        <f>D6*F6</f>
        <v>711.875</v>
      </c>
      <c r="H6" s="15">
        <v>52.27</v>
      </c>
      <c r="I6" s="16">
        <f>H6/1.2</f>
        <v>43.558333333333337</v>
      </c>
      <c r="J6" s="17">
        <f>D6*I6</f>
        <v>653.375</v>
      </c>
      <c r="K6" s="64"/>
      <c r="L6" s="4"/>
    </row>
    <row r="7" spans="1:12">
      <c r="A7" s="6">
        <f>A6+1</f>
        <v>2</v>
      </c>
      <c r="B7" s="31" t="s">
        <v>10</v>
      </c>
      <c r="C7" s="35" t="s">
        <v>0</v>
      </c>
      <c r="D7" s="41">
        <v>35</v>
      </c>
      <c r="E7" s="15">
        <v>56.95</v>
      </c>
      <c r="F7" s="16">
        <f>E7/1.2</f>
        <v>47.458333333333336</v>
      </c>
      <c r="G7" s="17">
        <f>D7*F7</f>
        <v>1661.0416666666667</v>
      </c>
      <c r="H7" s="15">
        <v>42.77</v>
      </c>
      <c r="I7" s="16">
        <f>H7/1.2</f>
        <v>35.641666666666673</v>
      </c>
      <c r="J7" s="17">
        <f>D7*I7</f>
        <v>1247.4583333333335</v>
      </c>
      <c r="K7" s="64"/>
      <c r="L7" s="4"/>
    </row>
    <row r="8" spans="1:12">
      <c r="A8" s="6">
        <f>A7+1</f>
        <v>3</v>
      </c>
      <c r="B8" s="31" t="s">
        <v>11</v>
      </c>
      <c r="C8" s="35" t="s">
        <v>1</v>
      </c>
      <c r="D8" s="41">
        <v>6</v>
      </c>
      <c r="E8" s="15">
        <v>289.83050847457628</v>
      </c>
      <c r="F8" s="16">
        <f>E8/1.2</f>
        <v>241.52542372881356</v>
      </c>
      <c r="G8" s="17">
        <f>D8*F8</f>
        <v>1449.1525423728813</v>
      </c>
      <c r="H8" s="15">
        <v>864.40677966101691</v>
      </c>
      <c r="I8" s="16">
        <f>H8/1.2</f>
        <v>720.33898305084745</v>
      </c>
      <c r="J8" s="17">
        <f>D8*I8</f>
        <v>4322.0338983050842</v>
      </c>
      <c r="K8" s="64"/>
      <c r="L8" s="4"/>
    </row>
    <row r="9" spans="1:12">
      <c r="A9" s="6">
        <f>A8+1</f>
        <v>4</v>
      </c>
      <c r="B9" s="31" t="s">
        <v>12</v>
      </c>
      <c r="C9" s="35" t="s">
        <v>1</v>
      </c>
      <c r="D9" s="41">
        <v>4</v>
      </c>
      <c r="E9" s="15">
        <v>157.62711864406779</v>
      </c>
      <c r="F9" s="16">
        <f>E9/1.2</f>
        <v>131.35593220338984</v>
      </c>
      <c r="G9" s="17">
        <f>D9*F9</f>
        <v>525.42372881355936</v>
      </c>
      <c r="H9" s="15">
        <v>101.6949152542373</v>
      </c>
      <c r="I9" s="16">
        <f>H9/1.2</f>
        <v>84.745762711864415</v>
      </c>
      <c r="J9" s="17">
        <f>D9*I9</f>
        <v>338.98305084745766</v>
      </c>
      <c r="K9" s="64"/>
      <c r="L9" s="4"/>
    </row>
    <row r="10" spans="1:12" ht="38.25">
      <c r="A10" s="6">
        <f>A9+1</f>
        <v>5</v>
      </c>
      <c r="B10" s="34" t="s">
        <v>13</v>
      </c>
      <c r="C10" s="35" t="s">
        <v>4</v>
      </c>
      <c r="D10" s="41">
        <v>1</v>
      </c>
      <c r="E10" s="15">
        <v>10169.491525423729</v>
      </c>
      <c r="F10" s="16">
        <f>E10/1.2</f>
        <v>8474.5762711864409</v>
      </c>
      <c r="G10" s="17">
        <f>D10*F10</f>
        <v>8474.5762711864409</v>
      </c>
      <c r="H10" s="15">
        <v>9152.5423728813548</v>
      </c>
      <c r="I10" s="16">
        <f>H10/1.2</f>
        <v>7627.1186440677957</v>
      </c>
      <c r="J10" s="17">
        <f>D10*I10</f>
        <v>7627.1186440677957</v>
      </c>
      <c r="K10" s="64"/>
      <c r="L10" s="4"/>
    </row>
    <row r="11" spans="1:12">
      <c r="A11" s="20"/>
      <c r="B11" s="20" t="s">
        <v>14</v>
      </c>
      <c r="C11" s="20"/>
      <c r="D11" s="20"/>
      <c r="E11" s="20"/>
      <c r="F11" s="20"/>
      <c r="G11" s="21">
        <f>SUM(G6:G10)</f>
        <v>12822.06920903955</v>
      </c>
      <c r="H11" s="21"/>
      <c r="I11" s="21"/>
      <c r="J11" s="21">
        <f>SUM(J6:J10)</f>
        <v>14188.968926553673</v>
      </c>
      <c r="K11" s="64"/>
      <c r="L11" s="4"/>
    </row>
    <row r="12" spans="1:12">
      <c r="A12" s="42"/>
      <c r="B12" s="43" t="s">
        <v>15</v>
      </c>
      <c r="C12" s="42"/>
      <c r="D12" s="42"/>
      <c r="E12" s="42"/>
      <c r="F12" s="18"/>
      <c r="G12" s="17"/>
      <c r="H12" s="44"/>
      <c r="I12" s="16"/>
      <c r="J12" s="17"/>
      <c r="K12" s="64"/>
      <c r="L12" s="4"/>
    </row>
    <row r="13" spans="1:12" ht="38.25">
      <c r="A13" s="6">
        <v>1</v>
      </c>
      <c r="B13" s="7" t="s">
        <v>62</v>
      </c>
      <c r="C13" s="8" t="s">
        <v>4</v>
      </c>
      <c r="D13" s="5">
        <v>1</v>
      </c>
      <c r="E13" s="57">
        <v>19728.810000000001</v>
      </c>
      <c r="F13" s="27">
        <f t="shared" ref="F13:F49" si="0">E13/1.2</f>
        <v>16440.675000000003</v>
      </c>
      <c r="G13" s="17">
        <f t="shared" ref="G13:G49" si="1">D13*F13</f>
        <v>16440.675000000003</v>
      </c>
      <c r="H13" s="61">
        <v>150000</v>
      </c>
      <c r="I13" s="16">
        <f>H13/1.2</f>
        <v>125000</v>
      </c>
      <c r="J13" s="17">
        <f>D13*I13</f>
        <v>125000</v>
      </c>
      <c r="K13" s="64"/>
      <c r="L13" s="4"/>
    </row>
    <row r="14" spans="1:12" ht="38.25">
      <c r="A14" s="6">
        <v>2</v>
      </c>
      <c r="B14" s="7" t="s">
        <v>63</v>
      </c>
      <c r="C14" s="8" t="s">
        <v>4</v>
      </c>
      <c r="D14" s="5">
        <v>1</v>
      </c>
      <c r="E14" s="57">
        <v>3000</v>
      </c>
      <c r="F14" s="27">
        <f t="shared" ref="F14" si="2">E14/1.2</f>
        <v>2500</v>
      </c>
      <c r="G14" s="17">
        <f t="shared" ref="G14" si="3">D14*F14</f>
        <v>2500</v>
      </c>
      <c r="H14" s="61">
        <v>20000</v>
      </c>
      <c r="I14" s="16">
        <f>H14/1.2</f>
        <v>16666.666666666668</v>
      </c>
      <c r="J14" s="17">
        <f>D14*I14</f>
        <v>16666.666666666668</v>
      </c>
      <c r="K14" s="64"/>
      <c r="L14" s="4"/>
    </row>
    <row r="15" spans="1:12" ht="38.25">
      <c r="A15" s="6">
        <v>3</v>
      </c>
      <c r="B15" s="7" t="s">
        <v>57</v>
      </c>
      <c r="C15" s="8" t="s">
        <v>4</v>
      </c>
      <c r="D15" s="5">
        <v>1</v>
      </c>
      <c r="E15" s="57">
        <v>0</v>
      </c>
      <c r="F15" s="27"/>
      <c r="G15" s="17"/>
      <c r="H15" s="28">
        <v>9750</v>
      </c>
      <c r="I15" s="16">
        <f>H15/1.2</f>
        <v>8125</v>
      </c>
      <c r="J15" s="17">
        <f>D15*I15</f>
        <v>8125</v>
      </c>
      <c r="K15" s="64"/>
      <c r="L15" s="4"/>
    </row>
    <row r="16" spans="1:12" ht="25.5">
      <c r="A16" s="6">
        <v>4</v>
      </c>
      <c r="B16" s="29" t="s">
        <v>16</v>
      </c>
      <c r="C16" s="9" t="s">
        <v>3</v>
      </c>
      <c r="D16" s="5">
        <v>2</v>
      </c>
      <c r="E16" s="15">
        <v>305.08</v>
      </c>
      <c r="F16" s="27">
        <f t="shared" si="0"/>
        <v>254.23333333333332</v>
      </c>
      <c r="G16" s="17">
        <f t="shared" si="1"/>
        <v>508.46666666666664</v>
      </c>
      <c r="H16" s="15">
        <v>305.08474576271186</v>
      </c>
      <c r="I16" s="16">
        <f t="shared" ref="I16:I40" si="4">H16/1.2</f>
        <v>254.23728813559322</v>
      </c>
      <c r="J16" s="17">
        <f t="shared" ref="J16:J40" si="5">D16*I16</f>
        <v>508.47457627118644</v>
      </c>
      <c r="K16" s="64"/>
      <c r="L16" s="4"/>
    </row>
    <row r="17" spans="1:12" ht="25.5">
      <c r="A17" s="6">
        <v>5</v>
      </c>
      <c r="B17" s="29" t="s">
        <v>18</v>
      </c>
      <c r="C17" s="9" t="s">
        <v>3</v>
      </c>
      <c r="D17" s="5">
        <v>12</v>
      </c>
      <c r="E17" s="15">
        <v>305.08999999999997</v>
      </c>
      <c r="F17" s="27">
        <f t="shared" ref="F17" si="6">E17/1.2</f>
        <v>254.24166666666665</v>
      </c>
      <c r="G17" s="17">
        <f t="shared" ref="G17" si="7">D17*F17</f>
        <v>3050.8999999999996</v>
      </c>
      <c r="H17" s="15">
        <v>270</v>
      </c>
      <c r="I17" s="16">
        <f t="shared" ref="I17" si="8">H17/1.2</f>
        <v>225</v>
      </c>
      <c r="J17" s="17">
        <f t="shared" ref="J17" si="9">D17*I17</f>
        <v>2700</v>
      </c>
      <c r="K17" s="64"/>
      <c r="L17" s="4"/>
    </row>
    <row r="18" spans="1:12" ht="25.5">
      <c r="A18" s="6">
        <v>6</v>
      </c>
      <c r="B18" s="34" t="s">
        <v>17</v>
      </c>
      <c r="C18" s="9" t="s">
        <v>3</v>
      </c>
      <c r="D18" s="5">
        <v>12</v>
      </c>
      <c r="E18" s="15">
        <v>157.63999999999999</v>
      </c>
      <c r="F18" s="27">
        <f t="shared" si="0"/>
        <v>131.36666666666667</v>
      </c>
      <c r="G18" s="17">
        <f t="shared" si="1"/>
        <v>1576.4</v>
      </c>
      <c r="H18" s="28">
        <v>450</v>
      </c>
      <c r="I18" s="16">
        <f t="shared" si="4"/>
        <v>375</v>
      </c>
      <c r="J18" s="17">
        <f t="shared" si="5"/>
        <v>4500</v>
      </c>
      <c r="K18" s="64"/>
      <c r="L18" s="4"/>
    </row>
    <row r="19" spans="1:12" ht="25.5">
      <c r="A19" s="6">
        <v>7</v>
      </c>
      <c r="B19" s="29" t="s">
        <v>68</v>
      </c>
      <c r="C19" s="9" t="s">
        <v>3</v>
      </c>
      <c r="D19" s="5">
        <v>1</v>
      </c>
      <c r="E19" s="15">
        <v>305.08999999999997</v>
      </c>
      <c r="F19" s="27">
        <f t="shared" si="0"/>
        <v>254.24166666666665</v>
      </c>
      <c r="G19" s="17">
        <f t="shared" si="1"/>
        <v>254.24166666666665</v>
      </c>
      <c r="H19" s="15">
        <v>270</v>
      </c>
      <c r="I19" s="16">
        <f t="shared" si="4"/>
        <v>225</v>
      </c>
      <c r="J19" s="17">
        <f t="shared" si="5"/>
        <v>225</v>
      </c>
      <c r="K19" s="64"/>
      <c r="L19" s="4"/>
    </row>
    <row r="20" spans="1:12" ht="38.25">
      <c r="A20" s="6">
        <v>8</v>
      </c>
      <c r="B20" s="29" t="s">
        <v>19</v>
      </c>
      <c r="C20" s="9" t="s">
        <v>3</v>
      </c>
      <c r="D20" s="5">
        <v>12</v>
      </c>
      <c r="E20" s="15">
        <v>250</v>
      </c>
      <c r="F20" s="27">
        <f t="shared" si="0"/>
        <v>208.33333333333334</v>
      </c>
      <c r="G20" s="17">
        <f t="shared" si="1"/>
        <v>2500</v>
      </c>
      <c r="H20" s="15">
        <v>885.6</v>
      </c>
      <c r="I20" s="16">
        <f t="shared" si="4"/>
        <v>738</v>
      </c>
      <c r="J20" s="17">
        <f t="shared" si="5"/>
        <v>8856</v>
      </c>
      <c r="K20" s="64"/>
      <c r="L20" s="4"/>
    </row>
    <row r="21" spans="1:12" ht="25.5">
      <c r="A21" s="6">
        <v>9</v>
      </c>
      <c r="B21" s="34" t="s">
        <v>40</v>
      </c>
      <c r="C21" s="9" t="s">
        <v>1</v>
      </c>
      <c r="D21" s="5">
        <v>26</v>
      </c>
      <c r="E21" s="15">
        <v>0</v>
      </c>
      <c r="F21" s="27">
        <f t="shared" si="0"/>
        <v>0</v>
      </c>
      <c r="G21" s="17">
        <f t="shared" si="1"/>
        <v>0</v>
      </c>
      <c r="H21" s="15">
        <v>120</v>
      </c>
      <c r="I21" s="16">
        <f t="shared" si="4"/>
        <v>100</v>
      </c>
      <c r="J21" s="17">
        <f t="shared" si="5"/>
        <v>2600</v>
      </c>
      <c r="K21" s="64"/>
      <c r="L21" s="4"/>
    </row>
    <row r="22" spans="1:12" ht="25.5">
      <c r="A22" s="6">
        <v>10</v>
      </c>
      <c r="B22" s="34" t="s">
        <v>67</v>
      </c>
      <c r="C22" s="9" t="s">
        <v>1</v>
      </c>
      <c r="D22" s="5">
        <v>3</v>
      </c>
      <c r="E22" s="15">
        <v>330.5</v>
      </c>
      <c r="F22" s="27">
        <f t="shared" si="0"/>
        <v>275.41666666666669</v>
      </c>
      <c r="G22" s="17">
        <f t="shared" si="1"/>
        <v>826.25</v>
      </c>
      <c r="H22" s="15">
        <v>40.871186440677967</v>
      </c>
      <c r="I22" s="16">
        <f t="shared" si="4"/>
        <v>34.059322033898304</v>
      </c>
      <c r="J22" s="17">
        <f t="shared" si="5"/>
        <v>102.17796610169492</v>
      </c>
      <c r="K22" s="64"/>
      <c r="L22" s="4"/>
    </row>
    <row r="23" spans="1:12" ht="25.5">
      <c r="A23" s="6">
        <v>11</v>
      </c>
      <c r="B23" s="34" t="s">
        <v>46</v>
      </c>
      <c r="C23" s="9" t="s">
        <v>1</v>
      </c>
      <c r="D23" s="5">
        <v>8</v>
      </c>
      <c r="E23" s="15"/>
      <c r="F23" s="27"/>
      <c r="G23" s="17"/>
      <c r="H23" s="15"/>
      <c r="I23" s="16"/>
      <c r="J23" s="17"/>
      <c r="K23" s="64"/>
      <c r="L23" s="4"/>
    </row>
    <row r="24" spans="1:12" ht="25.5">
      <c r="A24" s="6">
        <v>12</v>
      </c>
      <c r="B24" s="34" t="s">
        <v>47</v>
      </c>
      <c r="C24" s="9" t="s">
        <v>3</v>
      </c>
      <c r="D24" s="5">
        <v>83</v>
      </c>
      <c r="E24" s="15">
        <v>330.5</v>
      </c>
      <c r="F24" s="27">
        <f t="shared" si="0"/>
        <v>275.41666666666669</v>
      </c>
      <c r="G24" s="17">
        <f t="shared" si="1"/>
        <v>22859.583333333336</v>
      </c>
      <c r="H24" s="15">
        <v>40.869999999999997</v>
      </c>
      <c r="I24" s="16">
        <f t="shared" si="4"/>
        <v>34.05833333333333</v>
      </c>
      <c r="J24" s="17">
        <f t="shared" si="5"/>
        <v>2826.8416666666662</v>
      </c>
      <c r="K24" s="64"/>
      <c r="L24" s="4"/>
    </row>
    <row r="25" spans="1:12" ht="25.5">
      <c r="A25" s="6">
        <v>13</v>
      </c>
      <c r="B25" s="34" t="s">
        <v>48</v>
      </c>
      <c r="C25" s="9" t="s">
        <v>3</v>
      </c>
      <c r="D25" s="5">
        <v>14</v>
      </c>
      <c r="E25" s="15">
        <v>330.5</v>
      </c>
      <c r="F25" s="27">
        <f t="shared" si="0"/>
        <v>275.41666666666669</v>
      </c>
      <c r="G25" s="17">
        <f t="shared" si="1"/>
        <v>3855.8333333333335</v>
      </c>
      <c r="H25" s="15">
        <v>40.869999999999997</v>
      </c>
      <c r="I25" s="16">
        <f t="shared" si="4"/>
        <v>34.05833333333333</v>
      </c>
      <c r="J25" s="17">
        <f t="shared" si="5"/>
        <v>476.81666666666661</v>
      </c>
      <c r="K25" s="64"/>
      <c r="L25" s="4"/>
    </row>
    <row r="26" spans="1:12" ht="25.5">
      <c r="A26" s="6">
        <v>14</v>
      </c>
      <c r="B26" s="34" t="s">
        <v>49</v>
      </c>
      <c r="C26" s="9" t="s">
        <v>1</v>
      </c>
      <c r="D26" s="5">
        <v>11</v>
      </c>
      <c r="E26" s="15">
        <v>330.5</v>
      </c>
      <c r="F26" s="27">
        <f t="shared" si="0"/>
        <v>275.41666666666669</v>
      </c>
      <c r="G26" s="17">
        <f t="shared" si="1"/>
        <v>3029.5833333333335</v>
      </c>
      <c r="H26" s="15">
        <v>40.869999999999997</v>
      </c>
      <c r="I26" s="16">
        <f t="shared" si="4"/>
        <v>34.05833333333333</v>
      </c>
      <c r="J26" s="17">
        <f t="shared" si="5"/>
        <v>374.64166666666665</v>
      </c>
      <c r="K26" s="64"/>
      <c r="L26" s="4"/>
    </row>
    <row r="27" spans="1:12" ht="25.5">
      <c r="A27" s="6">
        <v>15</v>
      </c>
      <c r="B27" s="34" t="s">
        <v>51</v>
      </c>
      <c r="C27" s="9" t="s">
        <v>0</v>
      </c>
      <c r="D27" s="5">
        <v>49</v>
      </c>
      <c r="E27" s="15">
        <v>330.5</v>
      </c>
      <c r="F27" s="27">
        <f t="shared" si="0"/>
        <v>275.41666666666669</v>
      </c>
      <c r="G27" s="17">
        <f t="shared" si="1"/>
        <v>13495.416666666668</v>
      </c>
      <c r="H27" s="15">
        <v>40.869999999999997</v>
      </c>
      <c r="I27" s="16">
        <f t="shared" si="4"/>
        <v>34.05833333333333</v>
      </c>
      <c r="J27" s="17">
        <f t="shared" si="5"/>
        <v>1668.8583333333331</v>
      </c>
      <c r="K27" s="64"/>
      <c r="L27" s="4"/>
    </row>
    <row r="28" spans="1:12" ht="25.5">
      <c r="A28" s="6">
        <v>16</v>
      </c>
      <c r="B28" s="34" t="s">
        <v>52</v>
      </c>
      <c r="C28" s="9" t="s">
        <v>0</v>
      </c>
      <c r="D28" s="5">
        <v>17.899999999999999</v>
      </c>
      <c r="E28" s="15">
        <v>330.5</v>
      </c>
      <c r="F28" s="27">
        <f t="shared" si="0"/>
        <v>275.41666666666669</v>
      </c>
      <c r="G28" s="17">
        <f t="shared" si="1"/>
        <v>4929.958333333333</v>
      </c>
      <c r="H28" s="15">
        <v>40.869999999999997</v>
      </c>
      <c r="I28" s="16">
        <f t="shared" si="4"/>
        <v>34.05833333333333</v>
      </c>
      <c r="J28" s="17">
        <f t="shared" si="5"/>
        <v>609.64416666666659</v>
      </c>
      <c r="K28" s="64"/>
      <c r="L28" s="4"/>
    </row>
    <row r="29" spans="1:12" ht="25.5">
      <c r="A29" s="6">
        <v>17</v>
      </c>
      <c r="B29" s="34" t="s">
        <v>50</v>
      </c>
      <c r="C29" s="9" t="s">
        <v>0</v>
      </c>
      <c r="D29" s="5">
        <v>7.2</v>
      </c>
      <c r="E29" s="28">
        <v>320.33999999999997</v>
      </c>
      <c r="F29" s="45">
        <f t="shared" si="0"/>
        <v>266.95</v>
      </c>
      <c r="G29" s="46">
        <f t="shared" si="1"/>
        <v>1922.04</v>
      </c>
      <c r="H29" s="28">
        <v>256.61</v>
      </c>
      <c r="I29" s="16">
        <f t="shared" si="4"/>
        <v>213.8416666666667</v>
      </c>
      <c r="J29" s="17">
        <f t="shared" si="5"/>
        <v>1539.6600000000003</v>
      </c>
      <c r="K29" s="64"/>
      <c r="L29" s="4"/>
    </row>
    <row r="30" spans="1:12" ht="25.5">
      <c r="A30" s="6">
        <v>18</v>
      </c>
      <c r="B30" s="33" t="s">
        <v>20</v>
      </c>
      <c r="C30" s="47" t="s">
        <v>3</v>
      </c>
      <c r="D30" s="5">
        <v>6</v>
      </c>
      <c r="E30" s="15">
        <v>289.83999999999997</v>
      </c>
      <c r="F30" s="27">
        <f t="shared" si="0"/>
        <v>241.53333333333333</v>
      </c>
      <c r="G30" s="17">
        <f t="shared" si="1"/>
        <v>1449.2</v>
      </c>
      <c r="H30" s="15">
        <v>7107.94</v>
      </c>
      <c r="I30" s="16">
        <f t="shared" si="4"/>
        <v>5923.2833333333328</v>
      </c>
      <c r="J30" s="17">
        <f t="shared" si="5"/>
        <v>35539.699999999997</v>
      </c>
      <c r="K30" s="64"/>
      <c r="L30" s="4"/>
    </row>
    <row r="31" spans="1:12" ht="25.5">
      <c r="A31" s="6">
        <v>19</v>
      </c>
      <c r="B31" s="33" t="s">
        <v>21</v>
      </c>
      <c r="C31" s="47" t="s">
        <v>3</v>
      </c>
      <c r="D31" s="5">
        <v>6</v>
      </c>
      <c r="E31" s="15">
        <v>289.83999999999997</v>
      </c>
      <c r="F31" s="27">
        <f t="shared" si="0"/>
        <v>241.53333333333333</v>
      </c>
      <c r="G31" s="17">
        <f t="shared" si="1"/>
        <v>1449.2</v>
      </c>
      <c r="H31" s="15">
        <v>432.17</v>
      </c>
      <c r="I31" s="16">
        <f t="shared" si="4"/>
        <v>360.14166666666671</v>
      </c>
      <c r="J31" s="17">
        <f t="shared" si="5"/>
        <v>2160.8500000000004</v>
      </c>
      <c r="K31" s="64"/>
      <c r="L31" s="4"/>
    </row>
    <row r="32" spans="1:12" ht="25.5">
      <c r="A32" s="6">
        <v>20</v>
      </c>
      <c r="B32" s="19" t="s">
        <v>71</v>
      </c>
      <c r="C32" s="47" t="s">
        <v>1</v>
      </c>
      <c r="D32" s="5">
        <v>8</v>
      </c>
      <c r="E32" s="15">
        <v>289.83600000000001</v>
      </c>
      <c r="F32" s="27">
        <f t="shared" si="0"/>
        <v>241.53000000000003</v>
      </c>
      <c r="G32" s="17">
        <f t="shared" si="1"/>
        <v>1932.2400000000002</v>
      </c>
      <c r="H32" s="15">
        <v>5200</v>
      </c>
      <c r="I32" s="16">
        <f t="shared" si="4"/>
        <v>4333.3333333333339</v>
      </c>
      <c r="J32" s="17">
        <f t="shared" si="5"/>
        <v>34666.666666666672</v>
      </c>
      <c r="K32" s="64"/>
      <c r="L32" s="4"/>
    </row>
    <row r="33" spans="1:12" ht="25.5">
      <c r="A33" s="6">
        <v>21</v>
      </c>
      <c r="B33" s="1" t="s">
        <v>22</v>
      </c>
      <c r="C33" s="8" t="s">
        <v>3</v>
      </c>
      <c r="D33" s="5">
        <v>3</v>
      </c>
      <c r="E33" s="15">
        <v>330.5</v>
      </c>
      <c r="F33" s="27">
        <f t="shared" si="0"/>
        <v>275.41666666666669</v>
      </c>
      <c r="G33" s="17">
        <f t="shared" si="1"/>
        <v>826.25</v>
      </c>
      <c r="H33" s="15">
        <v>14104.8</v>
      </c>
      <c r="I33" s="16">
        <f t="shared" si="4"/>
        <v>11754</v>
      </c>
      <c r="J33" s="17">
        <f t="shared" si="5"/>
        <v>35262</v>
      </c>
      <c r="K33" s="64"/>
      <c r="L33" s="4"/>
    </row>
    <row r="34" spans="1:12" ht="25.5">
      <c r="A34" s="6">
        <v>22</v>
      </c>
      <c r="B34" s="1" t="s">
        <v>23</v>
      </c>
      <c r="C34" s="8" t="s">
        <v>3</v>
      </c>
      <c r="D34" s="5">
        <v>3</v>
      </c>
      <c r="E34" s="15">
        <v>330.5</v>
      </c>
      <c r="F34" s="27">
        <f t="shared" si="0"/>
        <v>275.41666666666669</v>
      </c>
      <c r="G34" s="17">
        <f t="shared" si="1"/>
        <v>826.25</v>
      </c>
      <c r="H34" s="15">
        <v>7540</v>
      </c>
      <c r="I34" s="16">
        <f t="shared" si="4"/>
        <v>6283.3333333333339</v>
      </c>
      <c r="J34" s="17">
        <f t="shared" si="5"/>
        <v>18850</v>
      </c>
      <c r="K34" s="64"/>
      <c r="L34" s="4"/>
    </row>
    <row r="35" spans="1:12">
      <c r="A35" s="6">
        <v>23</v>
      </c>
      <c r="B35" s="1" t="s">
        <v>24</v>
      </c>
      <c r="C35" s="8" t="s">
        <v>3</v>
      </c>
      <c r="D35" s="5">
        <v>1</v>
      </c>
      <c r="E35" s="15">
        <v>508.47</v>
      </c>
      <c r="F35" s="27">
        <f t="shared" si="0"/>
        <v>423.72500000000002</v>
      </c>
      <c r="G35" s="17">
        <f t="shared" si="1"/>
        <v>423.72500000000002</v>
      </c>
      <c r="H35" s="15">
        <v>921.90717566925377</v>
      </c>
      <c r="I35" s="16">
        <f t="shared" si="4"/>
        <v>768.25597972437822</v>
      </c>
      <c r="J35" s="17">
        <f t="shared" si="5"/>
        <v>768.25597972437822</v>
      </c>
      <c r="K35" s="64"/>
      <c r="L35" s="4"/>
    </row>
    <row r="36" spans="1:12">
      <c r="A36" s="6">
        <v>24</v>
      </c>
      <c r="B36" s="31" t="s">
        <v>25</v>
      </c>
      <c r="C36" s="47" t="s">
        <v>0</v>
      </c>
      <c r="D36" s="5">
        <v>42</v>
      </c>
      <c r="E36" s="15">
        <v>205</v>
      </c>
      <c r="F36" s="27">
        <f t="shared" si="0"/>
        <v>170.83333333333334</v>
      </c>
      <c r="G36" s="17">
        <f t="shared" si="1"/>
        <v>7175</v>
      </c>
      <c r="H36" s="15">
        <v>205.03</v>
      </c>
      <c r="I36" s="16">
        <f t="shared" si="4"/>
        <v>170.85833333333335</v>
      </c>
      <c r="J36" s="17">
        <f t="shared" si="5"/>
        <v>7176.0500000000011</v>
      </c>
      <c r="K36" s="64"/>
      <c r="L36" s="4"/>
    </row>
    <row r="37" spans="1:12">
      <c r="A37" s="6">
        <v>25</v>
      </c>
      <c r="B37" s="31" t="s">
        <v>26</v>
      </c>
      <c r="C37" s="47" t="s">
        <v>3</v>
      </c>
      <c r="D37" s="5">
        <v>3</v>
      </c>
      <c r="E37" s="15">
        <v>129.16</v>
      </c>
      <c r="F37" s="27">
        <f t="shared" si="0"/>
        <v>107.63333333333334</v>
      </c>
      <c r="G37" s="17">
        <f t="shared" si="1"/>
        <v>322.90000000000003</v>
      </c>
      <c r="H37" s="15">
        <v>874.57</v>
      </c>
      <c r="I37" s="16">
        <f t="shared" si="4"/>
        <v>728.80833333333339</v>
      </c>
      <c r="J37" s="17">
        <f t="shared" si="5"/>
        <v>2186.4250000000002</v>
      </c>
      <c r="K37" s="64"/>
      <c r="L37" s="4"/>
    </row>
    <row r="38" spans="1:12">
      <c r="A38" s="6">
        <v>26</v>
      </c>
      <c r="B38" s="31" t="s">
        <v>27</v>
      </c>
      <c r="C38" s="47" t="s">
        <v>3</v>
      </c>
      <c r="D38" s="5">
        <v>1</v>
      </c>
      <c r="E38" s="15">
        <v>129.16</v>
      </c>
      <c r="F38" s="27">
        <f t="shared" si="0"/>
        <v>107.63333333333334</v>
      </c>
      <c r="G38" s="17">
        <f t="shared" si="1"/>
        <v>107.63333333333334</v>
      </c>
      <c r="H38" s="15">
        <v>1494.91</v>
      </c>
      <c r="I38" s="16">
        <f t="shared" si="4"/>
        <v>1245.7583333333334</v>
      </c>
      <c r="J38" s="17">
        <f t="shared" si="5"/>
        <v>1245.7583333333334</v>
      </c>
      <c r="K38" s="64"/>
      <c r="L38" s="4"/>
    </row>
    <row r="39" spans="1:12">
      <c r="A39" s="6">
        <v>27</v>
      </c>
      <c r="B39" s="7" t="s">
        <v>28</v>
      </c>
      <c r="C39" s="2" t="s">
        <v>0</v>
      </c>
      <c r="D39" s="5">
        <v>6</v>
      </c>
      <c r="E39" s="15">
        <v>145</v>
      </c>
      <c r="F39" s="27">
        <f t="shared" si="0"/>
        <v>120.83333333333334</v>
      </c>
      <c r="G39" s="17">
        <f t="shared" si="1"/>
        <v>725</v>
      </c>
      <c r="H39" s="15">
        <v>446.7</v>
      </c>
      <c r="I39" s="16">
        <f t="shared" si="4"/>
        <v>372.25</v>
      </c>
      <c r="J39" s="17">
        <f t="shared" si="5"/>
        <v>2233.5</v>
      </c>
      <c r="K39" s="64"/>
      <c r="L39" s="4"/>
    </row>
    <row r="40" spans="1:12">
      <c r="A40" s="6">
        <v>28</v>
      </c>
      <c r="B40" s="10" t="s">
        <v>29</v>
      </c>
      <c r="C40" s="2" t="s">
        <v>3</v>
      </c>
      <c r="D40" s="5">
        <v>4</v>
      </c>
      <c r="E40" s="15">
        <v>0</v>
      </c>
      <c r="F40" s="27">
        <f t="shared" si="0"/>
        <v>0</v>
      </c>
      <c r="G40" s="17">
        <f t="shared" si="1"/>
        <v>0</v>
      </c>
      <c r="H40" s="15">
        <v>162.71</v>
      </c>
      <c r="I40" s="16">
        <f t="shared" si="4"/>
        <v>135.59166666666667</v>
      </c>
      <c r="J40" s="17">
        <f t="shared" si="5"/>
        <v>542.36666666666667</v>
      </c>
      <c r="K40" s="64"/>
      <c r="L40" s="4"/>
    </row>
    <row r="41" spans="1:12">
      <c r="A41" s="6">
        <v>29</v>
      </c>
      <c r="B41" s="1" t="s">
        <v>30</v>
      </c>
      <c r="C41" s="2" t="s">
        <v>0</v>
      </c>
      <c r="D41" s="5">
        <v>140</v>
      </c>
      <c r="E41" s="15">
        <v>56.95</v>
      </c>
      <c r="F41" s="27">
        <f t="shared" si="0"/>
        <v>47.458333333333336</v>
      </c>
      <c r="G41" s="17">
        <f t="shared" si="1"/>
        <v>6644.166666666667</v>
      </c>
      <c r="H41" s="15">
        <v>102</v>
      </c>
      <c r="I41" s="16">
        <f t="shared" ref="I41:I55" si="10">H41/1.2</f>
        <v>85</v>
      </c>
      <c r="J41" s="17">
        <f t="shared" ref="J41:J52" si="11">D41*I41</f>
        <v>11900</v>
      </c>
      <c r="K41" s="64"/>
      <c r="L41" s="4"/>
    </row>
    <row r="42" spans="1:12">
      <c r="A42" s="6">
        <v>30</v>
      </c>
      <c r="B42" s="1" t="s">
        <v>64</v>
      </c>
      <c r="C42" s="2" t="s">
        <v>0</v>
      </c>
      <c r="D42" s="5">
        <v>815</v>
      </c>
      <c r="E42" s="15">
        <v>56.95</v>
      </c>
      <c r="F42" s="27">
        <f t="shared" si="0"/>
        <v>47.458333333333336</v>
      </c>
      <c r="G42" s="17">
        <f t="shared" si="1"/>
        <v>38678.541666666672</v>
      </c>
      <c r="H42" s="15">
        <v>64</v>
      </c>
      <c r="I42" s="16">
        <f t="shared" ref="I42" si="12">H42/1.2</f>
        <v>53.333333333333336</v>
      </c>
      <c r="J42" s="17">
        <f t="shared" ref="J42" si="13">D42*I42</f>
        <v>43466.666666666672</v>
      </c>
      <c r="K42" s="64"/>
      <c r="L42" s="4"/>
    </row>
    <row r="43" spans="1:12">
      <c r="A43" s="6">
        <v>31</v>
      </c>
      <c r="B43" s="1" t="s">
        <v>55</v>
      </c>
      <c r="C43" s="2" t="s">
        <v>0</v>
      </c>
      <c r="D43" s="5">
        <v>2</v>
      </c>
      <c r="E43" s="15">
        <v>56.95</v>
      </c>
      <c r="F43" s="27">
        <f t="shared" si="0"/>
        <v>47.458333333333336</v>
      </c>
      <c r="G43" s="17">
        <f t="shared" si="1"/>
        <v>94.916666666666671</v>
      </c>
      <c r="H43" s="15">
        <v>110</v>
      </c>
      <c r="I43" s="16">
        <f t="shared" si="10"/>
        <v>91.666666666666671</v>
      </c>
      <c r="J43" s="17">
        <f t="shared" si="11"/>
        <v>183.33333333333334</v>
      </c>
      <c r="K43" s="64"/>
      <c r="L43" s="4"/>
    </row>
    <row r="44" spans="1:12">
      <c r="A44" s="6">
        <v>32</v>
      </c>
      <c r="B44" s="1" t="s">
        <v>65</v>
      </c>
      <c r="C44" s="62" t="s">
        <v>0</v>
      </c>
      <c r="D44" s="5">
        <v>105</v>
      </c>
      <c r="E44" s="63">
        <v>56.95</v>
      </c>
      <c r="F44" s="27">
        <f t="shared" si="0"/>
        <v>47.458333333333336</v>
      </c>
      <c r="G44" s="17">
        <f t="shared" si="1"/>
        <v>4983.125</v>
      </c>
      <c r="H44" s="15">
        <v>97</v>
      </c>
      <c r="I44" s="16">
        <f t="shared" si="10"/>
        <v>80.833333333333343</v>
      </c>
      <c r="J44" s="17">
        <f t="shared" si="11"/>
        <v>8487.5000000000018</v>
      </c>
      <c r="K44" s="64"/>
      <c r="L44" s="4"/>
    </row>
    <row r="45" spans="1:12">
      <c r="A45" s="6">
        <v>33</v>
      </c>
      <c r="B45" s="34" t="s">
        <v>53</v>
      </c>
      <c r="C45" s="53" t="s">
        <v>0</v>
      </c>
      <c r="D45" s="5">
        <v>45</v>
      </c>
      <c r="E45" s="54">
        <v>65.084745762711862</v>
      </c>
      <c r="F45" s="55">
        <f t="shared" si="0"/>
        <v>54.237288135593218</v>
      </c>
      <c r="G45" s="56">
        <f t="shared" si="1"/>
        <v>2440.6779661016949</v>
      </c>
      <c r="H45" s="52">
        <v>50</v>
      </c>
      <c r="I45" s="55">
        <f t="shared" si="10"/>
        <v>41.666666666666671</v>
      </c>
      <c r="J45" s="56">
        <f t="shared" si="11"/>
        <v>1875.0000000000002</v>
      </c>
      <c r="K45" s="64"/>
      <c r="L45" s="4"/>
    </row>
    <row r="46" spans="1:12">
      <c r="A46" s="6">
        <v>34</v>
      </c>
      <c r="B46" s="34" t="s">
        <v>66</v>
      </c>
      <c r="C46" s="53" t="s">
        <v>0</v>
      </c>
      <c r="D46" s="5">
        <v>50</v>
      </c>
      <c r="E46" s="54">
        <v>65.08</v>
      </c>
      <c r="F46" s="55">
        <f t="shared" si="0"/>
        <v>54.233333333333334</v>
      </c>
      <c r="G46" s="56">
        <f t="shared" si="1"/>
        <v>2711.6666666666665</v>
      </c>
      <c r="H46" s="52">
        <v>30</v>
      </c>
      <c r="I46" s="55">
        <f t="shared" si="10"/>
        <v>25</v>
      </c>
      <c r="J46" s="56">
        <f t="shared" si="11"/>
        <v>1250</v>
      </c>
      <c r="K46" s="64"/>
      <c r="L46" s="4"/>
    </row>
    <row r="47" spans="1:12">
      <c r="A47" s="6">
        <v>35</v>
      </c>
      <c r="B47" s="1" t="s">
        <v>31</v>
      </c>
      <c r="C47" s="47" t="s">
        <v>3</v>
      </c>
      <c r="D47" s="5">
        <v>14</v>
      </c>
      <c r="E47" s="15">
        <v>80</v>
      </c>
      <c r="F47" s="27">
        <f t="shared" si="0"/>
        <v>66.666666666666671</v>
      </c>
      <c r="G47" s="17">
        <f t="shared" si="1"/>
        <v>933.33333333333337</v>
      </c>
      <c r="H47" s="15">
        <v>110</v>
      </c>
      <c r="I47" s="16">
        <f t="shared" si="10"/>
        <v>91.666666666666671</v>
      </c>
      <c r="J47" s="17">
        <f t="shared" si="11"/>
        <v>1283.3333333333335</v>
      </c>
      <c r="K47" s="64"/>
      <c r="L47" s="4"/>
    </row>
    <row r="48" spans="1:12" ht="25.5">
      <c r="A48" s="6">
        <v>36</v>
      </c>
      <c r="B48" s="7" t="s">
        <v>32</v>
      </c>
      <c r="C48" s="47" t="s">
        <v>3</v>
      </c>
      <c r="D48" s="5">
        <v>50</v>
      </c>
      <c r="E48" s="15">
        <v>111.87</v>
      </c>
      <c r="F48" s="27">
        <f t="shared" si="0"/>
        <v>93.225000000000009</v>
      </c>
      <c r="G48" s="17">
        <f t="shared" si="1"/>
        <v>4661.25</v>
      </c>
      <c r="H48" s="15">
        <v>110</v>
      </c>
      <c r="I48" s="16">
        <f t="shared" si="10"/>
        <v>91.666666666666671</v>
      </c>
      <c r="J48" s="17">
        <f t="shared" si="11"/>
        <v>4583.3333333333339</v>
      </c>
      <c r="K48" s="64"/>
      <c r="L48" s="4"/>
    </row>
    <row r="49" spans="1:12">
      <c r="A49" s="6">
        <v>37</v>
      </c>
      <c r="B49" s="7" t="s">
        <v>56</v>
      </c>
      <c r="C49" s="47" t="s">
        <v>3</v>
      </c>
      <c r="D49" s="5">
        <v>0</v>
      </c>
      <c r="E49" s="15">
        <v>111.87</v>
      </c>
      <c r="F49" s="27">
        <f t="shared" si="0"/>
        <v>93.225000000000009</v>
      </c>
      <c r="G49" s="17">
        <f t="shared" si="1"/>
        <v>0</v>
      </c>
      <c r="H49" s="15">
        <v>1135.6500000000001</v>
      </c>
      <c r="I49" s="16">
        <f t="shared" si="10"/>
        <v>946.37500000000011</v>
      </c>
      <c r="J49" s="17">
        <f t="shared" si="11"/>
        <v>0</v>
      </c>
      <c r="K49" s="64"/>
      <c r="L49" s="4"/>
    </row>
    <row r="50" spans="1:12">
      <c r="A50" s="6">
        <v>38</v>
      </c>
      <c r="B50" s="7" t="s">
        <v>54</v>
      </c>
      <c r="C50" s="47" t="s">
        <v>3</v>
      </c>
      <c r="D50" s="5">
        <v>3</v>
      </c>
      <c r="E50" s="15">
        <v>111.87</v>
      </c>
      <c r="F50" s="27">
        <f t="shared" ref="F50:F56" si="14">E50/1.2</f>
        <v>93.225000000000009</v>
      </c>
      <c r="G50" s="17">
        <f t="shared" ref="G50:G56" si="15">D50*F50</f>
        <v>279.67500000000001</v>
      </c>
      <c r="H50" s="15">
        <v>394</v>
      </c>
      <c r="I50" s="16">
        <f t="shared" si="10"/>
        <v>328.33333333333337</v>
      </c>
      <c r="J50" s="17">
        <f t="shared" ref="J50" si="16">D50*I50</f>
        <v>985.00000000000011</v>
      </c>
      <c r="K50" s="64"/>
      <c r="L50" s="4"/>
    </row>
    <row r="51" spans="1:12">
      <c r="A51" s="6">
        <v>39</v>
      </c>
      <c r="B51" s="33" t="s">
        <v>60</v>
      </c>
      <c r="C51" s="47" t="s">
        <v>3</v>
      </c>
      <c r="D51" s="5">
        <v>150</v>
      </c>
      <c r="E51" s="15">
        <v>0</v>
      </c>
      <c r="F51" s="27">
        <f t="shared" si="14"/>
        <v>0</v>
      </c>
      <c r="G51" s="17">
        <f t="shared" si="15"/>
        <v>0</v>
      </c>
      <c r="H51" s="15">
        <v>29</v>
      </c>
      <c r="I51" s="16">
        <f t="shared" si="10"/>
        <v>24.166666666666668</v>
      </c>
      <c r="J51" s="17">
        <f t="shared" si="11"/>
        <v>3625</v>
      </c>
      <c r="K51" s="64"/>
      <c r="L51" s="4"/>
    </row>
    <row r="52" spans="1:12">
      <c r="A52" s="6">
        <v>40</v>
      </c>
      <c r="B52" s="33" t="s">
        <v>61</v>
      </c>
      <c r="C52" s="47" t="s">
        <v>3</v>
      </c>
      <c r="D52" s="5">
        <v>150</v>
      </c>
      <c r="E52" s="15">
        <v>0</v>
      </c>
      <c r="F52" s="27">
        <f t="shared" si="14"/>
        <v>0</v>
      </c>
      <c r="G52" s="17">
        <f t="shared" si="15"/>
        <v>0</v>
      </c>
      <c r="H52" s="15">
        <v>36</v>
      </c>
      <c r="I52" s="16">
        <f t="shared" si="10"/>
        <v>30</v>
      </c>
      <c r="J52" s="17">
        <f t="shared" si="11"/>
        <v>4500</v>
      </c>
      <c r="K52" s="64"/>
      <c r="L52" s="4"/>
    </row>
    <row r="53" spans="1:12" ht="25.5">
      <c r="A53" s="6">
        <v>41</v>
      </c>
      <c r="B53" s="1" t="s">
        <v>33</v>
      </c>
      <c r="C53" s="47" t="s">
        <v>3</v>
      </c>
      <c r="D53" s="5">
        <v>20</v>
      </c>
      <c r="E53" s="15">
        <v>161.69</v>
      </c>
      <c r="F53" s="27">
        <f t="shared" si="14"/>
        <v>134.74166666666667</v>
      </c>
      <c r="G53" s="17">
        <f t="shared" si="15"/>
        <v>2694.8333333333335</v>
      </c>
      <c r="H53" s="15">
        <v>45</v>
      </c>
      <c r="I53" s="16">
        <f t="shared" si="10"/>
        <v>37.5</v>
      </c>
      <c r="J53" s="17">
        <f t="shared" ref="J53:J56" si="17">D53*I53</f>
        <v>750</v>
      </c>
      <c r="K53" s="64"/>
      <c r="L53" s="4"/>
    </row>
    <row r="54" spans="1:12">
      <c r="A54" s="6">
        <v>42</v>
      </c>
      <c r="B54" s="59" t="s">
        <v>58</v>
      </c>
      <c r="C54" s="47" t="s">
        <v>3</v>
      </c>
      <c r="D54" s="58">
        <v>1</v>
      </c>
      <c r="E54" s="15">
        <v>6020.34</v>
      </c>
      <c r="F54" s="27">
        <f t="shared" si="14"/>
        <v>5016.9500000000007</v>
      </c>
      <c r="G54" s="17">
        <f t="shared" si="15"/>
        <v>5016.9500000000007</v>
      </c>
      <c r="H54" s="15">
        <v>254.71249801995882</v>
      </c>
      <c r="I54" s="16">
        <f t="shared" si="10"/>
        <v>212.26041501663235</v>
      </c>
      <c r="J54" s="17">
        <f t="shared" si="17"/>
        <v>212.26041501663235</v>
      </c>
      <c r="K54" s="64"/>
      <c r="L54" s="4"/>
    </row>
    <row r="55" spans="1:12">
      <c r="A55" s="6">
        <v>43</v>
      </c>
      <c r="B55" s="59" t="s">
        <v>59</v>
      </c>
      <c r="C55" s="47" t="s">
        <v>3</v>
      </c>
      <c r="D55" s="58">
        <v>1</v>
      </c>
      <c r="E55" s="15">
        <v>661.02</v>
      </c>
      <c r="F55" s="27">
        <f t="shared" si="14"/>
        <v>550.85</v>
      </c>
      <c r="G55" s="17">
        <f t="shared" si="15"/>
        <v>550.85</v>
      </c>
      <c r="H55" s="15">
        <v>0</v>
      </c>
      <c r="I55" s="16">
        <f t="shared" si="10"/>
        <v>0</v>
      </c>
      <c r="J55" s="17">
        <f t="shared" si="17"/>
        <v>0</v>
      </c>
      <c r="K55" s="64"/>
      <c r="L55" s="4"/>
    </row>
    <row r="56" spans="1:12">
      <c r="A56" s="6">
        <v>44</v>
      </c>
      <c r="B56" s="7" t="s">
        <v>34</v>
      </c>
      <c r="C56" s="47" t="s">
        <v>3</v>
      </c>
      <c r="D56" s="5">
        <v>4</v>
      </c>
      <c r="E56" s="15">
        <v>661.02</v>
      </c>
      <c r="F56" s="27">
        <f t="shared" si="14"/>
        <v>550.85</v>
      </c>
      <c r="G56" s="17">
        <f t="shared" si="15"/>
        <v>2203.4</v>
      </c>
      <c r="H56" s="15">
        <v>0</v>
      </c>
      <c r="I56" s="16">
        <f>H56/1.2</f>
        <v>0</v>
      </c>
      <c r="J56" s="17">
        <f t="shared" si="17"/>
        <v>0</v>
      </c>
      <c r="K56" s="64"/>
      <c r="L56" s="4"/>
    </row>
    <row r="57" spans="1:12">
      <c r="A57" s="20"/>
      <c r="B57" s="48" t="s">
        <v>35</v>
      </c>
      <c r="C57" s="20"/>
      <c r="D57" s="20"/>
      <c r="E57" s="20"/>
      <c r="F57" s="20"/>
      <c r="G57" s="21">
        <f>SUM(G13:G56)</f>
        <v>164880.13296610172</v>
      </c>
      <c r="H57" s="21"/>
      <c r="I57" s="21"/>
      <c r="J57" s="21">
        <f>SUM(J13:J56)</f>
        <v>400512.78143711388</v>
      </c>
      <c r="K57" s="64"/>
      <c r="L57" s="4"/>
    </row>
    <row r="58" spans="1:12">
      <c r="A58" s="9"/>
      <c r="B58" s="32" t="s">
        <v>36</v>
      </c>
      <c r="C58" s="49"/>
      <c r="D58" s="37"/>
      <c r="E58" s="50"/>
      <c r="F58" s="50"/>
      <c r="G58" s="51"/>
      <c r="H58" s="50"/>
      <c r="I58" s="50"/>
      <c r="J58" s="51"/>
      <c r="K58" s="64"/>
      <c r="L58" s="4"/>
    </row>
    <row r="59" spans="1:12">
      <c r="A59" s="9">
        <f t="shared" ref="A59:A64" si="18">A58+1</f>
        <v>1</v>
      </c>
      <c r="B59" s="19" t="s">
        <v>37</v>
      </c>
      <c r="C59" s="30" t="s">
        <v>44</v>
      </c>
      <c r="D59" s="5">
        <v>300</v>
      </c>
      <c r="E59" s="15">
        <v>47.52098843655947</v>
      </c>
      <c r="F59" s="16">
        <f t="shared" ref="F59:F65" si="19">E59/1.2</f>
        <v>39.600823697132896</v>
      </c>
      <c r="G59" s="17">
        <f t="shared" ref="G59:G65" si="20">D59*F59</f>
        <v>11880.247109139869</v>
      </c>
      <c r="H59" s="15">
        <v>25.657627118644069</v>
      </c>
      <c r="I59" s="16">
        <f t="shared" ref="I59:I65" si="21">H59/1.2</f>
        <v>21.381355932203391</v>
      </c>
      <c r="J59" s="17">
        <f t="shared" ref="J59:J65" si="22">D59*I59</f>
        <v>6414.406779661017</v>
      </c>
      <c r="K59" s="64"/>
      <c r="L59" s="4"/>
    </row>
    <row r="60" spans="1:12" ht="25.5">
      <c r="A60" s="9">
        <v>2</v>
      </c>
      <c r="B60" s="19" t="s">
        <v>38</v>
      </c>
      <c r="C60" s="30" t="s">
        <v>45</v>
      </c>
      <c r="D60" s="5">
        <v>1</v>
      </c>
      <c r="E60" s="15">
        <v>2090.9234912086172</v>
      </c>
      <c r="F60" s="16">
        <f t="shared" si="19"/>
        <v>1742.4362426738478</v>
      </c>
      <c r="G60" s="17">
        <f t="shared" si="20"/>
        <v>1742.4362426738478</v>
      </c>
      <c r="H60" s="15">
        <v>5797.56</v>
      </c>
      <c r="I60" s="16">
        <f t="shared" si="21"/>
        <v>4831.3</v>
      </c>
      <c r="J60" s="17">
        <f t="shared" si="22"/>
        <v>4831.3</v>
      </c>
      <c r="K60" s="64"/>
      <c r="L60" s="4"/>
    </row>
    <row r="61" spans="1:12">
      <c r="A61" s="9">
        <f t="shared" si="18"/>
        <v>3</v>
      </c>
      <c r="B61" s="19" t="s">
        <v>41</v>
      </c>
      <c r="C61" s="30" t="s">
        <v>45</v>
      </c>
      <c r="D61" s="5">
        <v>1</v>
      </c>
      <c r="E61" s="15">
        <v>3559.3220338983051</v>
      </c>
      <c r="F61" s="16">
        <f t="shared" si="19"/>
        <v>2966.1016949152545</v>
      </c>
      <c r="G61" s="17">
        <f t="shared" si="20"/>
        <v>2966.1016949152545</v>
      </c>
      <c r="H61" s="15">
        <v>4466.9729130365913</v>
      </c>
      <c r="I61" s="16">
        <f t="shared" si="21"/>
        <v>3722.4774275304931</v>
      </c>
      <c r="J61" s="17">
        <f t="shared" si="22"/>
        <v>3722.4774275304931</v>
      </c>
      <c r="K61" s="64"/>
      <c r="L61" s="4"/>
    </row>
    <row r="62" spans="1:12">
      <c r="A62" s="9">
        <f t="shared" si="18"/>
        <v>4</v>
      </c>
      <c r="B62" s="19" t="s">
        <v>42</v>
      </c>
      <c r="C62" s="30" t="s">
        <v>45</v>
      </c>
      <c r="D62" s="5">
        <v>1</v>
      </c>
      <c r="E62" s="15">
        <v>330.50847457627123</v>
      </c>
      <c r="F62" s="16">
        <f t="shared" si="19"/>
        <v>275.42372881355936</v>
      </c>
      <c r="G62" s="17">
        <f t="shared" si="20"/>
        <v>275.42372881355936</v>
      </c>
      <c r="H62" s="15">
        <v>3000</v>
      </c>
      <c r="I62" s="16">
        <f t="shared" si="21"/>
        <v>2500</v>
      </c>
      <c r="J62" s="17">
        <f t="shared" si="22"/>
        <v>2500</v>
      </c>
      <c r="K62" s="64"/>
      <c r="L62" s="4"/>
    </row>
    <row r="63" spans="1:12" ht="25.5">
      <c r="A63" s="9">
        <f t="shared" si="18"/>
        <v>5</v>
      </c>
      <c r="B63" s="19" t="s">
        <v>69</v>
      </c>
      <c r="C63" s="30" t="s">
        <v>45</v>
      </c>
      <c r="D63" s="5">
        <v>12</v>
      </c>
      <c r="E63" s="15">
        <v>254.23728813559325</v>
      </c>
      <c r="F63" s="16">
        <f t="shared" si="19"/>
        <v>211.86440677966104</v>
      </c>
      <c r="G63" s="17">
        <f t="shared" si="20"/>
        <v>2542.3728813559323</v>
      </c>
      <c r="H63" s="15">
        <v>631.20000000000005</v>
      </c>
      <c r="I63" s="16">
        <f t="shared" si="21"/>
        <v>526.00000000000011</v>
      </c>
      <c r="J63" s="17">
        <f t="shared" si="22"/>
        <v>6312.0000000000018</v>
      </c>
      <c r="K63" s="64"/>
      <c r="L63" s="4"/>
    </row>
    <row r="64" spans="1:12">
      <c r="A64" s="9">
        <f t="shared" si="18"/>
        <v>6</v>
      </c>
      <c r="B64" s="19" t="s">
        <v>70</v>
      </c>
      <c r="C64" s="30" t="s">
        <v>3</v>
      </c>
      <c r="D64" s="5">
        <v>1</v>
      </c>
      <c r="E64" s="15">
        <v>254.24</v>
      </c>
      <c r="F64" s="16">
        <f t="shared" si="19"/>
        <v>211.86666666666667</v>
      </c>
      <c r="G64" s="17">
        <f t="shared" si="20"/>
        <v>211.86666666666667</v>
      </c>
      <c r="H64" s="15">
        <v>631.20000000000005</v>
      </c>
      <c r="I64" s="16">
        <f t="shared" si="21"/>
        <v>526.00000000000011</v>
      </c>
      <c r="J64" s="17">
        <f t="shared" si="22"/>
        <v>526.00000000000011</v>
      </c>
      <c r="K64" s="64"/>
      <c r="L64" s="4"/>
    </row>
    <row r="65" spans="1:12" ht="15.75" customHeight="1">
      <c r="A65" s="9">
        <f>A64+1</f>
        <v>7</v>
      </c>
      <c r="B65" s="19" t="s">
        <v>43</v>
      </c>
      <c r="C65" s="30" t="s">
        <v>45</v>
      </c>
      <c r="D65" s="5">
        <v>1</v>
      </c>
      <c r="E65" s="15">
        <v>0</v>
      </c>
      <c r="F65" s="16">
        <f t="shared" si="19"/>
        <v>0</v>
      </c>
      <c r="G65" s="17">
        <f t="shared" si="20"/>
        <v>0</v>
      </c>
      <c r="H65" s="15">
        <v>363.05084745762701</v>
      </c>
      <c r="I65" s="16">
        <f t="shared" si="21"/>
        <v>302.54237288135585</v>
      </c>
      <c r="J65" s="17">
        <f t="shared" si="22"/>
        <v>302.54237288135585</v>
      </c>
      <c r="K65" s="64"/>
      <c r="L65" s="4"/>
    </row>
    <row r="66" spans="1:12">
      <c r="A66" s="20"/>
      <c r="B66" s="20" t="s">
        <v>39</v>
      </c>
      <c r="C66" s="20"/>
      <c r="D66" s="20"/>
      <c r="E66" s="20"/>
      <c r="F66" s="20"/>
      <c r="G66" s="21">
        <f>SUM(G59:G65)</f>
        <v>19618.448323565128</v>
      </c>
      <c r="H66" s="21"/>
      <c r="I66" s="21"/>
      <c r="J66" s="21">
        <f>SUM(J59:J65)</f>
        <v>24608.726580072864</v>
      </c>
      <c r="K66" s="64"/>
      <c r="L66" s="4"/>
    </row>
  </sheetData>
  <sheetProtection selectLockedCells="1" selectUnlockedCells="1"/>
  <phoneticPr fontId="7" type="noConversion"/>
  <pageMargins left="0.23622047244094491" right="7.874015748031496E-2" top="0.39370078740157483" bottom="0.55118110236220474" header="0.51181102362204722" footer="0.51181102362204722"/>
  <pageSetup paperSize="9" scale="63" fitToHeight="3" orientation="portrait" useFirstPageNumber="1" r:id="rId1"/>
  <headerFooter alignWithMargins="0"/>
  <ignoredErrors>
    <ignoredError sqref="A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18"/>
  <sheetViews>
    <sheetView tabSelected="1" workbookViewId="0">
      <selection activeCell="C24" sqref="C24"/>
    </sheetView>
  </sheetViews>
  <sheetFormatPr defaultRowHeight="15"/>
  <cols>
    <col min="1" max="1" width="3.140625" style="65" customWidth="1"/>
    <col min="2" max="2" width="13.7109375" style="68" customWidth="1"/>
    <col min="3" max="3" width="64.7109375" style="69" customWidth="1"/>
    <col min="4" max="4" width="7.140625" style="65" customWidth="1"/>
    <col min="5" max="5" width="12" style="70" hidden="1" customWidth="1"/>
    <col min="6" max="6" width="22.28515625" style="71" customWidth="1"/>
    <col min="7" max="7" width="12.5703125" style="66" hidden="1" customWidth="1"/>
    <col min="8" max="8" width="24.5703125" style="67" customWidth="1"/>
    <col min="9" max="255" width="9.140625" style="65"/>
    <col min="256" max="256" width="3.140625" style="65" customWidth="1"/>
    <col min="257" max="257" width="13.7109375" style="65" customWidth="1"/>
    <col min="258" max="258" width="64.7109375" style="65" customWidth="1"/>
    <col min="259" max="259" width="7.140625" style="65" customWidth="1"/>
    <col min="260" max="260" width="0" style="65" hidden="1" customWidth="1"/>
    <col min="261" max="261" width="22.28515625" style="65" customWidth="1"/>
    <col min="262" max="262" width="0" style="65" hidden="1" customWidth="1"/>
    <col min="263" max="263" width="24.5703125" style="65" customWidth="1"/>
    <col min="264" max="264" width="32.85546875" style="65" customWidth="1"/>
    <col min="265" max="511" width="9.140625" style="65"/>
    <col min="512" max="512" width="3.140625" style="65" customWidth="1"/>
    <col min="513" max="513" width="13.7109375" style="65" customWidth="1"/>
    <col min="514" max="514" width="64.7109375" style="65" customWidth="1"/>
    <col min="515" max="515" width="7.140625" style="65" customWidth="1"/>
    <col min="516" max="516" width="0" style="65" hidden="1" customWidth="1"/>
    <col min="517" max="517" width="22.28515625" style="65" customWidth="1"/>
    <col min="518" max="518" width="0" style="65" hidden="1" customWidth="1"/>
    <col min="519" max="519" width="24.5703125" style="65" customWidth="1"/>
    <col min="520" max="520" width="32.85546875" style="65" customWidth="1"/>
    <col min="521" max="767" width="9.140625" style="65"/>
    <col min="768" max="768" width="3.140625" style="65" customWidth="1"/>
    <col min="769" max="769" width="13.7109375" style="65" customWidth="1"/>
    <col min="770" max="770" width="64.7109375" style="65" customWidth="1"/>
    <col min="771" max="771" width="7.140625" style="65" customWidth="1"/>
    <col min="772" max="772" width="0" style="65" hidden="1" customWidth="1"/>
    <col min="773" max="773" width="22.28515625" style="65" customWidth="1"/>
    <col min="774" max="774" width="0" style="65" hidden="1" customWidth="1"/>
    <col min="775" max="775" width="24.5703125" style="65" customWidth="1"/>
    <col min="776" max="776" width="32.85546875" style="65" customWidth="1"/>
    <col min="777" max="1023" width="9.140625" style="65"/>
    <col min="1024" max="1024" width="3.140625" style="65" customWidth="1"/>
    <col min="1025" max="1025" width="13.7109375" style="65" customWidth="1"/>
    <col min="1026" max="1026" width="64.7109375" style="65" customWidth="1"/>
    <col min="1027" max="1027" width="7.140625" style="65" customWidth="1"/>
    <col min="1028" max="1028" width="0" style="65" hidden="1" customWidth="1"/>
    <col min="1029" max="1029" width="22.28515625" style="65" customWidth="1"/>
    <col min="1030" max="1030" width="0" style="65" hidden="1" customWidth="1"/>
    <col min="1031" max="1031" width="24.5703125" style="65" customWidth="1"/>
    <col min="1032" max="1032" width="32.85546875" style="65" customWidth="1"/>
    <col min="1033" max="1279" width="9.140625" style="65"/>
    <col min="1280" max="1280" width="3.140625" style="65" customWidth="1"/>
    <col min="1281" max="1281" width="13.7109375" style="65" customWidth="1"/>
    <col min="1282" max="1282" width="64.7109375" style="65" customWidth="1"/>
    <col min="1283" max="1283" width="7.140625" style="65" customWidth="1"/>
    <col min="1284" max="1284" width="0" style="65" hidden="1" customWidth="1"/>
    <col min="1285" max="1285" width="22.28515625" style="65" customWidth="1"/>
    <col min="1286" max="1286" width="0" style="65" hidden="1" customWidth="1"/>
    <col min="1287" max="1287" width="24.5703125" style="65" customWidth="1"/>
    <col min="1288" max="1288" width="32.85546875" style="65" customWidth="1"/>
    <col min="1289" max="1535" width="9.140625" style="65"/>
    <col min="1536" max="1536" width="3.140625" style="65" customWidth="1"/>
    <col min="1537" max="1537" width="13.7109375" style="65" customWidth="1"/>
    <col min="1538" max="1538" width="64.7109375" style="65" customWidth="1"/>
    <col min="1539" max="1539" width="7.140625" style="65" customWidth="1"/>
    <col min="1540" max="1540" width="0" style="65" hidden="1" customWidth="1"/>
    <col min="1541" max="1541" width="22.28515625" style="65" customWidth="1"/>
    <col min="1542" max="1542" width="0" style="65" hidden="1" customWidth="1"/>
    <col min="1543" max="1543" width="24.5703125" style="65" customWidth="1"/>
    <col min="1544" max="1544" width="32.85546875" style="65" customWidth="1"/>
    <col min="1545" max="1791" width="9.140625" style="65"/>
    <col min="1792" max="1792" width="3.140625" style="65" customWidth="1"/>
    <col min="1793" max="1793" width="13.7109375" style="65" customWidth="1"/>
    <col min="1794" max="1794" width="64.7109375" style="65" customWidth="1"/>
    <col min="1795" max="1795" width="7.140625" style="65" customWidth="1"/>
    <col min="1796" max="1796" width="0" style="65" hidden="1" customWidth="1"/>
    <col min="1797" max="1797" width="22.28515625" style="65" customWidth="1"/>
    <col min="1798" max="1798" width="0" style="65" hidden="1" customWidth="1"/>
    <col min="1799" max="1799" width="24.5703125" style="65" customWidth="1"/>
    <col min="1800" max="1800" width="32.85546875" style="65" customWidth="1"/>
    <col min="1801" max="2047" width="9.140625" style="65"/>
    <col min="2048" max="2048" width="3.140625" style="65" customWidth="1"/>
    <col min="2049" max="2049" width="13.7109375" style="65" customWidth="1"/>
    <col min="2050" max="2050" width="64.7109375" style="65" customWidth="1"/>
    <col min="2051" max="2051" width="7.140625" style="65" customWidth="1"/>
    <col min="2052" max="2052" width="0" style="65" hidden="1" customWidth="1"/>
    <col min="2053" max="2053" width="22.28515625" style="65" customWidth="1"/>
    <col min="2054" max="2054" width="0" style="65" hidden="1" customWidth="1"/>
    <col min="2055" max="2055" width="24.5703125" style="65" customWidth="1"/>
    <col min="2056" max="2056" width="32.85546875" style="65" customWidth="1"/>
    <col min="2057" max="2303" width="9.140625" style="65"/>
    <col min="2304" max="2304" width="3.140625" style="65" customWidth="1"/>
    <col min="2305" max="2305" width="13.7109375" style="65" customWidth="1"/>
    <col min="2306" max="2306" width="64.7109375" style="65" customWidth="1"/>
    <col min="2307" max="2307" width="7.140625" style="65" customWidth="1"/>
    <col min="2308" max="2308" width="0" style="65" hidden="1" customWidth="1"/>
    <col min="2309" max="2309" width="22.28515625" style="65" customWidth="1"/>
    <col min="2310" max="2310" width="0" style="65" hidden="1" customWidth="1"/>
    <col min="2311" max="2311" width="24.5703125" style="65" customWidth="1"/>
    <col min="2312" max="2312" width="32.85546875" style="65" customWidth="1"/>
    <col min="2313" max="2559" width="9.140625" style="65"/>
    <col min="2560" max="2560" width="3.140625" style="65" customWidth="1"/>
    <col min="2561" max="2561" width="13.7109375" style="65" customWidth="1"/>
    <col min="2562" max="2562" width="64.7109375" style="65" customWidth="1"/>
    <col min="2563" max="2563" width="7.140625" style="65" customWidth="1"/>
    <col min="2564" max="2564" width="0" style="65" hidden="1" customWidth="1"/>
    <col min="2565" max="2565" width="22.28515625" style="65" customWidth="1"/>
    <col min="2566" max="2566" width="0" style="65" hidden="1" customWidth="1"/>
    <col min="2567" max="2567" width="24.5703125" style="65" customWidth="1"/>
    <col min="2568" max="2568" width="32.85546875" style="65" customWidth="1"/>
    <col min="2569" max="2815" width="9.140625" style="65"/>
    <col min="2816" max="2816" width="3.140625" style="65" customWidth="1"/>
    <col min="2817" max="2817" width="13.7109375" style="65" customWidth="1"/>
    <col min="2818" max="2818" width="64.7109375" style="65" customWidth="1"/>
    <col min="2819" max="2819" width="7.140625" style="65" customWidth="1"/>
    <col min="2820" max="2820" width="0" style="65" hidden="1" customWidth="1"/>
    <col min="2821" max="2821" width="22.28515625" style="65" customWidth="1"/>
    <col min="2822" max="2822" width="0" style="65" hidden="1" customWidth="1"/>
    <col min="2823" max="2823" width="24.5703125" style="65" customWidth="1"/>
    <col min="2824" max="2824" width="32.85546875" style="65" customWidth="1"/>
    <col min="2825" max="3071" width="9.140625" style="65"/>
    <col min="3072" max="3072" width="3.140625" style="65" customWidth="1"/>
    <col min="3073" max="3073" width="13.7109375" style="65" customWidth="1"/>
    <col min="3074" max="3074" width="64.7109375" style="65" customWidth="1"/>
    <col min="3075" max="3075" width="7.140625" style="65" customWidth="1"/>
    <col min="3076" max="3076" width="0" style="65" hidden="1" customWidth="1"/>
    <col min="3077" max="3077" width="22.28515625" style="65" customWidth="1"/>
    <col min="3078" max="3078" width="0" style="65" hidden="1" customWidth="1"/>
    <col min="3079" max="3079" width="24.5703125" style="65" customWidth="1"/>
    <col min="3080" max="3080" width="32.85546875" style="65" customWidth="1"/>
    <col min="3081" max="3327" width="9.140625" style="65"/>
    <col min="3328" max="3328" width="3.140625" style="65" customWidth="1"/>
    <col min="3329" max="3329" width="13.7109375" style="65" customWidth="1"/>
    <col min="3330" max="3330" width="64.7109375" style="65" customWidth="1"/>
    <col min="3331" max="3331" width="7.140625" style="65" customWidth="1"/>
    <col min="3332" max="3332" width="0" style="65" hidden="1" customWidth="1"/>
    <col min="3333" max="3333" width="22.28515625" style="65" customWidth="1"/>
    <col min="3334" max="3334" width="0" style="65" hidden="1" customWidth="1"/>
    <col min="3335" max="3335" width="24.5703125" style="65" customWidth="1"/>
    <col min="3336" max="3336" width="32.85546875" style="65" customWidth="1"/>
    <col min="3337" max="3583" width="9.140625" style="65"/>
    <col min="3584" max="3584" width="3.140625" style="65" customWidth="1"/>
    <col min="3585" max="3585" width="13.7109375" style="65" customWidth="1"/>
    <col min="3586" max="3586" width="64.7109375" style="65" customWidth="1"/>
    <col min="3587" max="3587" width="7.140625" style="65" customWidth="1"/>
    <col min="3588" max="3588" width="0" style="65" hidden="1" customWidth="1"/>
    <col min="3589" max="3589" width="22.28515625" style="65" customWidth="1"/>
    <col min="3590" max="3590" width="0" style="65" hidden="1" customWidth="1"/>
    <col min="3591" max="3591" width="24.5703125" style="65" customWidth="1"/>
    <col min="3592" max="3592" width="32.85546875" style="65" customWidth="1"/>
    <col min="3593" max="3839" width="9.140625" style="65"/>
    <col min="3840" max="3840" width="3.140625" style="65" customWidth="1"/>
    <col min="3841" max="3841" width="13.7109375" style="65" customWidth="1"/>
    <col min="3842" max="3842" width="64.7109375" style="65" customWidth="1"/>
    <col min="3843" max="3843" width="7.140625" style="65" customWidth="1"/>
    <col min="3844" max="3844" width="0" style="65" hidden="1" customWidth="1"/>
    <col min="3845" max="3845" width="22.28515625" style="65" customWidth="1"/>
    <col min="3846" max="3846" width="0" style="65" hidden="1" customWidth="1"/>
    <col min="3847" max="3847" width="24.5703125" style="65" customWidth="1"/>
    <col min="3848" max="3848" width="32.85546875" style="65" customWidth="1"/>
    <col min="3849" max="4095" width="9.140625" style="65"/>
    <col min="4096" max="4096" width="3.140625" style="65" customWidth="1"/>
    <col min="4097" max="4097" width="13.7109375" style="65" customWidth="1"/>
    <col min="4098" max="4098" width="64.7109375" style="65" customWidth="1"/>
    <col min="4099" max="4099" width="7.140625" style="65" customWidth="1"/>
    <col min="4100" max="4100" width="0" style="65" hidden="1" customWidth="1"/>
    <col min="4101" max="4101" width="22.28515625" style="65" customWidth="1"/>
    <col min="4102" max="4102" width="0" style="65" hidden="1" customWidth="1"/>
    <col min="4103" max="4103" width="24.5703125" style="65" customWidth="1"/>
    <col min="4104" max="4104" width="32.85546875" style="65" customWidth="1"/>
    <col min="4105" max="4351" width="9.140625" style="65"/>
    <col min="4352" max="4352" width="3.140625" style="65" customWidth="1"/>
    <col min="4353" max="4353" width="13.7109375" style="65" customWidth="1"/>
    <col min="4354" max="4354" width="64.7109375" style="65" customWidth="1"/>
    <col min="4355" max="4355" width="7.140625" style="65" customWidth="1"/>
    <col min="4356" max="4356" width="0" style="65" hidden="1" customWidth="1"/>
    <col min="4357" max="4357" width="22.28515625" style="65" customWidth="1"/>
    <col min="4358" max="4358" width="0" style="65" hidden="1" customWidth="1"/>
    <col min="4359" max="4359" width="24.5703125" style="65" customWidth="1"/>
    <col min="4360" max="4360" width="32.85546875" style="65" customWidth="1"/>
    <col min="4361" max="4607" width="9.140625" style="65"/>
    <col min="4608" max="4608" width="3.140625" style="65" customWidth="1"/>
    <col min="4609" max="4609" width="13.7109375" style="65" customWidth="1"/>
    <col min="4610" max="4610" width="64.7109375" style="65" customWidth="1"/>
    <col min="4611" max="4611" width="7.140625" style="65" customWidth="1"/>
    <col min="4612" max="4612" width="0" style="65" hidden="1" customWidth="1"/>
    <col min="4613" max="4613" width="22.28515625" style="65" customWidth="1"/>
    <col min="4614" max="4614" width="0" style="65" hidden="1" customWidth="1"/>
    <col min="4615" max="4615" width="24.5703125" style="65" customWidth="1"/>
    <col min="4616" max="4616" width="32.85546875" style="65" customWidth="1"/>
    <col min="4617" max="4863" width="9.140625" style="65"/>
    <col min="4864" max="4864" width="3.140625" style="65" customWidth="1"/>
    <col min="4865" max="4865" width="13.7109375" style="65" customWidth="1"/>
    <col min="4866" max="4866" width="64.7109375" style="65" customWidth="1"/>
    <col min="4867" max="4867" width="7.140625" style="65" customWidth="1"/>
    <col min="4868" max="4868" width="0" style="65" hidden="1" customWidth="1"/>
    <col min="4869" max="4869" width="22.28515625" style="65" customWidth="1"/>
    <col min="4870" max="4870" width="0" style="65" hidden="1" customWidth="1"/>
    <col min="4871" max="4871" width="24.5703125" style="65" customWidth="1"/>
    <col min="4872" max="4872" width="32.85546875" style="65" customWidth="1"/>
    <col min="4873" max="5119" width="9.140625" style="65"/>
    <col min="5120" max="5120" width="3.140625" style="65" customWidth="1"/>
    <col min="5121" max="5121" width="13.7109375" style="65" customWidth="1"/>
    <col min="5122" max="5122" width="64.7109375" style="65" customWidth="1"/>
    <col min="5123" max="5123" width="7.140625" style="65" customWidth="1"/>
    <col min="5124" max="5124" width="0" style="65" hidden="1" customWidth="1"/>
    <col min="5125" max="5125" width="22.28515625" style="65" customWidth="1"/>
    <col min="5126" max="5126" width="0" style="65" hidden="1" customWidth="1"/>
    <col min="5127" max="5127" width="24.5703125" style="65" customWidth="1"/>
    <col min="5128" max="5128" width="32.85546875" style="65" customWidth="1"/>
    <col min="5129" max="5375" width="9.140625" style="65"/>
    <col min="5376" max="5376" width="3.140625" style="65" customWidth="1"/>
    <col min="5377" max="5377" width="13.7109375" style="65" customWidth="1"/>
    <col min="5378" max="5378" width="64.7109375" style="65" customWidth="1"/>
    <col min="5379" max="5379" width="7.140625" style="65" customWidth="1"/>
    <col min="5380" max="5380" width="0" style="65" hidden="1" customWidth="1"/>
    <col min="5381" max="5381" width="22.28515625" style="65" customWidth="1"/>
    <col min="5382" max="5382" width="0" style="65" hidden="1" customWidth="1"/>
    <col min="5383" max="5383" width="24.5703125" style="65" customWidth="1"/>
    <col min="5384" max="5384" width="32.85546875" style="65" customWidth="1"/>
    <col min="5385" max="5631" width="9.140625" style="65"/>
    <col min="5632" max="5632" width="3.140625" style="65" customWidth="1"/>
    <col min="5633" max="5633" width="13.7109375" style="65" customWidth="1"/>
    <col min="5634" max="5634" width="64.7109375" style="65" customWidth="1"/>
    <col min="5635" max="5635" width="7.140625" style="65" customWidth="1"/>
    <col min="5636" max="5636" width="0" style="65" hidden="1" customWidth="1"/>
    <col min="5637" max="5637" width="22.28515625" style="65" customWidth="1"/>
    <col min="5638" max="5638" width="0" style="65" hidden="1" customWidth="1"/>
    <col min="5639" max="5639" width="24.5703125" style="65" customWidth="1"/>
    <col min="5640" max="5640" width="32.85546875" style="65" customWidth="1"/>
    <col min="5641" max="5887" width="9.140625" style="65"/>
    <col min="5888" max="5888" width="3.140625" style="65" customWidth="1"/>
    <col min="5889" max="5889" width="13.7109375" style="65" customWidth="1"/>
    <col min="5890" max="5890" width="64.7109375" style="65" customWidth="1"/>
    <col min="5891" max="5891" width="7.140625" style="65" customWidth="1"/>
    <col min="5892" max="5892" width="0" style="65" hidden="1" customWidth="1"/>
    <col min="5893" max="5893" width="22.28515625" style="65" customWidth="1"/>
    <col min="5894" max="5894" width="0" style="65" hidden="1" customWidth="1"/>
    <col min="5895" max="5895" width="24.5703125" style="65" customWidth="1"/>
    <col min="5896" max="5896" width="32.85546875" style="65" customWidth="1"/>
    <col min="5897" max="6143" width="9.140625" style="65"/>
    <col min="6144" max="6144" width="3.140625" style="65" customWidth="1"/>
    <col min="6145" max="6145" width="13.7109375" style="65" customWidth="1"/>
    <col min="6146" max="6146" width="64.7109375" style="65" customWidth="1"/>
    <col min="6147" max="6147" width="7.140625" style="65" customWidth="1"/>
    <col min="6148" max="6148" width="0" style="65" hidden="1" customWidth="1"/>
    <col min="6149" max="6149" width="22.28515625" style="65" customWidth="1"/>
    <col min="6150" max="6150" width="0" style="65" hidden="1" customWidth="1"/>
    <col min="6151" max="6151" width="24.5703125" style="65" customWidth="1"/>
    <col min="6152" max="6152" width="32.85546875" style="65" customWidth="1"/>
    <col min="6153" max="6399" width="9.140625" style="65"/>
    <col min="6400" max="6400" width="3.140625" style="65" customWidth="1"/>
    <col min="6401" max="6401" width="13.7109375" style="65" customWidth="1"/>
    <col min="6402" max="6402" width="64.7109375" style="65" customWidth="1"/>
    <col min="6403" max="6403" width="7.140625" style="65" customWidth="1"/>
    <col min="6404" max="6404" width="0" style="65" hidden="1" customWidth="1"/>
    <col min="6405" max="6405" width="22.28515625" style="65" customWidth="1"/>
    <col min="6406" max="6406" width="0" style="65" hidden="1" customWidth="1"/>
    <col min="6407" max="6407" width="24.5703125" style="65" customWidth="1"/>
    <col min="6408" max="6408" width="32.85546875" style="65" customWidth="1"/>
    <col min="6409" max="6655" width="9.140625" style="65"/>
    <col min="6656" max="6656" width="3.140625" style="65" customWidth="1"/>
    <col min="6657" max="6657" width="13.7109375" style="65" customWidth="1"/>
    <col min="6658" max="6658" width="64.7109375" style="65" customWidth="1"/>
    <col min="6659" max="6659" width="7.140625" style="65" customWidth="1"/>
    <col min="6660" max="6660" width="0" style="65" hidden="1" customWidth="1"/>
    <col min="6661" max="6661" width="22.28515625" style="65" customWidth="1"/>
    <col min="6662" max="6662" width="0" style="65" hidden="1" customWidth="1"/>
    <col min="6663" max="6663" width="24.5703125" style="65" customWidth="1"/>
    <col min="6664" max="6664" width="32.85546875" style="65" customWidth="1"/>
    <col min="6665" max="6911" width="9.140625" style="65"/>
    <col min="6912" max="6912" width="3.140625" style="65" customWidth="1"/>
    <col min="6913" max="6913" width="13.7109375" style="65" customWidth="1"/>
    <col min="6914" max="6914" width="64.7109375" style="65" customWidth="1"/>
    <col min="6915" max="6915" width="7.140625" style="65" customWidth="1"/>
    <col min="6916" max="6916" width="0" style="65" hidden="1" customWidth="1"/>
    <col min="6917" max="6917" width="22.28515625" style="65" customWidth="1"/>
    <col min="6918" max="6918" width="0" style="65" hidden="1" customWidth="1"/>
    <col min="6919" max="6919" width="24.5703125" style="65" customWidth="1"/>
    <col min="6920" max="6920" width="32.85546875" style="65" customWidth="1"/>
    <col min="6921" max="7167" width="9.140625" style="65"/>
    <col min="7168" max="7168" width="3.140625" style="65" customWidth="1"/>
    <col min="7169" max="7169" width="13.7109375" style="65" customWidth="1"/>
    <col min="7170" max="7170" width="64.7109375" style="65" customWidth="1"/>
    <col min="7171" max="7171" width="7.140625" style="65" customWidth="1"/>
    <col min="7172" max="7172" width="0" style="65" hidden="1" customWidth="1"/>
    <col min="7173" max="7173" width="22.28515625" style="65" customWidth="1"/>
    <col min="7174" max="7174" width="0" style="65" hidden="1" customWidth="1"/>
    <col min="7175" max="7175" width="24.5703125" style="65" customWidth="1"/>
    <col min="7176" max="7176" width="32.85546875" style="65" customWidth="1"/>
    <col min="7177" max="7423" width="9.140625" style="65"/>
    <col min="7424" max="7424" width="3.140625" style="65" customWidth="1"/>
    <col min="7425" max="7425" width="13.7109375" style="65" customWidth="1"/>
    <col min="7426" max="7426" width="64.7109375" style="65" customWidth="1"/>
    <col min="7427" max="7427" width="7.140625" style="65" customWidth="1"/>
    <col min="7428" max="7428" width="0" style="65" hidden="1" customWidth="1"/>
    <col min="7429" max="7429" width="22.28515625" style="65" customWidth="1"/>
    <col min="7430" max="7430" width="0" style="65" hidden="1" customWidth="1"/>
    <col min="7431" max="7431" width="24.5703125" style="65" customWidth="1"/>
    <col min="7432" max="7432" width="32.85546875" style="65" customWidth="1"/>
    <col min="7433" max="7679" width="9.140625" style="65"/>
    <col min="7680" max="7680" width="3.140625" style="65" customWidth="1"/>
    <col min="7681" max="7681" width="13.7109375" style="65" customWidth="1"/>
    <col min="7682" max="7682" width="64.7109375" style="65" customWidth="1"/>
    <col min="7683" max="7683" width="7.140625" style="65" customWidth="1"/>
    <col min="7684" max="7684" width="0" style="65" hidden="1" customWidth="1"/>
    <col min="7685" max="7685" width="22.28515625" style="65" customWidth="1"/>
    <col min="7686" max="7686" width="0" style="65" hidden="1" customWidth="1"/>
    <col min="7687" max="7687" width="24.5703125" style="65" customWidth="1"/>
    <col min="7688" max="7688" width="32.85546875" style="65" customWidth="1"/>
    <col min="7689" max="7935" width="9.140625" style="65"/>
    <col min="7936" max="7936" width="3.140625" style="65" customWidth="1"/>
    <col min="7937" max="7937" width="13.7109375" style="65" customWidth="1"/>
    <col min="7938" max="7938" width="64.7109375" style="65" customWidth="1"/>
    <col min="7939" max="7939" width="7.140625" style="65" customWidth="1"/>
    <col min="7940" max="7940" width="0" style="65" hidden="1" customWidth="1"/>
    <col min="7941" max="7941" width="22.28515625" style="65" customWidth="1"/>
    <col min="7942" max="7942" width="0" style="65" hidden="1" customWidth="1"/>
    <col min="7943" max="7943" width="24.5703125" style="65" customWidth="1"/>
    <col min="7944" max="7944" width="32.85546875" style="65" customWidth="1"/>
    <col min="7945" max="8191" width="9.140625" style="65"/>
    <col min="8192" max="8192" width="3.140625" style="65" customWidth="1"/>
    <col min="8193" max="8193" width="13.7109375" style="65" customWidth="1"/>
    <col min="8194" max="8194" width="64.7109375" style="65" customWidth="1"/>
    <col min="8195" max="8195" width="7.140625" style="65" customWidth="1"/>
    <col min="8196" max="8196" width="0" style="65" hidden="1" customWidth="1"/>
    <col min="8197" max="8197" width="22.28515625" style="65" customWidth="1"/>
    <col min="8198" max="8198" width="0" style="65" hidden="1" customWidth="1"/>
    <col min="8199" max="8199" width="24.5703125" style="65" customWidth="1"/>
    <col min="8200" max="8200" width="32.85546875" style="65" customWidth="1"/>
    <col min="8201" max="8447" width="9.140625" style="65"/>
    <col min="8448" max="8448" width="3.140625" style="65" customWidth="1"/>
    <col min="8449" max="8449" width="13.7109375" style="65" customWidth="1"/>
    <col min="8450" max="8450" width="64.7109375" style="65" customWidth="1"/>
    <col min="8451" max="8451" width="7.140625" style="65" customWidth="1"/>
    <col min="8452" max="8452" width="0" style="65" hidden="1" customWidth="1"/>
    <col min="8453" max="8453" width="22.28515625" style="65" customWidth="1"/>
    <col min="8454" max="8454" width="0" style="65" hidden="1" customWidth="1"/>
    <col min="8455" max="8455" width="24.5703125" style="65" customWidth="1"/>
    <col min="8456" max="8456" width="32.85546875" style="65" customWidth="1"/>
    <col min="8457" max="8703" width="9.140625" style="65"/>
    <col min="8704" max="8704" width="3.140625" style="65" customWidth="1"/>
    <col min="8705" max="8705" width="13.7109375" style="65" customWidth="1"/>
    <col min="8706" max="8706" width="64.7109375" style="65" customWidth="1"/>
    <col min="8707" max="8707" width="7.140625" style="65" customWidth="1"/>
    <col min="8708" max="8708" width="0" style="65" hidden="1" customWidth="1"/>
    <col min="8709" max="8709" width="22.28515625" style="65" customWidth="1"/>
    <col min="8710" max="8710" width="0" style="65" hidden="1" customWidth="1"/>
    <col min="8711" max="8711" width="24.5703125" style="65" customWidth="1"/>
    <col min="8712" max="8712" width="32.85546875" style="65" customWidth="1"/>
    <col min="8713" max="8959" width="9.140625" style="65"/>
    <col min="8960" max="8960" width="3.140625" style="65" customWidth="1"/>
    <col min="8961" max="8961" width="13.7109375" style="65" customWidth="1"/>
    <col min="8962" max="8962" width="64.7109375" style="65" customWidth="1"/>
    <col min="8963" max="8963" width="7.140625" style="65" customWidth="1"/>
    <col min="8964" max="8964" width="0" style="65" hidden="1" customWidth="1"/>
    <col min="8965" max="8965" width="22.28515625" style="65" customWidth="1"/>
    <col min="8966" max="8966" width="0" style="65" hidden="1" customWidth="1"/>
    <col min="8967" max="8967" width="24.5703125" style="65" customWidth="1"/>
    <col min="8968" max="8968" width="32.85546875" style="65" customWidth="1"/>
    <col min="8969" max="9215" width="9.140625" style="65"/>
    <col min="9216" max="9216" width="3.140625" style="65" customWidth="1"/>
    <col min="9217" max="9217" width="13.7109375" style="65" customWidth="1"/>
    <col min="9218" max="9218" width="64.7109375" style="65" customWidth="1"/>
    <col min="9219" max="9219" width="7.140625" style="65" customWidth="1"/>
    <col min="9220" max="9220" width="0" style="65" hidden="1" customWidth="1"/>
    <col min="9221" max="9221" width="22.28515625" style="65" customWidth="1"/>
    <col min="9222" max="9222" width="0" style="65" hidden="1" customWidth="1"/>
    <col min="9223" max="9223" width="24.5703125" style="65" customWidth="1"/>
    <col min="9224" max="9224" width="32.85546875" style="65" customWidth="1"/>
    <col min="9225" max="9471" width="9.140625" style="65"/>
    <col min="9472" max="9472" width="3.140625" style="65" customWidth="1"/>
    <col min="9473" max="9473" width="13.7109375" style="65" customWidth="1"/>
    <col min="9474" max="9474" width="64.7109375" style="65" customWidth="1"/>
    <col min="9475" max="9475" width="7.140625" style="65" customWidth="1"/>
    <col min="9476" max="9476" width="0" style="65" hidden="1" customWidth="1"/>
    <col min="9477" max="9477" width="22.28515625" style="65" customWidth="1"/>
    <col min="9478" max="9478" width="0" style="65" hidden="1" customWidth="1"/>
    <col min="9479" max="9479" width="24.5703125" style="65" customWidth="1"/>
    <col min="9480" max="9480" width="32.85546875" style="65" customWidth="1"/>
    <col min="9481" max="9727" width="9.140625" style="65"/>
    <col min="9728" max="9728" width="3.140625" style="65" customWidth="1"/>
    <col min="9729" max="9729" width="13.7109375" style="65" customWidth="1"/>
    <col min="9730" max="9730" width="64.7109375" style="65" customWidth="1"/>
    <col min="9731" max="9731" width="7.140625" style="65" customWidth="1"/>
    <col min="9732" max="9732" width="0" style="65" hidden="1" customWidth="1"/>
    <col min="9733" max="9733" width="22.28515625" style="65" customWidth="1"/>
    <col min="9734" max="9734" width="0" style="65" hidden="1" customWidth="1"/>
    <col min="9735" max="9735" width="24.5703125" style="65" customWidth="1"/>
    <col min="9736" max="9736" width="32.85546875" style="65" customWidth="1"/>
    <col min="9737" max="9983" width="9.140625" style="65"/>
    <col min="9984" max="9984" width="3.140625" style="65" customWidth="1"/>
    <col min="9985" max="9985" width="13.7109375" style="65" customWidth="1"/>
    <col min="9986" max="9986" width="64.7109375" style="65" customWidth="1"/>
    <col min="9987" max="9987" width="7.140625" style="65" customWidth="1"/>
    <col min="9988" max="9988" width="0" style="65" hidden="1" customWidth="1"/>
    <col min="9989" max="9989" width="22.28515625" style="65" customWidth="1"/>
    <col min="9990" max="9990" width="0" style="65" hidden="1" customWidth="1"/>
    <col min="9991" max="9991" width="24.5703125" style="65" customWidth="1"/>
    <col min="9992" max="9992" width="32.85546875" style="65" customWidth="1"/>
    <col min="9993" max="10239" width="9.140625" style="65"/>
    <col min="10240" max="10240" width="3.140625" style="65" customWidth="1"/>
    <col min="10241" max="10241" width="13.7109375" style="65" customWidth="1"/>
    <col min="10242" max="10242" width="64.7109375" style="65" customWidth="1"/>
    <col min="10243" max="10243" width="7.140625" style="65" customWidth="1"/>
    <col min="10244" max="10244" width="0" style="65" hidden="1" customWidth="1"/>
    <col min="10245" max="10245" width="22.28515625" style="65" customWidth="1"/>
    <col min="10246" max="10246" width="0" style="65" hidden="1" customWidth="1"/>
    <col min="10247" max="10247" width="24.5703125" style="65" customWidth="1"/>
    <col min="10248" max="10248" width="32.85546875" style="65" customWidth="1"/>
    <col min="10249" max="10495" width="9.140625" style="65"/>
    <col min="10496" max="10496" width="3.140625" style="65" customWidth="1"/>
    <col min="10497" max="10497" width="13.7109375" style="65" customWidth="1"/>
    <col min="10498" max="10498" width="64.7109375" style="65" customWidth="1"/>
    <col min="10499" max="10499" width="7.140625" style="65" customWidth="1"/>
    <col min="10500" max="10500" width="0" style="65" hidden="1" customWidth="1"/>
    <col min="10501" max="10501" width="22.28515625" style="65" customWidth="1"/>
    <col min="10502" max="10502" width="0" style="65" hidden="1" customWidth="1"/>
    <col min="10503" max="10503" width="24.5703125" style="65" customWidth="1"/>
    <col min="10504" max="10504" width="32.85546875" style="65" customWidth="1"/>
    <col min="10505" max="10751" width="9.140625" style="65"/>
    <col min="10752" max="10752" width="3.140625" style="65" customWidth="1"/>
    <col min="10753" max="10753" width="13.7109375" style="65" customWidth="1"/>
    <col min="10754" max="10754" width="64.7109375" style="65" customWidth="1"/>
    <col min="10755" max="10755" width="7.140625" style="65" customWidth="1"/>
    <col min="10756" max="10756" width="0" style="65" hidden="1" customWidth="1"/>
    <col min="10757" max="10757" width="22.28515625" style="65" customWidth="1"/>
    <col min="10758" max="10758" width="0" style="65" hidden="1" customWidth="1"/>
    <col min="10759" max="10759" width="24.5703125" style="65" customWidth="1"/>
    <col min="10760" max="10760" width="32.85546875" style="65" customWidth="1"/>
    <col min="10761" max="11007" width="9.140625" style="65"/>
    <col min="11008" max="11008" width="3.140625" style="65" customWidth="1"/>
    <col min="11009" max="11009" width="13.7109375" style="65" customWidth="1"/>
    <col min="11010" max="11010" width="64.7109375" style="65" customWidth="1"/>
    <col min="11011" max="11011" width="7.140625" style="65" customWidth="1"/>
    <col min="11012" max="11012" width="0" style="65" hidden="1" customWidth="1"/>
    <col min="11013" max="11013" width="22.28515625" style="65" customWidth="1"/>
    <col min="11014" max="11014" width="0" style="65" hidden="1" customWidth="1"/>
    <col min="11015" max="11015" width="24.5703125" style="65" customWidth="1"/>
    <col min="11016" max="11016" width="32.85546875" style="65" customWidth="1"/>
    <col min="11017" max="11263" width="9.140625" style="65"/>
    <col min="11264" max="11264" width="3.140625" style="65" customWidth="1"/>
    <col min="11265" max="11265" width="13.7109375" style="65" customWidth="1"/>
    <col min="11266" max="11266" width="64.7109375" style="65" customWidth="1"/>
    <col min="11267" max="11267" width="7.140625" style="65" customWidth="1"/>
    <col min="11268" max="11268" width="0" style="65" hidden="1" customWidth="1"/>
    <col min="11269" max="11269" width="22.28515625" style="65" customWidth="1"/>
    <col min="11270" max="11270" width="0" style="65" hidden="1" customWidth="1"/>
    <col min="11271" max="11271" width="24.5703125" style="65" customWidth="1"/>
    <col min="11272" max="11272" width="32.85546875" style="65" customWidth="1"/>
    <col min="11273" max="11519" width="9.140625" style="65"/>
    <col min="11520" max="11520" width="3.140625" style="65" customWidth="1"/>
    <col min="11521" max="11521" width="13.7109375" style="65" customWidth="1"/>
    <col min="11522" max="11522" width="64.7109375" style="65" customWidth="1"/>
    <col min="11523" max="11523" width="7.140625" style="65" customWidth="1"/>
    <col min="11524" max="11524" width="0" style="65" hidden="1" customWidth="1"/>
    <col min="11525" max="11525" width="22.28515625" style="65" customWidth="1"/>
    <col min="11526" max="11526" width="0" style="65" hidden="1" customWidth="1"/>
    <col min="11527" max="11527" width="24.5703125" style="65" customWidth="1"/>
    <col min="11528" max="11528" width="32.85546875" style="65" customWidth="1"/>
    <col min="11529" max="11775" width="9.140625" style="65"/>
    <col min="11776" max="11776" width="3.140625" style="65" customWidth="1"/>
    <col min="11777" max="11777" width="13.7109375" style="65" customWidth="1"/>
    <col min="11778" max="11778" width="64.7109375" style="65" customWidth="1"/>
    <col min="11779" max="11779" width="7.140625" style="65" customWidth="1"/>
    <col min="11780" max="11780" width="0" style="65" hidden="1" customWidth="1"/>
    <col min="11781" max="11781" width="22.28515625" style="65" customWidth="1"/>
    <col min="11782" max="11782" width="0" style="65" hidden="1" customWidth="1"/>
    <col min="11783" max="11783" width="24.5703125" style="65" customWidth="1"/>
    <col min="11784" max="11784" width="32.85546875" style="65" customWidth="1"/>
    <col min="11785" max="12031" width="9.140625" style="65"/>
    <col min="12032" max="12032" width="3.140625" style="65" customWidth="1"/>
    <col min="12033" max="12033" width="13.7109375" style="65" customWidth="1"/>
    <col min="12034" max="12034" width="64.7109375" style="65" customWidth="1"/>
    <col min="12035" max="12035" width="7.140625" style="65" customWidth="1"/>
    <col min="12036" max="12036" width="0" style="65" hidden="1" customWidth="1"/>
    <col min="12037" max="12037" width="22.28515625" style="65" customWidth="1"/>
    <col min="12038" max="12038" width="0" style="65" hidden="1" customWidth="1"/>
    <col min="12039" max="12039" width="24.5703125" style="65" customWidth="1"/>
    <col min="12040" max="12040" width="32.85546875" style="65" customWidth="1"/>
    <col min="12041" max="12287" width="9.140625" style="65"/>
    <col min="12288" max="12288" width="3.140625" style="65" customWidth="1"/>
    <col min="12289" max="12289" width="13.7109375" style="65" customWidth="1"/>
    <col min="12290" max="12290" width="64.7109375" style="65" customWidth="1"/>
    <col min="12291" max="12291" width="7.140625" style="65" customWidth="1"/>
    <col min="12292" max="12292" width="0" style="65" hidden="1" customWidth="1"/>
    <col min="12293" max="12293" width="22.28515625" style="65" customWidth="1"/>
    <col min="12294" max="12294" width="0" style="65" hidden="1" customWidth="1"/>
    <col min="12295" max="12295" width="24.5703125" style="65" customWidth="1"/>
    <col min="12296" max="12296" width="32.85546875" style="65" customWidth="1"/>
    <col min="12297" max="12543" width="9.140625" style="65"/>
    <col min="12544" max="12544" width="3.140625" style="65" customWidth="1"/>
    <col min="12545" max="12545" width="13.7109375" style="65" customWidth="1"/>
    <col min="12546" max="12546" width="64.7109375" style="65" customWidth="1"/>
    <col min="12547" max="12547" width="7.140625" style="65" customWidth="1"/>
    <col min="12548" max="12548" width="0" style="65" hidden="1" customWidth="1"/>
    <col min="12549" max="12549" width="22.28515625" style="65" customWidth="1"/>
    <col min="12550" max="12550" width="0" style="65" hidden="1" customWidth="1"/>
    <col min="12551" max="12551" width="24.5703125" style="65" customWidth="1"/>
    <col min="12552" max="12552" width="32.85546875" style="65" customWidth="1"/>
    <col min="12553" max="12799" width="9.140625" style="65"/>
    <col min="12800" max="12800" width="3.140625" style="65" customWidth="1"/>
    <col min="12801" max="12801" width="13.7109375" style="65" customWidth="1"/>
    <col min="12802" max="12802" width="64.7109375" style="65" customWidth="1"/>
    <col min="12803" max="12803" width="7.140625" style="65" customWidth="1"/>
    <col min="12804" max="12804" width="0" style="65" hidden="1" customWidth="1"/>
    <col min="12805" max="12805" width="22.28515625" style="65" customWidth="1"/>
    <col min="12806" max="12806" width="0" style="65" hidden="1" customWidth="1"/>
    <col min="12807" max="12807" width="24.5703125" style="65" customWidth="1"/>
    <col min="12808" max="12808" width="32.85546875" style="65" customWidth="1"/>
    <col min="12809" max="13055" width="9.140625" style="65"/>
    <col min="13056" max="13056" width="3.140625" style="65" customWidth="1"/>
    <col min="13057" max="13057" width="13.7109375" style="65" customWidth="1"/>
    <col min="13058" max="13058" width="64.7109375" style="65" customWidth="1"/>
    <col min="13059" max="13059" width="7.140625" style="65" customWidth="1"/>
    <col min="13060" max="13060" width="0" style="65" hidden="1" customWidth="1"/>
    <col min="13061" max="13061" width="22.28515625" style="65" customWidth="1"/>
    <col min="13062" max="13062" width="0" style="65" hidden="1" customWidth="1"/>
    <col min="13063" max="13063" width="24.5703125" style="65" customWidth="1"/>
    <col min="13064" max="13064" width="32.85546875" style="65" customWidth="1"/>
    <col min="13065" max="13311" width="9.140625" style="65"/>
    <col min="13312" max="13312" width="3.140625" style="65" customWidth="1"/>
    <col min="13313" max="13313" width="13.7109375" style="65" customWidth="1"/>
    <col min="13314" max="13314" width="64.7109375" style="65" customWidth="1"/>
    <col min="13315" max="13315" width="7.140625" style="65" customWidth="1"/>
    <col min="13316" max="13316" width="0" style="65" hidden="1" customWidth="1"/>
    <col min="13317" max="13317" width="22.28515625" style="65" customWidth="1"/>
    <col min="13318" max="13318" width="0" style="65" hidden="1" customWidth="1"/>
    <col min="13319" max="13319" width="24.5703125" style="65" customWidth="1"/>
    <col min="13320" max="13320" width="32.85546875" style="65" customWidth="1"/>
    <col min="13321" max="13567" width="9.140625" style="65"/>
    <col min="13568" max="13568" width="3.140625" style="65" customWidth="1"/>
    <col min="13569" max="13569" width="13.7109375" style="65" customWidth="1"/>
    <col min="13570" max="13570" width="64.7109375" style="65" customWidth="1"/>
    <col min="13571" max="13571" width="7.140625" style="65" customWidth="1"/>
    <col min="13572" max="13572" width="0" style="65" hidden="1" customWidth="1"/>
    <col min="13573" max="13573" width="22.28515625" style="65" customWidth="1"/>
    <col min="13574" max="13574" width="0" style="65" hidden="1" customWidth="1"/>
    <col min="13575" max="13575" width="24.5703125" style="65" customWidth="1"/>
    <col min="13576" max="13576" width="32.85546875" style="65" customWidth="1"/>
    <col min="13577" max="13823" width="9.140625" style="65"/>
    <col min="13824" max="13824" width="3.140625" style="65" customWidth="1"/>
    <col min="13825" max="13825" width="13.7109375" style="65" customWidth="1"/>
    <col min="13826" max="13826" width="64.7109375" style="65" customWidth="1"/>
    <col min="13827" max="13827" width="7.140625" style="65" customWidth="1"/>
    <col min="13828" max="13828" width="0" style="65" hidden="1" customWidth="1"/>
    <col min="13829" max="13829" width="22.28515625" style="65" customWidth="1"/>
    <col min="13830" max="13830" width="0" style="65" hidden="1" customWidth="1"/>
    <col min="13831" max="13831" width="24.5703125" style="65" customWidth="1"/>
    <col min="13832" max="13832" width="32.85546875" style="65" customWidth="1"/>
    <col min="13833" max="14079" width="9.140625" style="65"/>
    <col min="14080" max="14080" width="3.140625" style="65" customWidth="1"/>
    <col min="14081" max="14081" width="13.7109375" style="65" customWidth="1"/>
    <col min="14082" max="14082" width="64.7109375" style="65" customWidth="1"/>
    <col min="14083" max="14083" width="7.140625" style="65" customWidth="1"/>
    <col min="14084" max="14084" width="0" style="65" hidden="1" customWidth="1"/>
    <col min="14085" max="14085" width="22.28515625" style="65" customWidth="1"/>
    <col min="14086" max="14086" width="0" style="65" hidden="1" customWidth="1"/>
    <col min="14087" max="14087" width="24.5703125" style="65" customWidth="1"/>
    <col min="14088" max="14088" width="32.85546875" style="65" customWidth="1"/>
    <col min="14089" max="14335" width="9.140625" style="65"/>
    <col min="14336" max="14336" width="3.140625" style="65" customWidth="1"/>
    <col min="14337" max="14337" width="13.7109375" style="65" customWidth="1"/>
    <col min="14338" max="14338" width="64.7109375" style="65" customWidth="1"/>
    <col min="14339" max="14339" width="7.140625" style="65" customWidth="1"/>
    <col min="14340" max="14340" width="0" style="65" hidden="1" customWidth="1"/>
    <col min="14341" max="14341" width="22.28515625" style="65" customWidth="1"/>
    <col min="14342" max="14342" width="0" style="65" hidden="1" customWidth="1"/>
    <col min="14343" max="14343" width="24.5703125" style="65" customWidth="1"/>
    <col min="14344" max="14344" width="32.85546875" style="65" customWidth="1"/>
    <col min="14345" max="14591" width="9.140625" style="65"/>
    <col min="14592" max="14592" width="3.140625" style="65" customWidth="1"/>
    <col min="14593" max="14593" width="13.7109375" style="65" customWidth="1"/>
    <col min="14594" max="14594" width="64.7109375" style="65" customWidth="1"/>
    <col min="14595" max="14595" width="7.140625" style="65" customWidth="1"/>
    <col min="14596" max="14596" width="0" style="65" hidden="1" customWidth="1"/>
    <col min="14597" max="14597" width="22.28515625" style="65" customWidth="1"/>
    <col min="14598" max="14598" width="0" style="65" hidden="1" customWidth="1"/>
    <col min="14599" max="14599" width="24.5703125" style="65" customWidth="1"/>
    <col min="14600" max="14600" width="32.85546875" style="65" customWidth="1"/>
    <col min="14601" max="14847" width="9.140625" style="65"/>
    <col min="14848" max="14848" width="3.140625" style="65" customWidth="1"/>
    <col min="14849" max="14849" width="13.7109375" style="65" customWidth="1"/>
    <col min="14850" max="14850" width="64.7109375" style="65" customWidth="1"/>
    <col min="14851" max="14851" width="7.140625" style="65" customWidth="1"/>
    <col min="14852" max="14852" width="0" style="65" hidden="1" customWidth="1"/>
    <col min="14853" max="14853" width="22.28515625" style="65" customWidth="1"/>
    <col min="14854" max="14854" width="0" style="65" hidden="1" customWidth="1"/>
    <col min="14855" max="14855" width="24.5703125" style="65" customWidth="1"/>
    <col min="14856" max="14856" width="32.85546875" style="65" customWidth="1"/>
    <col min="14857" max="15103" width="9.140625" style="65"/>
    <col min="15104" max="15104" width="3.140625" style="65" customWidth="1"/>
    <col min="15105" max="15105" width="13.7109375" style="65" customWidth="1"/>
    <col min="15106" max="15106" width="64.7109375" style="65" customWidth="1"/>
    <col min="15107" max="15107" width="7.140625" style="65" customWidth="1"/>
    <col min="15108" max="15108" width="0" style="65" hidden="1" customWidth="1"/>
    <col min="15109" max="15109" width="22.28515625" style="65" customWidth="1"/>
    <col min="15110" max="15110" width="0" style="65" hidden="1" customWidth="1"/>
    <col min="15111" max="15111" width="24.5703125" style="65" customWidth="1"/>
    <col min="15112" max="15112" width="32.85546875" style="65" customWidth="1"/>
    <col min="15113" max="15359" width="9.140625" style="65"/>
    <col min="15360" max="15360" width="3.140625" style="65" customWidth="1"/>
    <col min="15361" max="15361" width="13.7109375" style="65" customWidth="1"/>
    <col min="15362" max="15362" width="64.7109375" style="65" customWidth="1"/>
    <col min="15363" max="15363" width="7.140625" style="65" customWidth="1"/>
    <col min="15364" max="15364" width="0" style="65" hidden="1" customWidth="1"/>
    <col min="15365" max="15365" width="22.28515625" style="65" customWidth="1"/>
    <col min="15366" max="15366" width="0" style="65" hidden="1" customWidth="1"/>
    <col min="15367" max="15367" width="24.5703125" style="65" customWidth="1"/>
    <col min="15368" max="15368" width="32.85546875" style="65" customWidth="1"/>
    <col min="15369" max="15615" width="9.140625" style="65"/>
    <col min="15616" max="15616" width="3.140625" style="65" customWidth="1"/>
    <col min="15617" max="15617" width="13.7109375" style="65" customWidth="1"/>
    <col min="15618" max="15618" width="64.7109375" style="65" customWidth="1"/>
    <col min="15619" max="15619" width="7.140625" style="65" customWidth="1"/>
    <col min="15620" max="15620" width="0" style="65" hidden="1" customWidth="1"/>
    <col min="15621" max="15621" width="22.28515625" style="65" customWidth="1"/>
    <col min="15622" max="15622" width="0" style="65" hidden="1" customWidth="1"/>
    <col min="15623" max="15623" width="24.5703125" style="65" customWidth="1"/>
    <col min="15624" max="15624" width="32.85546875" style="65" customWidth="1"/>
    <col min="15625" max="15871" width="9.140625" style="65"/>
    <col min="15872" max="15872" width="3.140625" style="65" customWidth="1"/>
    <col min="15873" max="15873" width="13.7109375" style="65" customWidth="1"/>
    <col min="15874" max="15874" width="64.7109375" style="65" customWidth="1"/>
    <col min="15875" max="15875" width="7.140625" style="65" customWidth="1"/>
    <col min="15876" max="15876" width="0" style="65" hidden="1" customWidth="1"/>
    <col min="15877" max="15877" width="22.28515625" style="65" customWidth="1"/>
    <col min="15878" max="15878" width="0" style="65" hidden="1" customWidth="1"/>
    <col min="15879" max="15879" width="24.5703125" style="65" customWidth="1"/>
    <col min="15880" max="15880" width="32.85546875" style="65" customWidth="1"/>
    <col min="15881" max="16127" width="9.140625" style="65"/>
    <col min="16128" max="16128" width="3.140625" style="65" customWidth="1"/>
    <col min="16129" max="16129" width="13.7109375" style="65" customWidth="1"/>
    <col min="16130" max="16130" width="64.7109375" style="65" customWidth="1"/>
    <col min="16131" max="16131" width="7.140625" style="65" customWidth="1"/>
    <col min="16132" max="16132" width="0" style="65" hidden="1" customWidth="1"/>
    <col min="16133" max="16133" width="22.28515625" style="65" customWidth="1"/>
    <col min="16134" max="16134" width="0" style="65" hidden="1" customWidth="1"/>
    <col min="16135" max="16135" width="24.5703125" style="65" customWidth="1"/>
    <col min="16136" max="16136" width="32.85546875" style="65" customWidth="1"/>
    <col min="16137" max="16384" width="9.140625" style="65"/>
  </cols>
  <sheetData>
    <row r="1" spans="2:8" s="72" customFormat="1" ht="14.25" customHeight="1">
      <c r="B1" s="98" t="s">
        <v>72</v>
      </c>
      <c r="C1" s="98" t="s">
        <v>73</v>
      </c>
      <c r="D1" s="98" t="s">
        <v>74</v>
      </c>
      <c r="E1" s="100"/>
      <c r="F1" s="101"/>
      <c r="G1" s="101"/>
      <c r="H1" s="102"/>
    </row>
    <row r="2" spans="2:8" s="72" customFormat="1" ht="23.25" customHeight="1">
      <c r="B2" s="99"/>
      <c r="C2" s="99"/>
      <c r="D2" s="99"/>
      <c r="E2" s="73" t="s">
        <v>75</v>
      </c>
      <c r="F2" s="74" t="s">
        <v>76</v>
      </c>
      <c r="G2" s="75" t="s">
        <v>77</v>
      </c>
      <c r="H2" s="74" t="s">
        <v>78</v>
      </c>
    </row>
    <row r="3" spans="2:8" s="84" customFormat="1">
      <c r="B3" s="60"/>
      <c r="C3" s="76" t="s">
        <v>15</v>
      </c>
      <c r="D3" s="85"/>
      <c r="E3" s="77"/>
      <c r="F3" s="78"/>
      <c r="G3" s="79"/>
      <c r="H3" s="78"/>
    </row>
    <row r="4" spans="2:8" s="84" customFormat="1" ht="30">
      <c r="B4" s="60"/>
      <c r="C4" s="80" t="s">
        <v>16</v>
      </c>
      <c r="D4" s="82" t="s">
        <v>1</v>
      </c>
      <c r="E4" s="77">
        <v>305.08</v>
      </c>
      <c r="F4" s="78">
        <f t="shared" ref="F4:F16" si="0">E4/1.2</f>
        <v>254.23333333333332</v>
      </c>
      <c r="G4" s="79">
        <v>305.08474576271186</v>
      </c>
      <c r="H4" s="78">
        <f t="shared" ref="H4:H16" si="1">G4/1.2</f>
        <v>254.23728813559322</v>
      </c>
    </row>
    <row r="5" spans="2:8" s="84" customFormat="1" ht="30">
      <c r="B5" s="60"/>
      <c r="C5" s="80" t="s">
        <v>80</v>
      </c>
      <c r="D5" s="82" t="s">
        <v>1</v>
      </c>
      <c r="E5" s="77">
        <v>305.08</v>
      </c>
      <c r="F5" s="78">
        <f t="shared" si="0"/>
        <v>254.23333333333332</v>
      </c>
      <c r="G5" s="79">
        <v>332.64691905591638</v>
      </c>
      <c r="H5" s="78">
        <f t="shared" si="1"/>
        <v>277.20576587993031</v>
      </c>
    </row>
    <row r="6" spans="2:8" s="84" customFormat="1">
      <c r="B6" s="60"/>
      <c r="C6" s="80" t="s">
        <v>81</v>
      </c>
      <c r="D6" s="82" t="s">
        <v>1</v>
      </c>
      <c r="E6" s="77">
        <v>305.08</v>
      </c>
      <c r="F6" s="78">
        <f t="shared" si="0"/>
        <v>254.23333333333332</v>
      </c>
      <c r="G6" s="79">
        <v>284.78399999999999</v>
      </c>
      <c r="H6" s="78">
        <f t="shared" si="1"/>
        <v>237.32</v>
      </c>
    </row>
    <row r="7" spans="2:8" s="84" customFormat="1">
      <c r="B7" s="60"/>
      <c r="C7" s="80" t="s">
        <v>82</v>
      </c>
      <c r="D7" s="82" t="s">
        <v>1</v>
      </c>
      <c r="E7" s="77">
        <v>305.08</v>
      </c>
      <c r="F7" s="78">
        <f t="shared" si="0"/>
        <v>254.23333333333332</v>
      </c>
      <c r="G7" s="79">
        <v>332.54399999999998</v>
      </c>
      <c r="H7" s="78">
        <f t="shared" si="1"/>
        <v>277.12</v>
      </c>
    </row>
    <row r="8" spans="2:8" s="84" customFormat="1">
      <c r="B8" s="60"/>
      <c r="C8" s="80" t="s">
        <v>83</v>
      </c>
      <c r="D8" s="82" t="s">
        <v>1</v>
      </c>
      <c r="E8" s="77">
        <v>0</v>
      </c>
      <c r="F8" s="78">
        <f t="shared" si="0"/>
        <v>0</v>
      </c>
      <c r="G8" s="79">
        <v>158.54237288135593</v>
      </c>
      <c r="H8" s="78">
        <f t="shared" si="1"/>
        <v>132.11864406779662</v>
      </c>
    </row>
    <row r="9" spans="2:8" s="84" customFormat="1">
      <c r="B9" s="60"/>
      <c r="C9" s="80" t="s">
        <v>84</v>
      </c>
      <c r="D9" s="82" t="s">
        <v>1</v>
      </c>
      <c r="E9" s="77">
        <v>50</v>
      </c>
      <c r="F9" s="78">
        <f t="shared" si="0"/>
        <v>41.666666666666671</v>
      </c>
      <c r="G9" s="79">
        <v>96</v>
      </c>
      <c r="H9" s="78">
        <f t="shared" si="1"/>
        <v>80</v>
      </c>
    </row>
    <row r="10" spans="2:8" s="84" customFormat="1" ht="30">
      <c r="B10" s="60"/>
      <c r="C10" s="80" t="s">
        <v>85</v>
      </c>
      <c r="D10" s="82" t="s">
        <v>1</v>
      </c>
      <c r="E10" s="77">
        <v>350</v>
      </c>
      <c r="F10" s="78">
        <f t="shared" si="0"/>
        <v>291.66666666666669</v>
      </c>
      <c r="G10" s="79">
        <v>130.16949152542372</v>
      </c>
      <c r="H10" s="78">
        <f t="shared" si="1"/>
        <v>108.47457627118644</v>
      </c>
    </row>
    <row r="11" spans="2:8" s="84" customFormat="1" ht="30">
      <c r="B11" s="60"/>
      <c r="C11" s="80" t="s">
        <v>86</v>
      </c>
      <c r="D11" s="82" t="s">
        <v>1</v>
      </c>
      <c r="E11" s="77">
        <v>350</v>
      </c>
      <c r="F11" s="78">
        <f t="shared" si="0"/>
        <v>291.66666666666669</v>
      </c>
      <c r="G11" s="79">
        <v>124.06779661016949</v>
      </c>
      <c r="H11" s="78">
        <f t="shared" si="1"/>
        <v>103.38983050847459</v>
      </c>
    </row>
    <row r="12" spans="2:8" s="84" customFormat="1" ht="30">
      <c r="B12" s="60"/>
      <c r="C12" s="80" t="s">
        <v>87</v>
      </c>
      <c r="D12" s="82" t="s">
        <v>1</v>
      </c>
      <c r="E12" s="77">
        <v>350</v>
      </c>
      <c r="F12" s="78">
        <f t="shared" si="0"/>
        <v>291.66666666666669</v>
      </c>
      <c r="G12" s="79">
        <v>167.79661016949152</v>
      </c>
      <c r="H12" s="78">
        <f t="shared" si="1"/>
        <v>139.83050847457628</v>
      </c>
    </row>
    <row r="13" spans="2:8" s="84" customFormat="1">
      <c r="B13" s="60"/>
      <c r="C13" s="80" t="s">
        <v>88</v>
      </c>
      <c r="D13" s="82" t="s">
        <v>1</v>
      </c>
      <c r="E13" s="77">
        <v>250</v>
      </c>
      <c r="F13" s="78">
        <f t="shared" si="0"/>
        <v>208.33333333333334</v>
      </c>
      <c r="G13" s="79">
        <v>305.08474576271186</v>
      </c>
      <c r="H13" s="78">
        <f t="shared" si="1"/>
        <v>254.23728813559322</v>
      </c>
    </row>
    <row r="14" spans="2:8" s="84" customFormat="1">
      <c r="B14" s="60"/>
      <c r="C14" s="80" t="s">
        <v>89</v>
      </c>
      <c r="D14" s="82" t="s">
        <v>1</v>
      </c>
      <c r="E14" s="77">
        <v>250</v>
      </c>
      <c r="F14" s="78">
        <f t="shared" si="0"/>
        <v>208.33333333333334</v>
      </c>
      <c r="G14" s="79">
        <v>522.73087280215429</v>
      </c>
      <c r="H14" s="78">
        <f t="shared" si="1"/>
        <v>435.60906066846195</v>
      </c>
    </row>
    <row r="15" spans="2:8" s="84" customFormat="1">
      <c r="B15" s="60"/>
      <c r="C15" s="80" t="s">
        <v>90</v>
      </c>
      <c r="D15" s="82" t="s">
        <v>1</v>
      </c>
      <c r="E15" s="77">
        <v>250</v>
      </c>
      <c r="F15" s="78">
        <f t="shared" si="0"/>
        <v>208.33333333333334</v>
      </c>
      <c r="G15" s="79">
        <v>1045.4617456043086</v>
      </c>
      <c r="H15" s="78">
        <f t="shared" si="1"/>
        <v>871.2181213369239</v>
      </c>
    </row>
    <row r="16" spans="2:8" s="84" customFormat="1" ht="30">
      <c r="B16" s="60"/>
      <c r="C16" s="83" t="s">
        <v>91</v>
      </c>
      <c r="D16" s="82" t="s">
        <v>1</v>
      </c>
      <c r="E16" s="77">
        <v>250</v>
      </c>
      <c r="F16" s="78">
        <f t="shared" si="0"/>
        <v>208.33333333333334</v>
      </c>
      <c r="G16" s="79">
        <v>650</v>
      </c>
      <c r="H16" s="78">
        <f t="shared" si="1"/>
        <v>541.66666666666674</v>
      </c>
    </row>
    <row r="17" spans="2:8" s="84" customFormat="1" ht="30">
      <c r="B17" s="60"/>
      <c r="C17" s="81" t="s">
        <v>92</v>
      </c>
      <c r="D17" s="82" t="s">
        <v>1</v>
      </c>
      <c r="E17" s="77">
        <f>254.24</f>
        <v>254.24</v>
      </c>
      <c r="F17" s="78">
        <v>211.86</v>
      </c>
      <c r="G17" s="79"/>
      <c r="H17" s="86">
        <v>590</v>
      </c>
    </row>
    <row r="18" spans="2:8" s="84" customFormat="1" ht="30">
      <c r="B18" s="60"/>
      <c r="C18" s="80" t="s">
        <v>69</v>
      </c>
      <c r="D18" s="82" t="s">
        <v>1</v>
      </c>
      <c r="E18" s="77">
        <v>254.24</v>
      </c>
      <c r="F18" s="78">
        <f t="shared" ref="F18:F24" si="2">E18/1.2</f>
        <v>211.86666666666667</v>
      </c>
      <c r="G18" s="79">
        <v>560</v>
      </c>
      <c r="H18" s="86">
        <v>526</v>
      </c>
    </row>
    <row r="19" spans="2:8" s="84" customFormat="1" ht="30">
      <c r="B19" s="60"/>
      <c r="C19" s="80" t="s">
        <v>93</v>
      </c>
      <c r="D19" s="82" t="s">
        <v>1</v>
      </c>
      <c r="E19" s="77">
        <v>254.24</v>
      </c>
      <c r="F19" s="78">
        <f t="shared" si="2"/>
        <v>211.86666666666667</v>
      </c>
      <c r="G19" s="79">
        <v>880</v>
      </c>
      <c r="H19" s="86">
        <v>886</v>
      </c>
    </row>
    <row r="20" spans="2:8" s="84" customFormat="1">
      <c r="B20" s="60">
        <f t="shared" ref="B6:B55" si="3">B19+1</f>
        <v>1</v>
      </c>
      <c r="C20" s="80" t="s">
        <v>94</v>
      </c>
      <c r="D20" s="82" t="s">
        <v>1</v>
      </c>
      <c r="E20" s="77">
        <v>0</v>
      </c>
      <c r="F20" s="78">
        <f t="shared" si="2"/>
        <v>0</v>
      </c>
      <c r="G20" s="79">
        <v>60</v>
      </c>
      <c r="H20" s="78">
        <v>50</v>
      </c>
    </row>
    <row r="21" spans="2:8" s="84" customFormat="1">
      <c r="B21" s="60">
        <f t="shared" si="3"/>
        <v>2</v>
      </c>
      <c r="C21" s="80" t="s">
        <v>95</v>
      </c>
      <c r="D21" s="82" t="s">
        <v>1</v>
      </c>
      <c r="E21" s="77">
        <v>0</v>
      </c>
      <c r="F21" s="78">
        <f t="shared" si="2"/>
        <v>0</v>
      </c>
      <c r="G21" s="79">
        <v>120</v>
      </c>
      <c r="H21" s="78">
        <f t="shared" ref="H21:H82" si="4">G21/1.2</f>
        <v>100</v>
      </c>
    </row>
    <row r="22" spans="2:8" s="84" customFormat="1">
      <c r="B22" s="60">
        <f t="shared" si="3"/>
        <v>3</v>
      </c>
      <c r="C22" s="80" t="s">
        <v>96</v>
      </c>
      <c r="D22" s="82" t="s">
        <v>1</v>
      </c>
      <c r="E22" s="77">
        <v>0</v>
      </c>
      <c r="F22" s="78">
        <f t="shared" si="2"/>
        <v>0</v>
      </c>
      <c r="G22" s="79">
        <f>420</f>
        <v>420</v>
      </c>
      <c r="H22" s="78">
        <f t="shared" si="4"/>
        <v>350</v>
      </c>
    </row>
    <row r="23" spans="2:8" s="84" customFormat="1">
      <c r="B23" s="60">
        <f t="shared" si="3"/>
        <v>4</v>
      </c>
      <c r="C23" s="80" t="s">
        <v>97</v>
      </c>
      <c r="D23" s="82" t="s">
        <v>1</v>
      </c>
      <c r="E23" s="77">
        <v>0</v>
      </c>
      <c r="F23" s="78">
        <f t="shared" si="2"/>
        <v>0</v>
      </c>
      <c r="G23" s="79">
        <v>492</v>
      </c>
      <c r="H23" s="78">
        <f t="shared" si="4"/>
        <v>410</v>
      </c>
    </row>
    <row r="24" spans="2:8" s="84" customFormat="1" ht="30">
      <c r="B24" s="60">
        <f t="shared" si="3"/>
        <v>5</v>
      </c>
      <c r="C24" s="87" t="s">
        <v>18</v>
      </c>
      <c r="D24" s="82" t="s">
        <v>1</v>
      </c>
      <c r="E24" s="77">
        <f>305.09</f>
        <v>305.08999999999997</v>
      </c>
      <c r="F24" s="78">
        <f t="shared" si="2"/>
        <v>254.24166666666665</v>
      </c>
      <c r="G24" s="79">
        <f>270</f>
        <v>270</v>
      </c>
      <c r="H24" s="78">
        <f t="shared" si="4"/>
        <v>225</v>
      </c>
    </row>
    <row r="25" spans="2:8" s="84" customFormat="1" ht="32.25" customHeight="1">
      <c r="B25" s="60">
        <f t="shared" si="3"/>
        <v>6</v>
      </c>
      <c r="C25" s="87" t="s">
        <v>98</v>
      </c>
      <c r="D25" s="82" t="s">
        <v>1</v>
      </c>
      <c r="E25" s="77">
        <f>305.09</f>
        <v>305.08999999999997</v>
      </c>
      <c r="F25" s="78">
        <v>254.24</v>
      </c>
      <c r="G25" s="79">
        <f>276</f>
        <v>276</v>
      </c>
      <c r="H25" s="78">
        <f t="shared" si="4"/>
        <v>230</v>
      </c>
    </row>
    <row r="26" spans="2:8" s="84" customFormat="1" ht="32.25" customHeight="1">
      <c r="B26" s="60">
        <f t="shared" si="3"/>
        <v>7</v>
      </c>
      <c r="C26" s="87" t="s">
        <v>99</v>
      </c>
      <c r="D26" s="82" t="s">
        <v>1</v>
      </c>
      <c r="E26" s="77">
        <f>250</f>
        <v>250</v>
      </c>
      <c r="F26" s="78">
        <f>E26/1.2</f>
        <v>208.33333333333334</v>
      </c>
      <c r="G26" s="79">
        <f>615.6</f>
        <v>615.6</v>
      </c>
      <c r="H26" s="78">
        <f t="shared" si="4"/>
        <v>513</v>
      </c>
    </row>
    <row r="27" spans="2:8" s="84" customFormat="1" ht="32.25" customHeight="1">
      <c r="B27" s="60">
        <f t="shared" si="3"/>
        <v>8</v>
      </c>
      <c r="C27" s="87" t="s">
        <v>19</v>
      </c>
      <c r="D27" s="82" t="s">
        <v>1</v>
      </c>
      <c r="E27" s="77">
        <f>250</f>
        <v>250</v>
      </c>
      <c r="F27" s="78">
        <f>E27/1.2</f>
        <v>208.33333333333334</v>
      </c>
      <c r="G27" s="79">
        <f>885.6</f>
        <v>885.6</v>
      </c>
      <c r="H27" s="78">
        <f t="shared" si="4"/>
        <v>738</v>
      </c>
    </row>
    <row r="28" spans="2:8" s="84" customFormat="1" ht="32.25" customHeight="1">
      <c r="B28" s="60">
        <f t="shared" si="3"/>
        <v>9</v>
      </c>
      <c r="C28" s="87" t="s">
        <v>100</v>
      </c>
      <c r="D28" s="82" t="s">
        <v>1</v>
      </c>
      <c r="E28" s="77">
        <f>157.64</f>
        <v>157.63999999999999</v>
      </c>
      <c r="F28" s="78">
        <f>E28/1.2</f>
        <v>131.36666666666667</v>
      </c>
      <c r="G28" s="79">
        <f>265.2</f>
        <v>265.2</v>
      </c>
      <c r="H28" s="78">
        <f t="shared" si="4"/>
        <v>221</v>
      </c>
    </row>
    <row r="29" spans="2:8" s="84" customFormat="1" ht="15" customHeight="1">
      <c r="B29" s="60">
        <f t="shared" si="3"/>
        <v>10</v>
      </c>
      <c r="C29" s="88" t="s">
        <v>31</v>
      </c>
      <c r="D29" s="89" t="s">
        <v>3</v>
      </c>
      <c r="E29" s="77">
        <f>18.3</f>
        <v>18.3</v>
      </c>
      <c r="F29" s="78">
        <v>15.25</v>
      </c>
      <c r="G29" s="79">
        <f>7.12</f>
        <v>7.12</v>
      </c>
      <c r="H29" s="78">
        <f t="shared" si="4"/>
        <v>5.9333333333333336</v>
      </c>
    </row>
    <row r="30" spans="2:8" s="84" customFormat="1" ht="15" customHeight="1">
      <c r="B30" s="60">
        <f t="shared" si="3"/>
        <v>11</v>
      </c>
      <c r="C30" s="87" t="s">
        <v>32</v>
      </c>
      <c r="D30" s="89" t="s">
        <v>3</v>
      </c>
      <c r="E30" s="77">
        <f>111.87</f>
        <v>111.87</v>
      </c>
      <c r="F30" s="78">
        <f>E30/1.2</f>
        <v>93.225000000000009</v>
      </c>
      <c r="G30" s="79">
        <f>160</f>
        <v>160</v>
      </c>
      <c r="H30" s="78">
        <f t="shared" si="4"/>
        <v>133.33333333333334</v>
      </c>
    </row>
    <row r="31" spans="2:8" s="84" customFormat="1" ht="15" customHeight="1">
      <c r="B31" s="60">
        <f t="shared" si="3"/>
        <v>12</v>
      </c>
      <c r="C31" s="88" t="s">
        <v>54</v>
      </c>
      <c r="D31" s="89" t="s">
        <v>3</v>
      </c>
      <c r="E31" s="77">
        <f>111.87</f>
        <v>111.87</v>
      </c>
      <c r="F31" s="78">
        <f>E31/1.2</f>
        <v>93.225000000000009</v>
      </c>
      <c r="G31" s="79">
        <f>394</f>
        <v>394</v>
      </c>
      <c r="H31" s="78">
        <f t="shared" si="4"/>
        <v>328.33333333333337</v>
      </c>
    </row>
    <row r="32" spans="2:8" s="84" customFormat="1" ht="15" customHeight="1">
      <c r="B32" s="60">
        <f t="shared" si="3"/>
        <v>13</v>
      </c>
      <c r="C32" s="88" t="s">
        <v>101</v>
      </c>
      <c r="D32" s="89" t="s">
        <v>3</v>
      </c>
      <c r="E32" s="77"/>
      <c r="F32" s="78"/>
      <c r="G32" s="79">
        <f>4.78</f>
        <v>4.78</v>
      </c>
      <c r="H32" s="78">
        <f t="shared" si="4"/>
        <v>3.9833333333333338</v>
      </c>
    </row>
    <row r="33" spans="2:8" s="84" customFormat="1" ht="30">
      <c r="B33" s="60">
        <f t="shared" si="3"/>
        <v>14</v>
      </c>
      <c r="C33" s="87" t="s">
        <v>102</v>
      </c>
      <c r="D33" s="89" t="s">
        <v>3</v>
      </c>
      <c r="E33" s="77">
        <f>111.87</f>
        <v>111.87</v>
      </c>
      <c r="F33" s="78">
        <f>E33/1.2</f>
        <v>93.225000000000009</v>
      </c>
      <c r="G33" s="79">
        <f>264.41</f>
        <v>264.41000000000003</v>
      </c>
      <c r="H33" s="78">
        <f t="shared" si="4"/>
        <v>220.3416666666667</v>
      </c>
    </row>
    <row r="34" spans="2:8" s="84" customFormat="1">
      <c r="B34" s="60">
        <f t="shared" si="3"/>
        <v>15</v>
      </c>
      <c r="C34" s="88" t="s">
        <v>60</v>
      </c>
      <c r="D34" s="89" t="s">
        <v>3</v>
      </c>
      <c r="E34" s="77"/>
      <c r="F34" s="78"/>
      <c r="G34" s="79">
        <f>29</f>
        <v>29</v>
      </c>
      <c r="H34" s="78">
        <f t="shared" si="4"/>
        <v>24.166666666666668</v>
      </c>
    </row>
    <row r="35" spans="2:8" s="84" customFormat="1">
      <c r="B35" s="60">
        <f t="shared" si="3"/>
        <v>16</v>
      </c>
      <c r="C35" s="88" t="s">
        <v>61</v>
      </c>
      <c r="D35" s="89" t="s">
        <v>3</v>
      </c>
      <c r="E35" s="77"/>
      <c r="F35" s="78"/>
      <c r="G35" s="79">
        <f>36</f>
        <v>36</v>
      </c>
      <c r="H35" s="78">
        <f t="shared" si="4"/>
        <v>30</v>
      </c>
    </row>
    <row r="36" spans="2:8" s="84" customFormat="1">
      <c r="B36" s="60">
        <f t="shared" si="3"/>
        <v>17</v>
      </c>
      <c r="C36" s="80" t="s">
        <v>103</v>
      </c>
      <c r="D36" s="82" t="s">
        <v>1</v>
      </c>
      <c r="E36" s="77">
        <v>80</v>
      </c>
      <c r="F36" s="78">
        <f t="shared" ref="F36:F45" si="5">E36/1.2</f>
        <v>66.666666666666671</v>
      </c>
      <c r="G36" s="79">
        <v>7.1186440677966099</v>
      </c>
      <c r="H36" s="78">
        <f t="shared" si="4"/>
        <v>5.9322033898305087</v>
      </c>
    </row>
    <row r="37" spans="2:8" s="84" customFormat="1">
      <c r="B37" s="60">
        <f t="shared" si="3"/>
        <v>18</v>
      </c>
      <c r="C37" s="80" t="s">
        <v>104</v>
      </c>
      <c r="D37" s="82" t="s">
        <v>1</v>
      </c>
      <c r="E37" s="77">
        <v>289.83</v>
      </c>
      <c r="F37" s="78">
        <f t="shared" si="5"/>
        <v>241.52500000000001</v>
      </c>
      <c r="G37" s="79">
        <v>538.88800887058449</v>
      </c>
      <c r="H37" s="78">
        <f t="shared" si="4"/>
        <v>449.07334072548707</v>
      </c>
    </row>
    <row r="38" spans="2:8" s="84" customFormat="1" ht="30">
      <c r="B38" s="60">
        <f t="shared" si="3"/>
        <v>19</v>
      </c>
      <c r="C38" s="80" t="s">
        <v>105</v>
      </c>
      <c r="D38" s="82" t="s">
        <v>1</v>
      </c>
      <c r="E38" s="77">
        <v>330.51</v>
      </c>
      <c r="F38" s="78">
        <f t="shared" si="5"/>
        <v>275.42500000000001</v>
      </c>
      <c r="G38" s="79">
        <v>40.868050055441159</v>
      </c>
      <c r="H38" s="78">
        <f t="shared" si="4"/>
        <v>34.0567083795343</v>
      </c>
    </row>
    <row r="39" spans="2:8" s="84" customFormat="1" ht="30">
      <c r="B39" s="60">
        <f t="shared" si="3"/>
        <v>20</v>
      </c>
      <c r="C39" s="80" t="s">
        <v>106</v>
      </c>
      <c r="D39" s="82" t="s">
        <v>1</v>
      </c>
      <c r="E39" s="90">
        <f t="shared" ref="E39:E52" si="6">330.5</f>
        <v>330.5</v>
      </c>
      <c r="F39" s="78">
        <f t="shared" si="5"/>
        <v>275.41666666666669</v>
      </c>
      <c r="G39" s="79">
        <v>40.868050055441159</v>
      </c>
      <c r="H39" s="78">
        <f t="shared" si="4"/>
        <v>34.0567083795343</v>
      </c>
    </row>
    <row r="40" spans="2:8" s="84" customFormat="1" ht="30">
      <c r="B40" s="60">
        <f t="shared" si="3"/>
        <v>21</v>
      </c>
      <c r="C40" s="80" t="s">
        <v>107</v>
      </c>
      <c r="D40" s="82" t="s">
        <v>1</v>
      </c>
      <c r="E40" s="90">
        <f t="shared" si="6"/>
        <v>330.5</v>
      </c>
      <c r="F40" s="78">
        <f t="shared" si="5"/>
        <v>275.41666666666669</v>
      </c>
      <c r="G40" s="79">
        <v>40.868050055441159</v>
      </c>
      <c r="H40" s="78">
        <f t="shared" si="4"/>
        <v>34.0567083795343</v>
      </c>
    </row>
    <row r="41" spans="2:8" s="84" customFormat="1" ht="14.25" customHeight="1">
      <c r="B41" s="60">
        <f t="shared" si="3"/>
        <v>22</v>
      </c>
      <c r="C41" s="80" t="s">
        <v>108</v>
      </c>
      <c r="D41" s="82" t="s">
        <v>1</v>
      </c>
      <c r="E41" s="90">
        <f t="shared" si="6"/>
        <v>330.5</v>
      </c>
      <c r="F41" s="78">
        <f t="shared" si="5"/>
        <v>275.41666666666669</v>
      </c>
      <c r="G41" s="79">
        <v>40.868050055441159</v>
      </c>
      <c r="H41" s="78">
        <f t="shared" si="4"/>
        <v>34.0567083795343</v>
      </c>
    </row>
    <row r="42" spans="2:8" s="84" customFormat="1" ht="30">
      <c r="B42" s="60">
        <f t="shared" si="3"/>
        <v>23</v>
      </c>
      <c r="C42" s="80" t="s">
        <v>109</v>
      </c>
      <c r="D42" s="82" t="s">
        <v>1</v>
      </c>
      <c r="E42" s="90">
        <f t="shared" si="6"/>
        <v>330.5</v>
      </c>
      <c r="F42" s="78">
        <f t="shared" si="5"/>
        <v>275.41666666666669</v>
      </c>
      <c r="G42" s="79">
        <v>40.868050055441159</v>
      </c>
      <c r="H42" s="78">
        <f t="shared" si="4"/>
        <v>34.0567083795343</v>
      </c>
    </row>
    <row r="43" spans="2:8" s="84" customFormat="1" ht="30">
      <c r="B43" s="60">
        <f t="shared" si="3"/>
        <v>24</v>
      </c>
      <c r="C43" s="80" t="s">
        <v>110</v>
      </c>
      <c r="D43" s="82" t="s">
        <v>0</v>
      </c>
      <c r="E43" s="90">
        <f t="shared" si="6"/>
        <v>330.5</v>
      </c>
      <c r="F43" s="78">
        <f t="shared" si="5"/>
        <v>275.41666666666669</v>
      </c>
      <c r="G43" s="79">
        <v>40.868050055441159</v>
      </c>
      <c r="H43" s="78">
        <f t="shared" si="4"/>
        <v>34.0567083795343</v>
      </c>
    </row>
    <row r="44" spans="2:8" s="84" customFormat="1" ht="30">
      <c r="B44" s="60">
        <f t="shared" si="3"/>
        <v>25</v>
      </c>
      <c r="C44" s="81" t="s">
        <v>111</v>
      </c>
      <c r="D44" s="82" t="s">
        <v>1</v>
      </c>
      <c r="E44" s="90">
        <f t="shared" si="6"/>
        <v>330.5</v>
      </c>
      <c r="F44" s="78">
        <f t="shared" si="5"/>
        <v>275.41666666666669</v>
      </c>
      <c r="G44" s="79">
        <f>4276.8</f>
        <v>4276.8</v>
      </c>
      <c r="H44" s="86">
        <f t="shared" si="4"/>
        <v>3564.0000000000005</v>
      </c>
    </row>
    <row r="45" spans="2:8" s="84" customFormat="1" ht="30.75" customHeight="1">
      <c r="B45" s="60">
        <f t="shared" si="3"/>
        <v>26</v>
      </c>
      <c r="C45" s="81" t="s">
        <v>112</v>
      </c>
      <c r="D45" s="82" t="s">
        <v>1</v>
      </c>
      <c r="E45" s="90">
        <f t="shared" si="6"/>
        <v>330.5</v>
      </c>
      <c r="F45" s="78">
        <f t="shared" si="5"/>
        <v>275.41666666666669</v>
      </c>
      <c r="G45" s="79">
        <f>9090</f>
        <v>9090</v>
      </c>
      <c r="H45" s="86">
        <f t="shared" si="4"/>
        <v>7575</v>
      </c>
    </row>
    <row r="46" spans="2:8" s="91" customFormat="1" ht="30">
      <c r="B46" s="60">
        <f t="shared" si="3"/>
        <v>27</v>
      </c>
      <c r="C46" s="92" t="s">
        <v>113</v>
      </c>
      <c r="D46" s="82" t="s">
        <v>1</v>
      </c>
      <c r="E46" s="90">
        <f t="shared" si="6"/>
        <v>330.5</v>
      </c>
      <c r="F46" s="78">
        <v>275.42</v>
      </c>
      <c r="G46" s="93">
        <f>4226.4</f>
        <v>4226.3999999999996</v>
      </c>
      <c r="H46" s="86">
        <f t="shared" si="4"/>
        <v>3522</v>
      </c>
    </row>
    <row r="47" spans="2:8" s="91" customFormat="1" ht="30">
      <c r="B47" s="60">
        <f t="shared" si="3"/>
        <v>28</v>
      </c>
      <c r="C47" s="92" t="s">
        <v>114</v>
      </c>
      <c r="D47" s="82" t="s">
        <v>1</v>
      </c>
      <c r="E47" s="90">
        <f t="shared" si="6"/>
        <v>330.5</v>
      </c>
      <c r="F47" s="78">
        <v>275.42</v>
      </c>
      <c r="G47" s="93">
        <f>9090</f>
        <v>9090</v>
      </c>
      <c r="H47" s="86">
        <f t="shared" si="4"/>
        <v>7575</v>
      </c>
    </row>
    <row r="48" spans="2:8" s="91" customFormat="1" ht="30" customHeight="1">
      <c r="B48" s="60">
        <f t="shared" si="3"/>
        <v>29</v>
      </c>
      <c r="C48" s="92" t="s">
        <v>115</v>
      </c>
      <c r="D48" s="82" t="s">
        <v>1</v>
      </c>
      <c r="E48" s="90">
        <f t="shared" si="6"/>
        <v>330.5</v>
      </c>
      <c r="F48" s="78">
        <v>275.42</v>
      </c>
      <c r="G48" s="93">
        <f>8136</f>
        <v>8136</v>
      </c>
      <c r="H48" s="86">
        <f t="shared" si="4"/>
        <v>6780</v>
      </c>
    </row>
    <row r="49" spans="2:8" s="84" customFormat="1" ht="30" customHeight="1">
      <c r="B49" s="60">
        <f t="shared" si="3"/>
        <v>30</v>
      </c>
      <c r="C49" s="81" t="s">
        <v>116</v>
      </c>
      <c r="D49" s="82" t="s">
        <v>1</v>
      </c>
      <c r="E49" s="90">
        <f t="shared" si="6"/>
        <v>330.5</v>
      </c>
      <c r="F49" s="78">
        <v>275.42</v>
      </c>
      <c r="G49" s="79">
        <f>18024</f>
        <v>18024</v>
      </c>
      <c r="H49" s="86">
        <f>G49/1.2</f>
        <v>15020</v>
      </c>
    </row>
    <row r="50" spans="2:8" s="84" customFormat="1" ht="30" customHeight="1">
      <c r="B50" s="60">
        <f t="shared" si="3"/>
        <v>31</v>
      </c>
      <c r="C50" s="81" t="s">
        <v>117</v>
      </c>
      <c r="D50" s="82" t="s">
        <v>1</v>
      </c>
      <c r="E50" s="90">
        <f t="shared" si="6"/>
        <v>330.5</v>
      </c>
      <c r="F50" s="78">
        <v>275.42</v>
      </c>
      <c r="G50" s="94">
        <f>10881.36</f>
        <v>10881.36</v>
      </c>
      <c r="H50" s="86">
        <f>G50/1.2</f>
        <v>9067.8000000000011</v>
      </c>
    </row>
    <row r="51" spans="2:8" s="84" customFormat="1" ht="30" customHeight="1">
      <c r="B51" s="60">
        <f t="shared" si="3"/>
        <v>32</v>
      </c>
      <c r="C51" s="87" t="s">
        <v>22</v>
      </c>
      <c r="D51" s="82" t="s">
        <v>1</v>
      </c>
      <c r="E51" s="90">
        <f t="shared" si="6"/>
        <v>330.5</v>
      </c>
      <c r="F51" s="78">
        <v>275.42</v>
      </c>
      <c r="G51" s="79">
        <f>14104.8</f>
        <v>14104.8</v>
      </c>
      <c r="H51" s="86">
        <f t="shared" si="4"/>
        <v>11754</v>
      </c>
    </row>
    <row r="52" spans="2:8" s="84" customFormat="1" ht="30" customHeight="1">
      <c r="B52" s="60">
        <f t="shared" si="3"/>
        <v>33</v>
      </c>
      <c r="C52" s="87" t="s">
        <v>23</v>
      </c>
      <c r="D52" s="82" t="s">
        <v>1</v>
      </c>
      <c r="E52" s="90">
        <f t="shared" si="6"/>
        <v>330.5</v>
      </c>
      <c r="F52" s="78">
        <v>275.42</v>
      </c>
      <c r="G52" s="79">
        <f>7540</f>
        <v>7540</v>
      </c>
      <c r="H52" s="86">
        <f t="shared" si="4"/>
        <v>6283.3333333333339</v>
      </c>
    </row>
    <row r="53" spans="2:8" s="84" customFormat="1" ht="17.25" customHeight="1">
      <c r="B53" s="60">
        <f t="shared" si="3"/>
        <v>34</v>
      </c>
      <c r="C53" s="92" t="s">
        <v>118</v>
      </c>
      <c r="D53" s="95" t="s">
        <v>1</v>
      </c>
      <c r="E53" s="90">
        <f>330.5</f>
        <v>330.5</v>
      </c>
      <c r="F53" s="78">
        <v>275.42</v>
      </c>
      <c r="G53" s="79">
        <f>7830</f>
        <v>7830</v>
      </c>
      <c r="H53" s="86">
        <f t="shared" si="4"/>
        <v>6525</v>
      </c>
    </row>
    <row r="54" spans="2:8" s="84" customFormat="1" ht="17.25" customHeight="1">
      <c r="B54" s="60">
        <f t="shared" si="3"/>
        <v>35</v>
      </c>
      <c r="C54" s="92" t="s">
        <v>119</v>
      </c>
      <c r="D54" s="95" t="s">
        <v>1</v>
      </c>
      <c r="E54" s="90">
        <f>330.5</f>
        <v>330.5</v>
      </c>
      <c r="F54" s="78">
        <f t="shared" ref="F54:F75" si="7">E54/1.2</f>
        <v>275.41666666666669</v>
      </c>
      <c r="G54" s="79">
        <f>615.6</f>
        <v>615.6</v>
      </c>
      <c r="H54" s="86">
        <f t="shared" si="4"/>
        <v>513</v>
      </c>
    </row>
    <row r="55" spans="2:8" s="84" customFormat="1" ht="17.25" customHeight="1">
      <c r="B55" s="60">
        <f t="shared" si="3"/>
        <v>36</v>
      </c>
      <c r="C55" s="92" t="s">
        <v>120</v>
      </c>
      <c r="D55" s="95" t="s">
        <v>1</v>
      </c>
      <c r="E55" s="77">
        <f t="shared" ref="E55:E60" si="8">289.84</f>
        <v>289.83999999999997</v>
      </c>
      <c r="F55" s="78">
        <f t="shared" si="7"/>
        <v>241.53333333333333</v>
      </c>
      <c r="G55" s="79">
        <f>1994.4</f>
        <v>1994.4</v>
      </c>
      <c r="H55" s="86">
        <f t="shared" si="4"/>
        <v>1662.0000000000002</v>
      </c>
    </row>
    <row r="56" spans="2:8" s="84" customFormat="1" ht="30">
      <c r="B56" s="60"/>
      <c r="C56" s="92" t="s">
        <v>121</v>
      </c>
      <c r="D56" s="95" t="s">
        <v>1</v>
      </c>
      <c r="E56" s="77">
        <f t="shared" si="8"/>
        <v>289.83999999999997</v>
      </c>
      <c r="F56" s="78">
        <f t="shared" si="7"/>
        <v>241.53333333333333</v>
      </c>
      <c r="G56" s="79">
        <f>1152</f>
        <v>1152</v>
      </c>
      <c r="H56" s="86">
        <f t="shared" si="4"/>
        <v>960</v>
      </c>
    </row>
    <row r="57" spans="2:8" s="84" customFormat="1" ht="30">
      <c r="B57" s="60"/>
      <c r="C57" s="92" t="s">
        <v>122</v>
      </c>
      <c r="D57" s="95" t="s">
        <v>1</v>
      </c>
      <c r="E57" s="77">
        <f t="shared" si="8"/>
        <v>289.83999999999997</v>
      </c>
      <c r="F57" s="78">
        <f t="shared" si="7"/>
        <v>241.53333333333333</v>
      </c>
      <c r="G57" s="79">
        <f>2552.4</f>
        <v>2552.4</v>
      </c>
      <c r="H57" s="86">
        <f t="shared" si="4"/>
        <v>2127</v>
      </c>
    </row>
    <row r="58" spans="2:8" s="84" customFormat="1">
      <c r="B58" s="60"/>
      <c r="C58" s="92" t="s">
        <v>123</v>
      </c>
      <c r="D58" s="95" t="s">
        <v>1</v>
      </c>
      <c r="E58" s="77">
        <f t="shared" si="8"/>
        <v>289.83999999999997</v>
      </c>
      <c r="F58" s="78">
        <f t="shared" si="7"/>
        <v>241.53333333333333</v>
      </c>
      <c r="G58" s="79">
        <f>3742.8</f>
        <v>3742.8</v>
      </c>
      <c r="H58" s="86">
        <f t="shared" si="4"/>
        <v>3119.0000000000005</v>
      </c>
    </row>
    <row r="59" spans="2:8" s="84" customFormat="1" ht="30">
      <c r="B59" s="60"/>
      <c r="C59" s="92" t="s">
        <v>20</v>
      </c>
      <c r="D59" s="95" t="s">
        <v>1</v>
      </c>
      <c r="E59" s="77">
        <f t="shared" si="8"/>
        <v>289.83999999999997</v>
      </c>
      <c r="F59" s="78">
        <f t="shared" si="7"/>
        <v>241.53333333333333</v>
      </c>
      <c r="G59" s="79">
        <f>7107.94</f>
        <v>7107.94</v>
      </c>
      <c r="H59" s="86">
        <f>G59/1.2</f>
        <v>5923.2833333333328</v>
      </c>
    </row>
    <row r="60" spans="2:8" s="84" customFormat="1" ht="30">
      <c r="B60" s="60"/>
      <c r="C60" s="92" t="s">
        <v>21</v>
      </c>
      <c r="D60" s="95" t="s">
        <v>1</v>
      </c>
      <c r="E60" s="77">
        <f t="shared" si="8"/>
        <v>289.83999999999997</v>
      </c>
      <c r="F60" s="78">
        <f t="shared" si="7"/>
        <v>241.53333333333333</v>
      </c>
      <c r="G60" s="79">
        <v>432.17</v>
      </c>
      <c r="H60" s="86">
        <f>G60/1.2</f>
        <v>360.14166666666671</v>
      </c>
    </row>
    <row r="61" spans="2:8" s="84" customFormat="1" ht="27" customHeight="1">
      <c r="B61" s="60"/>
      <c r="C61" s="92" t="s">
        <v>124</v>
      </c>
      <c r="D61" s="95" t="s">
        <v>1</v>
      </c>
      <c r="E61" s="77">
        <f>112.23</f>
        <v>112.23</v>
      </c>
      <c r="F61" s="78">
        <f t="shared" si="7"/>
        <v>93.525000000000006</v>
      </c>
      <c r="G61" s="79">
        <f>425</f>
        <v>425</v>
      </c>
      <c r="H61" s="86">
        <f>G61/1.2</f>
        <v>354.16666666666669</v>
      </c>
    </row>
    <row r="62" spans="2:8" s="84" customFormat="1" ht="45">
      <c r="B62" s="60"/>
      <c r="C62" s="80" t="s">
        <v>125</v>
      </c>
      <c r="D62" s="82" t="s">
        <v>1</v>
      </c>
      <c r="E62" s="77">
        <v>289.83</v>
      </c>
      <c r="F62" s="78">
        <f t="shared" si="7"/>
        <v>241.52500000000001</v>
      </c>
      <c r="G62" s="79">
        <v>3991.5239999999999</v>
      </c>
      <c r="H62" s="86">
        <f>G62/1.2</f>
        <v>3326.27</v>
      </c>
    </row>
    <row r="63" spans="2:8" s="84" customFormat="1">
      <c r="B63" s="60"/>
      <c r="C63" s="80" t="s">
        <v>126</v>
      </c>
      <c r="D63" s="82" t="s">
        <v>1</v>
      </c>
      <c r="E63" s="77">
        <v>111.86</v>
      </c>
      <c r="F63" s="78">
        <f t="shared" si="7"/>
        <v>93.216666666666669</v>
      </c>
      <c r="G63" s="79">
        <v>42.768889592903534</v>
      </c>
      <c r="H63" s="86">
        <f t="shared" si="4"/>
        <v>35.640741327419612</v>
      </c>
    </row>
    <row r="64" spans="2:8" s="84" customFormat="1" ht="30">
      <c r="B64" s="60"/>
      <c r="C64" s="80" t="s">
        <v>127</v>
      </c>
      <c r="D64" s="82" t="s">
        <v>1</v>
      </c>
      <c r="E64" s="77">
        <v>2090.85</v>
      </c>
      <c r="F64" s="78">
        <f t="shared" si="7"/>
        <v>1742.375</v>
      </c>
      <c r="G64" s="79">
        <v>5797.5605892602571</v>
      </c>
      <c r="H64" s="86">
        <f>G64/1.2</f>
        <v>4831.3004910502141</v>
      </c>
    </row>
    <row r="65" spans="2:8" s="84" customFormat="1">
      <c r="B65" s="60"/>
      <c r="C65" s="80" t="s">
        <v>128</v>
      </c>
      <c r="D65" s="82" t="s">
        <v>1</v>
      </c>
      <c r="E65" s="77">
        <v>3559.32</v>
      </c>
      <c r="F65" s="78">
        <f t="shared" si="7"/>
        <v>2966.1000000000004</v>
      </c>
      <c r="G65" s="79">
        <v>4466.9729130365913</v>
      </c>
      <c r="H65" s="78">
        <f>G65/1.2</f>
        <v>3722.4774275304931</v>
      </c>
    </row>
    <row r="66" spans="2:8" s="84" customFormat="1">
      <c r="B66" s="60"/>
      <c r="C66" s="88" t="s">
        <v>25</v>
      </c>
      <c r="D66" s="89" t="s">
        <v>0</v>
      </c>
      <c r="E66" s="77">
        <f>205</f>
        <v>205</v>
      </c>
      <c r="F66" s="86">
        <f t="shared" si="7"/>
        <v>170.83333333333334</v>
      </c>
      <c r="G66" s="79">
        <f>205.03</f>
        <v>205.03</v>
      </c>
      <c r="H66" s="78">
        <f t="shared" si="4"/>
        <v>170.85833333333335</v>
      </c>
    </row>
    <row r="67" spans="2:8" s="84" customFormat="1">
      <c r="B67" s="60"/>
      <c r="C67" s="88" t="s">
        <v>26</v>
      </c>
      <c r="D67" s="89" t="s">
        <v>3</v>
      </c>
      <c r="E67" s="77">
        <f>129.16</f>
        <v>129.16</v>
      </c>
      <c r="F67" s="78">
        <f t="shared" si="7"/>
        <v>107.63333333333334</v>
      </c>
      <c r="G67" s="79">
        <f>874.57</f>
        <v>874.57</v>
      </c>
      <c r="H67" s="78">
        <f t="shared" si="4"/>
        <v>728.80833333333339</v>
      </c>
    </row>
    <row r="68" spans="2:8" s="84" customFormat="1">
      <c r="B68" s="60"/>
      <c r="C68" s="88" t="s">
        <v>27</v>
      </c>
      <c r="D68" s="89" t="s">
        <v>3</v>
      </c>
      <c r="E68" s="77">
        <f>129.16</f>
        <v>129.16</v>
      </c>
      <c r="F68" s="78">
        <f t="shared" si="7"/>
        <v>107.63333333333334</v>
      </c>
      <c r="G68" s="79">
        <f>1494.91</f>
        <v>1494.91</v>
      </c>
      <c r="H68" s="78">
        <f>G68/1.2</f>
        <v>1245.7583333333334</v>
      </c>
    </row>
    <row r="69" spans="2:8" s="84" customFormat="1">
      <c r="B69" s="60"/>
      <c r="C69" s="88" t="s">
        <v>129</v>
      </c>
      <c r="D69" s="89" t="s">
        <v>0</v>
      </c>
      <c r="E69" s="77">
        <f>129.16</f>
        <v>129.16</v>
      </c>
      <c r="F69" s="78">
        <f t="shared" si="7"/>
        <v>107.63333333333334</v>
      </c>
      <c r="G69" s="79">
        <f>380</f>
        <v>380</v>
      </c>
      <c r="H69" s="78">
        <f>G69/1.2</f>
        <v>316.66666666666669</v>
      </c>
    </row>
    <row r="70" spans="2:8" s="84" customFormat="1">
      <c r="B70" s="60"/>
      <c r="C70" s="80" t="s">
        <v>130</v>
      </c>
      <c r="D70" s="82" t="s">
        <v>0</v>
      </c>
      <c r="E70" s="77">
        <v>205</v>
      </c>
      <c r="F70" s="78">
        <f t="shared" si="7"/>
        <v>170.83333333333334</v>
      </c>
      <c r="G70" s="79">
        <v>237.6049421827974</v>
      </c>
      <c r="H70" s="78">
        <f t="shared" si="4"/>
        <v>198.00411848566452</v>
      </c>
    </row>
    <row r="71" spans="2:8" s="84" customFormat="1">
      <c r="B71" s="60"/>
      <c r="C71" s="80" t="s">
        <v>131</v>
      </c>
      <c r="D71" s="82" t="s">
        <v>0</v>
      </c>
      <c r="E71" s="77">
        <v>205</v>
      </c>
      <c r="F71" s="78">
        <f t="shared" si="7"/>
        <v>170.83333333333334</v>
      </c>
      <c r="G71" s="79">
        <v>332.64691905591638</v>
      </c>
      <c r="H71" s="78">
        <f t="shared" si="4"/>
        <v>277.20576587993031</v>
      </c>
    </row>
    <row r="72" spans="2:8" s="84" customFormat="1">
      <c r="B72" s="60"/>
      <c r="C72" s="80" t="s">
        <v>132</v>
      </c>
      <c r="D72" s="82" t="s">
        <v>0</v>
      </c>
      <c r="E72" s="77">
        <v>205</v>
      </c>
      <c r="F72" s="78">
        <f t="shared" si="7"/>
        <v>170.83333333333334</v>
      </c>
      <c r="G72" s="79">
        <v>209.09234912086171</v>
      </c>
      <c r="H72" s="78">
        <f t="shared" si="4"/>
        <v>174.24362426738477</v>
      </c>
    </row>
    <row r="73" spans="2:8" s="84" customFormat="1">
      <c r="B73" s="60"/>
      <c r="C73" s="80" t="s">
        <v>133</v>
      </c>
      <c r="D73" s="82" t="s">
        <v>0</v>
      </c>
      <c r="E73" s="77">
        <v>145</v>
      </c>
      <c r="F73" s="78">
        <f t="shared" si="7"/>
        <v>120.83333333333334</v>
      </c>
      <c r="G73" s="79">
        <v>780</v>
      </c>
      <c r="H73" s="78">
        <f t="shared" si="4"/>
        <v>650</v>
      </c>
    </row>
    <row r="74" spans="2:8" s="84" customFormat="1">
      <c r="B74" s="60"/>
      <c r="C74" s="80" t="s">
        <v>134</v>
      </c>
      <c r="D74" s="82" t="s">
        <v>0</v>
      </c>
      <c r="E74" s="77">
        <v>145</v>
      </c>
      <c r="F74" s="78">
        <f t="shared" si="7"/>
        <v>120.83333333333334</v>
      </c>
      <c r="G74" s="79">
        <v>780</v>
      </c>
      <c r="H74" s="78">
        <f t="shared" si="4"/>
        <v>650</v>
      </c>
    </row>
    <row r="75" spans="2:8" s="84" customFormat="1">
      <c r="B75" s="60"/>
      <c r="C75" s="88" t="s">
        <v>28</v>
      </c>
      <c r="D75" s="89" t="s">
        <v>3</v>
      </c>
      <c r="E75" s="77">
        <f>145</f>
        <v>145</v>
      </c>
      <c r="F75" s="78">
        <f t="shared" si="7"/>
        <v>120.83333333333334</v>
      </c>
      <c r="G75" s="79">
        <f>446.7</f>
        <v>446.7</v>
      </c>
      <c r="H75" s="78">
        <f t="shared" si="4"/>
        <v>372.25</v>
      </c>
    </row>
    <row r="76" spans="2:8" s="84" customFormat="1">
      <c r="B76" s="60"/>
      <c r="C76" s="88" t="s">
        <v>29</v>
      </c>
      <c r="D76" s="89" t="s">
        <v>0</v>
      </c>
      <c r="E76" s="77"/>
      <c r="F76" s="78"/>
      <c r="G76" s="79">
        <f>162.71</f>
        <v>162.71</v>
      </c>
      <c r="H76" s="78">
        <f t="shared" si="4"/>
        <v>135.59166666666667</v>
      </c>
    </row>
    <row r="77" spans="2:8" s="84" customFormat="1">
      <c r="B77" s="60"/>
      <c r="C77" s="88" t="s">
        <v>135</v>
      </c>
      <c r="D77" s="89" t="s">
        <v>3</v>
      </c>
      <c r="E77" s="77">
        <f>145</f>
        <v>145</v>
      </c>
      <c r="F77" s="78">
        <f>E77/1.2</f>
        <v>120.83333333333334</v>
      </c>
      <c r="G77" s="79">
        <f>446.7</f>
        <v>446.7</v>
      </c>
      <c r="H77" s="78">
        <f t="shared" si="4"/>
        <v>372.25</v>
      </c>
    </row>
    <row r="78" spans="2:8" s="84" customFormat="1">
      <c r="B78" s="60"/>
      <c r="C78" s="88" t="s">
        <v>136</v>
      </c>
      <c r="D78" s="89" t="s">
        <v>0</v>
      </c>
      <c r="E78" s="77"/>
      <c r="F78" s="78"/>
      <c r="G78" s="79">
        <f>147.46</f>
        <v>147.46</v>
      </c>
      <c r="H78" s="78">
        <f t="shared" si="4"/>
        <v>122.88333333333334</v>
      </c>
    </row>
    <row r="79" spans="2:8" s="84" customFormat="1">
      <c r="B79" s="60"/>
      <c r="C79" s="88" t="s">
        <v>137</v>
      </c>
      <c r="D79" s="89" t="s">
        <v>3</v>
      </c>
      <c r="E79" s="77"/>
      <c r="F79" s="78"/>
      <c r="G79" s="79">
        <f>162.47</f>
        <v>162.47</v>
      </c>
      <c r="H79" s="78">
        <f t="shared" si="4"/>
        <v>135.39166666666668</v>
      </c>
    </row>
    <row r="80" spans="2:8" s="84" customFormat="1">
      <c r="B80" s="60"/>
      <c r="C80" s="80" t="s">
        <v>138</v>
      </c>
      <c r="D80" s="96" t="s">
        <v>1</v>
      </c>
      <c r="E80" s="77">
        <v>300</v>
      </c>
      <c r="F80" s="78">
        <f t="shared" ref="F80:F118" si="9">E80/1.2</f>
        <v>250</v>
      </c>
      <c r="G80" s="79">
        <v>0</v>
      </c>
      <c r="H80" s="78">
        <f t="shared" si="4"/>
        <v>0</v>
      </c>
    </row>
    <row r="81" spans="2:8" s="84" customFormat="1">
      <c r="B81" s="60"/>
      <c r="C81" s="80" t="s">
        <v>58</v>
      </c>
      <c r="D81" s="82" t="s">
        <v>1</v>
      </c>
      <c r="E81" s="77">
        <v>6020.34</v>
      </c>
      <c r="F81" s="78">
        <f t="shared" si="9"/>
        <v>5016.9500000000007</v>
      </c>
      <c r="G81" s="79">
        <v>254.71249801995882</v>
      </c>
      <c r="H81" s="78">
        <f t="shared" si="4"/>
        <v>212.26041501663235</v>
      </c>
    </row>
    <row r="82" spans="2:8" s="84" customFormat="1">
      <c r="B82" s="60"/>
      <c r="C82" s="80" t="s">
        <v>139</v>
      </c>
      <c r="D82" s="82" t="s">
        <v>1</v>
      </c>
      <c r="E82" s="77">
        <v>4067.8</v>
      </c>
      <c r="F82" s="78">
        <f t="shared" si="9"/>
        <v>3389.8333333333335</v>
      </c>
      <c r="G82" s="79">
        <v>0</v>
      </c>
      <c r="H82" s="78">
        <f t="shared" si="4"/>
        <v>0</v>
      </c>
    </row>
    <row r="83" spans="2:8" s="84" customFormat="1">
      <c r="B83" s="60"/>
      <c r="C83" s="81" t="s">
        <v>34</v>
      </c>
      <c r="D83" s="89" t="s">
        <v>3</v>
      </c>
      <c r="E83" s="77">
        <f>661.02</f>
        <v>661.02</v>
      </c>
      <c r="F83" s="78">
        <f t="shared" si="9"/>
        <v>550.85</v>
      </c>
      <c r="G83" s="79"/>
      <c r="H83" s="78"/>
    </row>
    <row r="84" spans="2:8" s="84" customFormat="1">
      <c r="B84" s="60"/>
      <c r="C84" s="80" t="s">
        <v>140</v>
      </c>
      <c r="D84" s="82" t="s">
        <v>1</v>
      </c>
      <c r="E84" s="77">
        <v>305.08</v>
      </c>
      <c r="F84" s="78">
        <f t="shared" si="9"/>
        <v>254.23333333333332</v>
      </c>
      <c r="G84" s="79">
        <v>508.47457627118638</v>
      </c>
      <c r="H84" s="78">
        <f t="shared" ref="H84:H109" si="10">G84/1.2</f>
        <v>423.72881355932202</v>
      </c>
    </row>
    <row r="85" spans="2:8" s="84" customFormat="1">
      <c r="B85" s="60"/>
      <c r="C85" s="80" t="s">
        <v>141</v>
      </c>
      <c r="D85" s="82" t="s">
        <v>1</v>
      </c>
      <c r="E85" s="77">
        <v>305.08</v>
      </c>
      <c r="F85" s="78">
        <f t="shared" si="9"/>
        <v>254.23333333333332</v>
      </c>
      <c r="G85" s="79">
        <v>0</v>
      </c>
      <c r="H85" s="78">
        <f t="shared" si="10"/>
        <v>0</v>
      </c>
    </row>
    <row r="86" spans="2:8" s="84" customFormat="1">
      <c r="B86" s="60"/>
      <c r="C86" s="80" t="s">
        <v>142</v>
      </c>
      <c r="D86" s="96" t="s">
        <v>1</v>
      </c>
      <c r="E86" s="77">
        <v>330.51</v>
      </c>
      <c r="F86" s="78">
        <f t="shared" si="9"/>
        <v>275.42500000000001</v>
      </c>
      <c r="G86" s="79">
        <v>538.88800887058449</v>
      </c>
      <c r="H86" s="78">
        <f>G86/1.2</f>
        <v>449.07334072548707</v>
      </c>
    </row>
    <row r="87" spans="2:8" s="84" customFormat="1">
      <c r="B87" s="60"/>
      <c r="C87" s="80" t="s">
        <v>143</v>
      </c>
      <c r="D87" s="82" t="s">
        <v>0</v>
      </c>
      <c r="E87" s="77">
        <v>320.33999999999997</v>
      </c>
      <c r="F87" s="78">
        <f t="shared" si="9"/>
        <v>266.95</v>
      </c>
      <c r="G87" s="79">
        <v>256.61333755742118</v>
      </c>
      <c r="H87" s="78">
        <f t="shared" si="10"/>
        <v>213.84444796451766</v>
      </c>
    </row>
    <row r="88" spans="2:8" s="84" customFormat="1">
      <c r="B88" s="60"/>
      <c r="C88" s="80" t="s">
        <v>24</v>
      </c>
      <c r="D88" s="82" t="s">
        <v>1</v>
      </c>
      <c r="E88" s="77">
        <v>508.47</v>
      </c>
      <c r="F88" s="78">
        <f t="shared" si="9"/>
        <v>423.72500000000002</v>
      </c>
      <c r="G88" s="79">
        <v>921.90717566925377</v>
      </c>
      <c r="H88" s="78">
        <f t="shared" si="10"/>
        <v>768.25597972437822</v>
      </c>
    </row>
    <row r="89" spans="2:8" s="84" customFormat="1">
      <c r="B89" s="60"/>
      <c r="C89" s="80" t="s">
        <v>144</v>
      </c>
      <c r="D89" s="82" t="s">
        <v>0</v>
      </c>
      <c r="E89" s="77">
        <v>65.08</v>
      </c>
      <c r="F89" s="78">
        <f t="shared" si="9"/>
        <v>54.233333333333334</v>
      </c>
      <c r="G89" s="79">
        <v>19.008395374623795</v>
      </c>
      <c r="H89" s="78">
        <f t="shared" si="10"/>
        <v>15.840329478853164</v>
      </c>
    </row>
    <row r="90" spans="2:8" s="84" customFormat="1">
      <c r="B90" s="60"/>
      <c r="C90" s="80" t="s">
        <v>145</v>
      </c>
      <c r="D90" s="82" t="s">
        <v>0</v>
      </c>
      <c r="E90" s="77">
        <v>65.08</v>
      </c>
      <c r="F90" s="78">
        <f t="shared" si="9"/>
        <v>54.233333333333334</v>
      </c>
      <c r="G90" s="79">
        <v>30</v>
      </c>
      <c r="H90" s="78">
        <f t="shared" si="10"/>
        <v>25</v>
      </c>
    </row>
    <row r="91" spans="2:8" s="84" customFormat="1">
      <c r="B91" s="60"/>
      <c r="C91" s="80" t="s">
        <v>146</v>
      </c>
      <c r="D91" s="82" t="s">
        <v>0</v>
      </c>
      <c r="E91" s="77">
        <v>47.8</v>
      </c>
      <c r="F91" s="78">
        <f t="shared" si="9"/>
        <v>39.833333333333336</v>
      </c>
      <c r="G91" s="79">
        <v>25.66133375574212</v>
      </c>
      <c r="H91" s="78">
        <f t="shared" si="10"/>
        <v>21.384444796451767</v>
      </c>
    </row>
    <row r="92" spans="2:8" s="84" customFormat="1">
      <c r="B92" s="60"/>
      <c r="C92" s="80" t="s">
        <v>147</v>
      </c>
      <c r="D92" s="82" t="s">
        <v>0</v>
      </c>
      <c r="E92" s="77">
        <v>56.95</v>
      </c>
      <c r="F92" s="78">
        <f t="shared" si="9"/>
        <v>47.458333333333336</v>
      </c>
      <c r="G92" s="79">
        <v>42.768889592903534</v>
      </c>
      <c r="H92" s="78">
        <f t="shared" si="10"/>
        <v>35.640741327419612</v>
      </c>
    </row>
    <row r="93" spans="2:8" s="84" customFormat="1">
      <c r="B93" s="60"/>
      <c r="C93" s="80" t="s">
        <v>148</v>
      </c>
      <c r="D93" s="82" t="s">
        <v>0</v>
      </c>
      <c r="E93" s="77">
        <v>56.95</v>
      </c>
      <c r="F93" s="78">
        <f t="shared" si="9"/>
        <v>47.458333333333336</v>
      </c>
      <c r="G93" s="79">
        <v>86.435999999999993</v>
      </c>
      <c r="H93" s="78">
        <f t="shared" si="10"/>
        <v>72.03</v>
      </c>
    </row>
    <row r="94" spans="2:8" s="84" customFormat="1">
      <c r="B94" s="60"/>
      <c r="C94" s="80" t="s">
        <v>149</v>
      </c>
      <c r="D94" s="82" t="s">
        <v>0</v>
      </c>
      <c r="E94" s="77">
        <v>56.95</v>
      </c>
      <c r="F94" s="78">
        <f t="shared" si="9"/>
        <v>47.458333333333336</v>
      </c>
      <c r="G94" s="79">
        <v>52.273087280215428</v>
      </c>
      <c r="H94" s="78">
        <f t="shared" si="10"/>
        <v>43.560906066846194</v>
      </c>
    </row>
    <row r="95" spans="2:8" s="84" customFormat="1">
      <c r="B95" s="60"/>
      <c r="C95" s="80" t="s">
        <v>150</v>
      </c>
      <c r="D95" s="82" t="s">
        <v>0</v>
      </c>
      <c r="E95" s="77">
        <v>56.95</v>
      </c>
      <c r="F95" s="78">
        <f t="shared" si="9"/>
        <v>47.458333333333336</v>
      </c>
      <c r="G95" s="79">
        <v>64.067796610169495</v>
      </c>
      <c r="H95" s="78">
        <f t="shared" si="10"/>
        <v>53.389830508474581</v>
      </c>
    </row>
    <row r="96" spans="2:8" s="84" customFormat="1">
      <c r="B96" s="60"/>
      <c r="C96" s="80" t="s">
        <v>151</v>
      </c>
      <c r="D96" s="82" t="s">
        <v>0</v>
      </c>
      <c r="E96" s="77">
        <v>56.95</v>
      </c>
      <c r="F96" s="78">
        <f t="shared" si="9"/>
        <v>47.458333333333336</v>
      </c>
      <c r="G96" s="79">
        <v>30.508474576271183</v>
      </c>
      <c r="H96" s="78">
        <f t="shared" si="10"/>
        <v>25.423728813559322</v>
      </c>
    </row>
    <row r="97" spans="2:8" s="84" customFormat="1">
      <c r="B97" s="60"/>
      <c r="C97" s="80" t="s">
        <v>152</v>
      </c>
      <c r="D97" s="82" t="s">
        <v>0</v>
      </c>
      <c r="E97" s="77">
        <v>56.95</v>
      </c>
      <c r="F97" s="78">
        <f t="shared" si="9"/>
        <v>47.458333333333336</v>
      </c>
      <c r="G97" s="79">
        <v>199.32</v>
      </c>
      <c r="H97" s="78">
        <f t="shared" si="10"/>
        <v>166.1</v>
      </c>
    </row>
    <row r="98" spans="2:8" s="84" customFormat="1">
      <c r="B98" s="60"/>
      <c r="C98" s="80" t="s">
        <v>153</v>
      </c>
      <c r="D98" s="82" t="s">
        <v>0</v>
      </c>
      <c r="E98" s="77">
        <v>56.95</v>
      </c>
      <c r="F98" s="78">
        <f t="shared" si="9"/>
        <v>47.458333333333336</v>
      </c>
      <c r="G98" s="79">
        <v>142.572</v>
      </c>
      <c r="H98" s="78">
        <f t="shared" si="10"/>
        <v>118.81</v>
      </c>
    </row>
    <row r="99" spans="2:8" s="84" customFormat="1">
      <c r="B99" s="60"/>
      <c r="C99" s="81" t="s">
        <v>154</v>
      </c>
      <c r="D99" s="82" t="s">
        <v>0</v>
      </c>
      <c r="E99" s="77">
        <v>56.95</v>
      </c>
      <c r="F99" s="78">
        <f t="shared" si="9"/>
        <v>47.458333333333336</v>
      </c>
      <c r="G99" s="79">
        <v>358</v>
      </c>
      <c r="H99" s="78">
        <f t="shared" si="10"/>
        <v>298.33333333333337</v>
      </c>
    </row>
    <row r="100" spans="2:8" s="84" customFormat="1">
      <c r="B100" s="60"/>
      <c r="C100" s="80" t="s">
        <v>155</v>
      </c>
      <c r="D100" s="82" t="s">
        <v>0</v>
      </c>
      <c r="E100" s="77">
        <v>56.95</v>
      </c>
      <c r="F100" s="78">
        <f t="shared" si="9"/>
        <v>47.458333333333336</v>
      </c>
      <c r="G100" s="79">
        <v>83</v>
      </c>
      <c r="H100" s="78">
        <f t="shared" si="10"/>
        <v>69.166666666666671</v>
      </c>
    </row>
    <row r="101" spans="2:8" s="84" customFormat="1">
      <c r="B101" s="60"/>
      <c r="C101" s="80" t="s">
        <v>156</v>
      </c>
      <c r="D101" s="82" t="s">
        <v>0</v>
      </c>
      <c r="E101" s="77">
        <v>65.08</v>
      </c>
      <c r="F101" s="78">
        <f t="shared" si="9"/>
        <v>54.233333333333334</v>
      </c>
      <c r="G101" s="79">
        <v>142.56296530967845</v>
      </c>
      <c r="H101" s="78">
        <f t="shared" si="10"/>
        <v>118.80247109139871</v>
      </c>
    </row>
    <row r="102" spans="2:8" s="84" customFormat="1">
      <c r="B102" s="60"/>
      <c r="C102" s="80" t="s">
        <v>157</v>
      </c>
      <c r="D102" s="82" t="s">
        <v>0</v>
      </c>
      <c r="E102" s="77">
        <v>160</v>
      </c>
      <c r="F102" s="78">
        <f t="shared" si="9"/>
        <v>133.33333333333334</v>
      </c>
      <c r="G102" s="79">
        <v>352</v>
      </c>
      <c r="H102" s="78">
        <f t="shared" si="10"/>
        <v>293.33333333333337</v>
      </c>
    </row>
    <row r="103" spans="2:8" s="84" customFormat="1">
      <c r="B103" s="60"/>
      <c r="C103" s="80" t="s">
        <v>158</v>
      </c>
      <c r="D103" s="82" t="s">
        <v>0</v>
      </c>
      <c r="E103" s="77">
        <v>160</v>
      </c>
      <c r="F103" s="78">
        <f t="shared" si="9"/>
        <v>133.33333333333334</v>
      </c>
      <c r="G103" s="79">
        <v>500</v>
      </c>
      <c r="H103" s="78">
        <f>G103/1.2</f>
        <v>416.66666666666669</v>
      </c>
    </row>
    <row r="104" spans="2:8" s="84" customFormat="1">
      <c r="B104" s="60"/>
      <c r="C104" s="80" t="s">
        <v>159</v>
      </c>
      <c r="D104" s="82" t="s">
        <v>0</v>
      </c>
      <c r="E104" s="77">
        <v>160</v>
      </c>
      <c r="F104" s="78">
        <f t="shared" si="9"/>
        <v>133.33333333333334</v>
      </c>
      <c r="G104" s="79">
        <v>1770</v>
      </c>
      <c r="H104" s="78">
        <f>G104/1.2</f>
        <v>1475</v>
      </c>
    </row>
    <row r="105" spans="2:8" s="84" customFormat="1">
      <c r="B105" s="60"/>
      <c r="C105" s="97" t="s">
        <v>160</v>
      </c>
      <c r="D105" s="95" t="s">
        <v>0</v>
      </c>
      <c r="E105" s="77">
        <v>56.95</v>
      </c>
      <c r="F105" s="78">
        <f t="shared" si="9"/>
        <v>47.458333333333336</v>
      </c>
      <c r="G105" s="79">
        <v>64</v>
      </c>
      <c r="H105" s="78">
        <f t="shared" si="10"/>
        <v>53.333333333333336</v>
      </c>
    </row>
    <row r="106" spans="2:8" s="84" customFormat="1">
      <c r="B106" s="60"/>
      <c r="C106" s="97" t="s">
        <v>161</v>
      </c>
      <c r="D106" s="95" t="s">
        <v>0</v>
      </c>
      <c r="E106" s="77">
        <v>56.95</v>
      </c>
      <c r="F106" s="78">
        <f t="shared" si="9"/>
        <v>47.458333333333336</v>
      </c>
      <c r="G106" s="79">
        <v>57</v>
      </c>
      <c r="H106" s="78">
        <f t="shared" si="10"/>
        <v>47.5</v>
      </c>
    </row>
    <row r="107" spans="2:8" s="84" customFormat="1">
      <c r="B107" s="60"/>
      <c r="C107" s="97" t="s">
        <v>30</v>
      </c>
      <c r="D107" s="95" t="s">
        <v>0</v>
      </c>
      <c r="E107" s="77">
        <v>56.95</v>
      </c>
      <c r="F107" s="78">
        <f t="shared" si="9"/>
        <v>47.458333333333336</v>
      </c>
      <c r="G107" s="79">
        <v>102</v>
      </c>
      <c r="H107" s="78">
        <f t="shared" si="10"/>
        <v>85</v>
      </c>
    </row>
    <row r="108" spans="2:8" s="84" customFormat="1">
      <c r="B108" s="60"/>
      <c r="C108" s="97" t="s">
        <v>162</v>
      </c>
      <c r="D108" s="95" t="s">
        <v>0</v>
      </c>
      <c r="E108" s="77">
        <v>56.95</v>
      </c>
      <c r="F108" s="78">
        <f t="shared" si="9"/>
        <v>47.458333333333336</v>
      </c>
      <c r="G108" s="79">
        <v>80</v>
      </c>
      <c r="H108" s="78">
        <f t="shared" si="10"/>
        <v>66.666666666666671</v>
      </c>
    </row>
    <row r="109" spans="2:8" s="84" customFormat="1">
      <c r="B109" s="60"/>
      <c r="C109" s="97" t="s">
        <v>163</v>
      </c>
      <c r="D109" s="95" t="s">
        <v>0</v>
      </c>
      <c r="E109" s="77">
        <f>56.95</f>
        <v>56.95</v>
      </c>
      <c r="F109" s="78">
        <f t="shared" si="9"/>
        <v>47.458333333333336</v>
      </c>
      <c r="G109" s="79">
        <f>106.78</f>
        <v>106.78</v>
      </c>
      <c r="H109" s="78">
        <f t="shared" si="10"/>
        <v>88.983333333333334</v>
      </c>
    </row>
    <row r="110" spans="2:8" s="84" customFormat="1">
      <c r="B110" s="60"/>
      <c r="C110" s="97" t="s">
        <v>164</v>
      </c>
      <c r="D110" s="95" t="s">
        <v>0</v>
      </c>
      <c r="E110" s="77">
        <v>56.95</v>
      </c>
      <c r="F110" s="78">
        <f t="shared" si="9"/>
        <v>47.458333333333336</v>
      </c>
      <c r="G110" s="79">
        <v>97</v>
      </c>
      <c r="H110" s="78">
        <f>G110/1.2</f>
        <v>80.833333333333343</v>
      </c>
    </row>
    <row r="111" spans="2:8" s="84" customFormat="1">
      <c r="B111" s="60"/>
      <c r="C111" s="97" t="s">
        <v>165</v>
      </c>
      <c r="D111" s="95" t="s">
        <v>0</v>
      </c>
      <c r="E111" s="77">
        <v>56.95</v>
      </c>
      <c r="F111" s="78">
        <f t="shared" si="9"/>
        <v>47.458333333333336</v>
      </c>
      <c r="G111" s="79">
        <v>110</v>
      </c>
      <c r="H111" s="78">
        <f>G111/1.2</f>
        <v>91.666666666666671</v>
      </c>
    </row>
    <row r="112" spans="2:8" s="84" customFormat="1" ht="58.5" customHeight="1">
      <c r="B112" s="60"/>
      <c r="C112" s="80" t="s">
        <v>166</v>
      </c>
      <c r="D112" s="82" t="s">
        <v>2</v>
      </c>
      <c r="E112" s="77">
        <v>34595.589999999997</v>
      </c>
      <c r="F112" s="78">
        <f t="shared" si="9"/>
        <v>28829.658333333333</v>
      </c>
      <c r="G112" s="79" t="s">
        <v>79</v>
      </c>
      <c r="H112" s="78" t="s">
        <v>79</v>
      </c>
    </row>
    <row r="113" spans="2:8" s="84" customFormat="1" ht="58.5" customHeight="1">
      <c r="B113" s="60"/>
      <c r="C113" s="80" t="s">
        <v>167</v>
      </c>
      <c r="D113" s="82" t="s">
        <v>2</v>
      </c>
      <c r="E113" s="77">
        <f>14440.68</f>
        <v>14440.68</v>
      </c>
      <c r="F113" s="78">
        <f t="shared" si="9"/>
        <v>12033.900000000001</v>
      </c>
      <c r="G113" s="79" t="s">
        <v>79</v>
      </c>
      <c r="H113" s="78" t="s">
        <v>79</v>
      </c>
    </row>
    <row r="114" spans="2:8" s="84" customFormat="1" ht="58.5" customHeight="1">
      <c r="B114" s="60"/>
      <c r="C114" s="80" t="s">
        <v>168</v>
      </c>
      <c r="D114" s="82" t="s">
        <v>2</v>
      </c>
      <c r="E114" s="77">
        <v>19728.810000000001</v>
      </c>
      <c r="F114" s="78">
        <f t="shared" si="9"/>
        <v>16440.675000000003</v>
      </c>
      <c r="G114" s="79" t="s">
        <v>79</v>
      </c>
      <c r="H114" s="78" t="s">
        <v>79</v>
      </c>
    </row>
    <row r="115" spans="2:8" s="84" customFormat="1" ht="58.5" customHeight="1">
      <c r="B115" s="60"/>
      <c r="C115" s="80" t="s">
        <v>169</v>
      </c>
      <c r="D115" s="82" t="s">
        <v>2</v>
      </c>
      <c r="E115" s="77">
        <v>24661.02</v>
      </c>
      <c r="F115" s="78">
        <f t="shared" si="9"/>
        <v>20550.850000000002</v>
      </c>
      <c r="G115" s="79" t="s">
        <v>79</v>
      </c>
      <c r="H115" s="78" t="s">
        <v>79</v>
      </c>
    </row>
    <row r="116" spans="2:8" s="84" customFormat="1">
      <c r="B116" s="60"/>
      <c r="C116" s="80" t="s">
        <v>170</v>
      </c>
      <c r="D116" s="82" t="s">
        <v>1</v>
      </c>
      <c r="E116" s="77">
        <v>50.85</v>
      </c>
      <c r="F116" s="78">
        <f t="shared" si="9"/>
        <v>42.375</v>
      </c>
      <c r="G116" s="79">
        <v>0</v>
      </c>
      <c r="H116" s="78">
        <f>G116/1.2</f>
        <v>0</v>
      </c>
    </row>
    <row r="117" spans="2:8" s="84" customFormat="1" ht="30">
      <c r="B117" s="60"/>
      <c r="C117" s="80" t="s">
        <v>171</v>
      </c>
      <c r="D117" s="82" t="s">
        <v>1</v>
      </c>
      <c r="E117" s="77">
        <v>325.42</v>
      </c>
      <c r="F117" s="78">
        <f t="shared" si="9"/>
        <v>271.18333333333334</v>
      </c>
      <c r="G117" s="79">
        <v>763.18707429114522</v>
      </c>
      <c r="H117" s="78">
        <f>G117/1.2</f>
        <v>635.98922857595437</v>
      </c>
    </row>
    <row r="118" spans="2:8" s="84" customFormat="1">
      <c r="B118" s="60">
        <f t="shared" ref="B118" si="11">B117+1</f>
        <v>1</v>
      </c>
      <c r="C118" s="80" t="s">
        <v>33</v>
      </c>
      <c r="D118" s="82" t="s">
        <v>1</v>
      </c>
      <c r="E118" s="77">
        <v>161.69</v>
      </c>
      <c r="F118" s="78">
        <f t="shared" si="9"/>
        <v>134.74166666666667</v>
      </c>
      <c r="G118" s="79">
        <v>45</v>
      </c>
      <c r="H118" s="78">
        <f>G118/1.2</f>
        <v>37.5</v>
      </c>
    </row>
  </sheetData>
  <mergeCells count="4">
    <mergeCell ref="B1:B2"/>
    <mergeCell ref="C1:C2"/>
    <mergeCell ref="D1:D2"/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смр</vt:lpstr>
      <vt:lpstr>Лист1</vt:lpstr>
      <vt:lpstr>__xlnm_Print_Area</vt:lpstr>
      <vt:lpstr>Excel_BuiltIn_Print_Area_1</vt:lpstr>
      <vt:lpstr>Excel_BuiltIn_Print_Area_1_1</vt:lpstr>
      <vt:lpstr>Excel_BuiltIn_Print_Area_1_1_1</vt:lpstr>
      <vt:lpstr>Excel_BuiltIn_Print_Area_1_1_1_1</vt:lpstr>
      <vt:lpstr>Excel_BuiltIn_Print_Area_1_1_1_1_1</vt:lpstr>
      <vt:lpstr>Excel_BuiltIn_Print_Area_1_1_1_1_1_1</vt:lpstr>
      <vt:lpstr>Excel_BuiltIn_Print_Area_1_1_1_1_1_1_1</vt:lpstr>
      <vt:lpstr>смр!Область_печати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BP2KF</dc:creator>
  <cp:lastModifiedBy>semikova_ya</cp:lastModifiedBy>
  <dcterms:created xsi:type="dcterms:W3CDTF">2020-01-13T12:07:29Z</dcterms:created>
  <dcterms:modified xsi:type="dcterms:W3CDTF">2020-12-08T22:57:11Z</dcterms:modified>
</cp:coreProperties>
</file>