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120" yWindow="105" windowWidth="15120" windowHeight="8010" tabRatio="849" firstSheet="1" activeTab="1"/>
  </bookViews>
  <sheets>
    <sheet name="ФинЧасть" sheetId="2" state="hidden" r:id="rId1"/>
    <sheet name="Заявка" sheetId="4" r:id="rId2"/>
    <sheet name="Данные" sheetId="6" r:id="rId3"/>
    <sheet name="Персонал" sheetId="3" r:id="rId4"/>
    <sheet name="Формулы" sheetId="5" r:id="rId5"/>
  </sheets>
  <definedNames>
    <definedName name="РП">Данные!#REF!</definedName>
    <definedName name="Руководитель_проекта">Формулы!$I$32:$I$359:'Данные'!$H$32</definedName>
  </definedNames>
  <calcPr calcId="162913"/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2" i="5"/>
  <c r="A3" i="5"/>
  <c r="A70" i="5"/>
  <c r="D70" i="5"/>
  <c r="B71" i="5"/>
  <c r="D71" i="5"/>
  <c r="B72" i="5" s="1"/>
  <c r="F71" i="5"/>
  <c r="A81" i="5"/>
  <c r="A33" i="5"/>
  <c r="D33" i="5"/>
  <c r="E33" i="5"/>
  <c r="B33" i="5" s="1"/>
  <c r="C34" i="5"/>
  <c r="E34" i="5"/>
  <c r="G34" i="5"/>
  <c r="C35" i="5"/>
  <c r="E35" i="5"/>
  <c r="G35" i="5"/>
  <c r="C36" i="5"/>
  <c r="E36" i="5"/>
  <c r="G36" i="5"/>
  <c r="C37" i="5"/>
  <c r="E37" i="5"/>
  <c r="G37" i="5"/>
  <c r="N37" i="5"/>
  <c r="C38" i="5"/>
  <c r="E38" i="5"/>
  <c r="G38" i="5"/>
  <c r="N38" i="5"/>
  <c r="C39" i="5"/>
  <c r="E39" i="5"/>
  <c r="G39" i="5"/>
  <c r="N39" i="5"/>
  <c r="C40" i="5"/>
  <c r="E40" i="5"/>
  <c r="G40" i="5"/>
  <c r="N40" i="5"/>
  <c r="C41" i="5"/>
  <c r="E41" i="5"/>
  <c r="G41" i="5"/>
  <c r="C42" i="5"/>
  <c r="E42" i="5"/>
  <c r="G42" i="5"/>
  <c r="C43" i="5"/>
  <c r="E43" i="5"/>
  <c r="G43" i="5"/>
  <c r="C44" i="5"/>
  <c r="E44" i="5"/>
  <c r="G44" i="5"/>
  <c r="C45" i="5"/>
  <c r="E45" i="5"/>
  <c r="G45" i="5"/>
  <c r="C46" i="5"/>
  <c r="E46" i="5"/>
  <c r="G46" i="5"/>
  <c r="C47" i="5"/>
  <c r="E47" i="5"/>
  <c r="G47" i="5"/>
  <c r="C48" i="5"/>
  <c r="E48" i="5"/>
  <c r="G48" i="5"/>
  <c r="C49" i="5"/>
  <c r="E49" i="5"/>
  <c r="G49" i="5"/>
  <c r="C50" i="5"/>
  <c r="E50" i="5"/>
  <c r="G50" i="5"/>
  <c r="C51" i="5"/>
  <c r="E51" i="5"/>
  <c r="G51" i="5"/>
  <c r="C52" i="5"/>
  <c r="E52" i="5"/>
  <c r="G52" i="5"/>
  <c r="C53" i="5"/>
  <c r="E53" i="5"/>
  <c r="G53" i="5"/>
  <c r="C54" i="5"/>
  <c r="E54" i="5"/>
  <c r="G54" i="5"/>
  <c r="C55" i="5"/>
  <c r="E55" i="5"/>
  <c r="G55" i="5"/>
  <c r="C56" i="5"/>
  <c r="E56" i="5"/>
  <c r="G56" i="5"/>
  <c r="C57" i="5"/>
  <c r="E57" i="5"/>
  <c r="G57" i="5"/>
  <c r="B55" i="5" l="1"/>
  <c r="B43" i="5"/>
  <c r="B40" i="5"/>
  <c r="B39" i="5"/>
  <c r="B51" i="5"/>
  <c r="B47" i="5"/>
  <c r="B57" i="5"/>
  <c r="B53" i="5"/>
  <c r="B49" i="5"/>
  <c r="B45" i="5"/>
  <c r="B41" i="5"/>
  <c r="B54" i="5"/>
  <c r="B50" i="5"/>
  <c r="B46" i="5"/>
  <c r="B42" i="5"/>
  <c r="B56" i="5"/>
  <c r="B52" i="5"/>
  <c r="B48" i="5"/>
  <c r="B44" i="5"/>
  <c r="B34" i="5"/>
  <c r="B35" i="5"/>
  <c r="B36" i="5"/>
  <c r="B37" i="5"/>
  <c r="B38" i="5"/>
  <c r="B5" i="6" l="1"/>
  <c r="K12" i="3"/>
  <c r="K22" i="3"/>
  <c r="K4" i="3"/>
  <c r="K5" i="3"/>
  <c r="K6" i="3"/>
  <c r="K2" i="3"/>
  <c r="K25" i="3"/>
  <c r="K24" i="3"/>
  <c r="K15" i="3"/>
  <c r="E28" i="5" l="1"/>
  <c r="B18" i="6"/>
  <c r="B19" i="6" s="1"/>
  <c r="B7" i="6"/>
  <c r="C18" i="5" l="1"/>
  <c r="E18" i="5"/>
  <c r="G18" i="5"/>
  <c r="I18" i="5"/>
  <c r="J18" i="5"/>
  <c r="L18" i="5"/>
  <c r="N18" i="5"/>
  <c r="Q18" i="5"/>
  <c r="S18" i="5"/>
  <c r="X18" i="5"/>
  <c r="C19" i="5"/>
  <c r="E19" i="5"/>
  <c r="G19" i="5"/>
  <c r="I19" i="5"/>
  <c r="J19" i="5"/>
  <c r="L19" i="5"/>
  <c r="N19" i="5"/>
  <c r="S19" i="5"/>
  <c r="X19" i="5"/>
  <c r="C20" i="5"/>
  <c r="E20" i="5"/>
  <c r="G20" i="5"/>
  <c r="I20" i="5"/>
  <c r="J20" i="5"/>
  <c r="L20" i="5"/>
  <c r="N20" i="5"/>
  <c r="S20" i="5"/>
  <c r="X20" i="5"/>
  <c r="C21" i="5"/>
  <c r="E21" i="5"/>
  <c r="G21" i="5"/>
  <c r="I21" i="5"/>
  <c r="J21" i="5"/>
  <c r="L21" i="5"/>
  <c r="N21" i="5"/>
  <c r="S21" i="5"/>
  <c r="X21" i="5"/>
  <c r="C22" i="5"/>
  <c r="E22" i="5"/>
  <c r="G22" i="5"/>
  <c r="I22" i="5"/>
  <c r="J22" i="5"/>
  <c r="L22" i="5"/>
  <c r="N22" i="5"/>
  <c r="Q22" i="5"/>
  <c r="S22" i="5"/>
  <c r="X22" i="5"/>
  <c r="C23" i="5"/>
  <c r="E23" i="5"/>
  <c r="G23" i="5"/>
  <c r="I23" i="5"/>
  <c r="J23" i="5"/>
  <c r="L23" i="5"/>
  <c r="N23" i="5"/>
  <c r="S23" i="5"/>
  <c r="X23" i="5"/>
  <c r="C24" i="5"/>
  <c r="E24" i="5"/>
  <c r="G24" i="5"/>
  <c r="I24" i="5"/>
  <c r="J24" i="5"/>
  <c r="L24" i="5"/>
  <c r="N24" i="5"/>
  <c r="Q24" i="5"/>
  <c r="S24" i="5"/>
  <c r="X24" i="5"/>
  <c r="C25" i="5"/>
  <c r="E25" i="5"/>
  <c r="G25" i="5"/>
  <c r="I25" i="5"/>
  <c r="J25" i="5"/>
  <c r="L25" i="5"/>
  <c r="N25" i="5"/>
  <c r="Q25" i="5"/>
  <c r="S25" i="5"/>
  <c r="X25" i="5"/>
  <c r="A33" i="4"/>
  <c r="K20" i="3"/>
  <c r="Q20" i="5" s="1"/>
  <c r="C3" i="5"/>
  <c r="E3" i="5"/>
  <c r="G3" i="5"/>
  <c r="I3" i="5"/>
  <c r="J3" i="5"/>
  <c r="L3" i="5"/>
  <c r="N3" i="5"/>
  <c r="S3" i="5"/>
  <c r="X3" i="5"/>
  <c r="C4" i="5"/>
  <c r="E4" i="5"/>
  <c r="G4" i="5"/>
  <c r="I4" i="5"/>
  <c r="J4" i="5"/>
  <c r="L4" i="5"/>
  <c r="N4" i="5"/>
  <c r="Q4" i="5"/>
  <c r="S4" i="5"/>
  <c r="X4" i="5"/>
  <c r="C5" i="5"/>
  <c r="E5" i="5"/>
  <c r="G5" i="5"/>
  <c r="I5" i="5"/>
  <c r="J5" i="5"/>
  <c r="L5" i="5"/>
  <c r="N5" i="5"/>
  <c r="Q5" i="5"/>
  <c r="S5" i="5"/>
  <c r="X5" i="5"/>
  <c r="C6" i="5"/>
  <c r="E6" i="5"/>
  <c r="G6" i="5"/>
  <c r="I6" i="5"/>
  <c r="J6" i="5"/>
  <c r="L6" i="5"/>
  <c r="N6" i="5"/>
  <c r="Q6" i="5"/>
  <c r="S6" i="5"/>
  <c r="X6" i="5"/>
  <c r="C7" i="5"/>
  <c r="E7" i="5"/>
  <c r="G7" i="5"/>
  <c r="I7" i="5"/>
  <c r="J7" i="5"/>
  <c r="L7" i="5"/>
  <c r="N7" i="5"/>
  <c r="S7" i="5"/>
  <c r="X7" i="5"/>
  <c r="C8" i="5"/>
  <c r="E8" i="5"/>
  <c r="G8" i="5"/>
  <c r="I8" i="5"/>
  <c r="J8" i="5"/>
  <c r="L8" i="5"/>
  <c r="N8" i="5"/>
  <c r="S8" i="5"/>
  <c r="X8" i="5"/>
  <c r="C9" i="5"/>
  <c r="E9" i="5"/>
  <c r="G9" i="5"/>
  <c r="I9" i="5"/>
  <c r="J9" i="5"/>
  <c r="L9" i="5"/>
  <c r="N9" i="5"/>
  <c r="Q9" i="5"/>
  <c r="S9" i="5"/>
  <c r="X9" i="5"/>
  <c r="C10" i="5"/>
  <c r="E10" i="5"/>
  <c r="G10" i="5"/>
  <c r="I10" i="5"/>
  <c r="J10" i="5"/>
  <c r="L10" i="5"/>
  <c r="N10" i="5"/>
  <c r="Q10" i="5"/>
  <c r="S10" i="5"/>
  <c r="X10" i="5"/>
  <c r="C11" i="5"/>
  <c r="E11" i="5"/>
  <c r="G11" i="5"/>
  <c r="I11" i="5"/>
  <c r="J11" i="5"/>
  <c r="L11" i="5"/>
  <c r="N11" i="5"/>
  <c r="S11" i="5"/>
  <c r="X11" i="5"/>
  <c r="C12" i="5"/>
  <c r="E12" i="5"/>
  <c r="G12" i="5"/>
  <c r="I12" i="5"/>
  <c r="J12" i="5"/>
  <c r="L12" i="5"/>
  <c r="N12" i="5"/>
  <c r="Q12" i="5"/>
  <c r="S12" i="5"/>
  <c r="X12" i="5"/>
  <c r="C13" i="5"/>
  <c r="E13" i="5"/>
  <c r="G13" i="5"/>
  <c r="I13" i="5"/>
  <c r="J13" i="5"/>
  <c r="L13" i="5"/>
  <c r="N13" i="5"/>
  <c r="Q13" i="5"/>
  <c r="S13" i="5"/>
  <c r="X13" i="5"/>
  <c r="C14" i="5"/>
  <c r="E14" i="5"/>
  <c r="G14" i="5"/>
  <c r="I14" i="5"/>
  <c r="J14" i="5"/>
  <c r="L14" i="5"/>
  <c r="N14" i="5"/>
  <c r="S14" i="5"/>
  <c r="X14" i="5"/>
  <c r="C15" i="5"/>
  <c r="E15" i="5"/>
  <c r="G15" i="5"/>
  <c r="I15" i="5"/>
  <c r="J15" i="5"/>
  <c r="L15" i="5"/>
  <c r="N15" i="5"/>
  <c r="Q15" i="5"/>
  <c r="S15" i="5"/>
  <c r="X15" i="5"/>
  <c r="C16" i="5"/>
  <c r="E16" i="5"/>
  <c r="G16" i="5"/>
  <c r="I16" i="5"/>
  <c r="J16" i="5"/>
  <c r="L16" i="5"/>
  <c r="N16" i="5"/>
  <c r="Q16" i="5"/>
  <c r="S16" i="5"/>
  <c r="X16" i="5"/>
  <c r="C17" i="5"/>
  <c r="E17" i="5"/>
  <c r="G17" i="5"/>
  <c r="I17" i="5"/>
  <c r="J17" i="5"/>
  <c r="L17" i="5"/>
  <c r="N17" i="5"/>
  <c r="Q17" i="5"/>
  <c r="S17" i="5"/>
  <c r="X17" i="5"/>
  <c r="B97" i="5" l="1"/>
  <c r="B95" i="5"/>
  <c r="B107" i="5"/>
  <c r="B104" i="5"/>
  <c r="B101" i="5"/>
  <c r="B99" i="5"/>
  <c r="B100" i="5"/>
  <c r="B98" i="5"/>
  <c r="B93" i="5"/>
  <c r="B90" i="5"/>
  <c r="B88" i="5"/>
  <c r="B105" i="5"/>
  <c r="B94" i="5"/>
  <c r="B92" i="5"/>
  <c r="B89" i="5"/>
  <c r="B87" i="5"/>
  <c r="B106" i="5"/>
  <c r="B103" i="5"/>
  <c r="B96" i="5"/>
  <c r="B91" i="5"/>
  <c r="B86" i="5"/>
  <c r="B108" i="5"/>
  <c r="B102" i="5"/>
  <c r="A20" i="4"/>
  <c r="A30" i="4"/>
  <c r="A22" i="4"/>
  <c r="A18" i="4"/>
  <c r="A14" i="4"/>
  <c r="A10" i="4"/>
  <c r="A29" i="4"/>
  <c r="A27" i="4"/>
  <c r="A25" i="4"/>
  <c r="A23" i="4"/>
  <c r="A9" i="4"/>
  <c r="A21" i="4"/>
  <c r="A17" i="4"/>
  <c r="A15" i="4"/>
  <c r="A11" i="4"/>
  <c r="K11" i="3"/>
  <c r="Q11" i="5" s="1"/>
  <c r="K23" i="3"/>
  <c r="Q23" i="5" s="1"/>
  <c r="A23" i="3"/>
  <c r="A24" i="3"/>
  <c r="A25" i="3"/>
  <c r="A11" i="3"/>
  <c r="A12" i="3"/>
  <c r="A13" i="3"/>
  <c r="A28" i="4" l="1"/>
  <c r="A16" i="4"/>
  <c r="X2" i="5"/>
  <c r="S2" i="5"/>
  <c r="N2" i="5"/>
  <c r="L2" i="5"/>
  <c r="J2" i="5"/>
  <c r="I2" i="5"/>
  <c r="B85" i="5" s="1"/>
  <c r="A82" i="5" s="1"/>
  <c r="G2" i="5"/>
  <c r="E2" i="5"/>
  <c r="C2" i="5"/>
  <c r="A21" i="3" l="1"/>
  <c r="A15" i="3"/>
  <c r="A19" i="3"/>
  <c r="A18" i="3"/>
  <c r="A14" i="3"/>
  <c r="A22" i="3"/>
  <c r="A16" i="3"/>
  <c r="A17" i="3"/>
  <c r="A20" i="3"/>
  <c r="A4" i="3"/>
  <c r="A3" i="3"/>
  <c r="A2" i="3"/>
  <c r="A8" i="3"/>
  <c r="A10" i="3"/>
  <c r="A5" i="3"/>
  <c r="A6" i="3"/>
  <c r="A9" i="3"/>
  <c r="C64" i="5" l="1"/>
  <c r="D63" i="5" s="1"/>
  <c r="B16" i="6" s="1"/>
  <c r="E63" i="5" l="1"/>
  <c r="A51" i="6" l="1"/>
  <c r="M26" i="3" l="1"/>
  <c r="M27" i="3"/>
  <c r="M28" i="3"/>
  <c r="D66" i="5" l="1"/>
  <c r="D62" i="5"/>
  <c r="E66" i="5" l="1"/>
  <c r="B74" i="5" s="1"/>
  <c r="A71" i="5" s="1"/>
  <c r="E62" i="5"/>
  <c r="B62" i="5" s="1"/>
  <c r="B63" i="5" l="1"/>
  <c r="J27" i="3"/>
  <c r="J26" i="3"/>
  <c r="J28" i="3" l="1"/>
  <c r="C29" i="5" l="1"/>
  <c r="K19" i="3" l="1"/>
  <c r="Q19" i="5" s="1"/>
  <c r="A24" i="4" s="1"/>
  <c r="K26" i="3"/>
  <c r="K28" i="3"/>
  <c r="K8" i="3"/>
  <c r="Q8" i="5" s="1"/>
  <c r="A13" i="4" s="1"/>
  <c r="Q2" i="5" l="1"/>
  <c r="A7" i="3"/>
  <c r="K3" i="3" l="1"/>
  <c r="Q3" i="5" s="1"/>
  <c r="A8" i="4" l="1"/>
  <c r="D61" i="5"/>
  <c r="E30" i="5"/>
  <c r="C30" i="5"/>
  <c r="C28" i="5"/>
  <c r="E27" i="5"/>
  <c r="C27" i="5"/>
  <c r="K14" i="3"/>
  <c r="Q14" i="5" s="1"/>
  <c r="A19" i="4" s="1"/>
  <c r="K21" i="3"/>
  <c r="Q21" i="5" s="1"/>
  <c r="A26" i="4" s="1"/>
  <c r="K27" i="3"/>
  <c r="K7" i="3"/>
  <c r="Q7" i="5" s="1"/>
  <c r="A12" i="4" s="1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G9" i="2"/>
  <c r="G8" i="2"/>
  <c r="F8" i="2"/>
  <c r="G7" i="2"/>
  <c r="B61" i="5" l="1"/>
  <c r="A27" i="5"/>
  <c r="A30" i="5"/>
  <c r="A5" i="4" l="1"/>
  <c r="A1" i="4"/>
  <c r="G28" i="5"/>
  <c r="A28" i="5" s="1"/>
  <c r="B11" i="6" l="1"/>
  <c r="B12" i="6" l="1"/>
  <c r="D59" i="5"/>
  <c r="B59" i="5" s="1"/>
  <c r="B8" i="6" l="1"/>
  <c r="D60" i="5"/>
  <c r="B60" i="5" s="1"/>
  <c r="A59" i="5" s="1"/>
  <c r="A34" i="5" l="1"/>
  <c r="E29" i="5"/>
  <c r="C8" i="6"/>
  <c r="A2" i="4"/>
  <c r="A29" i="5" l="1"/>
  <c r="A4" i="4" s="1"/>
</calcChain>
</file>

<file path=xl/sharedStrings.xml><?xml version="1.0" encoding="utf-8"?>
<sst xmlns="http://schemas.openxmlformats.org/spreadsheetml/2006/main" count="630" uniqueCount="248">
  <si>
    <t>ФИО</t>
  </si>
  <si>
    <t>Должность</t>
  </si>
  <si>
    <t>Ст. кладовщик</t>
  </si>
  <si>
    <t>Кладовщик</t>
  </si>
  <si>
    <t>ЗУМ</t>
  </si>
  <si>
    <r>
      <t xml:space="preserve">Командировка продавца-кассира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Елена Бузмакова 8-900-375-86-64 (Ср 30000) ЕКБ Белинского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=45000+ндфл 2243 (за месячную норму часов+переработки)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</si>
  <si>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Ксения Распопина 8-922-210-34-46 (Ср 39000) ЕКБ Белинского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=58500+ндфл 2550 (за месячную норму часов+переработки)</t>
    </r>
  </si>
  <si>
    <r>
      <t xml:space="preserve">Командировка продавца </t>
    </r>
    <r>
      <rPr>
        <b/>
        <sz val="14"/>
        <color theme="1"/>
        <rFont val="Calibri"/>
        <family val="2"/>
        <charset val="204"/>
        <scheme val="minor"/>
      </rPr>
      <t>с ... по ...</t>
    </r>
    <r>
      <rPr>
        <sz val="14"/>
        <color theme="1"/>
        <rFont val="Calibri"/>
        <family val="2"/>
        <charset val="204"/>
        <scheme val="minor"/>
      </rPr>
      <t xml:space="preserve"> Крокодилов Сергей Иванович 8-900-041-65-94(Ср 29100), ЕКБ Гранат,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(Ср.ЗП)*1,5=43650+ндфл 2243 руб</t>
    </r>
    <r>
      <rPr>
        <sz val="14"/>
        <color theme="1"/>
        <rFont val="Calibri"/>
        <family val="2"/>
        <charset val="204"/>
        <scheme val="minor"/>
      </rPr>
      <t xml:space="preserve"> (за месячную норму часов+переработки)</t>
    </r>
  </si>
  <si>
    <r>
      <t xml:space="preserve">Командировка Ст. кладовщик </t>
    </r>
    <r>
      <rPr>
        <b/>
        <sz val="14"/>
        <color theme="1"/>
        <rFont val="Calibri"/>
        <family val="2"/>
        <charset val="204"/>
        <scheme val="minor"/>
      </rPr>
      <t>с 27.05 по 17.06</t>
    </r>
    <r>
      <rPr>
        <sz val="14"/>
        <color theme="1"/>
        <rFont val="Calibri"/>
        <family val="2"/>
        <charset val="204"/>
        <scheme val="minor"/>
      </rPr>
      <t xml:space="preserve"> Фазилов Илья Ибрагимович 8-963-446-15-63(Ср 31500), ЕКБ Грибоедова,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(Ср.ЗП)*1,5=47250+ндфл 2691 руб</t>
    </r>
    <r>
      <rPr>
        <sz val="14"/>
        <color theme="1"/>
        <rFont val="Calibri"/>
        <family val="2"/>
        <charset val="204"/>
        <scheme val="minor"/>
      </rPr>
      <t xml:space="preserve"> (за месячную норму часов+переработки)</t>
    </r>
  </si>
  <si>
    <r>
      <t xml:space="preserve">Командировка кладовщик </t>
    </r>
    <r>
      <rPr>
        <b/>
        <sz val="14"/>
        <color theme="1"/>
        <rFont val="Calibri"/>
        <family val="2"/>
        <charset val="204"/>
        <scheme val="minor"/>
      </rPr>
      <t>с ... по ...</t>
    </r>
    <r>
      <rPr>
        <sz val="14"/>
        <color theme="1"/>
        <rFont val="Calibri"/>
        <family val="2"/>
        <charset val="204"/>
        <scheme val="minor"/>
      </rPr>
      <t xml:space="preserve"> Грачев Игорь Михайлович 8-977-287-21-88(Ср 34900), МСК Мытищи Селезнева,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(Ср.ЗП)*1,5=52350+ндфл 1950 руб</t>
    </r>
    <r>
      <rPr>
        <sz val="14"/>
        <color theme="1"/>
        <rFont val="Calibri"/>
        <family val="2"/>
        <charset val="204"/>
        <scheme val="minor"/>
      </rPr>
      <t xml:space="preserve"> (за месячную норму часов+переработки)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</si>
  <si>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27.05 по 17.06</t>
    </r>
    <r>
      <rPr>
        <sz val="14"/>
        <color theme="1"/>
        <rFont val="Calibri"/>
        <family val="2"/>
        <charset val="204"/>
        <scheme val="minor"/>
      </rPr>
      <t xml:space="preserve"> Давыдова Наталья Игоревна 8-901-71-51-499(Ср 48500) МСК Одинцово В ФОТ для бюджета на выезд</t>
    </r>
    <r>
      <rPr>
        <b/>
        <sz val="14"/>
        <color theme="1"/>
        <rFont val="Calibri"/>
        <family val="2"/>
        <charset val="204"/>
        <scheme val="minor"/>
      </rPr>
      <t xml:space="preserve"> Ср.ЗП*1,5 =72750+ндфл 2845 руб</t>
    </r>
    <r>
      <rPr>
        <sz val="14"/>
        <color theme="1"/>
        <rFont val="Calibri"/>
        <family val="2"/>
        <charset val="204"/>
        <scheme val="minor"/>
      </rPr>
      <t xml:space="preserve">(за месячную норму часов+переработки) </t>
    </r>
  </si>
  <si>
    <r>
      <t xml:space="preserve">Командировка Ст. кассира </t>
    </r>
    <r>
      <rPr>
        <b/>
        <sz val="14"/>
        <color theme="1"/>
        <rFont val="Calibri"/>
        <family val="2"/>
        <charset val="204"/>
        <scheme val="minor"/>
      </rPr>
      <t>с 08.06 по 17.06</t>
    </r>
    <r>
      <rPr>
        <sz val="14"/>
        <color theme="1"/>
        <rFont val="Calibri"/>
        <family val="2"/>
        <charset val="204"/>
        <scheme val="minor"/>
      </rPr>
      <t xml:space="preserve"> Бондаренко Александра Леонидовна 8-982-649-60-66(Ср 32000) ЕКБ Гранат В ФОТ для бюджета на выезд</t>
    </r>
    <r>
      <rPr>
        <b/>
        <sz val="14"/>
        <color theme="1"/>
        <rFont val="Calibri"/>
        <family val="2"/>
        <charset val="204"/>
        <scheme val="minor"/>
      </rPr>
      <t xml:space="preserve"> Ср.ЗП*1,5 =24000+</t>
    </r>
    <r>
      <rPr>
        <sz val="14"/>
        <color theme="1"/>
        <rFont val="Calibri"/>
        <family val="2"/>
        <charset val="204"/>
        <scheme val="minor"/>
      </rPr>
      <t>ндфл 2550</t>
    </r>
    <r>
      <rPr>
        <b/>
        <sz val="14"/>
        <color theme="1"/>
        <rFont val="Calibri"/>
        <family val="2"/>
        <charset val="204"/>
        <scheme val="minor"/>
      </rPr>
      <t>(за 88 часов)</t>
    </r>
  </si>
  <si>
    <r>
      <t xml:space="preserve">Командировка Ст. кассира </t>
    </r>
    <r>
      <rPr>
        <b/>
        <sz val="14"/>
        <rFont val="Calibri"/>
        <family val="2"/>
        <charset val="204"/>
      </rPr>
      <t>с 25.08 по 08.09</t>
    </r>
    <r>
      <rPr>
        <sz val="14"/>
        <rFont val="Calibri"/>
        <family val="2"/>
        <charset val="204"/>
      </rPr>
      <t xml:space="preserve"> Шелковникова Татьяна Павловна 8-919-766-50-10(Ср 42530) МСК Раменское Михалевича В ФОТ для бюджета на выезд </t>
    </r>
    <r>
      <rPr>
        <b/>
        <sz val="14"/>
        <rFont val="Calibri"/>
        <family val="2"/>
        <charset val="204"/>
      </rPr>
      <t>Ср.ЗП*1,5 = 55821 + ндфл 2600(за 154 час)</t>
    </r>
  </si>
  <si>
    <r>
      <t xml:space="preserve">Командировка Ст. кассира </t>
    </r>
    <r>
      <rPr>
        <b/>
        <sz val="14"/>
        <color theme="1"/>
        <rFont val="Calibri"/>
        <family val="2"/>
        <charset val="204"/>
        <scheme val="minor"/>
      </rPr>
      <t>с 04.06 по 17.06</t>
    </r>
    <r>
      <rPr>
        <sz val="14"/>
        <color theme="1"/>
        <rFont val="Calibri"/>
        <family val="2"/>
        <charset val="204"/>
        <scheme val="minor"/>
      </rPr>
      <t xml:space="preserve"> Татьяна Храмова 8-982-611-41-75 (Ср 32000) ЕКБ Белинского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=18000+ндфл 2550(за 66 часов)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</si>
  <si>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Ильиных Евгений 8-982-638-62-01 (Ср 39000 ) ЕКБ Мегаполис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=58500+ндфл 2550  (за месячную норму часов+переработки)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</si>
  <si>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Никита Ячменников 8-908-919-25-31 (Ср 39000) ЕКБ Бабушкина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=58500+ндфл 2550 (за месячную норму часов+переработки)</t>
    </r>
  </si>
  <si>
    <t>№</t>
  </si>
  <si>
    <t>Старт ап:</t>
  </si>
  <si>
    <t>Дата</t>
  </si>
  <si>
    <t>Старшие кассиры, ЗУМы</t>
  </si>
  <si>
    <t>Продавцы – кассиры</t>
  </si>
  <si>
    <t>Кладовщики</t>
  </si>
  <si>
    <t>Поставка товара -разгрузка, приемка</t>
  </si>
  <si>
    <t>Выкладка товара</t>
  </si>
  <si>
    <t>Приемка товара</t>
  </si>
  <si>
    <t>Ценники, порядок в зале</t>
  </si>
  <si>
    <t>Техническое открытие</t>
  </si>
  <si>
    <t>Праздничное открытие</t>
  </si>
  <si>
    <t>Отъезд  старт-ап</t>
  </si>
  <si>
    <t>Командировка</t>
  </si>
  <si>
    <t>Ст.кладовщик</t>
  </si>
  <si>
    <t>с</t>
  </si>
  <si>
    <t>по</t>
  </si>
  <si>
    <t>Телефон</t>
  </si>
  <si>
    <t>,</t>
  </si>
  <si>
    <t xml:space="preserve"> (за месячную норму часов+переработки)</t>
  </si>
  <si>
    <t>Команд.
ЗП</t>
  </si>
  <si>
    <t>НДФЛ</t>
  </si>
  <si>
    <t>руб</t>
  </si>
  <si>
    <t>в ФОТ для бюджета на выезд (Ср.ЗП)*1,5 =</t>
  </si>
  <si>
    <t>+ ндфл</t>
  </si>
  <si>
    <t>(ср.</t>
  </si>
  <si>
    <t>),</t>
  </si>
  <si>
    <t>Город</t>
  </si>
  <si>
    <t>ТЦ</t>
  </si>
  <si>
    <t>Нач. обуч.</t>
  </si>
  <si>
    <t>Кон. обуч.</t>
  </si>
  <si>
    <t>Кол-во дней</t>
  </si>
  <si>
    <t>Приезд 1 тренера</t>
  </si>
  <si>
    <t>Уезд 1 тренера</t>
  </si>
  <si>
    <t xml:space="preserve">ТЦ </t>
  </si>
  <si>
    <t>-</t>
  </si>
  <si>
    <t>г.</t>
  </si>
  <si>
    <t>Аренда учебного класса с</t>
  </si>
  <si>
    <t>Командировка тренера №1 - с</t>
  </si>
  <si>
    <t>Командировка тренера №2 - с</t>
  </si>
  <si>
    <t>1 Поставка</t>
  </si>
  <si>
    <t>Для отправки в Whatsapp</t>
  </si>
  <si>
    <t>Группа г.</t>
  </si>
  <si>
    <t xml:space="preserve">по </t>
  </si>
  <si>
    <t>Первая поставка</t>
  </si>
  <si>
    <t>Руководитель проекта</t>
  </si>
  <si>
    <t>РП</t>
  </si>
  <si>
    <t>АГЗ</t>
  </si>
  <si>
    <t>Прошу сообщить о согласовании командировки данных участников.</t>
  </si>
  <si>
    <t>Данные по старт-ап команде г.</t>
  </si>
  <si>
    <t>Во вложении файл с датами командировки в г.</t>
  </si>
  <si>
    <t>К командировкам всех сотрудников добавлен 2 дня - до и 1 день - после, на дорогу и заселение.</t>
  </si>
  <si>
    <t>ИМЯ ФАЙЛА</t>
  </si>
  <si>
    <t>(</t>
  </si>
  <si>
    <t>часов)</t>
  </si>
  <si>
    <t>Тех.открытие</t>
  </si>
  <si>
    <t>Празд.открытие</t>
  </si>
  <si>
    <t>Письмо УМ</t>
  </si>
  <si>
    <t xml:space="preserve">Уважаемые Управляющие, довожу до вашего сведения о предстоящей командировке ваших сотрудников:
</t>
  </si>
  <si>
    <t xml:space="preserve">
Даты указаны без учета затраченного времени на дорогу к месту командировки и возвращения из нее: только даты приезда на проект и отъезда с него. Точную дату выезда в командировку и дату возвращения из нее Ваш сотрудник предоставит после покупки билетов.
Необходимо учесть данный интервал дат при составлении табеля рабочего времени в Вашем магазине: один день до и два дня после обязательные выходные!
</t>
  </si>
  <si>
    <t xml:space="preserve">
Прошу подтвердить получение данного письма.</t>
  </si>
  <si>
    <t>mail</t>
  </si>
  <si>
    <t xml:space="preserve">Электронная почта руководителя проекта,  </t>
  </si>
  <si>
    <t>Адрес объекта: г.</t>
  </si>
  <si>
    <t xml:space="preserve">для подачи заявок на получение денежных средств
_______
</t>
  </si>
  <si>
    <t xml:space="preserve">_________
Даты командировок указаны без учета дороги! Только даты приезда и отъезда на/с проект(а), при составлении заявки и расчете суточных - учитывайте время необходимое на дорогу!
_________
</t>
  </si>
  <si>
    <t>ПК</t>
  </si>
  <si>
    <t>Выходной</t>
  </si>
  <si>
    <t>Адрес</t>
  </si>
  <si>
    <t>_________
Коллеги АГЗ, напоминаю о табелировании команды стартап в табеле на google диске и о передаче ссылки УМу перед отъездом и напоминании УМу о табелировании команды стартап в данном табеле!</t>
  </si>
  <si>
    <t>Тренер на объекте</t>
  </si>
  <si>
    <t>старт-ап команды, ФИО участников и их расчетная часть з/п. 
К командировкам всех сотрудников добавлен 1 дня -до и 1 день -после, на заселение и выселение, время требуемое на дорогу до/с объекта не учтено.</t>
  </si>
  <si>
    <t>Москва</t>
  </si>
  <si>
    <t>email</t>
  </si>
  <si>
    <t>Железнодорожный</t>
  </si>
  <si>
    <t>Томск</t>
  </si>
  <si>
    <t>ст.кладовщик</t>
  </si>
  <si>
    <t>Калиновского 1</t>
  </si>
  <si>
    <t>Петров Петр</t>
  </si>
  <si>
    <t>Иванов Иван</t>
  </si>
  <si>
    <t>Сидоров Сидр</t>
  </si>
  <si>
    <t>Котов Кот</t>
  </si>
  <si>
    <t>Смиронов Смирн</t>
  </si>
  <si>
    <t>Грачев Грач</t>
  </si>
  <si>
    <t>Карпов Карп</t>
  </si>
  <si>
    <t>ВАКАНТ</t>
  </si>
  <si>
    <t>Викор</t>
  </si>
  <si>
    <t>Дима</t>
  </si>
  <si>
    <t>Саша</t>
  </si>
  <si>
    <t>Коля</t>
  </si>
  <si>
    <t>Настя</t>
  </si>
  <si>
    <t>Митя</t>
  </si>
  <si>
    <t>Вика</t>
  </si>
  <si>
    <t>direktor-179</t>
  </si>
  <si>
    <t>direktor-086</t>
  </si>
  <si>
    <t xml:space="preserve"> direktor-212</t>
  </si>
  <si>
    <t>direktor-008</t>
  </si>
  <si>
    <t>direktor-016</t>
  </si>
  <si>
    <t>direktor-184@</t>
  </si>
  <si>
    <t>direktor-180@</t>
  </si>
  <si>
    <t>direktor-136</t>
  </si>
  <si>
    <t>Игорь</t>
  </si>
  <si>
    <t xml:space="preserve">direktor-008 </t>
  </si>
  <si>
    <t xml:space="preserve">direktor-109 </t>
  </si>
  <si>
    <t xml:space="preserve">direktor-092 </t>
  </si>
  <si>
    <t xml:space="preserve">direktor-004 </t>
  </si>
  <si>
    <t xml:space="preserve">direktor-221 </t>
  </si>
  <si>
    <t xml:space="preserve">direktor-160 </t>
  </si>
  <si>
    <t xml:space="preserve">direktor-082 </t>
  </si>
  <si>
    <t>Саратов</t>
  </si>
  <si>
    <t>Самара</t>
  </si>
  <si>
    <t>Екатеринбург</t>
  </si>
  <si>
    <t>Челябинск</t>
  </si>
  <si>
    <t>Новосибирск</t>
  </si>
  <si>
    <t>Новокузнецк</t>
  </si>
  <si>
    <t>С.-Петербург</t>
  </si>
  <si>
    <t>Тагил</t>
  </si>
  <si>
    <t>Ставрополь</t>
  </si>
  <si>
    <t>Василий Алибабаевич</t>
  </si>
  <si>
    <t>8-888-111</t>
  </si>
  <si>
    <t>8-888-112</t>
  </si>
  <si>
    <t>8-888-113</t>
  </si>
  <si>
    <t>8-888-114</t>
  </si>
  <si>
    <t>8-888-115</t>
  </si>
  <si>
    <t>8-888-116</t>
  </si>
  <si>
    <t>8-888-117</t>
  </si>
  <si>
    <t>8-888-118</t>
  </si>
  <si>
    <t>8-888-119</t>
  </si>
  <si>
    <t>8-888-120</t>
  </si>
  <si>
    <t>8-888-121</t>
  </si>
  <si>
    <t>8-888-122</t>
  </si>
  <si>
    <t>8-888-123</t>
  </si>
  <si>
    <t>8-888-124</t>
  </si>
  <si>
    <t>8-888-125</t>
  </si>
  <si>
    <t>8-888-126</t>
  </si>
  <si>
    <t>8-888-127</t>
  </si>
  <si>
    <t>8-888-128</t>
  </si>
  <si>
    <t>8-888-129</t>
  </si>
  <si>
    <t>8-888-130</t>
  </si>
  <si>
    <t>8-888-131</t>
  </si>
  <si>
    <t>8-888-132</t>
  </si>
  <si>
    <t>8-888-133</t>
  </si>
  <si>
    <t>8-888-134</t>
  </si>
  <si>
    <t>Доцент</t>
  </si>
  <si>
    <t>БОСС</t>
  </si>
  <si>
    <t>Пушкин</t>
  </si>
  <si>
    <t>Пушкино</t>
  </si>
  <si>
    <t xml:space="preserve"> direktor-213</t>
  </si>
  <si>
    <t xml:space="preserve"> direktor-214</t>
  </si>
  <si>
    <t>direktor-137</t>
  </si>
  <si>
    <t>Светлогор</t>
  </si>
  <si>
    <t>грин</t>
  </si>
  <si>
    <t>бер</t>
  </si>
  <si>
    <t>зав</t>
  </si>
  <si>
    <t>кар</t>
  </si>
  <si>
    <t>карп</t>
  </si>
  <si>
    <t>крок</t>
  </si>
  <si>
    <t>мих</t>
  </si>
  <si>
    <t>пер</t>
  </si>
  <si>
    <t>рез</t>
  </si>
  <si>
    <t>сбр</t>
  </si>
  <si>
    <t>хам</t>
  </si>
  <si>
    <t>шад</t>
  </si>
  <si>
    <t>шум</t>
  </si>
  <si>
    <t>8-900</t>
  </si>
  <si>
    <t>8-901</t>
  </si>
  <si>
    <t>8-902</t>
  </si>
  <si>
    <t>8-903</t>
  </si>
  <si>
    <t>8-904</t>
  </si>
  <si>
    <t>8-905</t>
  </si>
  <si>
    <t>8-906</t>
  </si>
  <si>
    <t>8-907</t>
  </si>
  <si>
    <t>8-908</t>
  </si>
  <si>
    <t>8-909</t>
  </si>
  <si>
    <t>8-910</t>
  </si>
  <si>
    <t>8-911</t>
  </si>
  <si>
    <t>8-912</t>
  </si>
  <si>
    <t>8-913</t>
  </si>
  <si>
    <t>8-914</t>
  </si>
  <si>
    <t>бас</t>
  </si>
  <si>
    <t>илю</t>
  </si>
  <si>
    <t>АД</t>
  </si>
  <si>
    <t>ГС</t>
  </si>
  <si>
    <t>КП</t>
  </si>
  <si>
    <t>ЛП</t>
  </si>
  <si>
    <t>ОД</t>
  </si>
  <si>
    <t>ПЕ</t>
  </si>
  <si>
    <t>СД</t>
  </si>
  <si>
    <t>ЯВ</t>
  </si>
  <si>
    <t>8-100</t>
  </si>
  <si>
    <t>8-101</t>
  </si>
  <si>
    <t>8-102</t>
  </si>
  <si>
    <t>8-103</t>
  </si>
  <si>
    <t>8-104</t>
  </si>
  <si>
    <t>8-105</t>
  </si>
  <si>
    <t>8-106</t>
  </si>
  <si>
    <t>8-107</t>
  </si>
  <si>
    <t>8-108</t>
  </si>
  <si>
    <t>d.a@m.ru</t>
  </si>
  <si>
    <t>mb@m.ru</t>
  </si>
  <si>
    <t>sg@m.ru</t>
  </si>
  <si>
    <t>pk@m.ru</t>
  </si>
  <si>
    <t>pl@m.ru</t>
  </si>
  <si>
    <t>do@m.ru</t>
  </si>
  <si>
    <t>ep@m.ru</t>
  </si>
  <si>
    <t>ds@m.ru</t>
  </si>
  <si>
    <t>vy@m.ru</t>
  </si>
  <si>
    <t>БМ</t>
  </si>
  <si>
    <t>дня</t>
  </si>
  <si>
    <t>B28;" ";C28;" ";D28;" ";E28;" ";F28;" ";G28;" ";I28</t>
  </si>
  <si>
    <t>Вводный курс</t>
  </si>
  <si>
    <t>СБ</t>
  </si>
  <si>
    <t>1С</t>
  </si>
  <si>
    <t>Склад</t>
  </si>
  <si>
    <t xml:space="preserve">Отъезд тренера </t>
  </si>
  <si>
    <t>ЗП</t>
  </si>
  <si>
    <t>Коэф</t>
  </si>
  <si>
    <t>Центральный</t>
  </si>
  <si>
    <t>приезд SU</t>
  </si>
  <si>
    <t>уезд SU</t>
  </si>
  <si>
    <t>моя шпоргалка</t>
  </si>
  <si>
    <t>Открытие</t>
  </si>
  <si>
    <t>16.01</t>
  </si>
  <si>
    <t>09.02</t>
  </si>
  <si>
    <t>16.02</t>
  </si>
  <si>
    <t>Начало
коман-
дировки</t>
  </si>
  <si>
    <t>Конец
коман-
дировки</t>
  </si>
  <si>
    <t>Питер</t>
  </si>
  <si>
    <t>Данные Персонала</t>
  </si>
  <si>
    <t>Приезд 2</t>
  </si>
  <si>
    <t>Приезд 1</t>
  </si>
  <si>
    <t>Текст письмо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</si>
</sst>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d\ mmm"/>
    <numFmt numFmtId="165" formatCode="[$-419]d\ mmm;@"/>
    <numFmt numFmtId="166" formatCode="#,##0.00\ &quot;₽&quot;"/>
    <numFmt numFmtId="167" formatCode="0.0"/>
    <numFmt numFmtId="168" formatCode="dd/mm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5" borderId="8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6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0" fillId="2" borderId="1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/>
    <xf numFmtId="0" fontId="2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49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top" wrapText="1"/>
    </xf>
    <xf numFmtId="0" fontId="3" fillId="0" borderId="23" xfId="0" applyFont="1" applyBorder="1" applyAlignment="1">
      <alignment vertical="center" wrapText="1"/>
    </xf>
    <xf numFmtId="0" fontId="0" fillId="4" borderId="0" xfId="0" applyNumberFormat="1" applyFill="1"/>
    <xf numFmtId="0" fontId="0" fillId="4" borderId="0" xfId="0" applyNumberFormat="1" applyFill="1" applyAlignment="1">
      <alignment wrapText="1"/>
    </xf>
    <xf numFmtId="0" fontId="0" fillId="12" borderId="0" xfId="0" applyNumberFormat="1" applyFill="1"/>
    <xf numFmtId="0" fontId="0" fillId="12" borderId="0" xfId="0" applyNumberForma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49" fontId="3" fillId="5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4" borderId="0" xfId="0" applyNumberFormat="1" applyFont="1" applyFill="1" applyBorder="1" applyAlignment="1">
      <alignment horizontal="right" vertical="center" wrapText="1"/>
    </xf>
    <xf numFmtId="49" fontId="3" fillId="4" borderId="0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49" fontId="3" fillId="5" borderId="23" xfId="0" applyNumberFormat="1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vertical="center" wrapText="1"/>
    </xf>
    <xf numFmtId="1" fontId="3" fillId="0" borderId="9" xfId="0" applyNumberFormat="1" applyFont="1" applyFill="1" applyBorder="1" applyAlignment="1">
      <alignment vertical="center" wrapText="1"/>
    </xf>
    <xf numFmtId="1" fontId="3" fillId="0" borderId="35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" fontId="3" fillId="0" borderId="35" xfId="0" applyNumberFormat="1" applyFont="1" applyBorder="1" applyAlignment="1">
      <alignment vertical="center" wrapText="1"/>
    </xf>
    <xf numFmtId="1" fontId="3" fillId="0" borderId="23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167" fontId="3" fillId="0" borderId="20" xfId="0" applyNumberFormat="1" applyFont="1" applyFill="1" applyBorder="1" applyAlignment="1">
      <alignment vertical="center" wrapText="1"/>
    </xf>
    <xf numFmtId="167" fontId="3" fillId="0" borderId="20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vertical="center" wrapText="1"/>
    </xf>
    <xf numFmtId="0" fontId="3" fillId="9" borderId="9" xfId="0" applyFont="1" applyFill="1" applyBorder="1" applyAlignment="1">
      <alignment horizontal="left" vertical="top" wrapText="1"/>
    </xf>
    <xf numFmtId="0" fontId="3" fillId="9" borderId="35" xfId="0" applyFont="1" applyFill="1" applyBorder="1" applyAlignment="1">
      <alignment horizontal="left" vertical="top" wrapText="1"/>
    </xf>
    <xf numFmtId="0" fontId="3" fillId="9" borderId="34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0" fillId="0" borderId="0" xfId="0" applyNumberFormat="1" applyAlignment="1">
      <alignment horizontal="left" vertical="top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top" wrapText="1"/>
    </xf>
    <xf numFmtId="0" fontId="3" fillId="9" borderId="44" xfId="0" applyFont="1" applyFill="1" applyBorder="1" applyAlignment="1">
      <alignment horizontal="left" vertical="top" wrapText="1"/>
    </xf>
    <xf numFmtId="49" fontId="3" fillId="5" borderId="43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vertical="center" wrapText="1"/>
    </xf>
    <xf numFmtId="1" fontId="3" fillId="0" borderId="44" xfId="0" applyNumberFormat="1" applyFont="1" applyBorder="1" applyAlignment="1">
      <alignment vertical="center" wrapText="1"/>
    </xf>
    <xf numFmtId="1" fontId="3" fillId="0" borderId="43" xfId="0" applyNumberFormat="1" applyFont="1" applyBorder="1" applyAlignment="1">
      <alignment vertical="center" wrapText="1"/>
    </xf>
    <xf numFmtId="0" fontId="9" fillId="0" borderId="28" xfId="0" applyFont="1" applyBorder="1" applyAlignment="1">
      <alignment horizontal="center" wrapText="1"/>
    </xf>
    <xf numFmtId="0" fontId="0" fillId="0" borderId="0" xfId="0" applyNumberFormat="1" applyFill="1" applyBorder="1"/>
    <xf numFmtId="0" fontId="15" fillId="2" borderId="18" xfId="0" applyNumberFormat="1" applyFont="1" applyFill="1" applyBorder="1" applyAlignment="1" applyProtection="1">
      <alignment horizontal="left" vertical="center"/>
      <protection locked="0"/>
    </xf>
    <xf numFmtId="0" fontId="9" fillId="2" borderId="18" xfId="0" applyNumberFormat="1" applyFont="1" applyFill="1" applyBorder="1" applyAlignment="1" applyProtection="1">
      <alignment horizontal="left" vertical="center"/>
      <protection locked="0"/>
    </xf>
    <xf numFmtId="0" fontId="15" fillId="2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center" vertical="center"/>
    </xf>
    <xf numFmtId="0" fontId="14" fillId="0" borderId="48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center"/>
    </xf>
    <xf numFmtId="0" fontId="14" fillId="0" borderId="4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 applyProtection="1">
      <alignment horizontal="left" vertical="center"/>
      <protection locked="0"/>
    </xf>
    <xf numFmtId="0" fontId="15" fillId="0" borderId="20" xfId="0" applyNumberFormat="1" applyFont="1" applyBorder="1" applyAlignment="1" applyProtection="1">
      <alignment horizontal="left" vertical="center"/>
      <protection locked="0"/>
    </xf>
    <xf numFmtId="0" fontId="9" fillId="0" borderId="20" xfId="0" applyNumberFormat="1" applyFont="1" applyBorder="1" applyAlignment="1" applyProtection="1">
      <alignment horizontal="left" vertical="center"/>
      <protection locked="0"/>
    </xf>
    <xf numFmtId="0" fontId="15" fillId="0" borderId="21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/>
    <xf numFmtId="0" fontId="0" fillId="0" borderId="12" xfId="0" applyNumberForma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0" fillId="0" borderId="0" xfId="0" applyNumberFormat="1" applyBorder="1"/>
    <xf numFmtId="165" fontId="0" fillId="0" borderId="0" xfId="0" applyNumberFormat="1" applyBorder="1"/>
    <xf numFmtId="0" fontId="0" fillId="4" borderId="1" xfId="0" applyNumberForma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4" borderId="1" xfId="0" applyNumberFormat="1" applyFill="1" applyBorder="1"/>
    <xf numFmtId="0" fontId="2" fillId="4" borderId="38" xfId="0" applyNumberFormat="1" applyFont="1" applyFill="1" applyBorder="1" applyAlignment="1">
      <alignment horizontal="left"/>
    </xf>
    <xf numFmtId="0" fontId="0" fillId="4" borderId="38" xfId="0" applyNumberFormat="1" applyFill="1" applyBorder="1" applyAlignment="1">
      <alignment horizontal="left"/>
    </xf>
    <xf numFmtId="165" fontId="0" fillId="4" borderId="38" xfId="0" applyNumberFormat="1" applyFill="1" applyBorder="1" applyAlignment="1">
      <alignment horizontal="left"/>
    </xf>
    <xf numFmtId="1" fontId="0" fillId="4" borderId="38" xfId="0" applyNumberFormat="1" applyFill="1" applyBorder="1" applyAlignment="1">
      <alignment horizontal="left"/>
    </xf>
    <xf numFmtId="0" fontId="0" fillId="4" borderId="38" xfId="0" applyNumberFormat="1" applyFill="1" applyBorder="1"/>
    <xf numFmtId="0" fontId="12" fillId="4" borderId="39" xfId="1" applyFill="1" applyBorder="1"/>
    <xf numFmtId="0" fontId="12" fillId="4" borderId="12" xfId="1" applyFill="1" applyBorder="1"/>
    <xf numFmtId="0" fontId="0" fillId="0" borderId="8" xfId="0" applyNumberFormat="1" applyBorder="1" applyAlignment="1">
      <alignment horizontal="left" vertical="top"/>
    </xf>
    <xf numFmtId="0" fontId="0" fillId="4" borderId="45" xfId="0" applyNumberFormat="1" applyFill="1" applyBorder="1" applyAlignment="1">
      <alignment horizontal="left" vertical="top" wrapText="1"/>
    </xf>
    <xf numFmtId="0" fontId="0" fillId="0" borderId="45" xfId="0" applyNumberFormat="1" applyBorder="1" applyAlignment="1">
      <alignment horizontal="left" vertical="top"/>
    </xf>
    <xf numFmtId="44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10" borderId="8" xfId="0" applyNumberFormat="1" applyFill="1" applyBorder="1" applyAlignment="1">
      <alignment horizontal="left" vertical="top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0" fontId="0" fillId="14" borderId="45" xfId="0" applyNumberFormat="1" applyFill="1" applyBorder="1" applyAlignment="1">
      <alignment horizontal="left" vertical="top"/>
    </xf>
    <xf numFmtId="0" fontId="0" fillId="14" borderId="38" xfId="0" applyNumberFormat="1" applyFont="1" applyFill="1" applyBorder="1" applyAlignment="1">
      <alignment horizontal="left" vertical="top"/>
    </xf>
    <xf numFmtId="0" fontId="0" fillId="14" borderId="38" xfId="0" applyFont="1" applyFill="1" applyBorder="1" applyAlignment="1">
      <alignment horizontal="left" vertical="top"/>
    </xf>
    <xf numFmtId="0" fontId="0" fillId="14" borderId="38" xfId="0" applyNumberFormat="1" applyFill="1" applyBorder="1" applyAlignment="1">
      <alignment horizontal="left" vertical="top"/>
    </xf>
    <xf numFmtId="165" fontId="0" fillId="14" borderId="38" xfId="0" applyNumberFormat="1" applyFill="1" applyBorder="1" applyAlignment="1">
      <alignment horizontal="left" vertical="top"/>
    </xf>
    <xf numFmtId="0" fontId="0" fillId="14" borderId="39" xfId="0" applyNumberFormat="1" applyFill="1" applyBorder="1" applyAlignment="1">
      <alignment horizontal="left" vertical="top"/>
    </xf>
    <xf numFmtId="0" fontId="0" fillId="14" borderId="13" xfId="0" applyNumberFormat="1" applyFill="1" applyBorder="1" applyAlignment="1">
      <alignment horizontal="left" vertical="top" wrapText="1"/>
    </xf>
    <xf numFmtId="0" fontId="0" fillId="14" borderId="1" xfId="0" applyFont="1" applyFill="1" applyBorder="1" applyAlignment="1">
      <alignment horizontal="left" vertical="top"/>
    </xf>
    <xf numFmtId="165" fontId="0" fillId="14" borderId="1" xfId="0" applyNumberFormat="1" applyFill="1" applyBorder="1" applyAlignment="1">
      <alignment horizontal="left" vertical="top"/>
    </xf>
    <xf numFmtId="0" fontId="0" fillId="14" borderId="1" xfId="0" applyNumberFormat="1" applyFill="1" applyBorder="1" applyAlignment="1">
      <alignment horizontal="left" vertical="top"/>
    </xf>
    <xf numFmtId="1" fontId="0" fillId="14" borderId="1" xfId="0" applyNumberFormat="1" applyFill="1" applyBorder="1" applyAlignment="1">
      <alignment horizontal="left" vertical="top"/>
    </xf>
    <xf numFmtId="0" fontId="0" fillId="14" borderId="12" xfId="0" applyNumberFormat="1" applyFill="1" applyBorder="1" applyAlignment="1">
      <alignment horizontal="left" vertical="top"/>
    </xf>
    <xf numFmtId="0" fontId="0" fillId="14" borderId="46" xfId="0" applyFill="1" applyBorder="1" applyAlignment="1">
      <alignment horizontal="left" vertical="top" wrapText="1"/>
    </xf>
    <xf numFmtId="0" fontId="0" fillId="14" borderId="15" xfId="0" applyNumberFormat="1" applyFill="1" applyBorder="1" applyAlignment="1">
      <alignment horizontal="left" vertical="top"/>
    </xf>
    <xf numFmtId="49" fontId="0" fillId="14" borderId="15" xfId="0" applyNumberFormat="1" applyFill="1" applyBorder="1" applyAlignment="1">
      <alignment horizontal="left" vertical="top"/>
    </xf>
    <xf numFmtId="165" fontId="0" fillId="14" borderId="15" xfId="0" applyNumberFormat="1" applyFill="1" applyBorder="1" applyAlignment="1">
      <alignment horizontal="left" vertical="top"/>
    </xf>
    <xf numFmtId="0" fontId="0" fillId="14" borderId="16" xfId="0" applyNumberFormat="1" applyFill="1" applyBorder="1" applyAlignment="1">
      <alignment horizontal="left" vertical="top"/>
    </xf>
    <xf numFmtId="0" fontId="0" fillId="10" borderId="45" xfId="0" applyNumberFormat="1" applyFill="1" applyBorder="1" applyAlignment="1">
      <alignment horizontal="left" vertical="top"/>
    </xf>
    <xf numFmtId="0" fontId="0" fillId="10" borderId="38" xfId="0" applyNumberFormat="1" applyFill="1" applyBorder="1"/>
    <xf numFmtId="0" fontId="0" fillId="10" borderId="38" xfId="0" applyNumberFormat="1" applyFill="1" applyBorder="1" applyAlignment="1">
      <alignment horizontal="left" vertical="top"/>
    </xf>
    <xf numFmtId="49" fontId="0" fillId="10" borderId="38" xfId="0" applyNumberFormat="1" applyFill="1" applyBorder="1"/>
    <xf numFmtId="165" fontId="0" fillId="10" borderId="38" xfId="0" applyNumberFormat="1" applyFill="1" applyBorder="1"/>
    <xf numFmtId="0" fontId="0" fillId="10" borderId="39" xfId="0" applyNumberFormat="1" applyFill="1" applyBorder="1"/>
    <xf numFmtId="0" fontId="0" fillId="10" borderId="1" xfId="0" applyNumberFormat="1" applyFill="1" applyBorder="1"/>
    <xf numFmtId="49" fontId="0" fillId="10" borderId="1" xfId="0" applyNumberFormat="1" applyFill="1" applyBorder="1" applyAlignment="1">
      <alignment horizontal="center" vertical="center"/>
    </xf>
    <xf numFmtId="49" fontId="0" fillId="10" borderId="12" xfId="0" applyNumberFormat="1" applyFill="1" applyBorder="1" applyAlignment="1">
      <alignment horizontal="center" vertical="center"/>
    </xf>
    <xf numFmtId="0" fontId="0" fillId="10" borderId="13" xfId="0" applyNumberFormat="1" applyFill="1" applyBorder="1" applyAlignment="1">
      <alignment horizontal="left" vertical="top" wrapText="1"/>
    </xf>
    <xf numFmtId="0" fontId="0" fillId="10" borderId="15" xfId="0" applyNumberFormat="1" applyFill="1" applyBorder="1"/>
    <xf numFmtId="0" fontId="0" fillId="10" borderId="13" xfId="0" applyNumberFormat="1" applyFill="1" applyBorder="1" applyAlignment="1">
      <alignment horizontal="left" vertical="top"/>
    </xf>
    <xf numFmtId="49" fontId="0" fillId="10" borderId="1" xfId="0" applyNumberFormat="1" applyFill="1" applyBorder="1"/>
    <xf numFmtId="165" fontId="0" fillId="10" borderId="1" xfId="0" applyNumberFormat="1" applyFill="1" applyBorder="1"/>
    <xf numFmtId="0" fontId="0" fillId="10" borderId="12" xfId="0" applyNumberFormat="1" applyFill="1" applyBorder="1"/>
    <xf numFmtId="0" fontId="0" fillId="10" borderId="1" xfId="0" applyNumberForma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165" fontId="0" fillId="10" borderId="12" xfId="0" applyNumberFormat="1" applyFill="1" applyBorder="1"/>
    <xf numFmtId="0" fontId="0" fillId="10" borderId="46" xfId="0" applyNumberFormat="1" applyFill="1" applyBorder="1" applyAlignment="1">
      <alignment horizontal="left" vertical="top"/>
    </xf>
    <xf numFmtId="165" fontId="0" fillId="10" borderId="15" xfId="0" applyNumberFormat="1" applyFill="1" applyBorder="1" applyAlignment="1"/>
    <xf numFmtId="165" fontId="0" fillId="10" borderId="16" xfId="0" applyNumberFormat="1" applyFill="1" applyBorder="1"/>
    <xf numFmtId="165" fontId="0" fillId="6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6" borderId="50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5" borderId="15" xfId="0" applyNumberFormat="1" applyFill="1" applyBorder="1"/>
    <xf numFmtId="165" fontId="0" fillId="5" borderId="16" xfId="0" applyNumberFormat="1" applyFill="1" applyBorder="1"/>
    <xf numFmtId="0" fontId="0" fillId="10" borderId="0" xfId="0" applyNumberFormat="1" applyFill="1"/>
    <xf numFmtId="165" fontId="0" fillId="10" borderId="1" xfId="0" applyNumberFormat="1" applyFill="1" applyBorder="1" applyAlignment="1"/>
    <xf numFmtId="0" fontId="0" fillId="10" borderId="0" xfId="0" applyNumberFormat="1" applyFill="1" applyAlignment="1">
      <alignment horizontal="left" vertical="top" wrapText="1"/>
    </xf>
    <xf numFmtId="49" fontId="0" fillId="1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0" fillId="0" borderId="3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/>
    <xf numFmtId="165" fontId="0" fillId="0" borderId="0" xfId="0" applyNumberFormat="1" applyFill="1" applyBorder="1"/>
    <xf numFmtId="165" fontId="0" fillId="0" borderId="0" xfId="0" applyNumberFormat="1" applyFill="1"/>
    <xf numFmtId="44" fontId="0" fillId="0" borderId="0" xfId="0" applyNumberFormat="1" applyFont="1" applyFill="1" applyBorder="1" applyAlignment="1">
      <alignment horizontal="left" vertical="center" wrapText="1"/>
    </xf>
    <xf numFmtId="0" fontId="0" fillId="5" borderId="52" xfId="0" applyNumberFormat="1" applyFill="1" applyBorder="1" applyAlignment="1">
      <alignment horizontal="left" vertical="top"/>
    </xf>
    <xf numFmtId="0" fontId="0" fillId="5" borderId="1" xfId="0" applyNumberFormat="1" applyFill="1" applyBorder="1"/>
    <xf numFmtId="165" fontId="0" fillId="5" borderId="1" xfId="0" applyNumberFormat="1" applyFill="1" applyBorder="1"/>
    <xf numFmtId="166" fontId="0" fillId="5" borderId="1" xfId="0" applyNumberFormat="1" applyFill="1" applyBorder="1"/>
    <xf numFmtId="0" fontId="0" fillId="5" borderId="1" xfId="0" applyNumberFormat="1" applyFill="1" applyBorder="1" applyAlignment="1">
      <alignment wrapText="1"/>
    </xf>
    <xf numFmtId="165" fontId="0" fillId="5" borderId="1" xfId="0" applyNumberFormat="1" applyFill="1" applyBorder="1" applyAlignment="1">
      <alignment wrapText="1"/>
    </xf>
    <xf numFmtId="0" fontId="0" fillId="5" borderId="45" xfId="0" applyNumberFormat="1" applyFill="1" applyBorder="1" applyAlignment="1">
      <alignment horizontal="left" vertical="top"/>
    </xf>
    <xf numFmtId="0" fontId="0" fillId="5" borderId="38" xfId="0" applyNumberFormat="1" applyFill="1" applyBorder="1"/>
    <xf numFmtId="49" fontId="0" fillId="5" borderId="38" xfId="0" applyNumberFormat="1" applyFill="1" applyBorder="1"/>
    <xf numFmtId="165" fontId="0" fillId="5" borderId="38" xfId="0" applyNumberFormat="1" applyFill="1" applyBorder="1"/>
    <xf numFmtId="165" fontId="0" fillId="5" borderId="39" xfId="0" applyNumberFormat="1" applyFill="1" applyBorder="1"/>
    <xf numFmtId="165" fontId="0" fillId="5" borderId="12" xfId="0" applyNumberFormat="1" applyFill="1" applyBorder="1"/>
    <xf numFmtId="165" fontId="0" fillId="5" borderId="15" xfId="0" applyNumberFormat="1" applyFill="1" applyBorder="1"/>
    <xf numFmtId="165" fontId="0" fillId="0" borderId="12" xfId="0" applyNumberForma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0" fillId="0" borderId="12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15" fillId="0" borderId="18" xfId="0" applyFont="1" applyBorder="1" applyAlignment="1"/>
    <xf numFmtId="0" fontId="15" fillId="11" borderId="18" xfId="0" applyFont="1" applyFill="1" applyBorder="1" applyAlignment="1"/>
    <xf numFmtId="0" fontId="15" fillId="0" borderId="18" xfId="0" applyFont="1" applyBorder="1" applyAlignment="1">
      <alignment horizontal="left" vertical="center"/>
    </xf>
    <xf numFmtId="0" fontId="0" fillId="4" borderId="8" xfId="0" applyNumberFormat="1" applyFill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12" fillId="0" borderId="20" xfId="1" applyFill="1" applyBorder="1" applyAlignment="1">
      <alignment wrapText="1"/>
    </xf>
    <xf numFmtId="0" fontId="13" fillId="0" borderId="20" xfId="1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3" fillId="9" borderId="26" xfId="0" applyFont="1" applyFill="1" applyBorder="1" applyAlignment="1">
      <alignment horizontal="left" vertical="top" wrapText="1"/>
    </xf>
    <xf numFmtId="0" fontId="3" fillId="9" borderId="18" xfId="0" applyFont="1" applyFill="1" applyBorder="1" applyAlignment="1">
      <alignment horizontal="left" vertical="top" wrapText="1"/>
    </xf>
    <xf numFmtId="0" fontId="3" fillId="9" borderId="42" xfId="0" applyFont="1" applyFill="1" applyBorder="1" applyAlignment="1">
      <alignment horizontal="left" vertical="top" wrapText="1"/>
    </xf>
    <xf numFmtId="0" fontId="3" fillId="9" borderId="24" xfId="0" applyFont="1" applyFill="1" applyBorder="1" applyAlignment="1">
      <alignment horizontal="left" vertical="top" wrapText="1"/>
    </xf>
    <xf numFmtId="49" fontId="3" fillId="5" borderId="4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49" fontId="3" fillId="5" borderId="19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1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3" borderId="1" xfId="0" applyFill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left"/>
    </xf>
    <xf numFmtId="0" fontId="3" fillId="13" borderId="20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19" xfId="0" applyBorder="1" applyAlignment="1">
      <alignment wrapText="1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wrapText="1"/>
    </xf>
    <xf numFmtId="0" fontId="15" fillId="0" borderId="20" xfId="0" applyFont="1" applyBorder="1" applyAlignment="1"/>
    <xf numFmtId="0" fontId="3" fillId="9" borderId="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>
      <alignment horizontal="left" vertical="top" wrapText="1"/>
    </xf>
    <xf numFmtId="0" fontId="3" fillId="9" borderId="20" xfId="0" applyFont="1" applyFill="1" applyBorder="1" applyAlignment="1">
      <alignment horizontal="left" vertical="top" wrapText="1"/>
    </xf>
    <xf numFmtId="0" fontId="3" fillId="9" borderId="21" xfId="0" applyFont="1" applyFill="1" applyBorder="1" applyAlignment="1">
      <alignment horizontal="left" vertical="top" wrapText="1"/>
    </xf>
    <xf numFmtId="49" fontId="3" fillId="5" borderId="40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168" fontId="0" fillId="10" borderId="38" xfId="0" applyNumberFormat="1" applyFill="1" applyBorder="1"/>
    <xf numFmtId="168" fontId="0" fillId="10" borderId="1" xfId="0" applyNumberFormat="1" applyFill="1" applyBorder="1"/>
    <xf numFmtId="168" fontId="0" fillId="14" borderId="1" xfId="0" applyNumberFormat="1" applyFill="1" applyBorder="1" applyAlignment="1">
      <alignment horizontal="left" vertical="top"/>
    </xf>
    <xf numFmtId="168" fontId="0" fillId="0" borderId="0" xfId="0" applyNumberFormat="1" applyAlignment="1">
      <alignment horizontal="center" vertical="center"/>
    </xf>
    <xf numFmtId="0" fontId="10" fillId="10" borderId="31" xfId="0" applyNumberFormat="1" applyFont="1" applyFill="1" applyBorder="1" applyAlignment="1" applyProtection="1">
      <alignment horizontal="center" vertical="center"/>
      <protection locked="0"/>
    </xf>
    <xf numFmtId="0" fontId="0" fillId="10" borderId="45" xfId="0" applyNumberForma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32" xfId="0" applyNumberFormat="1" applyFill="1" applyBorder="1" applyAlignment="1">
      <alignment horizontal="left" wrapText="1"/>
    </xf>
    <xf numFmtId="0" fontId="0" fillId="5" borderId="53" xfId="0" applyNumberFormat="1" applyFill="1" applyBorder="1" applyAlignment="1">
      <alignment horizontal="left" wrapText="1"/>
    </xf>
    <xf numFmtId="0" fontId="0" fillId="5" borderId="33" xfId="0" applyNumberFormat="1" applyFill="1" applyBorder="1" applyAlignment="1">
      <alignment horizontal="left" wrapText="1"/>
    </xf>
    <xf numFmtId="0" fontId="0" fillId="0" borderId="32" xfId="0" applyNumberFormat="1" applyFill="1" applyBorder="1" applyAlignment="1">
      <alignment horizontal="left" vertical="top" wrapText="1"/>
    </xf>
    <xf numFmtId="0" fontId="0" fillId="0" borderId="53" xfId="0" applyNumberFormat="1" applyFill="1" applyBorder="1" applyAlignment="1">
      <alignment horizontal="left" vertical="top" wrapText="1"/>
    </xf>
    <xf numFmtId="0" fontId="0" fillId="0" borderId="33" xfId="0" applyNumberFormat="1" applyFill="1" applyBorder="1" applyAlignment="1">
      <alignment horizontal="left" vertical="top" wrapText="1"/>
    </xf>
    <xf numFmtId="0" fontId="0" fillId="10" borderId="32" xfId="0" applyNumberFormat="1" applyFill="1" applyBorder="1" applyAlignment="1">
      <alignment horizontal="left" vertical="top" wrapText="1"/>
    </xf>
    <xf numFmtId="0" fontId="0" fillId="10" borderId="53" xfId="0" applyNumberFormat="1" applyFill="1" applyBorder="1" applyAlignment="1">
      <alignment horizontal="left" vertical="top" wrapText="1"/>
    </xf>
    <xf numFmtId="0" fontId="0" fillId="10" borderId="33" xfId="0" applyNumberForma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irektor-008@galamart.ru" TargetMode="External"/><Relationship Id="rId13" Type="http://schemas.openxmlformats.org/officeDocument/2006/relationships/hyperlink" Target="mailto:direktor-008@galamart.ru" TargetMode="External"/><Relationship Id="rId18" Type="http://schemas.openxmlformats.org/officeDocument/2006/relationships/hyperlink" Target="mailto:direktor-008@galamart.ru" TargetMode="External"/><Relationship Id="rId3" Type="http://schemas.openxmlformats.org/officeDocument/2006/relationships/hyperlink" Target="mailto:direktor-008@galamart.ru" TargetMode="External"/><Relationship Id="rId21" Type="http://schemas.openxmlformats.org/officeDocument/2006/relationships/hyperlink" Target="mailto:direktor-008@galamart.ru" TargetMode="External"/><Relationship Id="rId7" Type="http://schemas.openxmlformats.org/officeDocument/2006/relationships/hyperlink" Target="mailto:direktor-008@galamart.ru" TargetMode="External"/><Relationship Id="rId12" Type="http://schemas.openxmlformats.org/officeDocument/2006/relationships/hyperlink" Target="mailto:direktor-008@galamart.ru" TargetMode="External"/><Relationship Id="rId17" Type="http://schemas.openxmlformats.org/officeDocument/2006/relationships/hyperlink" Target="mailto:direktor-008@galamart.ru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mailto:direktor-008@galamart.ru" TargetMode="External"/><Relationship Id="rId16" Type="http://schemas.openxmlformats.org/officeDocument/2006/relationships/hyperlink" Target="mailto:direktor-008@galamart.ru" TargetMode="External"/><Relationship Id="rId20" Type="http://schemas.openxmlformats.org/officeDocument/2006/relationships/hyperlink" Target="mailto:direktor-008@galamart.ru" TargetMode="External"/><Relationship Id="rId1" Type="http://schemas.openxmlformats.org/officeDocument/2006/relationships/hyperlink" Target="mailto:direktor-008@galamart.ru" TargetMode="External"/><Relationship Id="rId6" Type="http://schemas.openxmlformats.org/officeDocument/2006/relationships/hyperlink" Target="mailto:direktor-008@galamart.ru" TargetMode="External"/><Relationship Id="rId11" Type="http://schemas.openxmlformats.org/officeDocument/2006/relationships/hyperlink" Target="mailto:direktor-008@galamart.ru" TargetMode="External"/><Relationship Id="rId24" Type="http://schemas.openxmlformats.org/officeDocument/2006/relationships/hyperlink" Target="mailto:direktor-008@galamart.ru" TargetMode="External"/><Relationship Id="rId5" Type="http://schemas.openxmlformats.org/officeDocument/2006/relationships/hyperlink" Target="mailto:direktor-008@galamart.ru" TargetMode="External"/><Relationship Id="rId15" Type="http://schemas.openxmlformats.org/officeDocument/2006/relationships/hyperlink" Target="mailto:direktor-008@galamart.ru" TargetMode="External"/><Relationship Id="rId23" Type="http://schemas.openxmlformats.org/officeDocument/2006/relationships/hyperlink" Target="mailto:direktor-008@galamart.ru" TargetMode="External"/><Relationship Id="rId10" Type="http://schemas.openxmlformats.org/officeDocument/2006/relationships/hyperlink" Target="mailto:direktor-008@galamart.ru" TargetMode="External"/><Relationship Id="rId19" Type="http://schemas.openxmlformats.org/officeDocument/2006/relationships/hyperlink" Target="mailto:direktor-008@galamart.ru" TargetMode="External"/><Relationship Id="rId4" Type="http://schemas.openxmlformats.org/officeDocument/2006/relationships/hyperlink" Target="mailto:direktor-008@galamart.ru" TargetMode="External"/><Relationship Id="rId9" Type="http://schemas.openxmlformats.org/officeDocument/2006/relationships/hyperlink" Target="mailto:direktor-008@galamart.ru" TargetMode="External"/><Relationship Id="rId14" Type="http://schemas.openxmlformats.org/officeDocument/2006/relationships/hyperlink" Target="mailto:direktor-008@galamart.ru" TargetMode="External"/><Relationship Id="rId22" Type="http://schemas.openxmlformats.org/officeDocument/2006/relationships/hyperlink" Target="mailto:direktor-008@galamar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1"/>
  <sheetViews>
    <sheetView zoomScale="70" zoomScaleNormal="70" workbookViewId="0">
      <selection activeCell="F9" sqref="F9"/>
    </sheetView>
  </sheetViews>
  <sheetFormatPr defaultRowHeight="63" customHeight="1" x14ac:dyDescent="0.25"/>
  <cols>
    <col min="2" max="3" width="29.42578125" customWidth="1"/>
    <col min="4" max="4" width="39.42578125" customWidth="1"/>
    <col min="5" max="5" width="5.5703125" bestFit="1" customWidth="1"/>
    <col min="6" max="6" width="5.5703125" style="6" bestFit="1" customWidth="1"/>
    <col min="7" max="7" width="8.42578125" style="7" bestFit="1" customWidth="1"/>
    <col min="8" max="8" width="87.7109375" bestFit="1" customWidth="1"/>
  </cols>
  <sheetData>
    <row r="1" spans="1:10" s="2" customFormat="1" ht="63" customHeight="1" thickBot="1" x14ac:dyDescent="0.3">
      <c r="A1" s="284" t="s">
        <v>5</v>
      </c>
      <c r="B1" s="285"/>
      <c r="C1" s="285"/>
      <c r="D1" s="286"/>
      <c r="F1" s="3"/>
      <c r="G1" s="4"/>
    </row>
    <row r="2" spans="1:10" s="2" customFormat="1" ht="63" customHeight="1" thickBot="1" x14ac:dyDescent="0.3">
      <c r="A2" s="287" t="s">
        <v>6</v>
      </c>
      <c r="B2" s="288"/>
      <c r="C2" s="288"/>
      <c r="D2" s="289"/>
      <c r="F2" s="3"/>
      <c r="G2" s="4"/>
    </row>
    <row r="3" spans="1:10" ht="63" customHeight="1" thickBot="1" x14ac:dyDescent="0.35">
      <c r="A3" s="281" t="s">
        <v>7</v>
      </c>
      <c r="B3" s="290"/>
      <c r="C3" s="290"/>
      <c r="D3" s="291"/>
      <c r="E3" s="5"/>
    </row>
    <row r="4" spans="1:10" ht="63" customHeight="1" thickBot="1" x14ac:dyDescent="0.35">
      <c r="A4" s="281" t="s">
        <v>8</v>
      </c>
      <c r="B4" s="290"/>
      <c r="C4" s="290"/>
      <c r="D4" s="291"/>
    </row>
    <row r="5" spans="1:10" ht="63" customHeight="1" thickBot="1" x14ac:dyDescent="0.35">
      <c r="A5" s="281" t="s">
        <v>9</v>
      </c>
      <c r="B5" s="290"/>
      <c r="C5" s="290"/>
      <c r="D5" s="291"/>
    </row>
    <row r="6" spans="1:10" ht="63" customHeight="1" thickBot="1" x14ac:dyDescent="0.35">
      <c r="A6" s="281" t="s">
        <v>10</v>
      </c>
      <c r="B6" s="282"/>
      <c r="C6" s="282"/>
      <c r="D6" s="283"/>
    </row>
    <row r="7" spans="1:10" ht="63" customHeight="1" thickBot="1" x14ac:dyDescent="0.35">
      <c r="A7" s="281" t="s">
        <v>11</v>
      </c>
      <c r="B7" s="282"/>
      <c r="C7" s="282"/>
      <c r="D7" s="283"/>
      <c r="F7" s="6">
        <v>88</v>
      </c>
      <c r="G7" s="8">
        <f>32000*F7/176*1.5</f>
        <v>24000</v>
      </c>
    </row>
    <row r="8" spans="1:10" ht="63" customHeight="1" thickBot="1" x14ac:dyDescent="0.35">
      <c r="A8" s="292" t="s">
        <v>12</v>
      </c>
      <c r="B8" s="293"/>
      <c r="C8" s="293"/>
      <c r="D8" s="294"/>
      <c r="E8" s="9">
        <v>14</v>
      </c>
      <c r="F8" s="6">
        <f>E8*11</f>
        <v>154</v>
      </c>
      <c r="G8" s="8">
        <f>42530*F8/176*1.5</f>
        <v>55820.625</v>
      </c>
    </row>
    <row r="9" spans="1:10" ht="63" customHeight="1" thickBot="1" x14ac:dyDescent="0.3">
      <c r="A9" s="284" t="s">
        <v>13</v>
      </c>
      <c r="B9" s="285"/>
      <c r="C9" s="285"/>
      <c r="D9" s="286"/>
      <c r="F9" s="6">
        <v>66</v>
      </c>
      <c r="G9" s="8">
        <f>32000*F9/176*1.5</f>
        <v>18000</v>
      </c>
    </row>
    <row r="10" spans="1:10" ht="63" customHeight="1" thickBot="1" x14ac:dyDescent="0.3">
      <c r="A10" s="295" t="s">
        <v>14</v>
      </c>
      <c r="B10" s="296"/>
      <c r="C10" s="296"/>
      <c r="D10" s="297"/>
      <c r="J10" s="1"/>
    </row>
    <row r="11" spans="1:10" ht="63" customHeight="1" x14ac:dyDescent="0.25">
      <c r="A11" s="295" t="s">
        <v>15</v>
      </c>
      <c r="B11" s="296"/>
      <c r="C11" s="296"/>
      <c r="D11" s="297"/>
    </row>
  </sheetData>
  <mergeCells count="11">
    <mergeCell ref="A7:D7"/>
    <mergeCell ref="A8:D8"/>
    <mergeCell ref="A9:D9"/>
    <mergeCell ref="A10:D10"/>
    <mergeCell ref="A11:D11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77"/>
  <sheetViews>
    <sheetView tabSelected="1" zoomScale="85" zoomScaleNormal="85" workbookViewId="0">
      <selection activeCell="F7" sqref="F7"/>
    </sheetView>
  </sheetViews>
  <sheetFormatPr defaultRowHeight="15" x14ac:dyDescent="0.25"/>
  <cols>
    <col min="1" max="1" width="19.7109375" customWidth="1"/>
    <col min="2" max="3" width="23.7109375" bestFit="1" customWidth="1"/>
    <col min="4" max="4" width="29.42578125" customWidth="1"/>
    <col min="5" max="5" width="20.28515625" style="274" customWidth="1"/>
  </cols>
  <sheetData>
    <row r="1" spans="1:5" ht="15" customHeight="1" x14ac:dyDescent="0.25">
      <c r="A1" s="304" t="str">
        <f>Формулы!A27</f>
        <v>г. Железнодорожный ТЦ Центральный</v>
      </c>
      <c r="B1" s="304"/>
      <c r="C1" s="304"/>
      <c r="D1" s="304"/>
      <c r="E1" s="269" t="s">
        <v>68</v>
      </c>
    </row>
    <row r="2" spans="1:5" ht="15" customHeight="1" x14ac:dyDescent="0.25">
      <c r="A2" s="304" t="str">
        <f>Формулы!A28</f>
        <v>Аренда учебного класса с 11.01 по 15.01 - 4 дня</v>
      </c>
      <c r="B2" s="304"/>
      <c r="C2" s="304"/>
      <c r="D2" s="304"/>
      <c r="E2" s="272"/>
    </row>
    <row r="3" spans="1:5" ht="15" customHeight="1" x14ac:dyDescent="0.25">
      <c r="A3" s="304" t="s">
        <v>67</v>
      </c>
      <c r="B3" s="304"/>
      <c r="C3" s="304"/>
      <c r="D3" s="304"/>
      <c r="E3" s="272"/>
    </row>
    <row r="4" spans="1:5" ht="15" customHeight="1" x14ac:dyDescent="0.25">
      <c r="A4" s="304" t="str">
        <f>Формулы!A29</f>
        <v>Командировка тренера №1 - с 10.01 по 02.02</v>
      </c>
      <c r="B4" s="304"/>
      <c r="C4" s="304"/>
      <c r="D4" s="304"/>
      <c r="E4" s="272"/>
    </row>
    <row r="5" spans="1:5" ht="15.75" customHeight="1" thickBot="1" x14ac:dyDescent="0.3">
      <c r="A5" s="304" t="str">
        <f>Формулы!A30</f>
        <v>Командировка тренера №2 - с 0 по 0</v>
      </c>
      <c r="B5" s="304"/>
      <c r="C5" s="304"/>
      <c r="D5" s="304"/>
      <c r="E5" s="272"/>
    </row>
    <row r="6" spans="1:5" ht="15.75" thickBot="1" x14ac:dyDescent="0.3">
      <c r="A6" s="10" t="s">
        <v>17</v>
      </c>
      <c r="B6" s="11"/>
      <c r="C6" s="11"/>
      <c r="D6" s="11"/>
      <c r="E6" s="272"/>
    </row>
    <row r="7" spans="1:5" ht="57" customHeight="1" thickBot="1" x14ac:dyDescent="0.3">
      <c r="A7" s="301"/>
      <c r="B7" s="302"/>
      <c r="C7" s="302"/>
      <c r="D7" s="302"/>
      <c r="E7" s="278">
        <v>1</v>
      </c>
    </row>
    <row r="8" spans="1:5" ht="57" customHeight="1" thickBot="1" x14ac:dyDescent="0.3">
      <c r="A8" s="301" t="str">
        <f>Формулы!A3</f>
        <v xml:space="preserve">Командировка ЗУМ с 16.02 по  09.02, Иванов Иван, 8-888-112 (ср.42 ), Самара, в ФОТ для бюджета на выезд (Ср.ЗП)*1,5 = 63 + ндфл 28 руб  (за месячную норму часов+переработки)
</v>
      </c>
      <c r="B8" s="302"/>
      <c r="C8" s="302"/>
      <c r="D8" s="302"/>
      <c r="E8" s="279">
        <v>2</v>
      </c>
    </row>
    <row r="9" spans="1:5" ht="57" customHeight="1" thickBot="1" x14ac:dyDescent="0.3">
      <c r="A9" s="301" t="str">
        <f>Формулы!A4</f>
        <v/>
      </c>
      <c r="B9" s="302"/>
      <c r="C9" s="302"/>
      <c r="D9" s="302"/>
      <c r="E9" s="279">
        <v>3</v>
      </c>
    </row>
    <row r="10" spans="1:5" ht="57" customHeight="1" thickBot="1" x14ac:dyDescent="0.3">
      <c r="A10" s="301" t="str">
        <f>Формулы!A5</f>
        <v/>
      </c>
      <c r="B10" s="302"/>
      <c r="C10" s="302"/>
      <c r="D10" s="302"/>
      <c r="E10" s="279">
        <v>4</v>
      </c>
    </row>
    <row r="11" spans="1:5" ht="57" customHeight="1" thickBot="1" x14ac:dyDescent="0.3">
      <c r="A11" s="301" t="str">
        <f>Формулы!A6</f>
        <v/>
      </c>
      <c r="B11" s="302"/>
      <c r="C11" s="302"/>
      <c r="D11" s="302"/>
      <c r="E11" s="279">
        <v>5</v>
      </c>
    </row>
    <row r="12" spans="1:5" ht="57" customHeight="1" thickBot="1" x14ac:dyDescent="0.3">
      <c r="A12" s="301" t="str">
        <f>Формулы!A7</f>
        <v/>
      </c>
      <c r="B12" s="302"/>
      <c r="C12" s="302"/>
      <c r="D12" s="302"/>
      <c r="E12" s="279">
        <v>6</v>
      </c>
    </row>
    <row r="13" spans="1:5" ht="57" customHeight="1" thickBot="1" x14ac:dyDescent="0.3">
      <c r="A13" s="301" t="str">
        <f>Формулы!A8</f>
        <v/>
      </c>
      <c r="B13" s="302"/>
      <c r="C13" s="302"/>
      <c r="D13" s="302"/>
      <c r="E13" s="279">
        <v>7</v>
      </c>
    </row>
    <row r="14" spans="1:5" ht="57" customHeight="1" thickBot="1" x14ac:dyDescent="0.3">
      <c r="A14" s="301" t="str">
        <f>Формулы!A9</f>
        <v/>
      </c>
      <c r="B14" s="302"/>
      <c r="C14" s="302"/>
      <c r="D14" s="302"/>
      <c r="E14" s="279">
        <v>8</v>
      </c>
    </row>
    <row r="15" spans="1:5" ht="57" customHeight="1" thickBot="1" x14ac:dyDescent="0.3">
      <c r="A15" s="301" t="str">
        <f>Формулы!A10</f>
        <v/>
      </c>
      <c r="B15" s="302"/>
      <c r="C15" s="302"/>
      <c r="D15" s="302"/>
      <c r="E15" s="279">
        <v>9</v>
      </c>
    </row>
    <row r="16" spans="1:5" ht="57" customHeight="1" thickBot="1" x14ac:dyDescent="0.3">
      <c r="A16" s="301" t="str">
        <f>Формулы!A11</f>
        <v/>
      </c>
      <c r="B16" s="302"/>
      <c r="C16" s="302"/>
      <c r="D16" s="302"/>
      <c r="E16" s="279">
        <v>10</v>
      </c>
    </row>
    <row r="17" spans="1:5" ht="57" customHeight="1" thickBot="1" x14ac:dyDescent="0.3">
      <c r="A17" s="301" t="str">
        <f>Формулы!A12</f>
        <v/>
      </c>
      <c r="B17" s="302"/>
      <c r="C17" s="302"/>
      <c r="D17" s="302"/>
      <c r="E17" s="279">
        <v>11</v>
      </c>
    </row>
    <row r="18" spans="1:5" ht="57" customHeight="1" thickBot="1" x14ac:dyDescent="0.3">
      <c r="A18" s="301" t="str">
        <f>Формулы!A13</f>
        <v/>
      </c>
      <c r="B18" s="302"/>
      <c r="C18" s="302"/>
      <c r="D18" s="302"/>
      <c r="E18" s="279">
        <v>12</v>
      </c>
    </row>
    <row r="19" spans="1:5" ht="57" customHeight="1" thickBot="1" x14ac:dyDescent="0.3">
      <c r="A19" s="299" t="str">
        <f>Формулы!A14</f>
        <v/>
      </c>
      <c r="B19" s="300"/>
      <c r="C19" s="300"/>
      <c r="D19" s="300"/>
      <c r="E19" s="279">
        <v>13</v>
      </c>
    </row>
    <row r="20" spans="1:5" ht="57" customHeight="1" thickBot="1" x14ac:dyDescent="0.3">
      <c r="A20" s="299" t="str">
        <f>Формулы!A15</f>
        <v xml:space="preserve">Командировка 0 с 16.01 по  09.02, Карпов Карп, 8-888-124 (ср.26 ), Питер, в ФОТ для бюджета на выезд (Ср.ЗП)*1,5 = 39 + ндфл 2 руб  (за месячную норму часов+переработки)
</v>
      </c>
      <c r="B20" s="300"/>
      <c r="C20" s="300"/>
      <c r="D20" s="300"/>
      <c r="E20" s="279">
        <v>14</v>
      </c>
    </row>
    <row r="21" spans="1:5" ht="76.150000000000006" customHeight="1" thickBot="1" x14ac:dyDescent="0.3">
      <c r="A21" s="299" t="str">
        <f>Формулы!A16</f>
        <v/>
      </c>
      <c r="B21" s="300"/>
      <c r="C21" s="300"/>
      <c r="D21" s="300"/>
      <c r="E21" s="279">
        <v>15</v>
      </c>
    </row>
    <row r="22" spans="1:5" ht="77.45" customHeight="1" thickBot="1" x14ac:dyDescent="0.3">
      <c r="A22" s="299" t="str">
        <f>Формулы!A17</f>
        <v/>
      </c>
      <c r="B22" s="300"/>
      <c r="C22" s="300"/>
      <c r="D22" s="300"/>
      <c r="E22" s="279">
        <v>16</v>
      </c>
    </row>
    <row r="23" spans="1:5" ht="57" customHeight="1" thickBot="1" x14ac:dyDescent="0.3">
      <c r="A23" s="299" t="str">
        <f>Формулы!A18</f>
        <v/>
      </c>
      <c r="B23" s="300"/>
      <c r="C23" s="300"/>
      <c r="D23" s="300"/>
      <c r="E23" s="279">
        <v>17</v>
      </c>
    </row>
    <row r="24" spans="1:5" ht="57" customHeight="1" thickBot="1" x14ac:dyDescent="0.3">
      <c r="A24" s="299" t="str">
        <f>Формулы!A19</f>
        <v/>
      </c>
      <c r="B24" s="300"/>
      <c r="C24" s="300"/>
      <c r="D24" s="300"/>
      <c r="E24" s="279">
        <v>18</v>
      </c>
    </row>
    <row r="25" spans="1:5" ht="57" customHeight="1" thickBot="1" x14ac:dyDescent="0.3">
      <c r="A25" s="299" t="str">
        <f>Формулы!A20</f>
        <v/>
      </c>
      <c r="B25" s="300"/>
      <c r="C25" s="300"/>
      <c r="D25" s="300"/>
      <c r="E25" s="279">
        <v>19</v>
      </c>
    </row>
    <row r="26" spans="1:5" ht="57" customHeight="1" thickBot="1" x14ac:dyDescent="0.3">
      <c r="A26" s="299" t="str">
        <f>Формулы!A21</f>
        <v/>
      </c>
      <c r="B26" s="300"/>
      <c r="C26" s="300"/>
      <c r="D26" s="300"/>
      <c r="E26" s="279">
        <v>20</v>
      </c>
    </row>
    <row r="27" spans="1:5" ht="57" customHeight="1" thickBot="1" x14ac:dyDescent="0.3">
      <c r="A27" s="299" t="str">
        <f>Формулы!A22</f>
        <v/>
      </c>
      <c r="B27" s="300"/>
      <c r="C27" s="300"/>
      <c r="D27" s="300"/>
      <c r="E27" s="279">
        <v>21</v>
      </c>
    </row>
    <row r="28" spans="1:5" ht="57" customHeight="1" thickBot="1" x14ac:dyDescent="0.3">
      <c r="A28" s="299" t="str">
        <f>Формулы!A23</f>
        <v/>
      </c>
      <c r="B28" s="300"/>
      <c r="C28" s="300"/>
      <c r="D28" s="300"/>
      <c r="E28" s="279">
        <v>22</v>
      </c>
    </row>
    <row r="29" spans="1:5" ht="57" customHeight="1" thickBot="1" x14ac:dyDescent="0.3">
      <c r="A29" s="299" t="str">
        <f>Формулы!A24</f>
        <v/>
      </c>
      <c r="B29" s="300"/>
      <c r="C29" s="300"/>
      <c r="D29" s="300"/>
      <c r="E29" s="279">
        <v>23</v>
      </c>
    </row>
    <row r="30" spans="1:5" ht="57" customHeight="1" thickBot="1" x14ac:dyDescent="0.3">
      <c r="A30" s="299" t="str">
        <f>Формулы!A25</f>
        <v/>
      </c>
      <c r="B30" s="300"/>
      <c r="C30" s="300"/>
      <c r="D30" s="300"/>
      <c r="E30" s="280">
        <v>24</v>
      </c>
    </row>
    <row r="31" spans="1:5" s="32" customFormat="1" ht="57" customHeight="1" thickBot="1" x14ac:dyDescent="0.3">
      <c r="A31" s="301"/>
      <c r="B31" s="302"/>
      <c r="C31" s="302"/>
      <c r="D31" s="303"/>
      <c r="E31" s="273"/>
    </row>
    <row r="32" spans="1:5" ht="15.75" thickBot="1" x14ac:dyDescent="0.3">
      <c r="A32" s="169" t="s">
        <v>18</v>
      </c>
      <c r="B32" s="170" t="s">
        <v>19</v>
      </c>
      <c r="C32" s="170" t="s">
        <v>20</v>
      </c>
      <c r="D32" s="171" t="s">
        <v>21</v>
      </c>
    </row>
    <row r="33" spans="1:5" x14ac:dyDescent="0.25">
      <c r="A33" s="167">
        <f>Данные!B7-1+1</f>
        <v>43840</v>
      </c>
      <c r="B33" s="168"/>
      <c r="C33" s="168"/>
      <c r="D33" s="168"/>
      <c r="E33" s="272" t="s">
        <v>246</v>
      </c>
    </row>
    <row r="34" spans="1:5" ht="15" customHeight="1" x14ac:dyDescent="0.25">
      <c r="A34" s="12">
        <f>A33+1</f>
        <v>43841</v>
      </c>
      <c r="B34" s="298" t="s">
        <v>226</v>
      </c>
      <c r="C34" s="298"/>
      <c r="D34" s="298"/>
      <c r="E34" s="272"/>
    </row>
    <row r="35" spans="1:5" ht="15" customHeight="1" x14ac:dyDescent="0.25">
      <c r="A35" s="12">
        <f t="shared" ref="A35:A77" si="0">A34+1</f>
        <v>43842</v>
      </c>
      <c r="B35" s="298" t="s">
        <v>227</v>
      </c>
      <c r="C35" s="298"/>
      <c r="D35" s="298"/>
      <c r="E35" s="272"/>
    </row>
    <row r="36" spans="1:5" ht="15" customHeight="1" x14ac:dyDescent="0.25">
      <c r="A36" s="12">
        <f t="shared" si="0"/>
        <v>43843</v>
      </c>
      <c r="B36" s="298" t="s">
        <v>83</v>
      </c>
      <c r="C36" s="298"/>
      <c r="D36" s="298"/>
      <c r="E36" s="272"/>
    </row>
    <row r="37" spans="1:5" ht="15" customHeight="1" x14ac:dyDescent="0.25">
      <c r="A37" s="12">
        <f t="shared" si="0"/>
        <v>43844</v>
      </c>
      <c r="B37" s="298" t="s">
        <v>228</v>
      </c>
      <c r="C37" s="298"/>
      <c r="D37" s="298"/>
      <c r="E37" s="272"/>
    </row>
    <row r="38" spans="1:5" ht="15" customHeight="1" x14ac:dyDescent="0.25">
      <c r="A38" s="12">
        <f t="shared" si="0"/>
        <v>43845</v>
      </c>
      <c r="B38" s="298" t="s">
        <v>229</v>
      </c>
      <c r="C38" s="298"/>
      <c r="D38" s="298"/>
      <c r="E38" s="275" t="s">
        <v>245</v>
      </c>
    </row>
    <row r="39" spans="1:5" ht="15" customHeight="1" x14ac:dyDescent="0.25">
      <c r="A39" s="12">
        <f t="shared" si="0"/>
        <v>43846</v>
      </c>
      <c r="B39" s="306" t="s">
        <v>22</v>
      </c>
      <c r="C39" s="306"/>
      <c r="D39" s="306"/>
    </row>
    <row r="40" spans="1:5" ht="15" customHeight="1" x14ac:dyDescent="0.25">
      <c r="A40" s="12">
        <f t="shared" si="0"/>
        <v>43847</v>
      </c>
      <c r="B40" s="13" t="s">
        <v>23</v>
      </c>
      <c r="C40" s="13" t="s">
        <v>23</v>
      </c>
      <c r="D40" s="13" t="s">
        <v>24</v>
      </c>
    </row>
    <row r="41" spans="1:5" ht="15" customHeight="1" x14ac:dyDescent="0.25">
      <c r="A41" s="12">
        <f t="shared" si="0"/>
        <v>43848</v>
      </c>
      <c r="B41" s="13" t="s">
        <v>23</v>
      </c>
      <c r="C41" s="13" t="s">
        <v>23</v>
      </c>
      <c r="D41" s="13" t="s">
        <v>24</v>
      </c>
    </row>
    <row r="42" spans="1:5" ht="15" customHeight="1" x14ac:dyDescent="0.25">
      <c r="A42" s="12">
        <f t="shared" si="0"/>
        <v>43849</v>
      </c>
      <c r="B42" s="13" t="s">
        <v>23</v>
      </c>
      <c r="C42" s="13" t="s">
        <v>23</v>
      </c>
      <c r="D42" s="13" t="s">
        <v>24</v>
      </c>
      <c r="E42" s="272"/>
    </row>
    <row r="43" spans="1:5" ht="15" customHeight="1" x14ac:dyDescent="0.25">
      <c r="A43" s="12">
        <f t="shared" si="0"/>
        <v>43850</v>
      </c>
      <c r="B43" s="13" t="s">
        <v>23</v>
      </c>
      <c r="C43" s="13" t="s">
        <v>23</v>
      </c>
      <c r="D43" s="13" t="s">
        <v>24</v>
      </c>
      <c r="E43" s="272"/>
    </row>
    <row r="44" spans="1:5" ht="15" customHeight="1" x14ac:dyDescent="0.25">
      <c r="A44" s="12">
        <f t="shared" si="0"/>
        <v>43851</v>
      </c>
      <c r="B44" s="13" t="s">
        <v>23</v>
      </c>
      <c r="C44" s="13" t="s">
        <v>23</v>
      </c>
      <c r="D44" s="13" t="s">
        <v>24</v>
      </c>
    </row>
    <row r="45" spans="1:5" ht="15" customHeight="1" x14ac:dyDescent="0.25">
      <c r="A45" s="12">
        <f t="shared" si="0"/>
        <v>43852</v>
      </c>
      <c r="B45" s="13" t="s">
        <v>23</v>
      </c>
      <c r="C45" s="13" t="s">
        <v>23</v>
      </c>
      <c r="D45" s="13" t="s">
        <v>24</v>
      </c>
      <c r="E45" s="275"/>
    </row>
    <row r="46" spans="1:5" ht="15" customHeight="1" x14ac:dyDescent="0.25">
      <c r="A46" s="12">
        <f t="shared" si="0"/>
        <v>43853</v>
      </c>
      <c r="B46" s="13" t="s">
        <v>23</v>
      </c>
      <c r="C46" s="13" t="s">
        <v>23</v>
      </c>
      <c r="D46" s="13" t="s">
        <v>24</v>
      </c>
    </row>
    <row r="47" spans="1:5" ht="15" customHeight="1" x14ac:dyDescent="0.25">
      <c r="A47" s="12">
        <f t="shared" si="0"/>
        <v>43854</v>
      </c>
      <c r="B47" s="13" t="s">
        <v>23</v>
      </c>
      <c r="C47" s="13" t="s">
        <v>23</v>
      </c>
      <c r="D47" s="13" t="s">
        <v>24</v>
      </c>
    </row>
    <row r="48" spans="1:5" x14ac:dyDescent="0.25">
      <c r="A48" s="12">
        <f t="shared" si="0"/>
        <v>43855</v>
      </c>
      <c r="B48" s="13" t="s">
        <v>23</v>
      </c>
      <c r="C48" s="13" t="s">
        <v>23</v>
      </c>
      <c r="D48" s="13" t="s">
        <v>24</v>
      </c>
      <c r="E48" s="275"/>
    </row>
    <row r="49" spans="1:5" x14ac:dyDescent="0.25">
      <c r="A49" s="12">
        <f t="shared" si="0"/>
        <v>43856</v>
      </c>
      <c r="B49" s="13" t="s">
        <v>23</v>
      </c>
      <c r="C49" s="13" t="s">
        <v>23</v>
      </c>
      <c r="D49" s="13" t="s">
        <v>24</v>
      </c>
    </row>
    <row r="50" spans="1:5" x14ac:dyDescent="0.25">
      <c r="A50" s="12">
        <f t="shared" si="0"/>
        <v>43857</v>
      </c>
      <c r="B50" s="13" t="s">
        <v>23</v>
      </c>
      <c r="C50" s="13" t="s">
        <v>23</v>
      </c>
      <c r="D50" s="13" t="s">
        <v>24</v>
      </c>
      <c r="E50" s="272"/>
    </row>
    <row r="51" spans="1:5" x14ac:dyDescent="0.25">
      <c r="A51" s="12">
        <f t="shared" si="0"/>
        <v>43858</v>
      </c>
      <c r="B51" s="13" t="s">
        <v>23</v>
      </c>
      <c r="C51" s="13" t="s">
        <v>23</v>
      </c>
      <c r="D51" s="13" t="s">
        <v>24</v>
      </c>
      <c r="E51" s="276"/>
    </row>
    <row r="52" spans="1:5" ht="30" x14ac:dyDescent="0.25">
      <c r="A52" s="12">
        <f t="shared" si="0"/>
        <v>43859</v>
      </c>
      <c r="B52" s="13" t="s">
        <v>25</v>
      </c>
      <c r="C52" s="13" t="s">
        <v>25</v>
      </c>
      <c r="D52" s="13" t="s">
        <v>25</v>
      </c>
      <c r="E52" s="272"/>
    </row>
    <row r="53" spans="1:5" ht="30" x14ac:dyDescent="0.25">
      <c r="A53" s="12">
        <f t="shared" si="0"/>
        <v>43860</v>
      </c>
      <c r="B53" s="13" t="s">
        <v>25</v>
      </c>
      <c r="C53" s="13" t="s">
        <v>25</v>
      </c>
      <c r="D53" s="13" t="s">
        <v>25</v>
      </c>
      <c r="E53" s="272"/>
    </row>
    <row r="54" spans="1:5" x14ac:dyDescent="0.25">
      <c r="A54" s="12">
        <f t="shared" si="0"/>
        <v>43861</v>
      </c>
      <c r="B54" s="305" t="s">
        <v>237</v>
      </c>
      <c r="C54" s="305"/>
      <c r="D54" s="305"/>
      <c r="E54" s="272"/>
    </row>
    <row r="55" spans="1:5" x14ac:dyDescent="0.25">
      <c r="A55" s="12">
        <f t="shared" si="0"/>
        <v>43862</v>
      </c>
      <c r="B55" s="15"/>
      <c r="C55" s="15"/>
      <c r="D55" s="15"/>
      <c r="E55" s="272"/>
    </row>
    <row r="56" spans="1:5" x14ac:dyDescent="0.25">
      <c r="A56" s="12">
        <f t="shared" si="0"/>
        <v>43863</v>
      </c>
      <c r="B56" s="13"/>
      <c r="C56" s="13"/>
      <c r="D56" s="13"/>
      <c r="E56" s="275" t="s">
        <v>230</v>
      </c>
    </row>
    <row r="57" spans="1:5" ht="15" customHeight="1" x14ac:dyDescent="0.25">
      <c r="A57" s="12">
        <f t="shared" si="0"/>
        <v>43864</v>
      </c>
      <c r="B57" s="13"/>
      <c r="C57" s="13"/>
      <c r="D57" s="13"/>
    </row>
    <row r="58" spans="1:5" ht="15" customHeight="1" x14ac:dyDescent="0.25">
      <c r="A58" s="12">
        <f t="shared" si="0"/>
        <v>43865</v>
      </c>
      <c r="B58" s="13"/>
      <c r="C58" s="13"/>
      <c r="D58" s="13"/>
    </row>
    <row r="59" spans="1:5" ht="15" customHeight="1" x14ac:dyDescent="0.25">
      <c r="A59" s="12">
        <f t="shared" si="0"/>
        <v>43866</v>
      </c>
      <c r="B59" s="15"/>
      <c r="C59" s="15"/>
      <c r="D59" s="15"/>
    </row>
    <row r="60" spans="1:5" x14ac:dyDescent="0.25">
      <c r="A60" s="12">
        <f t="shared" si="0"/>
        <v>43867</v>
      </c>
      <c r="B60" s="15"/>
      <c r="C60" s="15"/>
      <c r="D60" s="15"/>
    </row>
    <row r="61" spans="1:5" x14ac:dyDescent="0.25">
      <c r="A61" s="12">
        <f t="shared" si="0"/>
        <v>43868</v>
      </c>
      <c r="B61" s="15"/>
      <c r="C61" s="15"/>
      <c r="D61" s="15"/>
    </row>
    <row r="62" spans="1:5" x14ac:dyDescent="0.25">
      <c r="A62" s="12">
        <f t="shared" si="0"/>
        <v>43869</v>
      </c>
      <c r="B62" s="16"/>
      <c r="C62" s="16"/>
      <c r="D62" s="16"/>
      <c r="E62" s="274" t="s">
        <v>28</v>
      </c>
    </row>
    <row r="63" spans="1:5" x14ac:dyDescent="0.25">
      <c r="A63" s="12">
        <f t="shared" si="0"/>
        <v>43870</v>
      </c>
      <c r="B63" s="15"/>
      <c r="C63" s="15"/>
      <c r="D63" s="15"/>
    </row>
    <row r="64" spans="1:5" x14ac:dyDescent="0.25">
      <c r="A64" s="12">
        <f t="shared" si="0"/>
        <v>43871</v>
      </c>
      <c r="B64" s="17"/>
      <c r="C64" s="18"/>
      <c r="D64" s="18"/>
    </row>
    <row r="65" spans="1:5" x14ac:dyDescent="0.25">
      <c r="A65" s="12">
        <f t="shared" si="0"/>
        <v>43872</v>
      </c>
      <c r="B65" s="15"/>
      <c r="C65" s="15"/>
      <c r="D65" s="15"/>
    </row>
    <row r="66" spans="1:5" x14ac:dyDescent="0.25">
      <c r="A66" s="12">
        <f t="shared" si="0"/>
        <v>43873</v>
      </c>
      <c r="B66" s="15"/>
      <c r="C66" s="15"/>
      <c r="D66" s="15"/>
    </row>
    <row r="67" spans="1:5" ht="15" customHeight="1" x14ac:dyDescent="0.25">
      <c r="A67" s="12">
        <f t="shared" si="0"/>
        <v>43874</v>
      </c>
      <c r="B67" s="19"/>
      <c r="C67" s="19"/>
      <c r="D67" s="19"/>
    </row>
    <row r="68" spans="1:5" x14ac:dyDescent="0.25">
      <c r="A68" s="12">
        <f t="shared" si="0"/>
        <v>43875</v>
      </c>
      <c r="B68" s="19"/>
      <c r="C68" s="19"/>
      <c r="D68" s="19"/>
      <c r="E68" s="277"/>
    </row>
    <row r="69" spans="1:5" x14ac:dyDescent="0.25">
      <c r="A69" s="12">
        <f t="shared" si="0"/>
        <v>43876</v>
      </c>
      <c r="B69" s="20"/>
      <c r="C69" s="21"/>
      <c r="D69" s="21"/>
      <c r="E69" s="277"/>
    </row>
    <row r="70" spans="1:5" x14ac:dyDescent="0.25">
      <c r="A70" s="12">
        <f t="shared" si="0"/>
        <v>43877</v>
      </c>
      <c r="B70" s="20"/>
      <c r="C70" s="21"/>
      <c r="D70" s="21"/>
      <c r="E70" s="277"/>
    </row>
    <row r="71" spans="1:5" x14ac:dyDescent="0.25">
      <c r="A71" s="12">
        <f t="shared" si="0"/>
        <v>43878</v>
      </c>
      <c r="B71" s="20"/>
      <c r="C71" s="21"/>
      <c r="D71" s="21"/>
      <c r="E71" s="277"/>
    </row>
    <row r="72" spans="1:5" ht="15" customHeight="1" x14ac:dyDescent="0.25">
      <c r="A72" s="12">
        <f t="shared" si="0"/>
        <v>43879</v>
      </c>
      <c r="B72" s="20"/>
      <c r="C72" s="21"/>
      <c r="D72" s="21"/>
    </row>
    <row r="73" spans="1:5" x14ac:dyDescent="0.25">
      <c r="A73" s="12">
        <f t="shared" si="0"/>
        <v>43880</v>
      </c>
      <c r="B73" s="20"/>
      <c r="C73" s="21"/>
      <c r="D73" s="21"/>
    </row>
    <row r="74" spans="1:5" x14ac:dyDescent="0.25">
      <c r="A74" s="12">
        <f t="shared" si="0"/>
        <v>43881</v>
      </c>
      <c r="B74" s="20"/>
      <c r="C74" s="21"/>
      <c r="D74" s="21"/>
    </row>
    <row r="75" spans="1:5" x14ac:dyDescent="0.25">
      <c r="A75" s="12">
        <f t="shared" si="0"/>
        <v>43882</v>
      </c>
      <c r="B75" s="20"/>
      <c r="C75" s="21"/>
      <c r="D75" s="21"/>
    </row>
    <row r="76" spans="1:5" x14ac:dyDescent="0.25">
      <c r="A76" s="12">
        <f t="shared" si="0"/>
        <v>43883</v>
      </c>
      <c r="B76" s="20"/>
      <c r="C76" s="21"/>
      <c r="D76" s="21"/>
    </row>
    <row r="77" spans="1:5" x14ac:dyDescent="0.25">
      <c r="A77" s="12">
        <f t="shared" si="0"/>
        <v>43884</v>
      </c>
    </row>
  </sheetData>
  <mergeCells count="37">
    <mergeCell ref="A20:D20"/>
    <mergeCell ref="A22:D22"/>
    <mergeCell ref="A23:D23"/>
    <mergeCell ref="A21:D21"/>
    <mergeCell ref="A13:D13"/>
    <mergeCell ref="A14:D14"/>
    <mergeCell ref="A15:D15"/>
    <mergeCell ref="A16:D16"/>
    <mergeCell ref="A17:D17"/>
    <mergeCell ref="A18:D18"/>
    <mergeCell ref="A19:D19"/>
    <mergeCell ref="A7:D7"/>
    <mergeCell ref="A12:D12"/>
    <mergeCell ref="A11:D11"/>
    <mergeCell ref="A10:D10"/>
    <mergeCell ref="A9:D9"/>
    <mergeCell ref="A8:D8"/>
    <mergeCell ref="B37:D37"/>
    <mergeCell ref="B38:D38"/>
    <mergeCell ref="B36:D36"/>
    <mergeCell ref="B54:D54"/>
    <mergeCell ref="B39:D39"/>
    <mergeCell ref="A1:D1"/>
    <mergeCell ref="A2:D2"/>
    <mergeCell ref="A3:D3"/>
    <mergeCell ref="A4:D4"/>
    <mergeCell ref="A5:D5"/>
    <mergeCell ref="B34:D34"/>
    <mergeCell ref="B35:D35"/>
    <mergeCell ref="A24:D24"/>
    <mergeCell ref="A31:D31"/>
    <mergeCell ref="A30:D30"/>
    <mergeCell ref="A29:D29"/>
    <mergeCell ref="A26:D26"/>
    <mergeCell ref="A25:D25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D51"/>
  <sheetViews>
    <sheetView workbookViewId="0">
      <selection activeCell="B4" sqref="B4"/>
    </sheetView>
  </sheetViews>
  <sheetFormatPr defaultRowHeight="15" x14ac:dyDescent="0.25"/>
  <cols>
    <col min="1" max="1" width="17.42578125" bestFit="1" customWidth="1"/>
    <col min="2" max="2" width="21.28515625" customWidth="1"/>
    <col min="3" max="3" width="10.140625" style="1" customWidth="1"/>
  </cols>
  <sheetData>
    <row r="1" spans="1:4" x14ac:dyDescent="0.25">
      <c r="A1" s="235" t="s">
        <v>43</v>
      </c>
      <c r="B1" s="127" t="s">
        <v>90</v>
      </c>
      <c r="C1" s="125"/>
    </row>
    <row r="2" spans="1:4" x14ac:dyDescent="0.25">
      <c r="A2" s="235" t="s">
        <v>44</v>
      </c>
      <c r="B2" s="127" t="s">
        <v>233</v>
      </c>
    </row>
    <row r="3" spans="1:4" x14ac:dyDescent="0.25">
      <c r="A3" s="235" t="s">
        <v>84</v>
      </c>
      <c r="B3" s="15" t="s">
        <v>93</v>
      </c>
      <c r="C3" s="125"/>
    </row>
    <row r="4" spans="1:4" x14ac:dyDescent="0.25">
      <c r="A4" s="235" t="s">
        <v>45</v>
      </c>
      <c r="B4" s="239">
        <v>43841</v>
      </c>
      <c r="C4" s="234"/>
    </row>
    <row r="5" spans="1:4" x14ac:dyDescent="0.25">
      <c r="A5" s="235" t="s">
        <v>46</v>
      </c>
      <c r="B5" s="239">
        <f>B4+C6</f>
        <v>43845</v>
      </c>
      <c r="C5" s="266"/>
    </row>
    <row r="6" spans="1:4" x14ac:dyDescent="0.25">
      <c r="A6" s="235" t="s">
        <v>47</v>
      </c>
      <c r="B6" s="236"/>
      <c r="C6" s="237">
        <v>4</v>
      </c>
      <c r="D6" s="29"/>
    </row>
    <row r="7" spans="1:4" x14ac:dyDescent="0.25">
      <c r="A7" s="235" t="s">
        <v>48</v>
      </c>
      <c r="B7" s="239">
        <f>B4-1</f>
        <v>43840</v>
      </c>
      <c r="D7" s="29"/>
    </row>
    <row r="8" spans="1:4" x14ac:dyDescent="0.25">
      <c r="A8" s="235" t="s">
        <v>49</v>
      </c>
      <c r="B8" s="239">
        <f>B12+2</f>
        <v>43863</v>
      </c>
      <c r="C8" s="128">
        <f>B8-B7+1</f>
        <v>24</v>
      </c>
      <c r="D8" s="29"/>
    </row>
    <row r="9" spans="1:4" x14ac:dyDescent="0.25">
      <c r="A9" s="28"/>
      <c r="B9" s="29"/>
      <c r="D9" s="29"/>
    </row>
    <row r="10" spans="1:4" x14ac:dyDescent="0.25">
      <c r="A10" s="28"/>
      <c r="B10" s="29"/>
      <c r="C10" s="125"/>
      <c r="D10" s="29"/>
    </row>
    <row r="11" spans="1:4" x14ac:dyDescent="0.25">
      <c r="A11" s="235" t="s">
        <v>56</v>
      </c>
      <c r="B11" s="239">
        <f>(B5+1)</f>
        <v>43846</v>
      </c>
      <c r="D11" s="29"/>
    </row>
    <row r="12" spans="1:4" x14ac:dyDescent="0.25">
      <c r="A12" s="235" t="s">
        <v>71</v>
      </c>
      <c r="B12" s="239">
        <f>B11+15</f>
        <v>43861</v>
      </c>
      <c r="D12" s="29"/>
    </row>
    <row r="13" spans="1:4" x14ac:dyDescent="0.25">
      <c r="A13" s="235" t="s">
        <v>72</v>
      </c>
      <c r="B13" s="127"/>
      <c r="D13" s="29"/>
    </row>
    <row r="14" spans="1:4" x14ac:dyDescent="0.25">
      <c r="A14" s="235" t="s">
        <v>62</v>
      </c>
      <c r="B14" s="15" t="s">
        <v>198</v>
      </c>
      <c r="C14" s="125"/>
    </row>
    <row r="15" spans="1:4" x14ac:dyDescent="0.25">
      <c r="A15" s="235" t="s">
        <v>63</v>
      </c>
      <c r="B15" s="238">
        <v>2</v>
      </c>
    </row>
    <row r="16" spans="1:4" x14ac:dyDescent="0.25">
      <c r="B16" s="15" t="str">
        <f>Формулы!D63</f>
        <v>крок</v>
      </c>
    </row>
    <row r="18" spans="1:3" x14ac:dyDescent="0.25">
      <c r="A18" s="270" t="s">
        <v>234</v>
      </c>
      <c r="B18" s="239">
        <f>B5</f>
        <v>43845</v>
      </c>
      <c r="C18" s="271" t="s">
        <v>236</v>
      </c>
    </row>
    <row r="19" spans="1:3" x14ac:dyDescent="0.25">
      <c r="A19" s="270" t="s">
        <v>235</v>
      </c>
      <c r="B19" s="239">
        <f>B18+24</f>
        <v>43869</v>
      </c>
    </row>
    <row r="51" spans="1:1" x14ac:dyDescent="0.25">
      <c r="A51" t="str">
        <f>CONCATENATE(B30,CHAR(10),B31,CHAR(10),B32,CHAR(10),B33,CHAR(10),B34,CHAR(10),B35,CHAR(10),B36,CHAR(10),B37,CHAR(10),B38,CHAR(10),B39,CHAR(10),B40,CHAR(10),B41,CHAR(10),B42,CHAR(10),B43,CHAR(10),B44,CHAR(10),B45,CHAR(10),B50,CHAR(10),B51,CHAR(10),B52,CHAR(10),B53,CHAR(10),B54,CHAR(10),B55,B56,D57," ",E57,","," ",B57,B58," ",D30,","," ",Данные!A2," ","","
",A53,)</f>
        <v xml:space="preserve">
 ,  , ТЦ 
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Формулы!$E$129:$E$143</xm:f>
          </x14:formula1>
          <xm:sqref>B15</xm:sqref>
        </x14:dataValidation>
        <x14:dataValidation type="list" allowBlank="1" showInputMessage="1" showErrorMessage="1">
          <x14:formula1>
            <xm:f>Формулы!$I$111:$I$120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M31"/>
  <sheetViews>
    <sheetView topLeftCell="D1" zoomScale="90" zoomScaleNormal="90" zoomScaleSheetLayoutView="80" workbookViewId="0">
      <selection activeCell="N2" sqref="N1:O1048576"/>
    </sheetView>
  </sheetViews>
  <sheetFormatPr defaultColWidth="8.28515625" defaultRowHeight="18.75" x14ac:dyDescent="0.25"/>
  <cols>
    <col min="1" max="1" width="4.28515625" style="47" bestFit="1" customWidth="1"/>
    <col min="2" max="2" width="29.7109375" style="48" bestFit="1" customWidth="1"/>
    <col min="3" max="3" width="18" style="46" customWidth="1"/>
    <col min="4" max="4" width="19.5703125" style="48" bestFit="1" customWidth="1"/>
    <col min="5" max="5" width="34.7109375" style="47" bestFit="1" customWidth="1"/>
    <col min="6" max="6" width="10.42578125" style="47" bestFit="1" customWidth="1"/>
    <col min="7" max="8" width="11.42578125" style="47" customWidth="1"/>
    <col min="9" max="9" width="8.42578125" style="47" bestFit="1" customWidth="1"/>
    <col min="10" max="10" width="8.28515625" style="47"/>
    <col min="11" max="11" width="10.5703125" style="47" customWidth="1"/>
    <col min="12" max="16384" width="8.28515625" style="47"/>
  </cols>
  <sheetData>
    <row r="1" spans="1:13" s="46" customFormat="1" ht="80.25" customHeight="1" thickBot="1" x14ac:dyDescent="0.3">
      <c r="A1" s="39" t="s">
        <v>16</v>
      </c>
      <c r="B1" s="56" t="s">
        <v>0</v>
      </c>
      <c r="C1" s="39" t="s">
        <v>1</v>
      </c>
      <c r="D1" s="56" t="s">
        <v>33</v>
      </c>
      <c r="E1" s="39" t="s">
        <v>43</v>
      </c>
      <c r="F1" s="213" t="s">
        <v>89</v>
      </c>
      <c r="G1" s="55" t="s">
        <v>241</v>
      </c>
      <c r="H1" s="39" t="s">
        <v>242</v>
      </c>
      <c r="I1" s="56" t="s">
        <v>231</v>
      </c>
      <c r="J1" s="39" t="s">
        <v>232</v>
      </c>
      <c r="K1" s="56" t="s">
        <v>36</v>
      </c>
      <c r="L1" s="39" t="s">
        <v>37</v>
      </c>
    </row>
    <row r="2" spans="1:13" ht="18.75" customHeight="1" x14ac:dyDescent="0.25">
      <c r="A2" s="243">
        <f t="shared" ref="A2:A25" si="0">ROW(2:2)-1</f>
        <v>1</v>
      </c>
      <c r="B2" s="252" t="s">
        <v>94</v>
      </c>
      <c r="C2" s="205" t="s">
        <v>4</v>
      </c>
      <c r="D2" s="57" t="s">
        <v>135</v>
      </c>
      <c r="E2" s="214" t="s">
        <v>125</v>
      </c>
      <c r="F2" s="247" t="s">
        <v>109</v>
      </c>
      <c r="G2" s="218"/>
      <c r="H2" s="59"/>
      <c r="I2" s="62">
        <v>33</v>
      </c>
      <c r="J2" s="37">
        <v>1.5</v>
      </c>
      <c r="K2" s="62">
        <f>I2*J2</f>
        <v>49.5</v>
      </c>
      <c r="L2" s="68">
        <v>2</v>
      </c>
    </row>
    <row r="3" spans="1:13" ht="18.75" customHeight="1" x14ac:dyDescent="0.25">
      <c r="A3" s="244">
        <f t="shared" si="0"/>
        <v>2</v>
      </c>
      <c r="B3" s="253" t="s">
        <v>95</v>
      </c>
      <c r="C3" s="205" t="s">
        <v>4</v>
      </c>
      <c r="D3" s="57" t="s">
        <v>136</v>
      </c>
      <c r="E3" s="214" t="s">
        <v>126</v>
      </c>
      <c r="F3" s="221" t="s">
        <v>110</v>
      </c>
      <c r="G3" s="218" t="s">
        <v>240</v>
      </c>
      <c r="H3" s="59" t="s">
        <v>239</v>
      </c>
      <c r="I3" s="62">
        <v>42</v>
      </c>
      <c r="J3" s="37">
        <v>1.5</v>
      </c>
      <c r="K3" s="62">
        <f>I3*J3</f>
        <v>63</v>
      </c>
      <c r="L3" s="68">
        <v>28</v>
      </c>
    </row>
    <row r="4" spans="1:13" ht="18.75" customHeight="1" x14ac:dyDescent="0.25">
      <c r="A4" s="244">
        <f t="shared" si="0"/>
        <v>3</v>
      </c>
      <c r="B4" s="253" t="s">
        <v>96</v>
      </c>
      <c r="C4" s="205" t="s">
        <v>82</v>
      </c>
      <c r="D4" s="57" t="s">
        <v>137</v>
      </c>
      <c r="E4" s="214" t="s">
        <v>126</v>
      </c>
      <c r="F4" s="220" t="s">
        <v>111</v>
      </c>
      <c r="G4" s="218"/>
      <c r="H4" s="59"/>
      <c r="I4" s="62">
        <v>22</v>
      </c>
      <c r="J4" s="37">
        <v>1.5</v>
      </c>
      <c r="K4" s="62">
        <f t="shared" ref="K4:K6" si="1">I4*J4</f>
        <v>33</v>
      </c>
      <c r="L4" s="68">
        <v>3</v>
      </c>
    </row>
    <row r="5" spans="1:13" ht="18.75" customHeight="1" x14ac:dyDescent="0.25">
      <c r="A5" s="244">
        <f t="shared" si="0"/>
        <v>4</v>
      </c>
      <c r="B5" s="254" t="s">
        <v>134</v>
      </c>
      <c r="C5" s="205" t="s">
        <v>4</v>
      </c>
      <c r="D5" s="57" t="s">
        <v>138</v>
      </c>
      <c r="E5" s="214" t="s">
        <v>161</v>
      </c>
      <c r="F5" s="220" t="s">
        <v>163</v>
      </c>
      <c r="G5" s="218"/>
      <c r="H5" s="59"/>
      <c r="I5" s="62">
        <v>32</v>
      </c>
      <c r="J5" s="37">
        <v>1.5</v>
      </c>
      <c r="K5" s="62">
        <f t="shared" si="1"/>
        <v>48</v>
      </c>
      <c r="L5" s="68">
        <v>3</v>
      </c>
    </row>
    <row r="6" spans="1:13" ht="18.75" customHeight="1" x14ac:dyDescent="0.25">
      <c r="A6" s="244">
        <f t="shared" si="0"/>
        <v>5</v>
      </c>
      <c r="B6" s="253" t="s">
        <v>159</v>
      </c>
      <c r="C6" s="205" t="s">
        <v>160</v>
      </c>
      <c r="D6" s="57" t="s">
        <v>139</v>
      </c>
      <c r="E6" s="214" t="s">
        <v>162</v>
      </c>
      <c r="F6" s="220" t="s">
        <v>164</v>
      </c>
      <c r="G6" s="218"/>
      <c r="H6" s="59"/>
      <c r="I6" s="62">
        <v>322</v>
      </c>
      <c r="J6" s="37">
        <v>1.5</v>
      </c>
      <c r="K6" s="62">
        <f t="shared" si="1"/>
        <v>483</v>
      </c>
      <c r="L6" s="68">
        <v>22</v>
      </c>
    </row>
    <row r="7" spans="1:13" ht="18.75" customHeight="1" x14ac:dyDescent="0.25">
      <c r="A7" s="242">
        <f t="shared" si="0"/>
        <v>6</v>
      </c>
      <c r="B7" s="255" t="s">
        <v>97</v>
      </c>
      <c r="C7" s="206" t="s">
        <v>4</v>
      </c>
      <c r="D7" s="57" t="s">
        <v>140</v>
      </c>
      <c r="E7" s="215" t="s">
        <v>127</v>
      </c>
      <c r="F7" s="224" t="s">
        <v>112</v>
      </c>
      <c r="G7" s="219"/>
      <c r="H7" s="58"/>
      <c r="I7" s="61">
        <v>45</v>
      </c>
      <c r="J7" s="41">
        <v>1.5</v>
      </c>
      <c r="K7" s="61">
        <f>I7*J7</f>
        <v>67.5</v>
      </c>
      <c r="L7" s="67">
        <v>27</v>
      </c>
    </row>
    <row r="8" spans="1:13" s="52" customFormat="1" ht="18.75" customHeight="1" x14ac:dyDescent="0.25">
      <c r="A8" s="241">
        <f t="shared" si="0"/>
        <v>7</v>
      </c>
      <c r="B8" s="253" t="s">
        <v>98</v>
      </c>
      <c r="C8" s="205" t="s">
        <v>82</v>
      </c>
      <c r="D8" s="57" t="s">
        <v>141</v>
      </c>
      <c r="E8" s="214" t="s">
        <v>128</v>
      </c>
      <c r="F8" s="223" t="s">
        <v>113</v>
      </c>
      <c r="G8" s="218"/>
      <c r="H8" s="59"/>
      <c r="I8" s="63">
        <v>30</v>
      </c>
      <c r="J8" s="65">
        <v>1.5</v>
      </c>
      <c r="K8" s="63">
        <f>I8*J8</f>
        <v>45</v>
      </c>
      <c r="L8" s="69">
        <v>15</v>
      </c>
    </row>
    <row r="9" spans="1:13" ht="18.75" customHeight="1" x14ac:dyDescent="0.25">
      <c r="A9" s="241">
        <f t="shared" si="0"/>
        <v>8</v>
      </c>
      <c r="B9" s="254" t="s">
        <v>101</v>
      </c>
      <c r="C9" s="205"/>
      <c r="D9" s="57" t="s">
        <v>142</v>
      </c>
      <c r="E9" s="214"/>
      <c r="F9" s="220"/>
      <c r="G9" s="218"/>
      <c r="H9" s="59"/>
      <c r="I9" s="62"/>
      <c r="J9" s="37"/>
      <c r="K9" s="62"/>
      <c r="L9" s="68"/>
    </row>
    <row r="10" spans="1:13" ht="18.75" customHeight="1" x14ac:dyDescent="0.25">
      <c r="A10" s="241">
        <f t="shared" si="0"/>
        <v>9</v>
      </c>
      <c r="B10" s="254" t="s">
        <v>101</v>
      </c>
      <c r="C10" s="205"/>
      <c r="D10" s="57" t="s">
        <v>143</v>
      </c>
      <c r="E10" s="214"/>
      <c r="F10" s="222"/>
      <c r="G10" s="218"/>
      <c r="H10" s="59"/>
      <c r="I10" s="62"/>
      <c r="J10" s="37"/>
      <c r="K10" s="62"/>
      <c r="L10" s="68"/>
    </row>
    <row r="11" spans="1:13" ht="18.75" customHeight="1" x14ac:dyDescent="0.25">
      <c r="A11" s="240">
        <f t="shared" si="0"/>
        <v>10</v>
      </c>
      <c r="B11" s="253" t="s">
        <v>108</v>
      </c>
      <c r="C11" s="205" t="s">
        <v>82</v>
      </c>
      <c r="D11" s="57" t="s">
        <v>144</v>
      </c>
      <c r="E11" s="214" t="s">
        <v>129</v>
      </c>
      <c r="F11" s="224" t="s">
        <v>114</v>
      </c>
      <c r="G11" s="218"/>
      <c r="H11" s="59"/>
      <c r="I11" s="62">
        <v>43</v>
      </c>
      <c r="J11" s="37">
        <v>1.5</v>
      </c>
      <c r="K11" s="62">
        <f>I11*J11</f>
        <v>64.5</v>
      </c>
      <c r="L11" s="68">
        <v>21</v>
      </c>
    </row>
    <row r="12" spans="1:13" ht="18.75" customHeight="1" x14ac:dyDescent="0.25">
      <c r="A12" s="240">
        <f t="shared" si="0"/>
        <v>11</v>
      </c>
      <c r="B12" s="253" t="s">
        <v>166</v>
      </c>
      <c r="C12" s="207" t="s">
        <v>4</v>
      </c>
      <c r="D12" s="57" t="s">
        <v>145</v>
      </c>
      <c r="E12" s="216" t="s">
        <v>130</v>
      </c>
      <c r="F12" s="262" t="s">
        <v>115</v>
      </c>
      <c r="G12" s="218"/>
      <c r="H12" s="59"/>
      <c r="I12" s="62">
        <v>55</v>
      </c>
      <c r="J12" s="37">
        <v>1.5</v>
      </c>
      <c r="K12" s="62">
        <f>I12*J12</f>
        <v>82.5</v>
      </c>
      <c r="L12" s="68">
        <v>2</v>
      </c>
    </row>
    <row r="13" spans="1:13" ht="18.75" customHeight="1" thickBot="1" x14ac:dyDescent="0.3">
      <c r="A13" s="240">
        <f t="shared" si="0"/>
        <v>12</v>
      </c>
      <c r="B13" s="256" t="s">
        <v>101</v>
      </c>
      <c r="C13" s="208"/>
      <c r="D13" s="78" t="s">
        <v>146</v>
      </c>
      <c r="E13" s="217"/>
      <c r="F13" s="248"/>
      <c r="G13" s="229"/>
      <c r="H13" s="80"/>
      <c r="I13" s="82"/>
      <c r="J13" s="77"/>
      <c r="K13" s="82"/>
      <c r="L13" s="83"/>
    </row>
    <row r="14" spans="1:13" ht="18.75" customHeight="1" thickBot="1" x14ac:dyDescent="0.3">
      <c r="A14" s="245">
        <f t="shared" si="0"/>
        <v>13</v>
      </c>
      <c r="B14" s="74" t="s">
        <v>99</v>
      </c>
      <c r="C14" s="209" t="s">
        <v>3</v>
      </c>
      <c r="D14" s="257" t="s">
        <v>147</v>
      </c>
      <c r="E14" s="225" t="s">
        <v>88</v>
      </c>
      <c r="F14" s="246" t="s">
        <v>116</v>
      </c>
      <c r="G14" s="260"/>
      <c r="H14" s="231"/>
      <c r="I14" s="232">
        <v>46</v>
      </c>
      <c r="J14" s="75">
        <v>1.5</v>
      </c>
      <c r="K14" s="232">
        <f>I14*J14</f>
        <v>69</v>
      </c>
      <c r="L14" s="233">
        <v>2</v>
      </c>
    </row>
    <row r="15" spans="1:13" ht="18.75" customHeight="1" x14ac:dyDescent="0.25">
      <c r="A15" s="244">
        <f t="shared" si="0"/>
        <v>14</v>
      </c>
      <c r="B15" s="72" t="s">
        <v>100</v>
      </c>
      <c r="C15" s="210"/>
      <c r="D15" s="258" t="s">
        <v>148</v>
      </c>
      <c r="E15" s="226" t="s">
        <v>243</v>
      </c>
      <c r="F15" s="246" t="s">
        <v>165</v>
      </c>
      <c r="G15" s="218" t="s">
        <v>238</v>
      </c>
      <c r="H15" s="59" t="s">
        <v>239</v>
      </c>
      <c r="I15" s="62">
        <v>26</v>
      </c>
      <c r="J15" s="37">
        <v>1.5</v>
      </c>
      <c r="K15" s="232">
        <f>I15*J15</f>
        <v>39</v>
      </c>
      <c r="L15" s="68">
        <v>2</v>
      </c>
    </row>
    <row r="16" spans="1:13" s="52" customFormat="1" ht="18.75" customHeight="1" x14ac:dyDescent="0.25">
      <c r="A16" s="244">
        <f t="shared" si="0"/>
        <v>15</v>
      </c>
      <c r="B16" s="251" t="s">
        <v>101</v>
      </c>
      <c r="C16" s="210"/>
      <c r="D16" s="258" t="s">
        <v>149</v>
      </c>
      <c r="E16" s="226"/>
      <c r="F16" s="220"/>
      <c r="G16" s="218"/>
      <c r="H16" s="59"/>
      <c r="I16" s="63"/>
      <c r="J16" s="37"/>
      <c r="K16" s="62"/>
      <c r="L16" s="68"/>
      <c r="M16" s="51"/>
    </row>
    <row r="17" spans="1:13" s="52" customFormat="1" ht="18.75" customHeight="1" x14ac:dyDescent="0.25">
      <c r="A17" s="244">
        <f t="shared" si="0"/>
        <v>16</v>
      </c>
      <c r="B17" s="251" t="s">
        <v>101</v>
      </c>
      <c r="C17" s="210"/>
      <c r="D17" s="258" t="s">
        <v>150</v>
      </c>
      <c r="E17" s="226"/>
      <c r="F17" s="220"/>
      <c r="G17" s="218"/>
      <c r="H17" s="59"/>
      <c r="I17" s="63"/>
      <c r="J17" s="37"/>
      <c r="K17" s="62"/>
      <c r="L17" s="68"/>
      <c r="M17" s="51"/>
    </row>
    <row r="18" spans="1:13" ht="18.75" customHeight="1" x14ac:dyDescent="0.25">
      <c r="A18" s="244">
        <f t="shared" si="0"/>
        <v>17</v>
      </c>
      <c r="B18" s="251" t="s">
        <v>101</v>
      </c>
      <c r="C18" s="210"/>
      <c r="D18" s="258" t="s">
        <v>151</v>
      </c>
      <c r="E18" s="226"/>
      <c r="F18" s="222"/>
      <c r="G18" s="218"/>
      <c r="H18" s="59"/>
      <c r="I18" s="62"/>
      <c r="J18" s="37"/>
      <c r="K18" s="62"/>
      <c r="L18" s="70"/>
    </row>
    <row r="19" spans="1:13" ht="18.75" customHeight="1" x14ac:dyDescent="0.25">
      <c r="A19" s="241">
        <f t="shared" si="0"/>
        <v>18</v>
      </c>
      <c r="B19" s="72" t="s">
        <v>107</v>
      </c>
      <c r="C19" s="210" t="s">
        <v>2</v>
      </c>
      <c r="D19" s="258" t="s">
        <v>152</v>
      </c>
      <c r="E19" s="226" t="s">
        <v>131</v>
      </c>
      <c r="F19" s="221" t="s">
        <v>118</v>
      </c>
      <c r="G19" s="218"/>
      <c r="H19" s="59"/>
      <c r="I19" s="62">
        <v>40</v>
      </c>
      <c r="J19" s="37">
        <v>1.5</v>
      </c>
      <c r="K19" s="62">
        <f t="shared" ref="K19:K25" si="2">I19*J19</f>
        <v>60</v>
      </c>
      <c r="L19" s="70">
        <v>2</v>
      </c>
    </row>
    <row r="20" spans="1:13" s="52" customFormat="1" ht="18.75" customHeight="1" x14ac:dyDescent="0.25">
      <c r="A20" s="241">
        <f t="shared" si="0"/>
        <v>19</v>
      </c>
      <c r="B20" s="72" t="s">
        <v>106</v>
      </c>
      <c r="C20" s="210" t="s">
        <v>2</v>
      </c>
      <c r="D20" s="258" t="s">
        <v>153</v>
      </c>
      <c r="E20" s="226" t="s">
        <v>127</v>
      </c>
      <c r="F20" s="224" t="s">
        <v>119</v>
      </c>
      <c r="G20" s="218"/>
      <c r="H20" s="59"/>
      <c r="I20" s="62">
        <v>41</v>
      </c>
      <c r="J20" s="37">
        <v>1.5</v>
      </c>
      <c r="K20" s="62">
        <f t="shared" si="2"/>
        <v>61.5</v>
      </c>
      <c r="L20" s="70">
        <v>22</v>
      </c>
      <c r="M20" s="51"/>
    </row>
    <row r="21" spans="1:13" ht="18.75" customHeight="1" x14ac:dyDescent="0.25">
      <c r="A21" s="241">
        <f t="shared" si="0"/>
        <v>20</v>
      </c>
      <c r="B21" s="72" t="s">
        <v>105</v>
      </c>
      <c r="C21" s="210" t="s">
        <v>30</v>
      </c>
      <c r="D21" s="258" t="s">
        <v>154</v>
      </c>
      <c r="E21" s="226" t="s">
        <v>88</v>
      </c>
      <c r="F21" s="221" t="s">
        <v>120</v>
      </c>
      <c r="G21" s="218"/>
      <c r="H21" s="59"/>
      <c r="I21" s="62">
        <v>39</v>
      </c>
      <c r="J21" s="37">
        <v>1.5</v>
      </c>
      <c r="K21" s="62">
        <f t="shared" si="2"/>
        <v>58.5</v>
      </c>
      <c r="L21" s="68">
        <v>2</v>
      </c>
    </row>
    <row r="22" spans="1:13" s="52" customFormat="1" ht="18.75" customHeight="1" x14ac:dyDescent="0.25">
      <c r="A22" s="241">
        <f t="shared" si="0"/>
        <v>21</v>
      </c>
      <c r="B22" s="72" t="s">
        <v>117</v>
      </c>
      <c r="C22" s="210" t="s">
        <v>30</v>
      </c>
      <c r="D22" s="258" t="s">
        <v>155</v>
      </c>
      <c r="E22" s="226" t="s">
        <v>88</v>
      </c>
      <c r="F22" s="262" t="s">
        <v>121</v>
      </c>
      <c r="G22" s="218"/>
      <c r="H22" s="59"/>
      <c r="I22" s="63">
        <v>24</v>
      </c>
      <c r="J22" s="37">
        <v>1.5</v>
      </c>
      <c r="K22" s="62">
        <f t="shared" si="2"/>
        <v>36</v>
      </c>
      <c r="L22" s="68">
        <v>3</v>
      </c>
      <c r="M22" s="51"/>
    </row>
    <row r="23" spans="1:13" s="52" customFormat="1" ht="18.75" customHeight="1" x14ac:dyDescent="0.25">
      <c r="A23" s="240">
        <f t="shared" si="0"/>
        <v>22</v>
      </c>
      <c r="B23" s="72" t="s">
        <v>102</v>
      </c>
      <c r="C23" s="210" t="s">
        <v>3</v>
      </c>
      <c r="D23" s="258" t="s">
        <v>156</v>
      </c>
      <c r="E23" s="226" t="s">
        <v>132</v>
      </c>
      <c r="F23" s="224" t="s">
        <v>122</v>
      </c>
      <c r="G23" s="218"/>
      <c r="H23" s="59"/>
      <c r="I23" s="63">
        <v>35</v>
      </c>
      <c r="J23" s="37">
        <v>1.5</v>
      </c>
      <c r="K23" s="62">
        <f t="shared" si="2"/>
        <v>52.5</v>
      </c>
      <c r="L23" s="68">
        <v>1.7</v>
      </c>
      <c r="M23" s="51"/>
    </row>
    <row r="24" spans="1:13" s="52" customFormat="1" ht="18.75" customHeight="1" x14ac:dyDescent="0.25">
      <c r="A24" s="240">
        <f t="shared" si="0"/>
        <v>23</v>
      </c>
      <c r="B24" s="79" t="s">
        <v>103</v>
      </c>
      <c r="C24" s="211" t="s">
        <v>92</v>
      </c>
      <c r="D24" s="258" t="s">
        <v>157</v>
      </c>
      <c r="E24" s="227" t="s">
        <v>91</v>
      </c>
      <c r="F24" s="224" t="s">
        <v>123</v>
      </c>
      <c r="G24" s="229"/>
      <c r="H24" s="80"/>
      <c r="I24" s="81">
        <v>25</v>
      </c>
      <c r="J24" s="77">
        <v>1.5</v>
      </c>
      <c r="K24" s="82">
        <f t="shared" si="2"/>
        <v>37.5</v>
      </c>
      <c r="L24" s="83">
        <v>2</v>
      </c>
      <c r="M24" s="51"/>
    </row>
    <row r="25" spans="1:13" s="52" customFormat="1" ht="18.600000000000001" customHeight="1" thickBot="1" x14ac:dyDescent="0.3">
      <c r="A25" s="240">
        <f t="shared" si="0"/>
        <v>24</v>
      </c>
      <c r="B25" s="73" t="s">
        <v>104</v>
      </c>
      <c r="C25" s="212" t="s">
        <v>92</v>
      </c>
      <c r="D25" s="259" t="s">
        <v>158</v>
      </c>
      <c r="E25" s="228" t="s">
        <v>133</v>
      </c>
      <c r="F25" s="230" t="s">
        <v>124</v>
      </c>
      <c r="G25" s="261"/>
      <c r="H25" s="60"/>
      <c r="I25" s="64">
        <v>14</v>
      </c>
      <c r="J25" s="38">
        <v>1.5</v>
      </c>
      <c r="K25" s="66">
        <f t="shared" si="2"/>
        <v>21</v>
      </c>
      <c r="L25" s="71">
        <v>3</v>
      </c>
      <c r="M25" s="51"/>
    </row>
    <row r="26" spans="1:13" hidden="1" x14ac:dyDescent="0.25">
      <c r="E26" s="48"/>
      <c r="F26" s="51"/>
      <c r="G26" s="49"/>
      <c r="H26" s="49"/>
      <c r="I26" s="50"/>
      <c r="J26" s="53">
        <f>IF(M26&lt;0,0,#REF!)</f>
        <v>0</v>
      </c>
      <c r="K26" s="50">
        <f>I26*1.5/176*J26</f>
        <v>0</v>
      </c>
      <c r="L26" s="50"/>
      <c r="M26" s="54">
        <f>H26-G26-1</f>
        <v>-1</v>
      </c>
    </row>
    <row r="27" spans="1:13" hidden="1" x14ac:dyDescent="0.25">
      <c r="E27" s="48"/>
      <c r="F27" s="51"/>
      <c r="G27" s="49"/>
      <c r="H27" s="49"/>
      <c r="I27" s="50"/>
      <c r="J27" s="53">
        <f>IF(M27&lt;0,0,#REF!)</f>
        <v>0</v>
      </c>
      <c r="K27" s="50">
        <f>I27*1.5/176*J27</f>
        <v>0</v>
      </c>
      <c r="L27" s="50"/>
      <c r="M27" s="54">
        <f>H27-G27-1</f>
        <v>-1</v>
      </c>
    </row>
    <row r="28" spans="1:13" hidden="1" x14ac:dyDescent="0.25">
      <c r="E28" s="48"/>
      <c r="G28" s="49"/>
      <c r="H28" s="49"/>
      <c r="J28" s="53">
        <f>IF(M28&lt;0,0,#REF!)</f>
        <v>0</v>
      </c>
      <c r="K28" s="50">
        <f>I28*1.5/176*J28</f>
        <v>0</v>
      </c>
      <c r="M28" s="54">
        <f>H28-G28-1</f>
        <v>-1</v>
      </c>
    </row>
    <row r="30" spans="1:13" x14ac:dyDescent="0.25">
      <c r="H30" s="50"/>
    </row>
    <row r="31" spans="1:13" x14ac:dyDescent="0.25">
      <c r="E31" s="48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Y143"/>
  <sheetViews>
    <sheetView zoomScale="85" zoomScaleNormal="85" workbookViewId="0">
      <selection activeCell="A2" sqref="A2"/>
    </sheetView>
  </sheetViews>
  <sheetFormatPr defaultColWidth="9.28515625" defaultRowHeight="15.75" customHeight="1" x14ac:dyDescent="0.25"/>
  <cols>
    <col min="1" max="1" width="131.140625" style="27" customWidth="1"/>
    <col min="2" max="2" width="75.7109375" style="23" bestFit="1" customWidth="1"/>
    <col min="3" max="3" width="17.42578125" style="23" customWidth="1"/>
    <col min="4" max="4" width="10.28515625" style="23" customWidth="1"/>
    <col min="5" max="5" width="7.28515625" style="26" customWidth="1"/>
    <col min="6" max="6" width="3.28515625" style="23" customWidth="1"/>
    <col min="7" max="8" width="7" style="26" customWidth="1"/>
    <col min="9" max="10" width="21.85546875" style="23" customWidth="1"/>
    <col min="11" max="11" width="4.28515625" style="23" customWidth="1"/>
    <col min="12" max="12" width="6.42578125" style="23" customWidth="1"/>
    <col min="13" max="13" width="2.28515625" style="23" customWidth="1"/>
    <col min="14" max="14" width="15.7109375" style="23" customWidth="1"/>
    <col min="15" max="15" width="1.5703125" style="23" customWidth="1"/>
    <col min="16" max="16" width="40.28515625" style="23" customWidth="1"/>
    <col min="17" max="17" width="6.42578125" style="23" customWidth="1"/>
    <col min="18" max="18" width="7.28515625" style="23" customWidth="1"/>
    <col min="19" max="19" width="5" style="23" customWidth="1"/>
    <col min="20" max="20" width="4.28515625" style="23" customWidth="1"/>
    <col min="21" max="21" width="40" style="23" customWidth="1"/>
    <col min="22" max="23" width="9.28515625" style="23"/>
    <col min="24" max="24" width="24.85546875" style="23" customWidth="1"/>
    <col min="25" max="16384" width="9.28515625" style="23"/>
  </cols>
  <sheetData>
    <row r="1" spans="1:25" s="107" customFormat="1" ht="15.75" customHeight="1" thickBot="1" x14ac:dyDescent="0.3">
      <c r="A1" s="121" t="s">
        <v>244</v>
      </c>
      <c r="B1" s="105"/>
      <c r="C1" s="105"/>
      <c r="D1" s="105"/>
      <c r="E1" s="106"/>
      <c r="G1" s="108"/>
      <c r="H1" s="108"/>
    </row>
    <row r="2" spans="1:25" s="42" customFormat="1" ht="15.75" customHeight="1" thickBot="1" x14ac:dyDescent="0.3">
      <c r="A2" s="122" t="str">
        <f>IF(AND(E2&lt;&gt;0,G2&lt;&gt;0),CONCATENATE(B2," ",C2," ",D2," ",TEXT(E2,"ДД.ММ")," ",F2," ",F82," ",G2,H2,", ",I2,", ",J2," ",K2,L2," ",M2," ",N2,O2," ",P2," ",Q2," ",R2," ",S2," ",T2," ",U2,CHAR(10)),"")</f>
        <v/>
      </c>
      <c r="B2" s="115" t="s">
        <v>29</v>
      </c>
      <c r="C2" s="114" t="str">
        <f>Персонал!C2</f>
        <v>ЗУМ</v>
      </c>
      <c r="D2" s="115" t="s">
        <v>31</v>
      </c>
      <c r="E2" s="116">
        <f>Персонал!G2</f>
        <v>0</v>
      </c>
      <c r="F2" s="115" t="s">
        <v>32</v>
      </c>
      <c r="G2" s="116">
        <f>Персонал!H2</f>
        <v>0</v>
      </c>
      <c r="H2" s="116"/>
      <c r="I2" s="115" t="str">
        <f>Персонал!B2</f>
        <v>Петров Петр</v>
      </c>
      <c r="J2" s="115" t="str">
        <f>Персонал!D2</f>
        <v>8-888-111</v>
      </c>
      <c r="K2" s="115" t="s">
        <v>41</v>
      </c>
      <c r="L2" s="117">
        <f>Персонал!I2</f>
        <v>33</v>
      </c>
      <c r="M2" s="115" t="s">
        <v>42</v>
      </c>
      <c r="N2" s="115" t="str">
        <f>Персонал!E2</f>
        <v>Саратов</v>
      </c>
      <c r="O2" s="115" t="s">
        <v>34</v>
      </c>
      <c r="P2" s="115" t="s">
        <v>39</v>
      </c>
      <c r="Q2" s="117">
        <f>Персонал!K2</f>
        <v>49.5</v>
      </c>
      <c r="R2" s="115" t="s">
        <v>40</v>
      </c>
      <c r="S2" s="117">
        <f>Персонал!L2</f>
        <v>2</v>
      </c>
      <c r="T2" s="115" t="s">
        <v>38</v>
      </c>
      <c r="U2" s="115" t="s">
        <v>35</v>
      </c>
      <c r="V2" s="118"/>
      <c r="W2" s="118"/>
      <c r="X2" s="119" t="str">
        <f>Персонал!F2</f>
        <v>direktor-179</v>
      </c>
      <c r="Y2" s="43"/>
    </row>
    <row r="3" spans="1:25" s="44" customFormat="1" ht="15.75" customHeight="1" thickBot="1" x14ac:dyDescent="0.3">
      <c r="A3" s="122" t="str">
        <f>IF(AND(E3&lt;&gt;0,G3&lt;&gt;0),CONCATENATE(B3," ",C3," ",D3," ",TEXT(E3,"ДД.ММ")," ",F3," ",F83," ",G3,H3,", ",I3,", ",J3," ",K3,L3," ",M3," ",N3,O3," ",P3," ",Q3," ",R3," ",S3," ",T3," ",U3,CHAR(10)),"")</f>
        <v xml:space="preserve">Командировка ЗУМ с 16.02 по  09.02, Иванов Иван, 8-888-112 (ср.42 ), Самара, в ФОТ для бюджета на выезд (Ср.ЗП)*1,5 = 63 + ндфл 28 руб  (за месячную норму часов+переработки)
</v>
      </c>
      <c r="B3" s="109" t="s">
        <v>29</v>
      </c>
      <c r="C3" s="110" t="str">
        <f>Персонал!C3</f>
        <v>ЗУМ</v>
      </c>
      <c r="D3" s="109" t="s">
        <v>31</v>
      </c>
      <c r="E3" s="111" t="str">
        <f>Персонал!G3</f>
        <v>16.02</v>
      </c>
      <c r="F3" s="109" t="s">
        <v>32</v>
      </c>
      <c r="G3" s="111" t="str">
        <f>Персонал!H3</f>
        <v>09.02</v>
      </c>
      <c r="H3" s="111"/>
      <c r="I3" s="109" t="str">
        <f>Персонал!B3</f>
        <v>Иванов Иван</v>
      </c>
      <c r="J3" s="109" t="str">
        <f>Персонал!D3</f>
        <v>8-888-112</v>
      </c>
      <c r="K3" s="109" t="s">
        <v>41</v>
      </c>
      <c r="L3" s="112">
        <f>Персонал!I3</f>
        <v>42</v>
      </c>
      <c r="M3" s="109" t="s">
        <v>42</v>
      </c>
      <c r="N3" s="109" t="str">
        <f>Персонал!E3</f>
        <v>Самара</v>
      </c>
      <c r="O3" s="109" t="s">
        <v>34</v>
      </c>
      <c r="P3" s="109" t="s">
        <v>39</v>
      </c>
      <c r="Q3" s="112">
        <f>Персонал!K3</f>
        <v>63</v>
      </c>
      <c r="R3" s="109" t="s">
        <v>40</v>
      </c>
      <c r="S3" s="112">
        <f>Персонал!L3</f>
        <v>28</v>
      </c>
      <c r="T3" s="109" t="s">
        <v>38</v>
      </c>
      <c r="U3" s="109" t="s">
        <v>35</v>
      </c>
      <c r="V3" s="113"/>
      <c r="W3" s="113"/>
      <c r="X3" s="120" t="str">
        <f>Персонал!F3</f>
        <v>direktor-086</v>
      </c>
      <c r="Y3" s="45"/>
    </row>
    <row r="4" spans="1:25" s="42" customFormat="1" ht="15.75" customHeight="1" thickBot="1" x14ac:dyDescent="0.3">
      <c r="A4" s="122" t="str">
        <f t="shared" ref="A4:A18" si="0">IF(AND(E4&lt;&gt;0,G4&lt;&gt;0),CONCATENATE(B4," ",C4," ",D4," ",TEXT(E4,"ДД.ММ")," ",F4," ",F84," ",G4,H4,", ",I4,", ",J4," ",K4,L4," ",M4," ",N4,O4," ",P4," ",Q4," ",R4," ",S4," ",T4," ",U4,CHAR(10)),"")</f>
        <v/>
      </c>
      <c r="B4" s="109" t="s">
        <v>29</v>
      </c>
      <c r="C4" s="110" t="str">
        <f>Персонал!C4</f>
        <v>ПК</v>
      </c>
      <c r="D4" s="109" t="s">
        <v>31</v>
      </c>
      <c r="E4" s="111">
        <f>Персонал!G4</f>
        <v>0</v>
      </c>
      <c r="F4" s="109" t="s">
        <v>32</v>
      </c>
      <c r="G4" s="111">
        <f>Персонал!H4</f>
        <v>0</v>
      </c>
      <c r="H4" s="111"/>
      <c r="I4" s="109" t="str">
        <f>Персонал!B4</f>
        <v>Сидоров Сидр</v>
      </c>
      <c r="J4" s="109" t="str">
        <f>Персонал!D4</f>
        <v>8-888-113</v>
      </c>
      <c r="K4" s="109" t="s">
        <v>41</v>
      </c>
      <c r="L4" s="112">
        <f>Персонал!I4</f>
        <v>22</v>
      </c>
      <c r="M4" s="109" t="s">
        <v>42</v>
      </c>
      <c r="N4" s="109" t="str">
        <f>Персонал!E4</f>
        <v>Самара</v>
      </c>
      <c r="O4" s="109" t="s">
        <v>34</v>
      </c>
      <c r="P4" s="109" t="s">
        <v>39</v>
      </c>
      <c r="Q4" s="112">
        <f>Персонал!K4</f>
        <v>33</v>
      </c>
      <c r="R4" s="109" t="s">
        <v>40</v>
      </c>
      <c r="S4" s="112">
        <f>Персонал!L4</f>
        <v>3</v>
      </c>
      <c r="T4" s="109" t="s">
        <v>38</v>
      </c>
      <c r="U4" s="109" t="s">
        <v>35</v>
      </c>
      <c r="V4" s="113"/>
      <c r="W4" s="113"/>
      <c r="X4" s="120" t="str">
        <f>Персонал!F4</f>
        <v xml:space="preserve"> direktor-212</v>
      </c>
      <c r="Y4" s="43"/>
    </row>
    <row r="5" spans="1:25" s="42" customFormat="1" ht="15.75" customHeight="1" thickBot="1" x14ac:dyDescent="0.3">
      <c r="A5" s="122" t="str">
        <f t="shared" si="0"/>
        <v/>
      </c>
      <c r="B5" s="109" t="s">
        <v>29</v>
      </c>
      <c r="C5" s="110" t="str">
        <f>Персонал!C5</f>
        <v>ЗУМ</v>
      </c>
      <c r="D5" s="109" t="s">
        <v>31</v>
      </c>
      <c r="E5" s="111">
        <f>Персонал!G5</f>
        <v>0</v>
      </c>
      <c r="F5" s="109" t="s">
        <v>32</v>
      </c>
      <c r="G5" s="111">
        <f>Персонал!H5</f>
        <v>0</v>
      </c>
      <c r="H5" s="111"/>
      <c r="I5" s="109" t="str">
        <f>Персонал!B5</f>
        <v>Василий Алибабаевич</v>
      </c>
      <c r="J5" s="109" t="str">
        <f>Персонал!D5</f>
        <v>8-888-114</v>
      </c>
      <c r="K5" s="109" t="s">
        <v>41</v>
      </c>
      <c r="L5" s="112">
        <f>Персонал!I5</f>
        <v>32</v>
      </c>
      <c r="M5" s="109" t="s">
        <v>42</v>
      </c>
      <c r="N5" s="109" t="str">
        <f>Персонал!E5</f>
        <v>Пушкин</v>
      </c>
      <c r="O5" s="109" t="s">
        <v>34</v>
      </c>
      <c r="P5" s="109" t="s">
        <v>39</v>
      </c>
      <c r="Q5" s="112">
        <f>Персонал!K5</f>
        <v>48</v>
      </c>
      <c r="R5" s="109" t="s">
        <v>40</v>
      </c>
      <c r="S5" s="112">
        <f>Персонал!L5</f>
        <v>3</v>
      </c>
      <c r="T5" s="109" t="s">
        <v>38</v>
      </c>
      <c r="U5" s="109" t="s">
        <v>35</v>
      </c>
      <c r="V5" s="113"/>
      <c r="W5" s="113"/>
      <c r="X5" s="120" t="str">
        <f>Персонал!F5</f>
        <v xml:space="preserve"> direktor-213</v>
      </c>
      <c r="Y5" s="43"/>
    </row>
    <row r="6" spans="1:25" s="42" customFormat="1" ht="15.75" customHeight="1" thickBot="1" x14ac:dyDescent="0.3">
      <c r="A6" s="122" t="str">
        <f t="shared" si="0"/>
        <v/>
      </c>
      <c r="B6" s="109" t="s">
        <v>29</v>
      </c>
      <c r="C6" s="110" t="str">
        <f>Персонал!C6</f>
        <v>БОСС</v>
      </c>
      <c r="D6" s="109" t="s">
        <v>31</v>
      </c>
      <c r="E6" s="111">
        <f>Персонал!G6</f>
        <v>0</v>
      </c>
      <c r="F6" s="109" t="s">
        <v>32</v>
      </c>
      <c r="G6" s="111">
        <f>Персонал!H6</f>
        <v>0</v>
      </c>
      <c r="H6" s="111"/>
      <c r="I6" s="109" t="str">
        <f>Персонал!B6</f>
        <v>Доцент</v>
      </c>
      <c r="J6" s="109" t="str">
        <f>Персонал!D6</f>
        <v>8-888-115</v>
      </c>
      <c r="K6" s="109" t="s">
        <v>41</v>
      </c>
      <c r="L6" s="112">
        <f>Персонал!I6</f>
        <v>322</v>
      </c>
      <c r="M6" s="109" t="s">
        <v>42</v>
      </c>
      <c r="N6" s="109" t="str">
        <f>Персонал!E6</f>
        <v>Пушкино</v>
      </c>
      <c r="O6" s="109" t="s">
        <v>34</v>
      </c>
      <c r="P6" s="109" t="s">
        <v>39</v>
      </c>
      <c r="Q6" s="112">
        <f>Персонал!K6</f>
        <v>483</v>
      </c>
      <c r="R6" s="109" t="s">
        <v>40</v>
      </c>
      <c r="S6" s="112">
        <f>Персонал!L6</f>
        <v>22</v>
      </c>
      <c r="T6" s="109" t="s">
        <v>38</v>
      </c>
      <c r="U6" s="109" t="s">
        <v>35</v>
      </c>
      <c r="V6" s="113"/>
      <c r="W6" s="113"/>
      <c r="X6" s="120" t="str">
        <f>Персонал!F6</f>
        <v xml:space="preserve"> direktor-214</v>
      </c>
      <c r="Y6" s="43"/>
    </row>
    <row r="7" spans="1:25" s="44" customFormat="1" ht="15.75" customHeight="1" thickBot="1" x14ac:dyDescent="0.3">
      <c r="A7" s="122" t="str">
        <f t="shared" si="0"/>
        <v/>
      </c>
      <c r="B7" s="109" t="s">
        <v>29</v>
      </c>
      <c r="C7" s="110" t="str">
        <f>Персонал!C7</f>
        <v>ЗУМ</v>
      </c>
      <c r="D7" s="109" t="s">
        <v>31</v>
      </c>
      <c r="E7" s="111">
        <f>Персонал!G7</f>
        <v>0</v>
      </c>
      <c r="F7" s="109" t="s">
        <v>32</v>
      </c>
      <c r="G7" s="111">
        <f>Персонал!H7</f>
        <v>0</v>
      </c>
      <c r="H7" s="111"/>
      <c r="I7" s="109" t="str">
        <f>Персонал!B7</f>
        <v>Котов Кот</v>
      </c>
      <c r="J7" s="109" t="str">
        <f>Персонал!D7</f>
        <v>8-888-116</v>
      </c>
      <c r="K7" s="109" t="s">
        <v>41</v>
      </c>
      <c r="L7" s="112">
        <f>Персонал!I7</f>
        <v>45</v>
      </c>
      <c r="M7" s="109" t="s">
        <v>42</v>
      </c>
      <c r="N7" s="109" t="str">
        <f>Персонал!E7</f>
        <v>Екатеринбург</v>
      </c>
      <c r="O7" s="109" t="s">
        <v>34</v>
      </c>
      <c r="P7" s="109" t="s">
        <v>39</v>
      </c>
      <c r="Q7" s="112">
        <f>Персонал!K7</f>
        <v>67.5</v>
      </c>
      <c r="R7" s="109" t="s">
        <v>40</v>
      </c>
      <c r="S7" s="112">
        <f>Персонал!L7</f>
        <v>27</v>
      </c>
      <c r="T7" s="109" t="s">
        <v>38</v>
      </c>
      <c r="U7" s="109" t="s">
        <v>35</v>
      </c>
      <c r="V7" s="113"/>
      <c r="W7" s="113"/>
      <c r="X7" s="120" t="str">
        <f>Персонал!F7</f>
        <v>direktor-008</v>
      </c>
      <c r="Y7" s="45"/>
    </row>
    <row r="8" spans="1:25" s="42" customFormat="1" ht="15.75" customHeight="1" thickBot="1" x14ac:dyDescent="0.3">
      <c r="A8" s="122" t="str">
        <f t="shared" si="0"/>
        <v/>
      </c>
      <c r="B8" s="109" t="s">
        <v>29</v>
      </c>
      <c r="C8" s="110" t="str">
        <f>Персонал!C8</f>
        <v>ПК</v>
      </c>
      <c r="D8" s="109" t="s">
        <v>31</v>
      </c>
      <c r="E8" s="111">
        <f>Персонал!G8</f>
        <v>0</v>
      </c>
      <c r="F8" s="109" t="s">
        <v>32</v>
      </c>
      <c r="G8" s="111">
        <f>Персонал!H8</f>
        <v>0</v>
      </c>
      <c r="H8" s="111"/>
      <c r="I8" s="109" t="str">
        <f>Персонал!B8</f>
        <v>Смиронов Смирн</v>
      </c>
      <c r="J8" s="109" t="str">
        <f>Персонал!D8</f>
        <v>8-888-117</v>
      </c>
      <c r="K8" s="109" t="s">
        <v>41</v>
      </c>
      <c r="L8" s="112">
        <f>Персонал!I8</f>
        <v>30</v>
      </c>
      <c r="M8" s="109" t="s">
        <v>42</v>
      </c>
      <c r="N8" s="109" t="str">
        <f>Персонал!E8</f>
        <v>Челябинск</v>
      </c>
      <c r="O8" s="109" t="s">
        <v>34</v>
      </c>
      <c r="P8" s="109" t="s">
        <v>39</v>
      </c>
      <c r="Q8" s="112">
        <f>Персонал!K8</f>
        <v>45</v>
      </c>
      <c r="R8" s="109" t="s">
        <v>40</v>
      </c>
      <c r="S8" s="112">
        <f>Персонал!L8</f>
        <v>15</v>
      </c>
      <c r="T8" s="109" t="s">
        <v>38</v>
      </c>
      <c r="U8" s="109" t="s">
        <v>35</v>
      </c>
      <c r="V8" s="113"/>
      <c r="W8" s="113"/>
      <c r="X8" s="120" t="str">
        <f>Персонал!F8</f>
        <v>direktor-016</v>
      </c>
      <c r="Y8" s="43"/>
    </row>
    <row r="9" spans="1:25" s="44" customFormat="1" ht="15.75" customHeight="1" thickBot="1" x14ac:dyDescent="0.3">
      <c r="A9" s="122" t="str">
        <f t="shared" si="0"/>
        <v/>
      </c>
      <c r="B9" s="109" t="s">
        <v>29</v>
      </c>
      <c r="C9" s="110">
        <f>Персонал!C9</f>
        <v>0</v>
      </c>
      <c r="D9" s="109" t="s">
        <v>31</v>
      </c>
      <c r="E9" s="111">
        <f>Персонал!G9</f>
        <v>0</v>
      </c>
      <c r="F9" s="109" t="s">
        <v>32</v>
      </c>
      <c r="G9" s="111">
        <f>Персонал!H9</f>
        <v>0</v>
      </c>
      <c r="H9" s="111"/>
      <c r="I9" s="109" t="str">
        <f>Персонал!B9</f>
        <v>ВАКАНТ</v>
      </c>
      <c r="J9" s="109" t="str">
        <f>Персонал!D9</f>
        <v>8-888-118</v>
      </c>
      <c r="K9" s="109" t="s">
        <v>41</v>
      </c>
      <c r="L9" s="112">
        <f>Персонал!I9</f>
        <v>0</v>
      </c>
      <c r="M9" s="109" t="s">
        <v>42</v>
      </c>
      <c r="N9" s="109">
        <f>Персонал!E9</f>
        <v>0</v>
      </c>
      <c r="O9" s="109" t="s">
        <v>34</v>
      </c>
      <c r="P9" s="109" t="s">
        <v>39</v>
      </c>
      <c r="Q9" s="112">
        <f>Персонал!K9</f>
        <v>0</v>
      </c>
      <c r="R9" s="109" t="s">
        <v>40</v>
      </c>
      <c r="S9" s="112">
        <f>Персонал!L9</f>
        <v>0</v>
      </c>
      <c r="T9" s="109" t="s">
        <v>38</v>
      </c>
      <c r="U9" s="109" t="s">
        <v>35</v>
      </c>
      <c r="V9" s="113"/>
      <c r="W9" s="113"/>
      <c r="X9" s="120">
        <f>Персонал!F9</f>
        <v>0</v>
      </c>
      <c r="Y9" s="45"/>
    </row>
    <row r="10" spans="1:25" s="44" customFormat="1" ht="15.75" customHeight="1" thickBot="1" x14ac:dyDescent="0.3">
      <c r="A10" s="122" t="str">
        <f t="shared" si="0"/>
        <v/>
      </c>
      <c r="B10" s="109" t="s">
        <v>29</v>
      </c>
      <c r="C10" s="110">
        <f>Персонал!C10</f>
        <v>0</v>
      </c>
      <c r="D10" s="109" t="s">
        <v>31</v>
      </c>
      <c r="E10" s="111">
        <f>Персонал!G10</f>
        <v>0</v>
      </c>
      <c r="F10" s="109" t="s">
        <v>32</v>
      </c>
      <c r="G10" s="111">
        <f>Персонал!H10</f>
        <v>0</v>
      </c>
      <c r="H10" s="111"/>
      <c r="I10" s="109" t="str">
        <f>Персонал!B10</f>
        <v>ВАКАНТ</v>
      </c>
      <c r="J10" s="109" t="str">
        <f>Персонал!D10</f>
        <v>8-888-119</v>
      </c>
      <c r="K10" s="109" t="s">
        <v>41</v>
      </c>
      <c r="L10" s="112">
        <f>Персонал!I10</f>
        <v>0</v>
      </c>
      <c r="M10" s="109" t="s">
        <v>42</v>
      </c>
      <c r="N10" s="109">
        <f>Персонал!E10</f>
        <v>0</v>
      </c>
      <c r="O10" s="109" t="s">
        <v>34</v>
      </c>
      <c r="P10" s="109" t="s">
        <v>39</v>
      </c>
      <c r="Q10" s="112">
        <f>Персонал!K10</f>
        <v>0</v>
      </c>
      <c r="R10" s="109" t="s">
        <v>40</v>
      </c>
      <c r="S10" s="112">
        <f>Персонал!L10</f>
        <v>0</v>
      </c>
      <c r="T10" s="109" t="s">
        <v>38</v>
      </c>
      <c r="U10" s="109" t="s">
        <v>35</v>
      </c>
      <c r="V10" s="113"/>
      <c r="W10" s="113"/>
      <c r="X10" s="120">
        <f>Персонал!F10</f>
        <v>0</v>
      </c>
      <c r="Y10" s="45"/>
    </row>
    <row r="11" spans="1:25" s="44" customFormat="1" ht="15.75" customHeight="1" thickBot="1" x14ac:dyDescent="0.3">
      <c r="A11" s="122" t="str">
        <f t="shared" si="0"/>
        <v/>
      </c>
      <c r="B11" s="109" t="s">
        <v>29</v>
      </c>
      <c r="C11" s="110" t="str">
        <f>Персонал!C11</f>
        <v>ПК</v>
      </c>
      <c r="D11" s="109" t="s">
        <v>31</v>
      </c>
      <c r="E11" s="111">
        <f>Персонал!G11</f>
        <v>0</v>
      </c>
      <c r="F11" s="109" t="s">
        <v>32</v>
      </c>
      <c r="G11" s="111">
        <f>Персонал!H11</f>
        <v>0</v>
      </c>
      <c r="H11" s="111"/>
      <c r="I11" s="109" t="str">
        <f>Персонал!B11</f>
        <v>Вика</v>
      </c>
      <c r="J11" s="109" t="str">
        <f>Персонал!D11</f>
        <v>8-888-120</v>
      </c>
      <c r="K11" s="109" t="s">
        <v>41</v>
      </c>
      <c r="L11" s="112">
        <f>Персонал!I11</f>
        <v>43</v>
      </c>
      <c r="M11" s="109" t="s">
        <v>42</v>
      </c>
      <c r="N11" s="109" t="str">
        <f>Персонал!E11</f>
        <v>Новосибирск</v>
      </c>
      <c r="O11" s="109" t="s">
        <v>34</v>
      </c>
      <c r="P11" s="109" t="s">
        <v>39</v>
      </c>
      <c r="Q11" s="112">
        <f>Персонал!K11</f>
        <v>64.5</v>
      </c>
      <c r="R11" s="109" t="s">
        <v>40</v>
      </c>
      <c r="S11" s="112">
        <f>Персонал!L11</f>
        <v>21</v>
      </c>
      <c r="T11" s="109" t="s">
        <v>38</v>
      </c>
      <c r="U11" s="109" t="s">
        <v>35</v>
      </c>
      <c r="V11" s="113"/>
      <c r="W11" s="113"/>
      <c r="X11" s="120" t="str">
        <f>Персонал!F11</f>
        <v>direktor-184@</v>
      </c>
      <c r="Y11" s="45"/>
    </row>
    <row r="12" spans="1:25" s="42" customFormat="1" ht="15.75" customHeight="1" thickBot="1" x14ac:dyDescent="0.3">
      <c r="A12" s="122" t="str">
        <f t="shared" si="0"/>
        <v/>
      </c>
      <c r="B12" s="109" t="s">
        <v>29</v>
      </c>
      <c r="C12" s="110" t="str">
        <f>Персонал!C12</f>
        <v>ЗУМ</v>
      </c>
      <c r="D12" s="109" t="s">
        <v>31</v>
      </c>
      <c r="E12" s="111">
        <f>Персонал!G12</f>
        <v>0</v>
      </c>
      <c r="F12" s="109" t="s">
        <v>32</v>
      </c>
      <c r="G12" s="111">
        <f>Персонал!H12</f>
        <v>0</v>
      </c>
      <c r="H12" s="111"/>
      <c r="I12" s="109" t="str">
        <f>Персонал!B12</f>
        <v>Светлогор</v>
      </c>
      <c r="J12" s="109" t="str">
        <f>Персонал!D12</f>
        <v>8-888-121</v>
      </c>
      <c r="K12" s="109" t="s">
        <v>41</v>
      </c>
      <c r="L12" s="112">
        <f>Персонал!I12</f>
        <v>55</v>
      </c>
      <c r="M12" s="109" t="s">
        <v>42</v>
      </c>
      <c r="N12" s="109" t="str">
        <f>Персонал!E12</f>
        <v>Новокузнецк</v>
      </c>
      <c r="O12" s="109" t="s">
        <v>34</v>
      </c>
      <c r="P12" s="109" t="s">
        <v>39</v>
      </c>
      <c r="Q12" s="112">
        <f>Персонал!K12</f>
        <v>82.5</v>
      </c>
      <c r="R12" s="109" t="s">
        <v>40</v>
      </c>
      <c r="S12" s="112">
        <f>Персонал!L12</f>
        <v>2</v>
      </c>
      <c r="T12" s="109" t="s">
        <v>38</v>
      </c>
      <c r="U12" s="109" t="s">
        <v>35</v>
      </c>
      <c r="V12" s="113"/>
      <c r="W12" s="113"/>
      <c r="X12" s="120" t="str">
        <f>Персонал!F12</f>
        <v>direktor-180@</v>
      </c>
      <c r="Y12" s="43"/>
    </row>
    <row r="13" spans="1:25" ht="15.75" customHeight="1" thickBot="1" x14ac:dyDescent="0.3">
      <c r="A13" s="122" t="str">
        <f t="shared" si="0"/>
        <v/>
      </c>
      <c r="B13" s="109" t="s">
        <v>29</v>
      </c>
      <c r="C13" s="110">
        <f>Персонал!C13</f>
        <v>0</v>
      </c>
      <c r="D13" s="109" t="s">
        <v>31</v>
      </c>
      <c r="E13" s="111">
        <f>Персонал!G13</f>
        <v>0</v>
      </c>
      <c r="F13" s="109" t="s">
        <v>32</v>
      </c>
      <c r="G13" s="111">
        <f>Персонал!H13</f>
        <v>0</v>
      </c>
      <c r="H13" s="111"/>
      <c r="I13" s="109" t="str">
        <f>Персонал!B13</f>
        <v>ВАКАНТ</v>
      </c>
      <c r="J13" s="109" t="str">
        <f>Персонал!D13</f>
        <v>8-888-122</v>
      </c>
      <c r="K13" s="109" t="s">
        <v>41</v>
      </c>
      <c r="L13" s="112">
        <f>Персонал!I13</f>
        <v>0</v>
      </c>
      <c r="M13" s="109" t="s">
        <v>42</v>
      </c>
      <c r="N13" s="109">
        <f>Персонал!E13</f>
        <v>0</v>
      </c>
      <c r="O13" s="109" t="s">
        <v>34</v>
      </c>
      <c r="P13" s="109" t="s">
        <v>39</v>
      </c>
      <c r="Q13" s="112">
        <f>Персонал!K13</f>
        <v>0</v>
      </c>
      <c r="R13" s="109" t="s">
        <v>40</v>
      </c>
      <c r="S13" s="112">
        <f>Персонал!L13</f>
        <v>0</v>
      </c>
      <c r="T13" s="109" t="s">
        <v>38</v>
      </c>
      <c r="U13" s="109" t="s">
        <v>35</v>
      </c>
      <c r="V13" s="113"/>
      <c r="W13" s="113"/>
      <c r="X13" s="120">
        <f>Персонал!F13</f>
        <v>0</v>
      </c>
      <c r="Y13" s="31"/>
    </row>
    <row r="14" spans="1:25" s="42" customFormat="1" ht="15.75" customHeight="1" thickBot="1" x14ac:dyDescent="0.3">
      <c r="A14" s="122" t="str">
        <f t="shared" si="0"/>
        <v/>
      </c>
      <c r="B14" s="109" t="s">
        <v>29</v>
      </c>
      <c r="C14" s="110" t="str">
        <f>Персонал!C14</f>
        <v>Кладовщик</v>
      </c>
      <c r="D14" s="109" t="s">
        <v>31</v>
      </c>
      <c r="E14" s="111">
        <f>Персонал!G14</f>
        <v>0</v>
      </c>
      <c r="F14" s="109" t="s">
        <v>32</v>
      </c>
      <c r="G14" s="111">
        <f>Персонал!H14</f>
        <v>0</v>
      </c>
      <c r="H14" s="111"/>
      <c r="I14" s="109" t="str">
        <f>Персонал!B14</f>
        <v>Грачев Грач</v>
      </c>
      <c r="J14" s="109" t="str">
        <f>Персонал!D14</f>
        <v>8-888-123</v>
      </c>
      <c r="K14" s="109" t="s">
        <v>41</v>
      </c>
      <c r="L14" s="112">
        <f>Персонал!I14</f>
        <v>46</v>
      </c>
      <c r="M14" s="109" t="s">
        <v>42</v>
      </c>
      <c r="N14" s="109" t="str">
        <f>Персонал!E14</f>
        <v>Москва</v>
      </c>
      <c r="O14" s="109" t="s">
        <v>34</v>
      </c>
      <c r="P14" s="109" t="s">
        <v>39</v>
      </c>
      <c r="Q14" s="112">
        <f>Персонал!K14</f>
        <v>69</v>
      </c>
      <c r="R14" s="109" t="s">
        <v>40</v>
      </c>
      <c r="S14" s="112">
        <f>Персонал!L14</f>
        <v>2</v>
      </c>
      <c r="T14" s="109" t="s">
        <v>38</v>
      </c>
      <c r="U14" s="109" t="s">
        <v>35</v>
      </c>
      <c r="V14" s="113"/>
      <c r="W14" s="113"/>
      <c r="X14" s="120" t="str">
        <f>Персонал!F14</f>
        <v>direktor-136</v>
      </c>
      <c r="Y14" s="43"/>
    </row>
    <row r="15" spans="1:25" s="42" customFormat="1" ht="15.75" customHeight="1" thickBot="1" x14ac:dyDescent="0.3">
      <c r="A15" s="122" t="str">
        <f t="shared" si="0"/>
        <v xml:space="preserve">Командировка 0 с 16.01 по  09.02, Карпов Карп, 8-888-124 (ср.26 ), Питер, в ФОТ для бюджета на выезд (Ср.ЗП)*1,5 = 39 + ндфл 2 руб  (за месячную норму часов+переработки)
</v>
      </c>
      <c r="B15" s="109" t="s">
        <v>29</v>
      </c>
      <c r="C15" s="110">
        <f>Персонал!C15</f>
        <v>0</v>
      </c>
      <c r="D15" s="109" t="s">
        <v>31</v>
      </c>
      <c r="E15" s="111" t="str">
        <f>Персонал!G15</f>
        <v>16.01</v>
      </c>
      <c r="F15" s="109" t="s">
        <v>32</v>
      </c>
      <c r="G15" s="111" t="str">
        <f>Персонал!H15</f>
        <v>09.02</v>
      </c>
      <c r="H15" s="111"/>
      <c r="I15" s="109" t="str">
        <f>Персонал!B15</f>
        <v>Карпов Карп</v>
      </c>
      <c r="J15" s="109" t="str">
        <f>Персонал!D15</f>
        <v>8-888-124</v>
      </c>
      <c r="K15" s="109" t="s">
        <v>41</v>
      </c>
      <c r="L15" s="112">
        <f>Персонал!I15</f>
        <v>26</v>
      </c>
      <c r="M15" s="109" t="s">
        <v>42</v>
      </c>
      <c r="N15" s="109" t="str">
        <f>Персонал!E15</f>
        <v>Питер</v>
      </c>
      <c r="O15" s="109" t="s">
        <v>34</v>
      </c>
      <c r="P15" s="109" t="s">
        <v>39</v>
      </c>
      <c r="Q15" s="112">
        <f>Персонал!K15</f>
        <v>39</v>
      </c>
      <c r="R15" s="109" t="s">
        <v>40</v>
      </c>
      <c r="S15" s="112">
        <f>Персонал!L15</f>
        <v>2</v>
      </c>
      <c r="T15" s="109" t="s">
        <v>38</v>
      </c>
      <c r="U15" s="109" t="s">
        <v>35</v>
      </c>
      <c r="V15" s="113"/>
      <c r="W15" s="113"/>
      <c r="X15" s="120" t="str">
        <f>Персонал!F15</f>
        <v>direktor-137</v>
      </c>
      <c r="Y15" s="43"/>
    </row>
    <row r="16" spans="1:25" ht="15.75" customHeight="1" thickBot="1" x14ac:dyDescent="0.3">
      <c r="A16" s="122" t="str">
        <f t="shared" si="0"/>
        <v/>
      </c>
      <c r="B16" s="109" t="s">
        <v>29</v>
      </c>
      <c r="C16" s="110">
        <f>Персонал!C16</f>
        <v>0</v>
      </c>
      <c r="D16" s="109" t="s">
        <v>31</v>
      </c>
      <c r="E16" s="111">
        <f>Персонал!G16</f>
        <v>0</v>
      </c>
      <c r="F16" s="109" t="s">
        <v>32</v>
      </c>
      <c r="G16" s="111">
        <f>Персонал!H16</f>
        <v>0</v>
      </c>
      <c r="H16" s="111"/>
      <c r="I16" s="109" t="str">
        <f>Персонал!B16</f>
        <v>ВАКАНТ</v>
      </c>
      <c r="J16" s="109" t="str">
        <f>Персонал!D16</f>
        <v>8-888-125</v>
      </c>
      <c r="K16" s="109" t="s">
        <v>41</v>
      </c>
      <c r="L16" s="112">
        <f>Персонал!I16</f>
        <v>0</v>
      </c>
      <c r="M16" s="109" t="s">
        <v>42</v>
      </c>
      <c r="N16" s="109">
        <f>Персонал!E16</f>
        <v>0</v>
      </c>
      <c r="O16" s="109" t="s">
        <v>34</v>
      </c>
      <c r="P16" s="109" t="s">
        <v>39</v>
      </c>
      <c r="Q16" s="112">
        <f>Персонал!K16</f>
        <v>0</v>
      </c>
      <c r="R16" s="109" t="s">
        <v>40</v>
      </c>
      <c r="S16" s="112">
        <f>Персонал!L16</f>
        <v>0</v>
      </c>
      <c r="T16" s="109" t="s">
        <v>38</v>
      </c>
      <c r="U16" s="109" t="s">
        <v>35</v>
      </c>
      <c r="V16" s="113"/>
      <c r="W16" s="113"/>
      <c r="X16" s="120">
        <f>Персонал!F16</f>
        <v>0</v>
      </c>
      <c r="Y16" s="31"/>
    </row>
    <row r="17" spans="1:25" ht="15.75" customHeight="1" thickBot="1" x14ac:dyDescent="0.3">
      <c r="A17" s="122" t="str">
        <f t="shared" si="0"/>
        <v/>
      </c>
      <c r="B17" s="109" t="s">
        <v>29</v>
      </c>
      <c r="C17" s="110">
        <f>Персонал!C17</f>
        <v>0</v>
      </c>
      <c r="D17" s="109" t="s">
        <v>31</v>
      </c>
      <c r="E17" s="111">
        <f>Персонал!G17</f>
        <v>0</v>
      </c>
      <c r="F17" s="109" t="s">
        <v>32</v>
      </c>
      <c r="G17" s="111">
        <f>Персонал!H17</f>
        <v>0</v>
      </c>
      <c r="H17" s="111"/>
      <c r="I17" s="109" t="str">
        <f>Персонал!B17</f>
        <v>ВАКАНТ</v>
      </c>
      <c r="J17" s="109" t="str">
        <f>Персонал!D17</f>
        <v>8-888-126</v>
      </c>
      <c r="K17" s="109" t="s">
        <v>41</v>
      </c>
      <c r="L17" s="112">
        <f>Персонал!I17</f>
        <v>0</v>
      </c>
      <c r="M17" s="109" t="s">
        <v>42</v>
      </c>
      <c r="N17" s="109">
        <f>Персонал!E17</f>
        <v>0</v>
      </c>
      <c r="O17" s="109" t="s">
        <v>34</v>
      </c>
      <c r="P17" s="109" t="s">
        <v>39</v>
      </c>
      <c r="Q17" s="112">
        <f>Персонал!K17</f>
        <v>0</v>
      </c>
      <c r="R17" s="109" t="s">
        <v>40</v>
      </c>
      <c r="S17" s="112">
        <f>Персонал!L17</f>
        <v>0</v>
      </c>
      <c r="T17" s="109" t="s">
        <v>38</v>
      </c>
      <c r="U17" s="109" t="s">
        <v>35</v>
      </c>
      <c r="V17" s="113"/>
      <c r="W17" s="113"/>
      <c r="X17" s="120">
        <f>Персонал!F17</f>
        <v>0</v>
      </c>
      <c r="Y17" s="31"/>
    </row>
    <row r="18" spans="1:25" ht="15.75" customHeight="1" thickBot="1" x14ac:dyDescent="0.3">
      <c r="A18" s="122" t="str">
        <f t="shared" si="0"/>
        <v/>
      </c>
      <c r="B18" s="109" t="s">
        <v>29</v>
      </c>
      <c r="C18" s="110">
        <f>Персонал!C18</f>
        <v>0</v>
      </c>
      <c r="D18" s="109" t="s">
        <v>31</v>
      </c>
      <c r="E18" s="111">
        <f>Персонал!G18</f>
        <v>0</v>
      </c>
      <c r="F18" s="109" t="s">
        <v>32</v>
      </c>
      <c r="G18" s="111">
        <f>Персонал!H18</f>
        <v>0</v>
      </c>
      <c r="H18" s="111"/>
      <c r="I18" s="109" t="str">
        <f>Персонал!B18</f>
        <v>ВАКАНТ</v>
      </c>
      <c r="J18" s="109" t="str">
        <f>Персонал!D18</f>
        <v>8-888-127</v>
      </c>
      <c r="K18" s="109" t="s">
        <v>41</v>
      </c>
      <c r="L18" s="112">
        <f>Персонал!I18</f>
        <v>0</v>
      </c>
      <c r="M18" s="109" t="s">
        <v>42</v>
      </c>
      <c r="N18" s="109">
        <f>Персонал!E18</f>
        <v>0</v>
      </c>
      <c r="O18" s="109" t="s">
        <v>34</v>
      </c>
      <c r="P18" s="109" t="s">
        <v>39</v>
      </c>
      <c r="Q18" s="112">
        <f>Персонал!K18</f>
        <v>0</v>
      </c>
      <c r="R18" s="109" t="s">
        <v>40</v>
      </c>
      <c r="S18" s="112">
        <f>Персонал!L18</f>
        <v>0</v>
      </c>
      <c r="T18" s="109" t="s">
        <v>38</v>
      </c>
      <c r="U18" s="109" t="s">
        <v>35</v>
      </c>
      <c r="V18" s="113"/>
      <c r="W18" s="113"/>
      <c r="X18" s="120">
        <f>Персонал!F18</f>
        <v>0</v>
      </c>
      <c r="Y18" s="31"/>
    </row>
    <row r="19" spans="1:25" ht="15.75" customHeight="1" thickBot="1" x14ac:dyDescent="0.3">
      <c r="A19" s="122" t="str">
        <f>IF(AND(E19&lt;&gt;0,G19&lt;&gt;0),CONCATENATE(B19," ",C19," ",D19," ",TEXT(E19,"ДД.ММ")," ",F19," ",F99," ",G19,H19,", ",I19,", ",J19," ",K19,L19," ",M19," ",N19,O19," ",P19," ",Q19," ",R19," ",S19," ",T19," ",U19,CHAR(10)),"")</f>
        <v/>
      </c>
      <c r="B19" s="109" t="s">
        <v>29</v>
      </c>
      <c r="C19" s="110" t="str">
        <f>Персонал!C19</f>
        <v>Ст. кладовщик</v>
      </c>
      <c r="D19" s="109" t="s">
        <v>31</v>
      </c>
      <c r="E19" s="111">
        <f>Персонал!G19</f>
        <v>0</v>
      </c>
      <c r="F19" s="109" t="s">
        <v>32</v>
      </c>
      <c r="G19" s="111">
        <f>Персонал!H19</f>
        <v>0</v>
      </c>
      <c r="H19" s="111"/>
      <c r="I19" s="109" t="str">
        <f>Персонал!B19</f>
        <v>Митя</v>
      </c>
      <c r="J19" s="109" t="str">
        <f>Персонал!D19</f>
        <v>8-888-128</v>
      </c>
      <c r="K19" s="109" t="s">
        <v>41</v>
      </c>
      <c r="L19" s="112">
        <f>Персонал!I19</f>
        <v>40</v>
      </c>
      <c r="M19" s="109" t="s">
        <v>42</v>
      </c>
      <c r="N19" s="109" t="str">
        <f>Персонал!E19</f>
        <v>С.-Петербург</v>
      </c>
      <c r="O19" s="109" t="s">
        <v>34</v>
      </c>
      <c r="P19" s="109" t="s">
        <v>39</v>
      </c>
      <c r="Q19" s="112">
        <f>Персонал!K19</f>
        <v>60</v>
      </c>
      <c r="R19" s="109" t="s">
        <v>40</v>
      </c>
      <c r="S19" s="112">
        <f>Персонал!L19</f>
        <v>2</v>
      </c>
      <c r="T19" s="109" t="s">
        <v>38</v>
      </c>
      <c r="U19" s="109" t="s">
        <v>35</v>
      </c>
      <c r="V19" s="113"/>
      <c r="W19" s="113"/>
      <c r="X19" s="120" t="str">
        <f>Персонал!F19</f>
        <v xml:space="preserve">direktor-008 </v>
      </c>
    </row>
    <row r="20" spans="1:25" ht="15.75" customHeight="1" thickBot="1" x14ac:dyDescent="0.3">
      <c r="A20" s="122" t="str">
        <f>IF(AND(E20&lt;&gt;0,G20&lt;&gt;0),CONCATENATE(B20," ",C20," ",D20," ",TEXT(E20,"ДД.ММ")," ",F20," ",F100," ",G20,H20,", ",I20,", ",J20," ",K20,L20," ",M20," ",N20,O20," ",P20," ",Q20," ",R20," ",S20," ",T20," ",U20,CHAR(10)),"")</f>
        <v/>
      </c>
      <c r="B20" s="109" t="s">
        <v>29</v>
      </c>
      <c r="C20" s="110" t="str">
        <f>Персонал!C20</f>
        <v>Ст. кладовщик</v>
      </c>
      <c r="D20" s="109" t="s">
        <v>31</v>
      </c>
      <c r="E20" s="111">
        <f>Персонал!G20</f>
        <v>0</v>
      </c>
      <c r="F20" s="109" t="s">
        <v>32</v>
      </c>
      <c r="G20" s="111">
        <f>Персонал!H20</f>
        <v>0</v>
      </c>
      <c r="H20" s="111"/>
      <c r="I20" s="109" t="str">
        <f>Персонал!B20</f>
        <v>Настя</v>
      </c>
      <c r="J20" s="109" t="str">
        <f>Персонал!D20</f>
        <v>8-888-129</v>
      </c>
      <c r="K20" s="109" t="s">
        <v>41</v>
      </c>
      <c r="L20" s="112">
        <f>Персонал!I20</f>
        <v>41</v>
      </c>
      <c r="M20" s="109" t="s">
        <v>42</v>
      </c>
      <c r="N20" s="109" t="str">
        <f>Персонал!E20</f>
        <v>Екатеринбург</v>
      </c>
      <c r="O20" s="109" t="s">
        <v>34</v>
      </c>
      <c r="P20" s="109" t="s">
        <v>39</v>
      </c>
      <c r="Q20" s="112">
        <f>Персонал!K20</f>
        <v>61.5</v>
      </c>
      <c r="R20" s="109" t="s">
        <v>40</v>
      </c>
      <c r="S20" s="112">
        <f>Персонал!L20</f>
        <v>22</v>
      </c>
      <c r="T20" s="109" t="s">
        <v>38</v>
      </c>
      <c r="U20" s="109" t="s">
        <v>35</v>
      </c>
      <c r="V20" s="113"/>
      <c r="W20" s="113"/>
      <c r="X20" s="120" t="str">
        <f>Персонал!F20</f>
        <v xml:space="preserve">direktor-109 </v>
      </c>
    </row>
    <row r="21" spans="1:25" ht="15.75" customHeight="1" thickBot="1" x14ac:dyDescent="0.3">
      <c r="A21" s="122" t="str">
        <f t="shared" ref="A21:A25" si="1">IF(AND(E21&lt;&gt;0,G21&lt;&gt;0),CONCATENATE(B21," ",C21," ",D21," ",TEXT(E21,"ДД.ММ")," ",F21," ",F101," ",G21,H21,", ",I21,", ",J21," ",K21,L21," ",M21," ",N21,O21," ",P21," ",Q21," ",R21," ",S21," ",T21," ",U21,CHAR(10)),"")</f>
        <v/>
      </c>
      <c r="B21" s="109" t="s">
        <v>29</v>
      </c>
      <c r="C21" s="110" t="str">
        <f>Персонал!C21</f>
        <v>Ст.кладовщик</v>
      </c>
      <c r="D21" s="109" t="s">
        <v>31</v>
      </c>
      <c r="E21" s="111">
        <f>Персонал!G21</f>
        <v>0</v>
      </c>
      <c r="F21" s="109" t="s">
        <v>32</v>
      </c>
      <c r="G21" s="111">
        <f>Персонал!H21</f>
        <v>0</v>
      </c>
      <c r="H21" s="111"/>
      <c r="I21" s="109" t="str">
        <f>Персонал!B21</f>
        <v>Коля</v>
      </c>
      <c r="J21" s="109" t="str">
        <f>Персонал!D21</f>
        <v>8-888-130</v>
      </c>
      <c r="K21" s="109" t="s">
        <v>41</v>
      </c>
      <c r="L21" s="112">
        <f>Персонал!I21</f>
        <v>39</v>
      </c>
      <c r="M21" s="109" t="s">
        <v>42</v>
      </c>
      <c r="N21" s="109" t="str">
        <f>Персонал!E21</f>
        <v>Москва</v>
      </c>
      <c r="O21" s="109" t="s">
        <v>34</v>
      </c>
      <c r="P21" s="109" t="s">
        <v>39</v>
      </c>
      <c r="Q21" s="112">
        <f>Персонал!K21</f>
        <v>58.5</v>
      </c>
      <c r="R21" s="109" t="s">
        <v>40</v>
      </c>
      <c r="S21" s="112">
        <f>Персонал!L21</f>
        <v>2</v>
      </c>
      <c r="T21" s="109" t="s">
        <v>38</v>
      </c>
      <c r="U21" s="109" t="s">
        <v>35</v>
      </c>
      <c r="V21" s="113"/>
      <c r="W21" s="113"/>
      <c r="X21" s="120" t="str">
        <f>Персонал!F21</f>
        <v xml:space="preserve">direktor-092 </v>
      </c>
    </row>
    <row r="22" spans="1:25" ht="15.75" customHeight="1" thickBot="1" x14ac:dyDescent="0.3">
      <c r="A22" s="122" t="str">
        <f t="shared" si="1"/>
        <v/>
      </c>
      <c r="B22" s="109" t="s">
        <v>29</v>
      </c>
      <c r="C22" s="110" t="str">
        <f>Персонал!C22</f>
        <v>Ст.кладовщик</v>
      </c>
      <c r="D22" s="109" t="s">
        <v>31</v>
      </c>
      <c r="E22" s="111">
        <f>Персонал!G22</f>
        <v>0</v>
      </c>
      <c r="F22" s="109" t="s">
        <v>32</v>
      </c>
      <c r="G22" s="111">
        <f>Персонал!H22</f>
        <v>0</v>
      </c>
      <c r="H22" s="111"/>
      <c r="I22" s="109" t="str">
        <f>Персонал!B22</f>
        <v>Игорь</v>
      </c>
      <c r="J22" s="109" t="str">
        <f>Персонал!D22</f>
        <v>8-888-131</v>
      </c>
      <c r="K22" s="109" t="s">
        <v>41</v>
      </c>
      <c r="L22" s="112">
        <f>Персонал!I22</f>
        <v>24</v>
      </c>
      <c r="M22" s="109" t="s">
        <v>42</v>
      </c>
      <c r="N22" s="109" t="str">
        <f>Персонал!E22</f>
        <v>Москва</v>
      </c>
      <c r="O22" s="109" t="s">
        <v>34</v>
      </c>
      <c r="P22" s="109" t="s">
        <v>39</v>
      </c>
      <c r="Q22" s="112">
        <f>Персонал!K22</f>
        <v>36</v>
      </c>
      <c r="R22" s="109" t="s">
        <v>40</v>
      </c>
      <c r="S22" s="112">
        <f>Персонал!L22</f>
        <v>3</v>
      </c>
      <c r="T22" s="109" t="s">
        <v>38</v>
      </c>
      <c r="U22" s="109" t="s">
        <v>35</v>
      </c>
      <c r="V22" s="113"/>
      <c r="W22" s="113"/>
      <c r="X22" s="120" t="str">
        <f>Персонал!F22</f>
        <v xml:space="preserve">direktor-004 </v>
      </c>
    </row>
    <row r="23" spans="1:25" ht="15.75" customHeight="1" thickBot="1" x14ac:dyDescent="0.3">
      <c r="A23" s="122" t="str">
        <f t="shared" si="1"/>
        <v/>
      </c>
      <c r="B23" s="109" t="s">
        <v>29</v>
      </c>
      <c r="C23" s="110" t="str">
        <f>Персонал!C23</f>
        <v>Кладовщик</v>
      </c>
      <c r="D23" s="109" t="s">
        <v>31</v>
      </c>
      <c r="E23" s="111">
        <f>Персонал!G23</f>
        <v>0</v>
      </c>
      <c r="F23" s="109" t="s">
        <v>32</v>
      </c>
      <c r="G23" s="111">
        <f>Персонал!H23</f>
        <v>0</v>
      </c>
      <c r="H23" s="111"/>
      <c r="I23" s="109" t="str">
        <f>Персонал!B23</f>
        <v>Викор</v>
      </c>
      <c r="J23" s="109" t="str">
        <f>Персонал!D23</f>
        <v>8-888-132</v>
      </c>
      <c r="K23" s="109" t="s">
        <v>41</v>
      </c>
      <c r="L23" s="112">
        <f>Персонал!I23</f>
        <v>35</v>
      </c>
      <c r="M23" s="109" t="s">
        <v>42</v>
      </c>
      <c r="N23" s="109" t="str">
        <f>Персонал!E23</f>
        <v>Тагил</v>
      </c>
      <c r="O23" s="109" t="s">
        <v>34</v>
      </c>
      <c r="P23" s="109" t="s">
        <v>39</v>
      </c>
      <c r="Q23" s="112">
        <f>Персонал!K23</f>
        <v>52.5</v>
      </c>
      <c r="R23" s="109" t="s">
        <v>40</v>
      </c>
      <c r="S23" s="112">
        <f>Персонал!L23</f>
        <v>1.7</v>
      </c>
      <c r="T23" s="109" t="s">
        <v>38</v>
      </c>
      <c r="U23" s="109" t="s">
        <v>35</v>
      </c>
      <c r="V23" s="113"/>
      <c r="W23" s="113"/>
      <c r="X23" s="120" t="str">
        <f>Персонал!F23</f>
        <v xml:space="preserve">direktor-221 </v>
      </c>
    </row>
    <row r="24" spans="1:25" ht="15.75" customHeight="1" thickBot="1" x14ac:dyDescent="0.3">
      <c r="A24" s="122" t="str">
        <f t="shared" si="1"/>
        <v/>
      </c>
      <c r="B24" s="109" t="s">
        <v>29</v>
      </c>
      <c r="C24" s="110" t="str">
        <f>Персонал!C24</f>
        <v>ст.кладовщик</v>
      </c>
      <c r="D24" s="109" t="s">
        <v>31</v>
      </c>
      <c r="E24" s="111">
        <f>Персонал!G24</f>
        <v>0</v>
      </c>
      <c r="F24" s="109" t="s">
        <v>32</v>
      </c>
      <c r="G24" s="111">
        <f>Персонал!H24</f>
        <v>0</v>
      </c>
      <c r="H24" s="111"/>
      <c r="I24" s="109" t="str">
        <f>Персонал!B24</f>
        <v>Дима</v>
      </c>
      <c r="J24" s="109" t="str">
        <f>Персонал!D24</f>
        <v>8-888-133</v>
      </c>
      <c r="K24" s="109" t="s">
        <v>41</v>
      </c>
      <c r="L24" s="112">
        <f>Персонал!I24</f>
        <v>25</v>
      </c>
      <c r="M24" s="109" t="s">
        <v>42</v>
      </c>
      <c r="N24" s="109" t="str">
        <f>Персонал!E24</f>
        <v>Томск</v>
      </c>
      <c r="O24" s="109" t="s">
        <v>34</v>
      </c>
      <c r="P24" s="109" t="s">
        <v>39</v>
      </c>
      <c r="Q24" s="112">
        <f>Персонал!K24</f>
        <v>37.5</v>
      </c>
      <c r="R24" s="109" t="s">
        <v>40</v>
      </c>
      <c r="S24" s="112">
        <f>Персонал!L24</f>
        <v>2</v>
      </c>
      <c r="T24" s="109" t="s">
        <v>38</v>
      </c>
      <c r="U24" s="109" t="s">
        <v>35</v>
      </c>
      <c r="V24" s="113"/>
      <c r="W24" s="113"/>
      <c r="X24" s="120" t="str">
        <f>Персонал!F24</f>
        <v xml:space="preserve">direktor-160 </v>
      </c>
    </row>
    <row r="25" spans="1:25" ht="15.75" customHeight="1" x14ac:dyDescent="0.25">
      <c r="A25" s="122" t="str">
        <f t="shared" si="1"/>
        <v/>
      </c>
      <c r="B25" s="109" t="s">
        <v>29</v>
      </c>
      <c r="C25" s="110" t="str">
        <f>Персонал!C25</f>
        <v>ст.кладовщик</v>
      </c>
      <c r="D25" s="109" t="s">
        <v>31</v>
      </c>
      <c r="E25" s="111">
        <f>Персонал!G25</f>
        <v>0</v>
      </c>
      <c r="F25" s="109" t="s">
        <v>32</v>
      </c>
      <c r="G25" s="111">
        <f>Персонал!H25</f>
        <v>0</v>
      </c>
      <c r="H25" s="111"/>
      <c r="I25" s="109" t="str">
        <f>Персонал!B25</f>
        <v>Саша</v>
      </c>
      <c r="J25" s="109" t="str">
        <f>Персонал!D25</f>
        <v>8-888-134</v>
      </c>
      <c r="K25" s="109" t="s">
        <v>41</v>
      </c>
      <c r="L25" s="112">
        <f>Персонал!I25</f>
        <v>14</v>
      </c>
      <c r="M25" s="109" t="s">
        <v>42</v>
      </c>
      <c r="N25" s="109" t="str">
        <f>Персонал!E25</f>
        <v>Ставрополь</v>
      </c>
      <c r="O25" s="109" t="s">
        <v>34</v>
      </c>
      <c r="P25" s="109" t="s">
        <v>39</v>
      </c>
      <c r="Q25" s="112">
        <f>Персонал!K25</f>
        <v>21</v>
      </c>
      <c r="R25" s="109" t="s">
        <v>40</v>
      </c>
      <c r="S25" s="112">
        <f>Персонал!L25</f>
        <v>3</v>
      </c>
      <c r="T25" s="109" t="s">
        <v>38</v>
      </c>
      <c r="U25" s="109" t="s">
        <v>35</v>
      </c>
      <c r="V25" s="113"/>
      <c r="W25" s="113"/>
      <c r="X25" s="120" t="str">
        <f>Персонал!F25</f>
        <v xml:space="preserve">direktor-082 </v>
      </c>
    </row>
    <row r="26" spans="1:25" ht="15.75" customHeight="1" thickBot="1" x14ac:dyDescent="0.3">
      <c r="A26" s="33"/>
      <c r="B26" s="24"/>
      <c r="C26" s="22"/>
      <c r="D26" s="24"/>
      <c r="E26" s="25"/>
      <c r="F26" s="24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5" ht="15.75" customHeight="1" x14ac:dyDescent="0.25">
      <c r="A27" s="129" t="str">
        <f>CONCATENATE(B27," ",C27," ",D27, E27)</f>
        <v>г. Железнодорожный ТЦ Центральный</v>
      </c>
      <c r="B27" s="130" t="s">
        <v>52</v>
      </c>
      <c r="C27" s="131" t="str">
        <f>Данные!B1</f>
        <v>Железнодорожный</v>
      </c>
      <c r="D27" s="130" t="s">
        <v>50</v>
      </c>
      <c r="E27" s="132" t="str">
        <f>Данные!B2</f>
        <v>Центральный</v>
      </c>
      <c r="F27" s="132"/>
      <c r="G27" s="133"/>
      <c r="H27" s="133"/>
      <c r="I27" s="134"/>
      <c r="J27" s="24"/>
      <c r="K27" s="24"/>
      <c r="L27" s="24"/>
      <c r="M27" s="24"/>
      <c r="N27" s="24"/>
      <c r="O27" s="24"/>
      <c r="P27" s="40"/>
      <c r="Q27" s="24"/>
      <c r="R27" s="24"/>
      <c r="S27" s="24"/>
      <c r="T27" s="24"/>
      <c r="U27" s="24"/>
    </row>
    <row r="28" spans="1:25" ht="15.75" customHeight="1" x14ac:dyDescent="0.25">
      <c r="A28" s="135" t="str">
        <f>CONCATENATE(B28," ",TEXT(C28,"ДД.ММ")," ",D28," ",TEXT(E28,"ДД.ММ")," ",F28," ",G28," ",I28)</f>
        <v>Аренда учебного класса с 11.01 по 15.01 - 4 дня</v>
      </c>
      <c r="B28" s="136" t="s">
        <v>53</v>
      </c>
      <c r="C28" s="265">
        <f>Данные!B4</f>
        <v>43841</v>
      </c>
      <c r="D28" s="136" t="s">
        <v>32</v>
      </c>
      <c r="E28" s="265">
        <f>Данные!B5</f>
        <v>43845</v>
      </c>
      <c r="F28" s="138" t="s">
        <v>51</v>
      </c>
      <c r="G28" s="139">
        <f>Данные!C6</f>
        <v>4</v>
      </c>
      <c r="H28" s="139"/>
      <c r="I28" s="140" t="s">
        <v>224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5" ht="15.75" customHeight="1" x14ac:dyDescent="0.25">
      <c r="A29" s="135" t="str">
        <f>CONCATENATE(B29," ",TEXT(C29,"ДД.ММ")," ",D29," ",TEXT(E29,"ДД.ММ"))</f>
        <v>Командировка тренера №1 - с 10.01 по 02.02</v>
      </c>
      <c r="B29" s="136" t="s">
        <v>54</v>
      </c>
      <c r="C29" s="265">
        <f>Данные!B7</f>
        <v>43840</v>
      </c>
      <c r="D29" s="136" t="s">
        <v>32</v>
      </c>
      <c r="E29" s="265">
        <f>Данные!B8</f>
        <v>43863</v>
      </c>
      <c r="F29" s="138"/>
      <c r="G29" s="137"/>
      <c r="H29" s="137"/>
      <c r="I29" s="140"/>
    </row>
    <row r="30" spans="1:25" ht="15.75" customHeight="1" thickBot="1" x14ac:dyDescent="0.3">
      <c r="A30" s="141" t="str">
        <f>CONCATENATE(B30," ",C30," ",D30," ",E30)</f>
        <v>Командировка тренера №2 - с 0 по 0</v>
      </c>
      <c r="B30" s="142" t="s">
        <v>55</v>
      </c>
      <c r="C30" s="143">
        <f>Данные!B9</f>
        <v>0</v>
      </c>
      <c r="D30" s="142" t="s">
        <v>32</v>
      </c>
      <c r="E30" s="143">
        <f>Данные!B10</f>
        <v>0</v>
      </c>
      <c r="F30" s="142"/>
      <c r="G30" s="144"/>
      <c r="H30" s="144"/>
      <c r="I30" s="145"/>
    </row>
    <row r="31" spans="1:25" ht="15.75" customHeight="1" thickBot="1" x14ac:dyDescent="0.3">
      <c r="A31" s="27" t="s">
        <v>225</v>
      </c>
    </row>
    <row r="32" spans="1:25" ht="15.75" customHeight="1" thickBot="1" x14ac:dyDescent="0.3">
      <c r="A32" s="204" t="s">
        <v>57</v>
      </c>
      <c r="B32" s="27"/>
    </row>
    <row r="33" spans="1:15" ht="15.75" customHeight="1" x14ac:dyDescent="0.25">
      <c r="A33" s="146" t="str">
        <f>CONCATENATE("SU ",Данные!B1," ",Данные!A2," ",Данные!B2)</f>
        <v>SU Железнодорожный ТЦ Центральный</v>
      </c>
      <c r="B33" s="147" t="str">
        <f>CONCATENATE(C33," ",D33," ",E33)</f>
        <v>Группа г. Железнодорожный ТЦ Центральный</v>
      </c>
      <c r="C33" s="148" t="s">
        <v>58</v>
      </c>
      <c r="D33" s="149" t="str">
        <f>Данные!B1</f>
        <v>Железнодорожный</v>
      </c>
      <c r="E33" s="147" t="str">
        <f>CONCATENATE(Данные!A2," ",Данные!B2)</f>
        <v>ТЦ Центральный</v>
      </c>
      <c r="F33" s="150"/>
      <c r="G33" s="151"/>
      <c r="H33" s="23"/>
    </row>
    <row r="34" spans="1:15" ht="15.75" customHeight="1" x14ac:dyDescent="0.25">
      <c r="A34" s="313" t="str">
        <f>CONCATENATE(B33,CHAR(10),B34,CHAR(10),B35,CHAR(10),B36,CHAR(10),B37,CHAR(10),B38,CHAR(10),B39,CHAR(10),B40,CHAR(10),B41,CHAR(10),B42,CHAR(10),B43,CHAR(10),B44,CHAR(10),B45,CHAR(10),B46,CHAR(10),B47,CHAR(10),B48,CHAR(10),B49,CHAR(10),B50,CHAR(10),B51,CHAR(10),B52,CHAR(10),B53,CHAR(10),B54,CHAR(10),B55,CHAR(10),B56,CHAR(10),B57,CHAR(10),B59,CHAR(10),B60,CHAR(10),B61,CHAR(10),B62,CHAR(10),B63,CHAR(10),CHAR(10),B64,B65,D66," ",E66,","," ",B66,B67," ",D33,","," ",Данные!A2," ",Данные!B2,","," ",Данные!B3,"
",A61)</f>
        <v>Группа г. Железнодорожный ТЦ Центральный
Петров Петр - 0 по 0
Иванов Иван - 16.02 по 09.02
Сидоров Сидр - 0 по 0
Василий Алибабаевич - 0 по 0
Доцент - 0 по 0
Котов Кот - 0 по 0
Смиронов Смирн - 0 по 0
ВАКАНТ - 0 по 0
ВАКАНТ - 0 по 0
Вика - 0 по 0
Светлогор - 0 по 0
ВАКАНТ - 0 по 0
Грачев Грач - 0 по 0
Карпов Карп - 16.01 по 09.02
ВАКАНТ - 0 по 0
ВАКАНТ - 0 по 0
ВАКАНТ - 0 по 0
Митя - 0 по 0
Настя - 0 по 0
Коля - 0 по 0
Игорь - 0 по 0
Викор - 0 по 0
Дима - 0 по 0
Саша - 0 по 0
Первая поставка - 16.01
Техническое открытие - 31.01
Праздничное открытие - 0
Руководитель проекта - ГС, 8-102
Тренер на объекте - крок, 8-907
_________
Даты командировок указаны без учета дороги! Только даты приезда и отъезда на/с проект(а), при составлении заявки и расчете суточных - учитывайте время необходимое на дорогу!
_________
Электронная почта руководителя проекта,  ГС sg@m.ru, для подачи заявок на получение денежных средств
_______
Адрес объекта: г. Железнодорожный, ТЦ Центральный, Калиновского 1
_________
Коллеги АГЗ, напоминаю о табелировании команды стартап в табеле на google диске и о передаче ссылки УМу перед отъездом и напоминании УМу о табелировании команды стартап в данном табеле!</v>
      </c>
      <c r="B34" s="152" t="str">
        <f>CONCATENATE(C34," ",D34," ",E34," ",F34, G34)</f>
        <v>Петров Петр - 0 по 0</v>
      </c>
      <c r="C34" s="152" t="str">
        <f>Персонал!B2</f>
        <v>Петров Петр</v>
      </c>
      <c r="D34" s="152" t="s">
        <v>51</v>
      </c>
      <c r="E34" s="153">
        <f>Персонал!G2</f>
        <v>0</v>
      </c>
      <c r="F34" s="152" t="s">
        <v>59</v>
      </c>
      <c r="G34" s="154">
        <f>Персонал!H2</f>
        <v>0</v>
      </c>
      <c r="H34" s="29"/>
      <c r="L34" s="30"/>
    </row>
    <row r="35" spans="1:15" ht="15.75" customHeight="1" x14ac:dyDescent="0.25">
      <c r="A35" s="314"/>
      <c r="B35" s="152" t="str">
        <f t="shared" ref="B35" si="2">CONCATENATE(C35," ",D35," ",E35," ",F35, G35)</f>
        <v>Иванов Иван - 16.02 по 09.02</v>
      </c>
      <c r="C35" s="152" t="str">
        <f>Персонал!B3</f>
        <v>Иванов Иван</v>
      </c>
      <c r="D35" s="152" t="s">
        <v>51</v>
      </c>
      <c r="E35" s="153" t="str">
        <f>Персонал!G3</f>
        <v>16.02</v>
      </c>
      <c r="F35" s="152" t="s">
        <v>59</v>
      </c>
      <c r="G35" s="154" t="str">
        <f>Персонал!H3</f>
        <v>09.02</v>
      </c>
      <c r="H35" s="29"/>
      <c r="L35" s="30"/>
    </row>
    <row r="36" spans="1:15" ht="15.75" customHeight="1" x14ac:dyDescent="0.25">
      <c r="A36" s="314"/>
      <c r="B36" s="152" t="str">
        <f t="shared" ref="B36:B57" si="3">CONCATENATE(C36," ",D36," ",E36," ",F36, G36)</f>
        <v>Сидоров Сидр - 0 по 0</v>
      </c>
      <c r="C36" s="152" t="str">
        <f>Персонал!B4</f>
        <v>Сидоров Сидр</v>
      </c>
      <c r="D36" s="152" t="s">
        <v>51</v>
      </c>
      <c r="E36" s="153">
        <f>Персонал!G4</f>
        <v>0</v>
      </c>
      <c r="F36" s="152" t="s">
        <v>59</v>
      </c>
      <c r="G36" s="154">
        <f>Персонал!H4</f>
        <v>0</v>
      </c>
      <c r="H36" s="29"/>
      <c r="L36" s="30"/>
    </row>
    <row r="37" spans="1:15" ht="15.75" customHeight="1" x14ac:dyDescent="0.25">
      <c r="A37" s="314"/>
      <c r="B37" s="152" t="str">
        <f t="shared" si="3"/>
        <v>Василий Алибабаевич - 0 по 0</v>
      </c>
      <c r="C37" s="152" t="str">
        <f>Персонал!B5</f>
        <v>Василий Алибабаевич</v>
      </c>
      <c r="D37" s="152" t="s">
        <v>51</v>
      </c>
      <c r="E37" s="153">
        <f>Персонал!G5</f>
        <v>0</v>
      </c>
      <c r="F37" s="152" t="s">
        <v>59</v>
      </c>
      <c r="G37" s="154">
        <f>Персонал!H5</f>
        <v>0</v>
      </c>
      <c r="H37" s="29"/>
      <c r="M37" s="23" t="s">
        <v>69</v>
      </c>
      <c r="N37" s="30">
        <f>Персонал!J22</f>
        <v>1.5</v>
      </c>
      <c r="O37" s="23" t="s">
        <v>70</v>
      </c>
    </row>
    <row r="38" spans="1:15" ht="15.75" customHeight="1" x14ac:dyDescent="0.25">
      <c r="A38" s="314"/>
      <c r="B38" s="152" t="str">
        <f t="shared" si="3"/>
        <v>Доцент - 0 по 0</v>
      </c>
      <c r="C38" s="152" t="str">
        <f>Персонал!B6</f>
        <v>Доцент</v>
      </c>
      <c r="D38" s="152" t="s">
        <v>51</v>
      </c>
      <c r="E38" s="153">
        <f>Персонал!G6</f>
        <v>0</v>
      </c>
      <c r="F38" s="152" t="s">
        <v>59</v>
      </c>
      <c r="G38" s="154">
        <f>Персонал!H6</f>
        <v>0</v>
      </c>
      <c r="H38" s="29"/>
      <c r="M38" s="23" t="s">
        <v>69</v>
      </c>
      <c r="N38" s="30">
        <f>Персонал!J26</f>
        <v>0</v>
      </c>
      <c r="O38" s="23" t="s">
        <v>70</v>
      </c>
    </row>
    <row r="39" spans="1:15" ht="15.75" customHeight="1" x14ac:dyDescent="0.25">
      <c r="A39" s="314"/>
      <c r="B39" s="152" t="str">
        <f t="shared" si="3"/>
        <v>Котов Кот - 0 по 0</v>
      </c>
      <c r="C39" s="152" t="str">
        <f>Персонал!B7</f>
        <v>Котов Кот</v>
      </c>
      <c r="D39" s="152" t="s">
        <v>51</v>
      </c>
      <c r="E39" s="153">
        <f>Персонал!G7</f>
        <v>0</v>
      </c>
      <c r="F39" s="152" t="s">
        <v>59</v>
      </c>
      <c r="G39" s="154">
        <f>Персонал!H7</f>
        <v>0</v>
      </c>
      <c r="H39" s="29"/>
      <c r="M39" s="23" t="s">
        <v>69</v>
      </c>
      <c r="N39" s="30">
        <f>Персонал!J27</f>
        <v>0</v>
      </c>
      <c r="O39" s="23" t="s">
        <v>70</v>
      </c>
    </row>
    <row r="40" spans="1:15" ht="15.75" customHeight="1" x14ac:dyDescent="0.25">
      <c r="A40" s="314"/>
      <c r="B40" s="152" t="str">
        <f t="shared" si="3"/>
        <v>Смиронов Смирн - 0 по 0</v>
      </c>
      <c r="C40" s="152" t="str">
        <f>Персонал!B8</f>
        <v>Смиронов Смирн</v>
      </c>
      <c r="D40" s="152" t="s">
        <v>51</v>
      </c>
      <c r="E40" s="153">
        <f>Персонал!G8</f>
        <v>0</v>
      </c>
      <c r="F40" s="152" t="s">
        <v>59</v>
      </c>
      <c r="G40" s="154">
        <f>Персонал!H8</f>
        <v>0</v>
      </c>
      <c r="H40" s="29"/>
      <c r="M40" s="23" t="s">
        <v>69</v>
      </c>
      <c r="N40" s="30">
        <f>Персонал!J28</f>
        <v>0</v>
      </c>
      <c r="O40" s="23" t="s">
        <v>70</v>
      </c>
    </row>
    <row r="41" spans="1:15" ht="15.75" customHeight="1" x14ac:dyDescent="0.25">
      <c r="A41" s="314"/>
      <c r="B41" s="152" t="str">
        <f t="shared" si="3"/>
        <v>ВАКАНТ - 0 по 0</v>
      </c>
      <c r="C41" s="152" t="str">
        <f>Персонал!B9</f>
        <v>ВАКАНТ</v>
      </c>
      <c r="D41" s="152" t="s">
        <v>51</v>
      </c>
      <c r="E41" s="153">
        <f>Персонал!G9</f>
        <v>0</v>
      </c>
      <c r="F41" s="152" t="s">
        <v>59</v>
      </c>
      <c r="G41" s="154">
        <f>Персонал!H9</f>
        <v>0</v>
      </c>
      <c r="H41" s="29"/>
      <c r="L41" s="27"/>
    </row>
    <row r="42" spans="1:15" ht="15.75" customHeight="1" x14ac:dyDescent="0.25">
      <c r="A42" s="314"/>
      <c r="B42" s="152" t="str">
        <f t="shared" si="3"/>
        <v>ВАКАНТ - 0 по 0</v>
      </c>
      <c r="C42" s="152" t="str">
        <f>Персонал!B10</f>
        <v>ВАКАНТ</v>
      </c>
      <c r="D42" s="152" t="s">
        <v>51</v>
      </c>
      <c r="E42" s="153">
        <f>Персонал!G10</f>
        <v>0</v>
      </c>
      <c r="F42" s="152" t="s">
        <v>59</v>
      </c>
      <c r="G42" s="154">
        <f>Персонал!H10</f>
        <v>0</v>
      </c>
      <c r="H42" s="29"/>
    </row>
    <row r="43" spans="1:15" ht="15.75" customHeight="1" x14ac:dyDescent="0.25">
      <c r="A43" s="314"/>
      <c r="B43" s="152" t="str">
        <f t="shared" si="3"/>
        <v>Вика - 0 по 0</v>
      </c>
      <c r="C43" s="152" t="str">
        <f>Персонал!B11</f>
        <v>Вика</v>
      </c>
      <c r="D43" s="152" t="s">
        <v>51</v>
      </c>
      <c r="E43" s="153">
        <f>Персонал!G11</f>
        <v>0</v>
      </c>
      <c r="F43" s="152" t="s">
        <v>59</v>
      </c>
      <c r="G43" s="154">
        <f>Персонал!H11</f>
        <v>0</v>
      </c>
      <c r="H43" s="29"/>
    </row>
    <row r="44" spans="1:15" ht="15.75" customHeight="1" x14ac:dyDescent="0.25">
      <c r="A44" s="314"/>
      <c r="B44" s="152" t="str">
        <f t="shared" si="3"/>
        <v>Светлогор - 0 по 0</v>
      </c>
      <c r="C44" s="152" t="str">
        <f>Персонал!B12</f>
        <v>Светлогор</v>
      </c>
      <c r="D44" s="152" t="s">
        <v>51</v>
      </c>
      <c r="E44" s="153">
        <f>Персонал!G12</f>
        <v>0</v>
      </c>
      <c r="F44" s="152" t="s">
        <v>59</v>
      </c>
      <c r="G44" s="154">
        <f>Персонал!H12</f>
        <v>0</v>
      </c>
      <c r="H44" s="29"/>
    </row>
    <row r="45" spans="1:15" ht="15.75" customHeight="1" x14ac:dyDescent="0.25">
      <c r="A45" s="314"/>
      <c r="B45" s="152" t="str">
        <f t="shared" si="3"/>
        <v>ВАКАНТ - 0 по 0</v>
      </c>
      <c r="C45" s="152" t="str">
        <f>Персонал!B13</f>
        <v>ВАКАНТ</v>
      </c>
      <c r="D45" s="152" t="s">
        <v>51</v>
      </c>
      <c r="E45" s="153">
        <f>Персонал!G13</f>
        <v>0</v>
      </c>
      <c r="F45" s="152" t="s">
        <v>59</v>
      </c>
      <c r="G45" s="154">
        <f>Персонал!H13</f>
        <v>0</v>
      </c>
      <c r="H45" s="29"/>
    </row>
    <row r="46" spans="1:15" ht="15.75" customHeight="1" x14ac:dyDescent="0.25">
      <c r="A46" s="314"/>
      <c r="B46" s="152" t="str">
        <f t="shared" si="3"/>
        <v>Грачев Грач - 0 по 0</v>
      </c>
      <c r="C46" s="152" t="str">
        <f>Персонал!B14</f>
        <v>Грачев Грач</v>
      </c>
      <c r="D46" s="152" t="s">
        <v>51</v>
      </c>
      <c r="E46" s="153">
        <f>Персонал!G14</f>
        <v>0</v>
      </c>
      <c r="F46" s="152" t="s">
        <v>59</v>
      </c>
      <c r="G46" s="154">
        <f>Персонал!H14</f>
        <v>0</v>
      </c>
      <c r="H46" s="29"/>
      <c r="N46" s="107"/>
    </row>
    <row r="47" spans="1:15" ht="15.75" customHeight="1" x14ac:dyDescent="0.25">
      <c r="A47" s="314"/>
      <c r="B47" s="152" t="str">
        <f t="shared" si="3"/>
        <v>Карпов Карп - 16.01 по 09.02</v>
      </c>
      <c r="C47" s="152" t="str">
        <f>Персонал!B15</f>
        <v>Карпов Карп</v>
      </c>
      <c r="D47" s="152" t="s">
        <v>51</v>
      </c>
      <c r="E47" s="153" t="str">
        <f>Персонал!G15</f>
        <v>16.01</v>
      </c>
      <c r="F47" s="152" t="s">
        <v>59</v>
      </c>
      <c r="G47" s="154" t="str">
        <f>Персонал!H15</f>
        <v>09.02</v>
      </c>
      <c r="H47" s="29"/>
      <c r="N47" s="107"/>
    </row>
    <row r="48" spans="1:15" ht="15.75" customHeight="1" x14ac:dyDescent="0.25">
      <c r="A48" s="314"/>
      <c r="B48" s="152" t="str">
        <f t="shared" si="3"/>
        <v>ВАКАНТ - 0 по 0</v>
      </c>
      <c r="C48" s="152" t="str">
        <f>Персонал!B16</f>
        <v>ВАКАНТ</v>
      </c>
      <c r="D48" s="152" t="s">
        <v>51</v>
      </c>
      <c r="E48" s="153">
        <f>Персонал!G16</f>
        <v>0</v>
      </c>
      <c r="F48" s="152" t="s">
        <v>59</v>
      </c>
      <c r="G48" s="154">
        <f>Персонал!H16</f>
        <v>0</v>
      </c>
      <c r="H48" s="29"/>
      <c r="N48" s="124"/>
    </row>
    <row r="49" spans="1:14" ht="15.75" customHeight="1" x14ac:dyDescent="0.25">
      <c r="A49" s="314"/>
      <c r="B49" s="152" t="str">
        <f t="shared" si="3"/>
        <v>ВАКАНТ - 0 по 0</v>
      </c>
      <c r="C49" s="152" t="str">
        <f>Персонал!B17</f>
        <v>ВАКАНТ</v>
      </c>
      <c r="D49" s="152" t="s">
        <v>51</v>
      </c>
      <c r="E49" s="153">
        <f>Персонал!G17</f>
        <v>0</v>
      </c>
      <c r="F49" s="152" t="s">
        <v>59</v>
      </c>
      <c r="G49" s="154">
        <f>Персонал!H17</f>
        <v>0</v>
      </c>
      <c r="H49" s="29"/>
      <c r="N49" s="124"/>
    </row>
    <row r="50" spans="1:14" ht="15.75" customHeight="1" x14ac:dyDescent="0.25">
      <c r="A50" s="314"/>
      <c r="B50" s="152" t="str">
        <f t="shared" si="3"/>
        <v>ВАКАНТ - 0 по 0</v>
      </c>
      <c r="C50" s="152" t="str">
        <f>Персонал!B18</f>
        <v>ВАКАНТ</v>
      </c>
      <c r="D50" s="152" t="s">
        <v>51</v>
      </c>
      <c r="E50" s="153">
        <f>Персонал!G18</f>
        <v>0</v>
      </c>
      <c r="F50" s="152" t="s">
        <v>59</v>
      </c>
      <c r="G50" s="154">
        <f>Персонал!H18</f>
        <v>0</v>
      </c>
      <c r="H50" s="29"/>
      <c r="N50" s="124"/>
    </row>
    <row r="51" spans="1:14" ht="15.75" customHeight="1" x14ac:dyDescent="0.25">
      <c r="A51" s="314"/>
      <c r="B51" s="152" t="str">
        <f t="shared" si="3"/>
        <v>Митя - 0 по 0</v>
      </c>
      <c r="C51" s="152" t="str">
        <f>Персонал!B19</f>
        <v>Митя</v>
      </c>
      <c r="D51" s="152" t="s">
        <v>51</v>
      </c>
      <c r="E51" s="153">
        <f>Персонал!G19</f>
        <v>0</v>
      </c>
      <c r="F51" s="152" t="s">
        <v>59</v>
      </c>
      <c r="G51" s="154">
        <f>Персонал!H19</f>
        <v>0</v>
      </c>
      <c r="H51" s="29"/>
      <c r="N51" s="124"/>
    </row>
    <row r="52" spans="1:14" ht="15.75" customHeight="1" x14ac:dyDescent="0.25">
      <c r="A52" s="314"/>
      <c r="B52" s="152" t="str">
        <f t="shared" si="3"/>
        <v>Настя - 0 по 0</v>
      </c>
      <c r="C52" s="152" t="str">
        <f>Персонал!B20</f>
        <v>Настя</v>
      </c>
      <c r="D52" s="152" t="s">
        <v>51</v>
      </c>
      <c r="E52" s="153">
        <f>Персонал!G20</f>
        <v>0</v>
      </c>
      <c r="F52" s="152" t="s">
        <v>59</v>
      </c>
      <c r="G52" s="154">
        <f>Персонал!H20</f>
        <v>0</v>
      </c>
      <c r="H52" s="29"/>
      <c r="N52" s="124"/>
    </row>
    <row r="53" spans="1:14" ht="15.75" customHeight="1" x14ac:dyDescent="0.25">
      <c r="A53" s="314"/>
      <c r="B53" s="152" t="str">
        <f t="shared" si="3"/>
        <v>Коля - 0 по 0</v>
      </c>
      <c r="C53" s="152" t="str">
        <f>Персонал!B21</f>
        <v>Коля</v>
      </c>
      <c r="D53" s="152" t="s">
        <v>51</v>
      </c>
      <c r="E53" s="153">
        <f>Персонал!G21</f>
        <v>0</v>
      </c>
      <c r="F53" s="152" t="s">
        <v>59</v>
      </c>
      <c r="G53" s="154">
        <f>Персонал!H21</f>
        <v>0</v>
      </c>
      <c r="H53" s="23"/>
      <c r="N53" s="124"/>
    </row>
    <row r="54" spans="1:14" ht="15.75" customHeight="1" x14ac:dyDescent="0.25">
      <c r="A54" s="314"/>
      <c r="B54" s="152" t="str">
        <f t="shared" si="3"/>
        <v>Игорь - 0 по 0</v>
      </c>
      <c r="C54" s="152" t="str">
        <f>Персонал!B22</f>
        <v>Игорь</v>
      </c>
      <c r="D54" s="152" t="s">
        <v>51</v>
      </c>
      <c r="E54" s="153">
        <f>Персонал!G22</f>
        <v>0</v>
      </c>
      <c r="F54" s="152" t="s">
        <v>59</v>
      </c>
      <c r="G54" s="154">
        <f>Персонал!H22</f>
        <v>0</v>
      </c>
      <c r="H54" s="23"/>
      <c r="N54" s="124"/>
    </row>
    <row r="55" spans="1:14" ht="15.75" customHeight="1" x14ac:dyDescent="0.25">
      <c r="A55" s="314"/>
      <c r="B55" s="152" t="str">
        <f t="shared" si="3"/>
        <v>Викор - 0 по 0</v>
      </c>
      <c r="C55" s="152" t="str">
        <f>Персонал!B23</f>
        <v>Викор</v>
      </c>
      <c r="D55" s="152" t="s">
        <v>51</v>
      </c>
      <c r="E55" s="153">
        <f>Персонал!G23</f>
        <v>0</v>
      </c>
      <c r="F55" s="152" t="s">
        <v>59</v>
      </c>
      <c r="G55" s="154">
        <f>Персонал!H23</f>
        <v>0</v>
      </c>
      <c r="H55" s="23"/>
      <c r="N55" s="124"/>
    </row>
    <row r="56" spans="1:14" ht="15.75" customHeight="1" x14ac:dyDescent="0.25">
      <c r="A56" s="314"/>
      <c r="B56" s="152" t="str">
        <f t="shared" si="3"/>
        <v>Дима - 0 по 0</v>
      </c>
      <c r="C56" s="152" t="str">
        <f>Персонал!B24</f>
        <v>Дима</v>
      </c>
      <c r="D56" s="152" t="s">
        <v>51</v>
      </c>
      <c r="E56" s="153">
        <f>Персонал!G24</f>
        <v>0</v>
      </c>
      <c r="F56" s="152" t="s">
        <v>59</v>
      </c>
      <c r="G56" s="154">
        <f>Персонал!H24</f>
        <v>0</v>
      </c>
      <c r="H56" s="23"/>
      <c r="N56" s="124"/>
    </row>
    <row r="57" spans="1:14" ht="15.6" customHeight="1" thickBot="1" x14ac:dyDescent="0.3">
      <c r="A57" s="315"/>
      <c r="B57" s="152" t="str">
        <f t="shared" si="3"/>
        <v>Саша - 0 по 0</v>
      </c>
      <c r="C57" s="152" t="str">
        <f>Персонал!B25</f>
        <v>Саша</v>
      </c>
      <c r="D57" s="152" t="s">
        <v>51</v>
      </c>
      <c r="E57" s="153">
        <f>Персонал!G25</f>
        <v>0</v>
      </c>
      <c r="F57" s="152" t="s">
        <v>59</v>
      </c>
      <c r="G57" s="154">
        <f>Персонал!H25</f>
        <v>0</v>
      </c>
      <c r="H57" s="23"/>
      <c r="N57" s="124"/>
    </row>
    <row r="58" spans="1:14" ht="15.75" customHeight="1" thickBot="1" x14ac:dyDescent="0.3">
      <c r="A58" s="176"/>
      <c r="B58" s="174"/>
      <c r="C58" s="174"/>
      <c r="D58" s="174"/>
      <c r="E58" s="177"/>
      <c r="F58" s="174"/>
      <c r="G58" s="177"/>
      <c r="H58" s="23"/>
      <c r="N58" s="124"/>
    </row>
    <row r="59" spans="1:14" ht="15.75" customHeight="1" x14ac:dyDescent="0.25">
      <c r="A59" s="146" t="str">
        <f>CONCATENATE(B33,CHAR(10),B34,CHAR(10),B35,CHAR(10),B36,CHAR(10),B37,CHAR(10),B38,CHAR(10),B39,CHAR(10),B40,CHAR(10),B41,CHAR(10),B42,CHAR(10),B43,CHAR(10),B44,CHAR(10),B45,CHAR(10),B46,CHAR(10),B47,CHAR(10),B48,CHAR(10),B59,CHAR(10),B60,CHAR(10),B61,CHAR(10),B62,CHAR(10),B63,CHAR(10),B64,B65,D66," ",E66,","," ",B66,B67," ",D33,","," ",Данные!A2," ",Данные!B2,","," ",Данные!B3,"
",A61,)</f>
        <v>Группа г. Железнодорожный ТЦ Центральный
Петров Петр - 0 по 0
Иванов Иван - 16.02 по 09.02
Сидоров Сидр - 0 по 0
Василий Алибабаевич - 0 по 0
Доцент - 0 по 0
Котов Кот - 0 по 0
Смиронов Смирн - 0 по 0
ВАКАНТ - 0 по 0
ВАКАНТ - 0 по 0
Вика - 0 по 0
Светлогор - 0 по 0
ВАКАНТ - 0 по 0
Грачев Грач - 0 по 0
Карпов Карп - 16.01 по 09.02
ВАКАНТ - 0 по 0
Первая поставка - 16.01
Техническое открытие - 31.01
Праздничное открытие - 0
Руководитель проекта - ГС, 8-102
Тренер на объекте - крок, 8-907
_________
Даты командировок указаны без учета дороги! Только даты приезда и отъезда на/с проект(а), при составлении заявки и расчете суточных - учитывайте время необходимое на дорогу!
_________
Электронная почта руководителя проекта,  ГС sg@m.ru, для подачи заявок на получение денежных средств
_______
Адрес объекта: г. Железнодорожный, ТЦ Центральный, Калиновского 1
_________
Коллеги АГЗ, напоминаю о табелировании команды стартап в табеле на google диске и о передаче ссылки УМу перед отъездом и напоминании УМу о табелировании команды стартап в данном табеле!</v>
      </c>
      <c r="B59" s="147" t="str">
        <f>CONCATENATE(C59," - ",TEXT(D59,"ДД.ММ"))</f>
        <v>Первая поставка - 16.01</v>
      </c>
      <c r="C59" s="147" t="s">
        <v>60</v>
      </c>
      <c r="D59" s="263">
        <f>Данные!B11</f>
        <v>43846</v>
      </c>
      <c r="E59" s="147"/>
      <c r="F59" s="150"/>
      <c r="G59" s="151"/>
      <c r="H59" s="23"/>
      <c r="N59" s="124"/>
    </row>
    <row r="60" spans="1:14" ht="15.75" customHeight="1" x14ac:dyDescent="0.25">
      <c r="A60" s="157"/>
      <c r="B60" s="152" t="str">
        <f>CONCATENATE(C60," - ",TEXT(D60,"ДД.ММ"))</f>
        <v>Техническое открытие - 31.01</v>
      </c>
      <c r="C60" s="152" t="s">
        <v>26</v>
      </c>
      <c r="D60" s="264">
        <f>Данные!B12</f>
        <v>43861</v>
      </c>
      <c r="E60" s="152"/>
      <c r="F60" s="159"/>
      <c r="G60" s="160"/>
      <c r="H60" s="23"/>
      <c r="N60" s="124"/>
    </row>
    <row r="61" spans="1:14" ht="15.75" customHeight="1" x14ac:dyDescent="0.25">
      <c r="A61" s="155" t="s">
        <v>85</v>
      </c>
      <c r="B61" s="152" t="str">
        <f>CONCATENATE(C61," - ",D61)</f>
        <v>Праздничное открытие - 0</v>
      </c>
      <c r="C61" s="152" t="s">
        <v>27</v>
      </c>
      <c r="D61" s="158">
        <f>Данные!B13</f>
        <v>0</v>
      </c>
      <c r="E61" s="152"/>
      <c r="F61" s="159"/>
      <c r="G61" s="160"/>
      <c r="H61" s="23"/>
      <c r="N61" s="124"/>
    </row>
    <row r="62" spans="1:14" ht="15.75" customHeight="1" x14ac:dyDescent="0.25">
      <c r="A62" s="157"/>
      <c r="B62" s="152" t="str">
        <f>CONCATENATE(C62," - ",D62,", ",E62)</f>
        <v>Руководитель проекта - ГС, 8-102</v>
      </c>
      <c r="C62" s="152" t="s">
        <v>61</v>
      </c>
      <c r="D62" s="152" t="str">
        <f>Данные!B14</f>
        <v>ГС</v>
      </c>
      <c r="E62" s="152" t="str">
        <f>LOOKUP(D62,I111:I120,J111:J120)</f>
        <v>8-102</v>
      </c>
      <c r="F62" s="159"/>
      <c r="G62" s="160"/>
      <c r="H62" s="23"/>
      <c r="N62" s="124"/>
    </row>
    <row r="63" spans="1:14" ht="15.75" customHeight="1" x14ac:dyDescent="0.25">
      <c r="A63" s="157"/>
      <c r="B63" s="152" t="str">
        <f>CONCATENATE(C63," - ",D63,", ",E63)</f>
        <v>Тренер на объекте - крок, 8-907</v>
      </c>
      <c r="C63" s="152" t="s">
        <v>86</v>
      </c>
      <c r="D63" s="152" t="str">
        <f>LOOKUP(C64,E129:E143,C129:C143)</f>
        <v>крок</v>
      </c>
      <c r="E63" s="152" t="str">
        <f>LOOKUP(D63,C111:C127,D111:D127)</f>
        <v>8-907</v>
      </c>
      <c r="F63" s="159"/>
      <c r="G63" s="160"/>
      <c r="H63" s="23"/>
      <c r="N63" s="124"/>
    </row>
    <row r="64" spans="1:14" ht="15.75" customHeight="1" x14ac:dyDescent="0.25">
      <c r="A64" s="157"/>
      <c r="B64" s="161" t="s">
        <v>81</v>
      </c>
      <c r="C64" s="152">
        <f>Данные!B15</f>
        <v>2</v>
      </c>
      <c r="D64" s="152"/>
      <c r="E64" s="152"/>
      <c r="F64" s="159"/>
      <c r="G64" s="160"/>
      <c r="N64" s="124"/>
    </row>
    <row r="65" spans="1:14" ht="15" x14ac:dyDescent="0.25">
      <c r="A65" s="157"/>
      <c r="B65" s="152" t="s">
        <v>78</v>
      </c>
      <c r="C65" s="152"/>
      <c r="D65" s="162"/>
      <c r="E65" s="159"/>
      <c r="F65" s="152"/>
      <c r="G65" s="163"/>
      <c r="N65" s="124"/>
    </row>
    <row r="66" spans="1:14" ht="45" x14ac:dyDescent="0.25">
      <c r="A66" s="157"/>
      <c r="B66" s="161" t="s">
        <v>80</v>
      </c>
      <c r="C66" s="152" t="s">
        <v>61</v>
      </c>
      <c r="D66" s="152" t="str">
        <f>Данные!B14</f>
        <v>ГС</v>
      </c>
      <c r="E66" s="175" t="str">
        <f>LOOKUP(D62,I111:I120,K111:K120)</f>
        <v>sg@m.ru</v>
      </c>
      <c r="F66" s="152"/>
      <c r="G66" s="163"/>
      <c r="N66" s="124"/>
    </row>
    <row r="67" spans="1:14" thickBot="1" x14ac:dyDescent="0.3">
      <c r="A67" s="164"/>
      <c r="B67" s="156" t="s">
        <v>79</v>
      </c>
      <c r="C67" s="156"/>
      <c r="D67" s="156"/>
      <c r="E67" s="165"/>
      <c r="F67" s="156"/>
      <c r="G67" s="166"/>
      <c r="N67" s="124"/>
    </row>
    <row r="68" spans="1:14" s="178" customFormat="1" thickBot="1" x14ac:dyDescent="0.3">
      <c r="A68" s="179"/>
      <c r="B68" s="85"/>
      <c r="C68" s="85"/>
      <c r="D68" s="85"/>
      <c r="E68" s="180"/>
      <c r="F68" s="85"/>
      <c r="G68" s="181"/>
      <c r="H68" s="182"/>
      <c r="N68" s="183"/>
    </row>
    <row r="69" spans="1:14" thickBot="1" x14ac:dyDescent="0.3">
      <c r="A69" s="184" t="s">
        <v>247</v>
      </c>
      <c r="E69" s="23"/>
      <c r="N69" s="124"/>
    </row>
    <row r="70" spans="1:14" ht="15.75" customHeight="1" x14ac:dyDescent="0.25">
      <c r="A70" s="190" t="str">
        <f>CONCATENATE("РП ",Данные!B1," ",Данные!A2," ",Данные!B2)</f>
        <v>РП Железнодорожный ТЦ Центральный</v>
      </c>
      <c r="B70" s="191"/>
      <c r="C70" s="191"/>
      <c r="D70" s="192" t="str">
        <f>Данные!B1</f>
        <v>Железнодорожный</v>
      </c>
      <c r="E70" s="193"/>
      <c r="F70" s="191"/>
      <c r="G70" s="194"/>
      <c r="N70" s="124"/>
    </row>
    <row r="71" spans="1:14" ht="15.75" customHeight="1" x14ac:dyDescent="0.25">
      <c r="A71" s="307" t="str">
        <f>CONCATENATE(B72,CHAR(10),B73,"
",B74)</f>
        <v>Во вложении файл с датами командировки в г. Железнодорожный старт-ап команды, ФИО участников и их расчетная часть з/п. 
К командировкам всех сотрудников добавлен 1 дня -до и 1 день -после, на заселение и выселение, время требуемое на дорогу до/с объекта не учтено. 
Прошу сообщить о согласовании командировки данных участников.
sg@m.ru</v>
      </c>
      <c r="B71" s="185" t="str">
        <f>CONCATENATE(C71," ", D70," ",E71," ",F71)</f>
        <v>Данные по старт-ап команде г. Железнодорожный ТЦ Центральный</v>
      </c>
      <c r="C71" s="185" t="s">
        <v>65</v>
      </c>
      <c r="D71" s="187" t="str">
        <f>Данные!B1</f>
        <v>Железнодорожный</v>
      </c>
      <c r="E71" s="185" t="s">
        <v>44</v>
      </c>
      <c r="F71" s="186" t="str">
        <f>Данные!B2</f>
        <v>Центральный</v>
      </c>
      <c r="G71" s="195"/>
      <c r="N71" s="124"/>
    </row>
    <row r="72" spans="1:14" ht="15.75" customHeight="1" x14ac:dyDescent="0.25">
      <c r="A72" s="308"/>
      <c r="B72" s="188" t="str">
        <f>CONCATENATE(C72," ", D71," ",E72," ",F72)</f>
        <v xml:space="preserve">Во вложении файл с датами командировки в г. Железнодорожный старт-ап команды, ФИО участников и их расчетная часть з/п. 
К командировкам всех сотрудников добавлен 1 дня -до и 1 день -после, на заселение и выселение, время требуемое на дорогу до/с объекта не учтено. </v>
      </c>
      <c r="C72" s="185" t="s">
        <v>66</v>
      </c>
      <c r="D72" s="185"/>
      <c r="E72" s="189" t="s">
        <v>87</v>
      </c>
      <c r="F72" s="185"/>
      <c r="G72" s="195"/>
    </row>
    <row r="73" spans="1:14" ht="70.150000000000006" customHeight="1" x14ac:dyDescent="0.25">
      <c r="A73" s="308"/>
      <c r="B73" s="188" t="s">
        <v>64</v>
      </c>
      <c r="C73" s="185"/>
      <c r="D73" s="185"/>
      <c r="E73" s="186"/>
      <c r="F73" s="185"/>
      <c r="G73" s="195"/>
    </row>
    <row r="74" spans="1:14" ht="15.75" customHeight="1" thickBot="1" x14ac:dyDescent="0.3">
      <c r="A74" s="309"/>
      <c r="B74" s="196" t="str">
        <f>E66</f>
        <v>sg@m.ru</v>
      </c>
      <c r="C74" s="172"/>
      <c r="D74" s="172"/>
      <c r="E74" s="196"/>
      <c r="F74" s="172"/>
      <c r="G74" s="173"/>
    </row>
    <row r="76" spans="1:14" ht="15.75" customHeight="1" x14ac:dyDescent="0.25">
      <c r="E76" s="23"/>
      <c r="G76" s="23"/>
    </row>
    <row r="77" spans="1:14" ht="15.75" customHeight="1" x14ac:dyDescent="0.25">
      <c r="E77" s="23"/>
      <c r="G77" s="23"/>
    </row>
    <row r="78" spans="1:14" ht="15.75" customHeight="1" x14ac:dyDescent="0.25">
      <c r="E78" s="23"/>
      <c r="G78" s="23"/>
    </row>
    <row r="79" spans="1:14" ht="15.75" customHeight="1" thickBot="1" x14ac:dyDescent="0.3">
      <c r="E79" s="23"/>
      <c r="G79" s="23"/>
    </row>
    <row r="80" spans="1:14" ht="15.75" customHeight="1" thickBot="1" x14ac:dyDescent="0.3">
      <c r="A80" s="126" t="s">
        <v>73</v>
      </c>
      <c r="E80" s="23"/>
      <c r="G80" s="23"/>
    </row>
    <row r="81" spans="1:5" ht="15.75" customHeight="1" x14ac:dyDescent="0.25">
      <c r="A81" s="123" t="str">
        <f>CONCATENATE("УМ ",Данные!B1," ",Данные!A2," ",Данные!B2)</f>
        <v>УМ Железнодорожный ТЦ Центральный</v>
      </c>
      <c r="B81" s="100"/>
    </row>
    <row r="82" spans="1:5" ht="15.75" customHeight="1" x14ac:dyDescent="0.25">
      <c r="A82" s="310" t="str">
        <f>CONCATENATE(B82,
CHAR(10),B85,CHAR(10),B86,CHAR(10),B87,CHAR(10),B88,CHAR(10),B89,CHAR(10),B90,CHAR(10),B91,CHAR(10),B92,CHAR(10),B93,CHAR(10),B94,CHAR(10),B95,CHAR(10),B96,CHAR(10),B97,CHAR(10),B98,CHAR(10),B99,CHAR(10),B100,CHAR(10),B101,CHAR(10),B102,CHAR(10),B103,CHAR(10),B104,CHAR(10),B105,CHAR(10),B106,CHAR(10),B107,CHAR(10),B108,
CHAR(10),B83,B84,)</f>
        <v>Уважаемые Управляющие, довожу до вашего сведения о предстоящей командировке ваших сотрудников:
Петров Петр с 0 по 0       direktor-179 
Иванов Иван с 16.02 по 09.02       direktor-086 
Сидоров Сидр с 0 по 0        direktor-212 
Василий Алибабаевич с 0 по 0        direktor-213 
Доцент с 0 по 0        direktor-214 
Котов Кот с 0 по 0       direktor-008 
Смиронов Смирн с 0 по 0       direktor-016 
ВАКАНТ с 0 по 0       0 
ВАКАНТ с 0 по 0       0 
Вика с 0 по 0       direktor-184@ 
Светлогор с 0 по 0       direktor-180@ 
ВАКАНТ с 0 по 0       0 
Грачев Грач с 0 по 0       direktor-136 
Карпов Карп с 16.01 по 09.02       direktor-137 
ВАКАНТ с 0 по 0       0 
ВАКАНТ с 0 по 0       0 
ВАКАНТ с 0 по 0       0 
Митя с 0 по 0       direktor-008  
Настя с 0 по 0       direktor-109  
Коля с 0 по 0       direktor-092  
Игорь с 0 по 0       direktor-004  
Викор с 0 по 0       direktor-221  
Дима с 0 по 0       direktor-160  
Саша с 0 по 0       direktor-082  
Даты указаны без учета затраченного времени на дорогу к месту командировки и возвращения из нее: только даты приезда на проект и отъезда с него. Точную дату выезда в командировку и дату возвращения из нее Ваш сотрудник предоставит после покупки билетов.
Необходимо учесть данный интервал дат при составлении табеля рабочего времени в Вашем магазине: один день до и два дня после обязательные выходные!
Прошу подтвердить получение данного письма.</v>
      </c>
      <c r="B82" s="101" t="s">
        <v>74</v>
      </c>
      <c r="E82" s="23"/>
    </row>
    <row r="83" spans="1:5" ht="15.75" customHeight="1" x14ac:dyDescent="0.25">
      <c r="A83" s="311"/>
      <c r="B83" s="197" t="s">
        <v>75</v>
      </c>
    </row>
    <row r="84" spans="1:5" ht="15.75" customHeight="1" x14ac:dyDescent="0.25">
      <c r="A84" s="311"/>
      <c r="B84" s="198" t="s">
        <v>76</v>
      </c>
    </row>
    <row r="85" spans="1:5" ht="15.75" customHeight="1" x14ac:dyDescent="0.25">
      <c r="A85" s="311"/>
      <c r="B85" s="199" t="str">
        <f>CONCATENATE(I2," ",D2," ",E2," ",F2," ",G2," "," "," "," "," "," "," ",X2," ",Y2)</f>
        <v xml:space="preserve">Петров Петр с 0 по 0       direktor-179 </v>
      </c>
    </row>
    <row r="86" spans="1:5" ht="15.75" customHeight="1" x14ac:dyDescent="0.25">
      <c r="A86" s="311"/>
      <c r="B86" s="199" t="str">
        <f t="shared" ref="B86:B108" si="4">CONCATENATE(I3," ",D3," ",E3," ",F3," ",G3," "," "," "," "," "," "," ",X3," ",Y3)</f>
        <v xml:space="preserve">Иванов Иван с 16.02 по 09.02       direktor-086 </v>
      </c>
    </row>
    <row r="87" spans="1:5" ht="15.75" customHeight="1" x14ac:dyDescent="0.25">
      <c r="A87" s="311"/>
      <c r="B87" s="199" t="str">
        <f t="shared" si="4"/>
        <v xml:space="preserve">Сидоров Сидр с 0 по 0        direktor-212 </v>
      </c>
    </row>
    <row r="88" spans="1:5" ht="15.75" customHeight="1" x14ac:dyDescent="0.25">
      <c r="A88" s="311"/>
      <c r="B88" s="199" t="str">
        <f t="shared" si="4"/>
        <v xml:space="preserve">Василий Алибабаевич с 0 по 0        direktor-213 </v>
      </c>
    </row>
    <row r="89" spans="1:5" ht="15.75" customHeight="1" x14ac:dyDescent="0.25">
      <c r="A89" s="311"/>
      <c r="B89" s="199" t="str">
        <f t="shared" si="4"/>
        <v xml:space="preserve">Доцент с 0 по 0        direktor-214 </v>
      </c>
    </row>
    <row r="90" spans="1:5" ht="15.75" customHeight="1" x14ac:dyDescent="0.25">
      <c r="A90" s="311"/>
      <c r="B90" s="199" t="str">
        <f t="shared" si="4"/>
        <v xml:space="preserve">Котов Кот с 0 по 0       direktor-008 </v>
      </c>
    </row>
    <row r="91" spans="1:5" ht="15.75" customHeight="1" x14ac:dyDescent="0.25">
      <c r="A91" s="311"/>
      <c r="B91" s="199" t="str">
        <f t="shared" si="4"/>
        <v xml:space="preserve">Смиронов Смирн с 0 по 0       direktor-016 </v>
      </c>
    </row>
    <row r="92" spans="1:5" ht="15.75" customHeight="1" x14ac:dyDescent="0.25">
      <c r="A92" s="311"/>
      <c r="B92" s="199" t="str">
        <f t="shared" si="4"/>
        <v xml:space="preserve">ВАКАНТ с 0 по 0       0 </v>
      </c>
    </row>
    <row r="93" spans="1:5" ht="15.75" customHeight="1" x14ac:dyDescent="0.25">
      <c r="A93" s="311"/>
      <c r="B93" s="199" t="str">
        <f t="shared" si="4"/>
        <v xml:space="preserve">ВАКАНТ с 0 по 0       0 </v>
      </c>
    </row>
    <row r="94" spans="1:5" ht="15.75" customHeight="1" x14ac:dyDescent="0.25">
      <c r="A94" s="311"/>
      <c r="B94" s="199" t="str">
        <f t="shared" si="4"/>
        <v xml:space="preserve">Вика с 0 по 0       direktor-184@ </v>
      </c>
    </row>
    <row r="95" spans="1:5" ht="15.75" customHeight="1" x14ac:dyDescent="0.25">
      <c r="A95" s="311"/>
      <c r="B95" s="199" t="str">
        <f t="shared" si="4"/>
        <v xml:space="preserve">Светлогор с 0 по 0       direktor-180@ </v>
      </c>
    </row>
    <row r="96" spans="1:5" ht="15.75" customHeight="1" x14ac:dyDescent="0.25">
      <c r="A96" s="311"/>
      <c r="B96" s="199" t="str">
        <f t="shared" si="4"/>
        <v xml:space="preserve">ВАКАНТ с 0 по 0       0 </v>
      </c>
    </row>
    <row r="97" spans="1:11" ht="15.75" customHeight="1" x14ac:dyDescent="0.25">
      <c r="A97" s="311"/>
      <c r="B97" s="199" t="str">
        <f t="shared" si="4"/>
        <v xml:space="preserve">Грачев Грач с 0 по 0       direktor-136 </v>
      </c>
    </row>
    <row r="98" spans="1:11" ht="15.75" customHeight="1" x14ac:dyDescent="0.25">
      <c r="A98" s="311"/>
      <c r="B98" s="199" t="str">
        <f t="shared" si="4"/>
        <v xml:space="preserve">Карпов Карп с 16.01 по 09.02       direktor-137 </v>
      </c>
    </row>
    <row r="99" spans="1:11" ht="15.75" customHeight="1" x14ac:dyDescent="0.25">
      <c r="A99" s="311"/>
      <c r="B99" s="199" t="str">
        <f t="shared" si="4"/>
        <v xml:space="preserve">ВАКАНТ с 0 по 0       0 </v>
      </c>
    </row>
    <row r="100" spans="1:11" ht="15.75" customHeight="1" x14ac:dyDescent="0.25">
      <c r="A100" s="311"/>
      <c r="B100" s="199" t="str">
        <f t="shared" si="4"/>
        <v xml:space="preserve">ВАКАНТ с 0 по 0       0 </v>
      </c>
    </row>
    <row r="101" spans="1:11" ht="15.75" customHeight="1" x14ac:dyDescent="0.25">
      <c r="A101" s="311"/>
      <c r="B101" s="199" t="str">
        <f t="shared" si="4"/>
        <v xml:space="preserve">ВАКАНТ с 0 по 0       0 </v>
      </c>
    </row>
    <row r="102" spans="1:11" ht="15.75" customHeight="1" x14ac:dyDescent="0.25">
      <c r="A102" s="311"/>
      <c r="B102" s="199" t="str">
        <f t="shared" si="4"/>
        <v xml:space="preserve">Митя с 0 по 0       direktor-008  </v>
      </c>
    </row>
    <row r="103" spans="1:11" ht="15.75" customHeight="1" x14ac:dyDescent="0.25">
      <c r="A103" s="311"/>
      <c r="B103" s="199" t="str">
        <f t="shared" si="4"/>
        <v xml:space="preserve">Настя с 0 по 0       direktor-109  </v>
      </c>
    </row>
    <row r="104" spans="1:11" ht="15.75" customHeight="1" x14ac:dyDescent="0.25">
      <c r="A104" s="311"/>
      <c r="B104" s="199" t="str">
        <f t="shared" si="4"/>
        <v xml:space="preserve">Коля с 0 по 0       direktor-092  </v>
      </c>
    </row>
    <row r="105" spans="1:11" ht="15.75" customHeight="1" x14ac:dyDescent="0.25">
      <c r="A105" s="311"/>
      <c r="B105" s="199" t="str">
        <f t="shared" si="4"/>
        <v xml:space="preserve">Игорь с 0 по 0       direktor-004  </v>
      </c>
    </row>
    <row r="106" spans="1:11" ht="15.75" customHeight="1" x14ac:dyDescent="0.25">
      <c r="A106" s="311"/>
      <c r="B106" s="199" t="str">
        <f t="shared" si="4"/>
        <v xml:space="preserve">Викор с 0 по 0       direktor-221  </v>
      </c>
    </row>
    <row r="107" spans="1:11" ht="15.75" customHeight="1" x14ac:dyDescent="0.25">
      <c r="A107" s="311"/>
      <c r="B107" s="199" t="str">
        <f t="shared" si="4"/>
        <v xml:space="preserve">Дима с 0 по 0       direktor-160  </v>
      </c>
    </row>
    <row r="108" spans="1:11" ht="15.75" customHeight="1" thickBot="1" x14ac:dyDescent="0.3">
      <c r="A108" s="312"/>
      <c r="B108" s="199" t="str">
        <f t="shared" si="4"/>
        <v xml:space="preserve">Саша с 0 по 0       direktor-082  </v>
      </c>
    </row>
    <row r="109" spans="1:11" ht="15.75" customHeight="1" thickBot="1" x14ac:dyDescent="0.3">
      <c r="B109" s="76"/>
    </row>
    <row r="110" spans="1:11" ht="15.75" customHeight="1" x14ac:dyDescent="0.25">
      <c r="B110" s="76"/>
      <c r="C110" s="267" t="s">
        <v>63</v>
      </c>
      <c r="D110" s="95"/>
      <c r="E110" s="89"/>
      <c r="I110" s="268" t="s">
        <v>62</v>
      </c>
      <c r="J110" s="99" t="s">
        <v>33</v>
      </c>
      <c r="K110" s="100" t="s">
        <v>77</v>
      </c>
    </row>
    <row r="111" spans="1:11" ht="15.75" customHeight="1" x14ac:dyDescent="0.25">
      <c r="B111" s="76"/>
      <c r="C111" s="86" t="s">
        <v>195</v>
      </c>
      <c r="D111" s="96" t="s">
        <v>180</v>
      </c>
      <c r="E111" s="90">
        <v>10</v>
      </c>
      <c r="I111" s="102" t="s">
        <v>197</v>
      </c>
      <c r="J111" s="34" t="s">
        <v>205</v>
      </c>
      <c r="K111" s="14" t="s">
        <v>214</v>
      </c>
    </row>
    <row r="112" spans="1:11" ht="15.75" customHeight="1" x14ac:dyDescent="0.25">
      <c r="C112" s="86" t="s">
        <v>168</v>
      </c>
      <c r="D112" s="96" t="s">
        <v>181</v>
      </c>
      <c r="E112" s="90">
        <v>3</v>
      </c>
      <c r="I112" s="102" t="s">
        <v>223</v>
      </c>
      <c r="J112" s="34" t="s">
        <v>206</v>
      </c>
      <c r="K112" s="14" t="s">
        <v>215</v>
      </c>
    </row>
    <row r="113" spans="1:11" ht="15.75" customHeight="1" x14ac:dyDescent="0.25">
      <c r="C113" s="201" t="s">
        <v>167</v>
      </c>
      <c r="D113" s="96" t="s">
        <v>182</v>
      </c>
      <c r="E113" s="90">
        <v>7</v>
      </c>
      <c r="I113" s="102" t="s">
        <v>198</v>
      </c>
      <c r="J113" s="34" t="s">
        <v>207</v>
      </c>
      <c r="K113" s="14" t="s">
        <v>216</v>
      </c>
    </row>
    <row r="114" spans="1:11" ht="15.75" customHeight="1" x14ac:dyDescent="0.25">
      <c r="C114" s="86" t="s">
        <v>169</v>
      </c>
      <c r="D114" s="96" t="s">
        <v>183</v>
      </c>
      <c r="E114" s="90">
        <v>6</v>
      </c>
      <c r="I114" s="102" t="s">
        <v>199</v>
      </c>
      <c r="J114" s="34" t="s">
        <v>208</v>
      </c>
      <c r="K114" s="14" t="s">
        <v>217</v>
      </c>
    </row>
    <row r="115" spans="1:11" ht="15.75" customHeight="1" x14ac:dyDescent="0.25">
      <c r="A115" s="200"/>
      <c r="C115" s="86" t="s">
        <v>196</v>
      </c>
      <c r="D115" s="96" t="s">
        <v>184</v>
      </c>
      <c r="E115" s="90">
        <v>15</v>
      </c>
      <c r="I115" s="102" t="s">
        <v>200</v>
      </c>
      <c r="J115" s="34" t="s">
        <v>209</v>
      </c>
      <c r="K115" s="14" t="s">
        <v>218</v>
      </c>
    </row>
    <row r="116" spans="1:11" ht="15.75" customHeight="1" x14ac:dyDescent="0.25">
      <c r="C116" s="86" t="s">
        <v>170</v>
      </c>
      <c r="D116" s="96" t="s">
        <v>185</v>
      </c>
      <c r="E116" s="90">
        <v>14</v>
      </c>
      <c r="I116" s="102" t="s">
        <v>201</v>
      </c>
      <c r="J116" s="34" t="s">
        <v>210</v>
      </c>
      <c r="K116" s="14" t="s">
        <v>219</v>
      </c>
    </row>
    <row r="117" spans="1:11" ht="15.75" customHeight="1" x14ac:dyDescent="0.25">
      <c r="C117" s="86" t="s">
        <v>171</v>
      </c>
      <c r="D117" s="96" t="s">
        <v>186</v>
      </c>
      <c r="E117" s="90">
        <v>1</v>
      </c>
      <c r="I117" s="102" t="s">
        <v>202</v>
      </c>
      <c r="J117" s="34" t="s">
        <v>211</v>
      </c>
      <c r="K117" s="14" t="s">
        <v>220</v>
      </c>
    </row>
    <row r="118" spans="1:11" ht="15.75" customHeight="1" x14ac:dyDescent="0.25">
      <c r="C118" s="86" t="s">
        <v>172</v>
      </c>
      <c r="D118" s="96" t="s">
        <v>187</v>
      </c>
      <c r="E118" s="90">
        <v>2</v>
      </c>
      <c r="I118" s="102" t="s">
        <v>203</v>
      </c>
      <c r="J118" s="34" t="s">
        <v>212</v>
      </c>
      <c r="K118" s="14" t="s">
        <v>221</v>
      </c>
    </row>
    <row r="119" spans="1:11" ht="15.75" customHeight="1" x14ac:dyDescent="0.25">
      <c r="C119" s="86" t="s">
        <v>173</v>
      </c>
      <c r="D119" s="96" t="s">
        <v>188</v>
      </c>
      <c r="E119" s="90">
        <v>4</v>
      </c>
      <c r="I119" s="102" t="s">
        <v>204</v>
      </c>
      <c r="J119" s="34" t="s">
        <v>213</v>
      </c>
      <c r="K119" s="14" t="s">
        <v>222</v>
      </c>
    </row>
    <row r="120" spans="1:11" ht="15.75" customHeight="1" thickBot="1" x14ac:dyDescent="0.3">
      <c r="C120" s="201" t="s">
        <v>174</v>
      </c>
      <c r="D120" s="96" t="s">
        <v>189</v>
      </c>
      <c r="E120" s="90">
        <v>9</v>
      </c>
      <c r="I120" s="103"/>
      <c r="J120" s="104"/>
      <c r="K120" s="249"/>
    </row>
    <row r="121" spans="1:11" ht="15.75" customHeight="1" x14ac:dyDescent="0.25">
      <c r="C121" s="201" t="s">
        <v>175</v>
      </c>
      <c r="D121" s="96" t="s">
        <v>190</v>
      </c>
      <c r="E121" s="92">
        <v>8</v>
      </c>
    </row>
    <row r="122" spans="1:11" ht="15.75" customHeight="1" x14ac:dyDescent="0.25">
      <c r="C122" s="202" t="s">
        <v>176</v>
      </c>
      <c r="D122" s="96" t="s">
        <v>191</v>
      </c>
      <c r="E122" s="90">
        <v>5</v>
      </c>
    </row>
    <row r="123" spans="1:11" ht="15.75" customHeight="1" x14ac:dyDescent="0.25">
      <c r="C123" s="203" t="s">
        <v>177</v>
      </c>
      <c r="D123" s="96" t="s">
        <v>192</v>
      </c>
      <c r="E123" s="90">
        <v>13</v>
      </c>
    </row>
    <row r="124" spans="1:11" ht="15.75" customHeight="1" x14ac:dyDescent="0.25">
      <c r="C124" s="87"/>
      <c r="D124" s="97"/>
      <c r="E124" s="91"/>
    </row>
    <row r="125" spans="1:11" ht="15.75" customHeight="1" x14ac:dyDescent="0.25">
      <c r="C125" s="87"/>
      <c r="D125" s="97"/>
      <c r="E125" s="93"/>
    </row>
    <row r="126" spans="1:11" ht="15.75" customHeight="1" x14ac:dyDescent="0.25">
      <c r="C126" s="86" t="s">
        <v>178</v>
      </c>
      <c r="D126" s="250" t="s">
        <v>193</v>
      </c>
      <c r="E126" s="90">
        <v>11</v>
      </c>
    </row>
    <row r="127" spans="1:11" ht="15.75" customHeight="1" thickBot="1" x14ac:dyDescent="0.3">
      <c r="C127" s="88" t="s">
        <v>179</v>
      </c>
      <c r="D127" s="98" t="s">
        <v>194</v>
      </c>
      <c r="E127" s="94">
        <v>12</v>
      </c>
    </row>
    <row r="128" spans="1:11" ht="15.75" customHeight="1" thickBot="1" x14ac:dyDescent="0.3"/>
    <row r="129" spans="3:5" ht="15.75" customHeight="1" thickBot="1" x14ac:dyDescent="0.3">
      <c r="C129" s="86" t="s">
        <v>171</v>
      </c>
      <c r="D129" s="96" t="s">
        <v>186</v>
      </c>
      <c r="E129" s="35">
        <v>1</v>
      </c>
    </row>
    <row r="130" spans="3:5" ht="15.75" customHeight="1" thickBot="1" x14ac:dyDescent="0.3">
      <c r="C130" s="86" t="s">
        <v>172</v>
      </c>
      <c r="D130" s="96" t="s">
        <v>187</v>
      </c>
      <c r="E130" s="36">
        <v>2</v>
      </c>
    </row>
    <row r="131" spans="3:5" ht="15.75" customHeight="1" thickBot="1" x14ac:dyDescent="0.3">
      <c r="C131" s="86" t="s">
        <v>168</v>
      </c>
      <c r="D131" s="96" t="s">
        <v>181</v>
      </c>
      <c r="E131" s="36">
        <v>3</v>
      </c>
    </row>
    <row r="132" spans="3:5" ht="15.75" customHeight="1" thickBot="1" x14ac:dyDescent="0.3">
      <c r="C132" s="86" t="s">
        <v>173</v>
      </c>
      <c r="D132" s="96" t="s">
        <v>188</v>
      </c>
      <c r="E132" s="36">
        <v>4</v>
      </c>
    </row>
    <row r="133" spans="3:5" ht="15.75" customHeight="1" thickBot="1" x14ac:dyDescent="0.3">
      <c r="C133" s="202" t="s">
        <v>176</v>
      </c>
      <c r="D133" s="96" t="s">
        <v>191</v>
      </c>
      <c r="E133" s="36">
        <v>5</v>
      </c>
    </row>
    <row r="134" spans="3:5" ht="15.75" customHeight="1" thickBot="1" x14ac:dyDescent="0.3">
      <c r="C134" s="86" t="s">
        <v>169</v>
      </c>
      <c r="D134" s="96" t="s">
        <v>183</v>
      </c>
      <c r="E134" s="36">
        <v>6</v>
      </c>
    </row>
    <row r="135" spans="3:5" ht="15.75" customHeight="1" thickBot="1" x14ac:dyDescent="0.3">
      <c r="C135" s="201" t="s">
        <v>167</v>
      </c>
      <c r="D135" s="96" t="s">
        <v>182</v>
      </c>
      <c r="E135" s="36">
        <v>7</v>
      </c>
    </row>
    <row r="136" spans="3:5" ht="15.75" customHeight="1" thickBot="1" x14ac:dyDescent="0.3">
      <c r="C136" s="201" t="s">
        <v>175</v>
      </c>
      <c r="D136" s="96" t="s">
        <v>190</v>
      </c>
      <c r="E136" s="36">
        <v>8</v>
      </c>
    </row>
    <row r="137" spans="3:5" ht="15.75" customHeight="1" thickBot="1" x14ac:dyDescent="0.3">
      <c r="C137" s="201" t="s">
        <v>174</v>
      </c>
      <c r="D137" s="96" t="s">
        <v>189</v>
      </c>
      <c r="E137" s="36">
        <v>9</v>
      </c>
    </row>
    <row r="138" spans="3:5" ht="15.75" customHeight="1" thickBot="1" x14ac:dyDescent="0.3">
      <c r="C138" s="86" t="s">
        <v>195</v>
      </c>
      <c r="D138" s="96" t="s">
        <v>180</v>
      </c>
      <c r="E138" s="36">
        <v>10</v>
      </c>
    </row>
    <row r="139" spans="3:5" ht="15.75" customHeight="1" thickBot="1" x14ac:dyDescent="0.3">
      <c r="C139" s="86" t="s">
        <v>178</v>
      </c>
      <c r="D139" s="250" t="s">
        <v>193</v>
      </c>
      <c r="E139" s="36">
        <v>11</v>
      </c>
    </row>
    <row r="140" spans="3:5" ht="15.75" customHeight="1" thickBot="1" x14ac:dyDescent="0.3">
      <c r="C140" s="88" t="s">
        <v>179</v>
      </c>
      <c r="D140" s="98" t="s">
        <v>194</v>
      </c>
      <c r="E140" s="84">
        <v>12</v>
      </c>
    </row>
    <row r="141" spans="3:5" ht="15.75" customHeight="1" thickBot="1" x14ac:dyDescent="0.3">
      <c r="C141" s="203" t="s">
        <v>177</v>
      </c>
      <c r="D141" s="96" t="s">
        <v>192</v>
      </c>
      <c r="E141" s="36">
        <v>13</v>
      </c>
    </row>
    <row r="142" spans="3:5" ht="15.75" customHeight="1" thickBot="1" x14ac:dyDescent="0.3">
      <c r="C142" s="86" t="s">
        <v>170</v>
      </c>
      <c r="D142" s="96" t="s">
        <v>185</v>
      </c>
      <c r="E142" s="36">
        <v>14</v>
      </c>
    </row>
    <row r="143" spans="3:5" ht="15.75" customHeight="1" thickBot="1" x14ac:dyDescent="0.3">
      <c r="C143" s="86" t="s">
        <v>196</v>
      </c>
      <c r="D143" s="96" t="s">
        <v>184</v>
      </c>
      <c r="E143" s="36">
        <v>15</v>
      </c>
    </row>
  </sheetData>
  <sheetProtection formatCells="0" formatColumns="0" formatRows="0" insertColumns="0" insertRows="0" insertHyperlinks="0" deleteColumns="0" deleteRows="0" sort="0" autoFilter="0" pivotTables="0"/>
  <sortState ref="I22:J34">
    <sortCondition ref="I22:I34"/>
  </sortState>
  <mergeCells count="3">
    <mergeCell ref="A71:A74"/>
    <mergeCell ref="A82:A108"/>
    <mergeCell ref="A34:A57"/>
  </mergeCells>
  <hyperlinks>
    <hyperlink ref="X2" r:id="rId1" display="direktor-008@galamart.ru"/>
    <hyperlink ref="X3" r:id="rId2" display="direktor-008@galamart.ru"/>
    <hyperlink ref="X4" r:id="rId3" display="direktor-008@galamart.ru"/>
    <hyperlink ref="X5" r:id="rId4" display="direktor-008@galamart.ru"/>
    <hyperlink ref="X6" r:id="rId5" display="direktor-008@galamart.ru"/>
    <hyperlink ref="X7" r:id="rId6" display="direktor-008@galamart.ru"/>
    <hyperlink ref="X8" r:id="rId7" display="direktor-008@galamart.ru"/>
    <hyperlink ref="X9" r:id="rId8" display="direktor-008@galamart.ru"/>
    <hyperlink ref="X10" r:id="rId9" display="direktor-008@galamart.ru"/>
    <hyperlink ref="X11" r:id="rId10" display="direktor-008@galamart.ru"/>
    <hyperlink ref="X12" r:id="rId11" display="direktor-008@galamart.ru"/>
    <hyperlink ref="X13" r:id="rId12" display="direktor-008@galamart.ru"/>
    <hyperlink ref="X14" r:id="rId13" display="direktor-008@galamart.ru"/>
    <hyperlink ref="X15" r:id="rId14" display="direktor-008@galamart.ru"/>
    <hyperlink ref="X16" r:id="rId15" display="direktor-008@galamart.ru"/>
    <hyperlink ref="X17" r:id="rId16" display="direktor-008@galamart.ru"/>
    <hyperlink ref="X18" r:id="rId17" display="direktor-008@galamart.ru"/>
    <hyperlink ref="X19" r:id="rId18" display="direktor-008@galamart.ru"/>
    <hyperlink ref="X20" r:id="rId19" display="direktor-008@galamart.ru"/>
    <hyperlink ref="X21" r:id="rId20" display="direktor-008@galamart.ru"/>
    <hyperlink ref="X22" r:id="rId21" display="direktor-008@galamart.ru"/>
    <hyperlink ref="X23" r:id="rId22" display="direktor-008@galamart.ru"/>
    <hyperlink ref="X24" r:id="rId23" display="direktor-008@galamart.ru"/>
    <hyperlink ref="X25" r:id="rId24" display="direktor-008@galamart.ru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ФинЧасть</vt:lpstr>
      <vt:lpstr>Заявка</vt:lpstr>
      <vt:lpstr>Данные</vt:lpstr>
      <vt:lpstr>Персонал</vt:lpstr>
      <vt:lpstr>Формулы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2020-12-11T23:30:46Z</dcterms:modified>
</cp:coreProperties>
</file>