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0490" windowHeight="5355"/>
  </bookViews>
  <sheets>
    <sheet name="Январь" sheetId="1" r:id="rId1"/>
    <sheet name="Лист1" sheetId="2" r:id="rId2"/>
  </sheets>
  <definedNames>
    <definedName name="_xlnm._FilterDatabase" localSheetId="0" hidden="1">Январь!$A$1:$U$11</definedName>
    <definedName name="Выбор">#REF!</definedName>
    <definedName name="Завершено">#REF!</definedName>
    <definedName name="к">#REF!</definedName>
    <definedName name="Решение">#REF!</definedName>
    <definedName name="Список">Январь!#REF!</definedName>
    <definedName name="Список2">#REF!</definedName>
    <definedName name="Статус">#REF!</definedName>
    <definedName name="Статус2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5" i="1"/>
  <c r="F4" i="1"/>
  <c r="F3" i="1"/>
  <c r="F2" i="1"/>
  <c r="E11" i="1"/>
  <c r="E10" i="1"/>
  <c r="E9" i="1"/>
  <c r="E8" i="1"/>
  <c r="E7" i="1"/>
  <c r="E6" i="1"/>
  <c r="E5" i="1"/>
  <c r="E4" i="1"/>
  <c r="E3" i="1"/>
  <c r="E2" i="1"/>
  <c r="O15" i="2"/>
  <c r="O14" i="2"/>
  <c r="O13" i="2"/>
  <c r="O4" i="2"/>
  <c r="L15" i="2"/>
  <c r="L14" i="2"/>
  <c r="L13" i="2"/>
  <c r="L12" i="2"/>
  <c r="L11" i="2"/>
  <c r="L10" i="2"/>
  <c r="L9" i="2"/>
  <c r="L8" i="2"/>
  <c r="L7" i="2"/>
  <c r="L6" i="2"/>
  <c r="L5" i="2"/>
  <c r="L4" i="2"/>
  <c r="H12" i="2"/>
  <c r="H11" i="2"/>
  <c r="H10" i="2"/>
  <c r="H9" i="2"/>
  <c r="H8" i="2"/>
  <c r="H7" i="2"/>
  <c r="H6" i="2"/>
  <c r="H5" i="2"/>
  <c r="H4" i="2"/>
  <c r="I15" i="2"/>
  <c r="E9" i="2"/>
  <c r="E11" i="2" s="1"/>
  <c r="E13" i="2" s="1"/>
  <c r="E8" i="2"/>
  <c r="E10" i="2" s="1"/>
  <c r="E12" i="2" s="1"/>
  <c r="E14" i="2" s="1"/>
  <c r="F9" i="2"/>
  <c r="F11" i="2" s="1"/>
  <c r="F13" i="2" s="1"/>
  <c r="F8" i="2"/>
  <c r="F10" i="2" s="1"/>
  <c r="F12" i="2" s="1"/>
  <c r="I11" i="2"/>
  <c r="I10" i="2"/>
  <c r="I12" i="2" s="1"/>
  <c r="I14" i="2" s="1"/>
  <c r="I9" i="2"/>
  <c r="I8" i="2"/>
  <c r="I7" i="2"/>
  <c r="I6" i="2"/>
  <c r="F7" i="2"/>
  <c r="E7" i="2"/>
  <c r="E6" i="2"/>
  <c r="G11" i="1"/>
  <c r="G10" i="1"/>
  <c r="G9" i="1"/>
  <c r="G8" i="1"/>
  <c r="G7" i="1"/>
  <c r="G6" i="1"/>
  <c r="G5" i="1"/>
  <c r="G4" i="1"/>
  <c r="G3" i="1"/>
  <c r="G2" i="1"/>
  <c r="P3" i="1" l="1"/>
  <c r="H3" i="1"/>
  <c r="I3" i="1" s="1"/>
  <c r="J3" i="1" s="1"/>
  <c r="K3" i="1" s="1"/>
  <c r="P4" i="1"/>
  <c r="H4" i="1"/>
  <c r="I4" i="1" s="1"/>
  <c r="J4" i="1" s="1"/>
  <c r="K4" i="1" s="1"/>
  <c r="T5" i="1"/>
  <c r="H5" i="1"/>
  <c r="I5" i="1" s="1"/>
  <c r="J5" i="1" s="1"/>
  <c r="K5" i="1" s="1"/>
  <c r="T6" i="1"/>
  <c r="H6" i="1"/>
  <c r="N6" i="1" s="1"/>
  <c r="O6" i="1" s="1"/>
  <c r="P7" i="1"/>
  <c r="H7" i="1"/>
  <c r="L7" i="1" s="1"/>
  <c r="M7" i="1" s="1"/>
  <c r="H8" i="1"/>
  <c r="I8" i="1" s="1"/>
  <c r="J8" i="1" s="1"/>
  <c r="K8" i="1" s="1"/>
  <c r="H9" i="1"/>
  <c r="I9" i="1" s="1"/>
  <c r="J9" i="1" s="1"/>
  <c r="K9" i="1" s="1"/>
  <c r="R10" i="1"/>
  <c r="H10" i="1"/>
  <c r="N10" i="1" s="1"/>
  <c r="O10" i="1" s="1"/>
  <c r="P11" i="1"/>
  <c r="H11" i="1"/>
  <c r="L11" i="1" s="1"/>
  <c r="M11" i="1" s="1"/>
  <c r="P8" i="1" l="1"/>
  <c r="S6" i="1"/>
  <c r="R7" i="1"/>
  <c r="S7" i="1" s="1"/>
  <c r="T9" i="1"/>
  <c r="R6" i="1"/>
  <c r="P9" i="1"/>
  <c r="I7" i="1"/>
  <c r="J7" i="1" s="1"/>
  <c r="K7" i="1" s="1"/>
  <c r="Q7" i="1" s="1"/>
  <c r="N7" i="1"/>
  <c r="O7" i="1" s="1"/>
  <c r="I6" i="1"/>
  <c r="J6" i="1" s="1"/>
  <c r="K6" i="1" s="1"/>
  <c r="U6" i="1" s="1"/>
  <c r="P6" i="1"/>
  <c r="N4" i="1"/>
  <c r="O4" i="1" s="1"/>
  <c r="L3" i="1"/>
  <c r="M3" i="1" s="1"/>
  <c r="U3" i="1"/>
  <c r="Q6" i="1"/>
  <c r="N8" i="1"/>
  <c r="O8" i="1" s="1"/>
  <c r="U7" i="1"/>
  <c r="P5" i="1"/>
  <c r="Q9" i="1"/>
  <c r="Q5" i="1"/>
  <c r="L8" i="1"/>
  <c r="M8" i="1" s="1"/>
  <c r="Q8" i="1" s="1"/>
  <c r="L4" i="1"/>
  <c r="M4" i="1" s="1"/>
  <c r="R3" i="1"/>
  <c r="S3" i="1" s="1"/>
  <c r="Q4" i="1"/>
  <c r="N3" i="1"/>
  <c r="O3" i="1" s="1"/>
  <c r="Q3" i="1"/>
  <c r="U11" i="1"/>
  <c r="N11" i="1"/>
  <c r="O11" i="1" s="1"/>
  <c r="I11" i="1"/>
  <c r="J11" i="1" s="1"/>
  <c r="K11" i="1" s="1"/>
  <c r="Q11" i="1"/>
  <c r="R11" i="1"/>
  <c r="S11" i="1" s="1"/>
  <c r="P10" i="1"/>
  <c r="T10" i="1"/>
  <c r="L10" i="1"/>
  <c r="M10" i="1" s="1"/>
  <c r="S10" i="1"/>
  <c r="I10" i="1"/>
  <c r="J10" i="1" s="1"/>
  <c r="K10" i="1" s="1"/>
  <c r="Q10" i="1" s="1"/>
  <c r="L9" i="1"/>
  <c r="M9" i="1" s="1"/>
  <c r="L5" i="1"/>
  <c r="M5" i="1" s="1"/>
  <c r="R8" i="1"/>
  <c r="S8" i="1" s="1"/>
  <c r="R4" i="1"/>
  <c r="S4" i="1" s="1"/>
  <c r="T11" i="1"/>
  <c r="R9" i="1"/>
  <c r="S9" i="1" s="1"/>
  <c r="N9" i="1"/>
  <c r="O9" i="1" s="1"/>
  <c r="U8" i="1"/>
  <c r="T7" i="1"/>
  <c r="R5" i="1"/>
  <c r="S5" i="1" s="1"/>
  <c r="N5" i="1"/>
  <c r="O5" i="1" s="1"/>
  <c r="T3" i="1"/>
  <c r="L6" i="1"/>
  <c r="M6" i="1" s="1"/>
  <c r="U9" i="1"/>
  <c r="T8" i="1"/>
  <c r="U5" i="1"/>
  <c r="T4" i="1"/>
  <c r="U4" i="1" s="1"/>
  <c r="H2" i="1"/>
  <c r="U10" i="1" l="1"/>
  <c r="W10" i="1" s="1"/>
  <c r="W7" i="1"/>
  <c r="W6" i="1"/>
  <c r="W4" i="1"/>
  <c r="W11" i="1"/>
  <c r="W9" i="1"/>
  <c r="W5" i="1"/>
  <c r="I2" i="1"/>
  <c r="J2" i="1" s="1"/>
  <c r="K2" i="1" s="1"/>
  <c r="L2" i="1"/>
  <c r="M2" i="1" s="1"/>
  <c r="N2" i="1"/>
  <c r="W8" i="1"/>
  <c r="W3" i="1"/>
  <c r="U2" i="1"/>
  <c r="T2" i="1"/>
  <c r="R2" i="1"/>
  <c r="S2" i="1" s="1"/>
  <c r="P2" i="1"/>
  <c r="O2" i="1"/>
  <c r="Q2" i="1" l="1"/>
  <c r="W2" i="1"/>
</calcChain>
</file>

<file path=xl/sharedStrings.xml><?xml version="1.0" encoding="utf-8"?>
<sst xmlns="http://schemas.openxmlformats.org/spreadsheetml/2006/main" count="33" uniqueCount="32">
  <si>
    <t>День недели</t>
  </si>
  <si>
    <t>пт</t>
  </si>
  <si>
    <t>сб</t>
  </si>
  <si>
    <t>вс</t>
  </si>
  <si>
    <t>02.01.21 10:00</t>
  </si>
  <si>
    <t>04.01.21 16:00</t>
  </si>
  <si>
    <t>05.01.21 10:00</t>
  </si>
  <si>
    <t>06.01.21 10:00</t>
  </si>
  <si>
    <t>04.01.21 12:43</t>
  </si>
  <si>
    <t>До 15:00</t>
  </si>
  <si>
    <t>После 15:00</t>
  </si>
  <si>
    <t>03.01.21 16:00</t>
  </si>
  <si>
    <t>Дата/ время происшествия</t>
  </si>
  <si>
    <t>Дата/время регистрации происшествия</t>
  </si>
  <si>
    <t>№ происшествия</t>
  </si>
  <si>
    <t>Время на обработку</t>
  </si>
  <si>
    <t>08.01.21 18:20</t>
  </si>
  <si>
    <t>04.01.21 19:43</t>
  </si>
  <si>
    <t>№</t>
  </si>
  <si>
    <t>04.01.21 15:02</t>
  </si>
  <si>
    <t>08.01.21 15:02</t>
  </si>
  <si>
    <t>03.01.21 15:12</t>
  </si>
  <si>
    <t>10.01.21 18:00</t>
  </si>
  <si>
    <t>09.01.21 14:59</t>
  </si>
  <si>
    <t>11.01.21 16:59</t>
  </si>
  <si>
    <t>Час</t>
  </si>
  <si>
    <t>Добавка дней</t>
  </si>
  <si>
    <t>Допустимое время регистрации (с массивом констант)</t>
  </si>
  <si>
    <t>Допустимое время регистрации (со ссылкой на диапазон)</t>
  </si>
  <si>
    <t>День недели + Час</t>
  </si>
  <si>
    <t>ГПР</t>
  </si>
  <si>
    <t>Допустимо часов на регистрацию от 00:00 заданной даты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</si>
</sst>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\ h:mm;@"/>
    <numFmt numFmtId="165" formatCode="h:mm;@"/>
  </numFmts>
  <fonts count="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left"/>
    </xf>
    <xf numFmtId="20" fontId="0" fillId="0" borderId="0" xfId="0" applyNumberFormat="1" applyFont="1" applyAlignment="1">
      <alignment horizontal="left"/>
    </xf>
    <xf numFmtId="0" fontId="0" fillId="3" borderId="1" xfId="0" applyNumberFormat="1" applyFont="1" applyFill="1" applyBorder="1" applyAlignment="1">
      <alignment horizontal="left"/>
    </xf>
    <xf numFmtId="165" fontId="0" fillId="3" borderId="1" xfId="0" applyNumberFormat="1" applyFont="1" applyFill="1" applyBorder="1" applyAlignment="1">
      <alignment horizontal="left"/>
    </xf>
    <xf numFmtId="164" fontId="0" fillId="3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left"/>
    </xf>
    <xf numFmtId="165" fontId="2" fillId="3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0" fontId="0" fillId="2" borderId="0" xfId="0" applyFill="1"/>
    <xf numFmtId="0" fontId="5" fillId="0" borderId="0" xfId="0" applyFont="1"/>
    <xf numFmtId="0" fontId="5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3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14"/>
  <sheetViews>
    <sheetView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11" sqref="A11"/>
    </sheetView>
  </sheetViews>
  <sheetFormatPr defaultRowHeight="13.5" customHeight="1" x14ac:dyDescent="0.25"/>
  <cols>
    <col min="1" max="1" width="9.140625" style="4"/>
    <col min="2" max="2" width="17.7109375" style="15" customWidth="1"/>
    <col min="3" max="3" width="15.85546875" style="7" customWidth="1"/>
    <col min="4" max="4" width="15.140625" style="1" customWidth="1"/>
    <col min="5" max="5" width="28.42578125" style="29" bestFit="1" customWidth="1"/>
    <col min="6" max="6" width="28.42578125" style="29" customWidth="1"/>
    <col min="7" max="7" width="16.140625" style="11" customWidth="1"/>
    <col min="8" max="8" width="14.85546875" style="12" customWidth="1"/>
    <col min="9" max="9" width="14.140625" style="12" customWidth="1"/>
    <col min="10" max="10" width="6.42578125" style="10" customWidth="1"/>
    <col min="11" max="11" width="6.85546875" style="16" customWidth="1"/>
    <col min="12" max="12" width="16.28515625" style="16" customWidth="1"/>
    <col min="13" max="13" width="13.42578125" style="4" customWidth="1"/>
    <col min="14" max="14" width="13.28515625" style="12" customWidth="1"/>
    <col min="15" max="15" width="13.28515625" style="4" customWidth="1"/>
    <col min="16" max="16" width="14.42578125" style="12" customWidth="1"/>
    <col min="17" max="17" width="15.85546875" style="4" customWidth="1"/>
    <col min="18" max="18" width="19.7109375" style="12" customWidth="1"/>
    <col min="19" max="19" width="14.28515625" style="4" customWidth="1"/>
    <col min="20" max="20" width="15" style="12" customWidth="1"/>
    <col min="21" max="21" width="9.140625" style="4" customWidth="1"/>
    <col min="22" max="22" width="4.28515625" style="4" customWidth="1"/>
    <col min="23" max="23" width="13.7109375" style="4" customWidth="1"/>
    <col min="24" max="16384" width="9.140625" style="4"/>
  </cols>
  <sheetData>
    <row r="1" spans="1:24" ht="58.5" customHeight="1" x14ac:dyDescent="0.25">
      <c r="A1" s="26" t="s">
        <v>18</v>
      </c>
      <c r="B1" s="14" t="s">
        <v>12</v>
      </c>
      <c r="C1" s="8" t="s">
        <v>13</v>
      </c>
      <c r="D1" s="9" t="s">
        <v>14</v>
      </c>
      <c r="E1" s="9" t="s">
        <v>27</v>
      </c>
      <c r="F1" s="9" t="s">
        <v>28</v>
      </c>
      <c r="G1" s="18" t="s">
        <v>0</v>
      </c>
      <c r="H1" s="19">
        <v>0.625</v>
      </c>
      <c r="I1" s="20"/>
      <c r="J1" s="19"/>
      <c r="K1" s="21"/>
      <c r="L1" s="25">
        <v>0.70833333333333337</v>
      </c>
      <c r="M1" s="22" t="s">
        <v>9</v>
      </c>
      <c r="N1" s="19">
        <v>1.5</v>
      </c>
      <c r="O1" s="22" t="s">
        <v>10</v>
      </c>
      <c r="P1" s="19">
        <v>3.7083333333333335</v>
      </c>
      <c r="Q1" s="22" t="s">
        <v>1</v>
      </c>
      <c r="R1" s="19">
        <v>2.7083333333333335</v>
      </c>
      <c r="S1" s="22" t="s">
        <v>2</v>
      </c>
      <c r="T1" s="19">
        <v>1.7083333333333333</v>
      </c>
      <c r="U1" s="22" t="s">
        <v>3</v>
      </c>
      <c r="V1" s="22"/>
      <c r="W1" s="23" t="s">
        <v>15</v>
      </c>
      <c r="X1" s="17"/>
    </row>
    <row r="2" spans="1:24" ht="15" customHeight="1" x14ac:dyDescent="0.25">
      <c r="A2" s="27">
        <v>1</v>
      </c>
      <c r="B2" s="13" t="s">
        <v>4</v>
      </c>
      <c r="C2" s="30" t="s">
        <v>19</v>
      </c>
      <c r="D2" s="2">
        <v>454557867</v>
      </c>
      <c r="E2" s="30">
        <f>TRUNC(B2)+HLOOKUP(WEEKDAY(B2,2)*100+HOUR(B2),{100,115,200,215,300,315,400,415,500,515,600,700;17,36,17,36,17,36,17,36,17,89,65,41},2)/24</f>
        <v>44200.708333333336</v>
      </c>
      <c r="F2" s="30">
        <f>TRUNC(B2)+HLOOKUP(WEEKDAY(B2,2)*100+HOUR(B2),Лист1!$Q$18:$AB$19,2)/24</f>
        <v>44200.708333333336</v>
      </c>
      <c r="G2" s="18">
        <f>IF(B2="","",WEEKDAY(B2,2))</f>
        <v>6</v>
      </c>
      <c r="H2" s="20">
        <f>IF(B2="","",_xlfn.NUMBERVALUE(LEFT(B2,8)))</f>
        <v>44198</v>
      </c>
      <c r="I2" s="20">
        <f>$H$1+H2</f>
        <v>44198.625</v>
      </c>
      <c r="J2" s="19" t="str">
        <f>IF(I2="","",IF(B2="","",IFERROR(TEXT(I2-B2,"[ч]:мм"),TEXT(B2-I2,"-[ч]:мм"))))</f>
        <v>5:00</v>
      </c>
      <c r="K2" s="21" t="str">
        <f>IF(LEFT(J2,1)="-","15:00","")</f>
        <v/>
      </c>
      <c r="L2" s="24">
        <f>$L$1+H2</f>
        <v>44198.708333333336</v>
      </c>
      <c r="M2" s="22" t="str">
        <f>IF(C2="","",IF(L2="","",IFERROR(TEXT(C2-L2,"[ч]:мм"),TEXT(L2-C2,"-[ч]:мм"))))</f>
        <v>46:02</v>
      </c>
      <c r="N2" s="20">
        <f>$N$1+H2</f>
        <v>44199.5</v>
      </c>
      <c r="O2" s="22" t="str">
        <f>IF(C2="","",IF(N2="","",IFERROR(TEXT(C2-N2,"[ч]:мм"),TEXT(N2-C2,"-[ч]:мм"))))</f>
        <v>27:02</v>
      </c>
      <c r="P2" s="20">
        <f>IF(G2=6,H2+$P$1,"")</f>
        <v>44201.708333333336</v>
      </c>
      <c r="Q2" s="22" t="str">
        <f>IF(G2=6,IF(K2="",M2,IF(C2="","",IF(P2="","",IFERROR(TEXT(C2-P2,"[ч]:мм"),TEXT(P2-C2,"-[ч]:мм"))))),"")</f>
        <v>46:02</v>
      </c>
      <c r="R2" s="20" t="str">
        <f>IF(G2=7,H2+$R$1,"")</f>
        <v/>
      </c>
      <c r="S2" s="22" t="str">
        <f>IF(G2=7,IF(C2="","",IF(R2="","",IFERROR(TEXT(C2-R2,"[ч]:мм"),TEXT(R2-C2,"-[ч]:мм")))),"")</f>
        <v/>
      </c>
      <c r="T2" s="20" t="str">
        <f>IF(G2=1,H2+$T$1,"")</f>
        <v/>
      </c>
      <c r="U2" s="22" t="str">
        <f>IF(G2=1,IF(K2="","",IF(C2="","",IF(T2="","",IFERROR(TEXT(C2-T2,"[ч]:мм"),TEXT(T2-C2,"-[ч]:мм"))))),"")</f>
        <v/>
      </c>
      <c r="V2" s="22"/>
      <c r="W2" s="28" t="str">
        <f>IF(B2="","",IF(C2="","",IF(G2=6,Q2,IF(G2=7,S2,IF(G2=1,U2,IF(K2="",M2,O2))))))</f>
        <v>46:02</v>
      </c>
    </row>
    <row r="3" spans="1:24" ht="15" customHeight="1" x14ac:dyDescent="0.25">
      <c r="A3" s="27">
        <v>2</v>
      </c>
      <c r="B3" s="13" t="s">
        <v>6</v>
      </c>
      <c r="C3" s="6">
        <v>44201.59375</v>
      </c>
      <c r="D3" s="5">
        <v>76383626</v>
      </c>
      <c r="E3" s="30">
        <f>TRUNC(B3)+HLOOKUP(WEEKDAY(B3,2)*100+HOUR(B3),{100,115,200,215,300,315,400,415,500,515,600,700;17,36,17,36,17,36,17,36,17,89,65,41},2)/24</f>
        <v>44201.708333333336</v>
      </c>
      <c r="F3" s="30">
        <f>TRUNC(B3)+HLOOKUP(WEEKDAY(B3,2)*100+HOUR(B3),Лист1!$Q$18:$AB$19,2)/24</f>
        <v>44201.708333333336</v>
      </c>
      <c r="G3" s="18">
        <f t="shared" ref="G3:G11" si="0">IF(B3="","",WEEKDAY(B3,2))</f>
        <v>2</v>
      </c>
      <c r="H3" s="20">
        <f>IF(B3="","",_xlfn.NUMBERVALUE(LEFT(B3,8)))</f>
        <v>44201</v>
      </c>
      <c r="I3" s="20">
        <f t="shared" ref="I3:I11" si="1">$H$1+H3</f>
        <v>44201.625</v>
      </c>
      <c r="J3" s="19" t="str">
        <f>IF(I3="","",IF(B3="","",IFERROR(TEXT(I3-B3,"[ч]:мм"),TEXT(B3-I3,"-[ч]:мм"))))</f>
        <v>5:00</v>
      </c>
      <c r="K3" s="21" t="str">
        <f t="shared" ref="K3:K11" si="2">IF(LEFT(J3,1)="-","15:00","")</f>
        <v/>
      </c>
      <c r="L3" s="24">
        <f t="shared" ref="L3:L11" si="3">$L$1+H3</f>
        <v>44201.708333333336</v>
      </c>
      <c r="M3" s="22" t="str">
        <f>IF(C3="","",IF(L3="","",IFERROR(TEXT(C3-L3,"[ч]:мм"),TEXT(L3-C3,"-[ч]:мм"))))</f>
        <v>-2:45</v>
      </c>
      <c r="N3" s="20">
        <f t="shared" ref="N3:N11" si="4">$N$1+H3</f>
        <v>44202.5</v>
      </c>
      <c r="O3" s="22" t="str">
        <f>IF(C3="","",IF(N3="","",IFERROR(TEXT(C3-N3,"[ч]:мм"),TEXT(N3-C3,"-[ч]:мм"))))</f>
        <v>-21:45</v>
      </c>
      <c r="P3" s="20" t="str">
        <f t="shared" ref="P3:P11" si="5">IF(G3=6,H3+$P$1,"")</f>
        <v/>
      </c>
      <c r="Q3" s="22" t="str">
        <f>IF(G3=6,IF(K3="",M3,IF(C3="","",IF(P3="","",IFERROR(TEXT(C3-P3,"[ч]:мм"),TEXT(P3-C3,"-[ч]:мм"))))),"")</f>
        <v/>
      </c>
      <c r="R3" s="20" t="str">
        <f t="shared" ref="R3:R11" si="6">IF(G3=7,H3+$R$1,"")</f>
        <v/>
      </c>
      <c r="S3" s="22" t="str">
        <f>IF(G3=7,IF(C3="","",IF(R3="","",IFERROR(TEXT(C3-R3,"[ч]:мм"),TEXT(R3-C3,"-[ч]:мм")))),"")</f>
        <v/>
      </c>
      <c r="T3" s="20" t="str">
        <f t="shared" ref="T3:T11" si="7">IF(G3=1,H3+$T$1,"")</f>
        <v/>
      </c>
      <c r="U3" s="22" t="str">
        <f>IF(G3=1,IF(K3="","",IF(C3="","",IF(T3="","",IFERROR(TEXT(C3-T3,"[ч]:мм"),TEXT(T3-C3,"-[ч]:мм"))))),"")</f>
        <v/>
      </c>
      <c r="V3" s="22"/>
      <c r="W3" s="28" t="str">
        <f>IF(B3="","",IF(C3="","",IF(G3=6,Q3,IF(G3=7,S3,IF(G3=1,U3,IF(K3="",M3,O3))))))</f>
        <v>-2:45</v>
      </c>
    </row>
    <row r="4" spans="1:24" ht="15" customHeight="1" x14ac:dyDescent="0.25">
      <c r="A4" s="27">
        <v>3</v>
      </c>
      <c r="B4" s="13" t="s">
        <v>16</v>
      </c>
      <c r="C4" s="6">
        <v>44207.765972222223</v>
      </c>
      <c r="D4" s="5">
        <v>455768</v>
      </c>
      <c r="E4" s="30">
        <f>TRUNC(B4)+HLOOKUP(WEEKDAY(B4,2)*100+HOUR(B4),{100,115,200,215,300,315,400,415,500,515,600,700;17,36,17,36,17,36,17,36,17,89,65,41},2)/24</f>
        <v>44207.708333333336</v>
      </c>
      <c r="F4" s="30">
        <f>TRUNC(B4)+HLOOKUP(WEEKDAY(B4,2)*100+HOUR(B4),Лист1!$Q$18:$AB$19,2)/24</f>
        <v>44207.708333333336</v>
      </c>
      <c r="G4" s="18">
        <f t="shared" si="0"/>
        <v>5</v>
      </c>
      <c r="H4" s="20">
        <f>IF(B4="","",_xlfn.NUMBERVALUE(LEFT(B4,8)))</f>
        <v>44204</v>
      </c>
      <c r="I4" s="20">
        <f t="shared" si="1"/>
        <v>44204.625</v>
      </c>
      <c r="J4" s="19" t="str">
        <f>IF(I4="","",IF(B4="","",IFERROR(TEXT(I4-B4,"[ч]:мм"),TEXT(B4-I4,"-[ч]:мм"))))</f>
        <v>-3:20</v>
      </c>
      <c r="K4" s="21" t="str">
        <f t="shared" si="2"/>
        <v>15:00</v>
      </c>
      <c r="L4" s="24">
        <f t="shared" si="3"/>
        <v>44204.708333333336</v>
      </c>
      <c r="M4" s="22" t="str">
        <f>IF(C4="","",IF(L4="","",IFERROR(TEXT(C4-L4,"[ч]:мм"),TEXT(L4-C4,"-[ч]:мм"))))</f>
        <v>73:23</v>
      </c>
      <c r="N4" s="20">
        <f t="shared" si="4"/>
        <v>44205.5</v>
      </c>
      <c r="O4" s="22" t="str">
        <f>IF(C4="","",IF(N4="","",IFERROR(TEXT(C4-N4,"[ч]:мм"),TEXT(N4-C4,"-[ч]:мм"))))</f>
        <v>54:23</v>
      </c>
      <c r="P4" s="20" t="str">
        <f t="shared" si="5"/>
        <v/>
      </c>
      <c r="Q4" s="22" t="str">
        <f>IF(G4=6,IF(K4="",M4,IF(C4="","",IF(P4="","",IFERROR(TEXT(C4-P4,"[ч]:мм"),TEXT(P4-C4,"-[ч]:мм"))))),"")</f>
        <v/>
      </c>
      <c r="R4" s="20" t="str">
        <f t="shared" si="6"/>
        <v/>
      </c>
      <c r="S4" s="22" t="str">
        <f>IF(G4=7,IF(C4="","",IF(R4="","",IFERROR(TEXT(C4-R4,"[ч]:мм"),TEXT(R4-C4,"-[ч]:мм")))),"")</f>
        <v/>
      </c>
      <c r="T4" s="20" t="str">
        <f t="shared" si="7"/>
        <v/>
      </c>
      <c r="U4" s="22" t="str">
        <f>IF(G4=1,IF(K4="","",IF(C4="","",IF(T4="","",IFERROR(TEXT(C4-T4,"[ч]:мм"),TEXT(T4-C4,"-[ч]:мм"))))),"")</f>
        <v/>
      </c>
      <c r="V4" s="22"/>
      <c r="W4" s="28" t="str">
        <f>IF(B4="","",IF(C4="","",IF(G4=6,Q4,IF(G4=7,S4,IF(G4=1,U4,IF(K4="",M4,O4))))))</f>
        <v>54:23</v>
      </c>
    </row>
    <row r="5" spans="1:24" ht="15" customHeight="1" x14ac:dyDescent="0.25">
      <c r="A5" s="27">
        <v>4</v>
      </c>
      <c r="B5" s="13" t="s">
        <v>22</v>
      </c>
      <c r="C5" s="6">
        <v>44207.468055555553</v>
      </c>
      <c r="D5" s="5">
        <v>453758</v>
      </c>
      <c r="E5" s="30">
        <f>TRUNC(B5)+HLOOKUP(WEEKDAY(B5,2)*100+HOUR(B5),{100,115,200,215,300,315,400,415,500,515,600,700;17,36,17,36,17,36,17,36,17,89,65,41},2)/24</f>
        <v>44207.708333333336</v>
      </c>
      <c r="F5" s="30">
        <f>TRUNC(B5)+HLOOKUP(WEEKDAY(B5,2)*100+HOUR(B5),Лист1!$Q$18:$AB$19,2)/24</f>
        <v>44207.708333333336</v>
      </c>
      <c r="G5" s="18">
        <f t="shared" si="0"/>
        <v>7</v>
      </c>
      <c r="H5" s="20">
        <f>IF(B5="","",_xlfn.NUMBERVALUE(LEFT(B5,8)))</f>
        <v>44206</v>
      </c>
      <c r="I5" s="20">
        <f t="shared" si="1"/>
        <v>44206.625</v>
      </c>
      <c r="J5" s="19" t="str">
        <f>IF(I5="","",IF(B5="","",IFERROR(TEXT(I5-B5,"[ч]:мм"),TEXT(B5-I5,"-[ч]:мм"))))</f>
        <v>-3:00</v>
      </c>
      <c r="K5" s="21" t="str">
        <f t="shared" si="2"/>
        <v>15:00</v>
      </c>
      <c r="L5" s="24">
        <f t="shared" si="3"/>
        <v>44206.708333333336</v>
      </c>
      <c r="M5" s="22" t="str">
        <f>IF(C5="","",IF(L5="","",IFERROR(TEXT(C5-L5,"[ч]:мм"),TEXT(L5-C5,"-[ч]:мм"))))</f>
        <v>18:14</v>
      </c>
      <c r="N5" s="20">
        <f t="shared" si="4"/>
        <v>44207.5</v>
      </c>
      <c r="O5" s="22" t="str">
        <f>IF(C5="","",IF(N5="","",IFERROR(TEXT(C5-N5,"[ч]:мм"),TEXT(N5-C5,"-[ч]:мм"))))</f>
        <v>-0:46</v>
      </c>
      <c r="P5" s="20" t="str">
        <f t="shared" si="5"/>
        <v/>
      </c>
      <c r="Q5" s="22" t="str">
        <f>IF(G5=6,IF(K5="",M5,IF(C5="","",IF(P5="","",IFERROR(TEXT(C5-P5,"[ч]:мм"),TEXT(P5-C5,"-[ч]:мм"))))),"")</f>
        <v/>
      </c>
      <c r="R5" s="20">
        <f t="shared" si="6"/>
        <v>44208.708333333336</v>
      </c>
      <c r="S5" s="22" t="str">
        <f>IF(G5=7,IF(C5="","",IF(R5="","",IFERROR(TEXT(C5-R5,"[ч]:мм"),TEXT(R5-C5,"-[ч]:мм")))),"")</f>
        <v>-29:46</v>
      </c>
      <c r="T5" s="20" t="str">
        <f t="shared" si="7"/>
        <v/>
      </c>
      <c r="U5" s="22" t="str">
        <f>IF(G5=1,IF(K5="","",IF(C5="","",IF(T5="","",IFERROR(TEXT(C5-T5,"[ч]:мм"),TEXT(T5-C5,"-[ч]:мм"))))),"")</f>
        <v/>
      </c>
      <c r="V5" s="22"/>
      <c r="W5" s="28" t="str">
        <f>IF(B5="","",IF(C5="","",IF(G5=6,Q5,IF(G5=7,S5,IF(G5=1,U5,IF(K5="",M5,O5))))))</f>
        <v>-29:46</v>
      </c>
    </row>
    <row r="6" spans="1:24" ht="15" customHeight="1" x14ac:dyDescent="0.25">
      <c r="A6" s="27">
        <v>5</v>
      </c>
      <c r="B6" s="13" t="s">
        <v>21</v>
      </c>
      <c r="C6" s="30" t="s">
        <v>17</v>
      </c>
      <c r="D6" s="3">
        <v>344545</v>
      </c>
      <c r="E6" s="30">
        <f>TRUNC(B6)+HLOOKUP(WEEKDAY(B6,2)*100+HOUR(B6),{100,115,200,215,300,315,400,415,500,515,600,700;17,36,17,36,17,36,17,36,17,89,65,41},2)/24</f>
        <v>44200.708333333336</v>
      </c>
      <c r="F6" s="30">
        <f>TRUNC(B6)+HLOOKUP(WEEKDAY(B6,2)*100+HOUR(B6),Лист1!$Q$18:$AB$19,2)/24</f>
        <v>44200.708333333336</v>
      </c>
      <c r="G6" s="18">
        <f t="shared" si="0"/>
        <v>7</v>
      </c>
      <c r="H6" s="20">
        <f>IF(B6="","",_xlfn.NUMBERVALUE(LEFT(B6,8)))</f>
        <v>44199</v>
      </c>
      <c r="I6" s="20">
        <f t="shared" si="1"/>
        <v>44199.625</v>
      </c>
      <c r="J6" s="19" t="str">
        <f>IF(I6="","",IF(B6="","",IFERROR(TEXT(I6-B6,"[ч]:мм"),TEXT(B6-I6,"-[ч]:мм"))))</f>
        <v>-0:12</v>
      </c>
      <c r="K6" s="21" t="str">
        <f>IF(LEFT(J6,1)="-","15:00","")</f>
        <v>15:00</v>
      </c>
      <c r="L6" s="24">
        <f t="shared" si="3"/>
        <v>44199.708333333336</v>
      </c>
      <c r="M6" s="22" t="str">
        <f>IF(C6="","",IF(L6="","",IFERROR(TEXT(C6-L6,"[ч]:мм"),TEXT(L6-C6,"-[ч]:мм"))))</f>
        <v>26:43</v>
      </c>
      <c r="N6" s="20">
        <f t="shared" si="4"/>
        <v>44200.5</v>
      </c>
      <c r="O6" s="22" t="str">
        <f>IF(C6="","",IF(N6="","",IFERROR(TEXT(C6-N6,"[ч]:мм"),TEXT(N6-C6,"-[ч]:мм"))))</f>
        <v>7:43</v>
      </c>
      <c r="P6" s="20" t="str">
        <f t="shared" si="5"/>
        <v/>
      </c>
      <c r="Q6" s="22" t="str">
        <f>IF(G6=6,IF(K6="",M6,IF(C6="","",IF(P6="","",IFERROR(TEXT(C6-P6,"[ч]:мм"),TEXT(P6-C6,"-[ч]:мм"))))),"")</f>
        <v/>
      </c>
      <c r="R6" s="20">
        <f t="shared" si="6"/>
        <v>44201.708333333336</v>
      </c>
      <c r="S6" s="22" t="str">
        <f>IF(G6=7,IF(C6="","",IF(R6="","",IFERROR(TEXT(C6-R6,"[ч]:мм"),TEXT(R6-C6,"-[ч]:мм")))),"")</f>
        <v>-21:17</v>
      </c>
      <c r="T6" s="20" t="str">
        <f t="shared" si="7"/>
        <v/>
      </c>
      <c r="U6" s="22" t="str">
        <f>IF(G6=1,IF(K6="","",IF(C6="","",IF(T6="","",IFERROR(TEXT(C6-T6,"[ч]:мм"),TEXT(T6-C6,"-[ч]:мм"))))),"")</f>
        <v/>
      </c>
      <c r="V6" s="22"/>
      <c r="W6" s="28" t="str">
        <f>IF(B6="","",IF(C6="","",IF(G6=6,Q6,IF(G6=7,S6,IF(G6=1,U6,IF(K6="",M6,O6))))))</f>
        <v>-21:17</v>
      </c>
    </row>
    <row r="7" spans="1:24" ht="15" customHeight="1" x14ac:dyDescent="0.25">
      <c r="A7" s="27">
        <v>6</v>
      </c>
      <c r="B7" s="13" t="s">
        <v>20</v>
      </c>
      <c r="C7" s="6">
        <v>44207.668749999997</v>
      </c>
      <c r="D7" s="5">
        <v>232111</v>
      </c>
      <c r="E7" s="30">
        <f>TRUNC(B7)+HLOOKUP(WEEKDAY(B7,2)*100+HOUR(B7),{100,115,200,215,300,315,400,415,500,515,600,700;17,36,17,36,17,36,17,36,17,89,65,41},2)/24</f>
        <v>44207.708333333336</v>
      </c>
      <c r="F7" s="30">
        <f>TRUNC(B7)+HLOOKUP(WEEKDAY(B7,2)*100+HOUR(B7),Лист1!$Q$18:$AB$19,2)/24</f>
        <v>44207.708333333336</v>
      </c>
      <c r="G7" s="18">
        <f t="shared" si="0"/>
        <v>5</v>
      </c>
      <c r="H7" s="20">
        <f>IF(B7="","",_xlfn.NUMBERVALUE(LEFT(B7,8)))</f>
        <v>44204</v>
      </c>
      <c r="I7" s="20">
        <f t="shared" si="1"/>
        <v>44204.625</v>
      </c>
      <c r="J7" s="19" t="str">
        <f>IF(I7="","",IF(B7="","",IFERROR(TEXT(I7-B7,"[ч]:мм"),TEXT(B7-I7,"-[ч]:мм"))))</f>
        <v>-0:02</v>
      </c>
      <c r="K7" s="21" t="str">
        <f t="shared" si="2"/>
        <v>15:00</v>
      </c>
      <c r="L7" s="24">
        <f t="shared" si="3"/>
        <v>44204.708333333336</v>
      </c>
      <c r="M7" s="22" t="str">
        <f>IF(C7="","",IF(L7="","",IFERROR(TEXT(C7-L7,"[ч]:мм"),TEXT(L7-C7,"-[ч]:мм"))))</f>
        <v>71:03</v>
      </c>
      <c r="N7" s="20">
        <f t="shared" si="4"/>
        <v>44205.5</v>
      </c>
      <c r="O7" s="22" t="str">
        <f>IF(C7="","",IF(N7="","",IFERROR(TEXT(C7-N7,"[ч]:мм"),TEXT(N7-C7,"-[ч]:мм"))))</f>
        <v>52:03</v>
      </c>
      <c r="P7" s="20" t="str">
        <f t="shared" si="5"/>
        <v/>
      </c>
      <c r="Q7" s="22" t="str">
        <f>IF(G7=6,IF(K7="",M7,IF(C7="","",IF(P7="","",IFERROR(TEXT(C7-P7,"[ч]:мм"),TEXT(P7-C7,"-[ч]:мм"))))),"")</f>
        <v/>
      </c>
      <c r="R7" s="20" t="str">
        <f t="shared" si="6"/>
        <v/>
      </c>
      <c r="S7" s="22" t="str">
        <f>IF(G7=7,IF(C7="","",IF(R7="","",IFERROR(TEXT(C7-R7,"[ч]:мм"),TEXT(R7-C7,"-[ч]:мм")))),"")</f>
        <v/>
      </c>
      <c r="T7" s="20" t="str">
        <f t="shared" si="7"/>
        <v/>
      </c>
      <c r="U7" s="22" t="str">
        <f>IF(G7=1,IF(K7="","",IF(C7="","",IF(T7="","",IFERROR(TEXT(C7-T7,"[ч]:мм"),TEXT(T7-C7,"-[ч]:мм"))))),"")</f>
        <v/>
      </c>
      <c r="V7" s="22"/>
      <c r="W7" s="28" t="str">
        <f>IF(B7="","",IF(C7="","",IF(G7=6,Q7,IF(G7=7,S7,IF(G7=1,U7,IF(K7="",M7,O7))))))</f>
        <v>52:03</v>
      </c>
    </row>
    <row r="8" spans="1:24" ht="15" customHeight="1" x14ac:dyDescent="0.25">
      <c r="A8" s="27">
        <v>7</v>
      </c>
      <c r="B8" s="13" t="s">
        <v>23</v>
      </c>
      <c r="C8" s="30" t="s">
        <v>24</v>
      </c>
      <c r="D8" s="3">
        <v>165994</v>
      </c>
      <c r="E8" s="30">
        <f>TRUNC(B8)+HLOOKUP(WEEKDAY(B8,2)*100+HOUR(B8),{100,115,200,215,300,315,400,415,500,515,600,700;17,36,17,36,17,36,17,36,17,89,65,41},2)/24</f>
        <v>44207.708333333336</v>
      </c>
      <c r="F8" s="30">
        <f>TRUNC(B8)+HLOOKUP(WEEKDAY(B8,2)*100+HOUR(B8),Лист1!$Q$18:$AB$19,2)/24</f>
        <v>44207.708333333336</v>
      </c>
      <c r="G8" s="18">
        <f t="shared" si="0"/>
        <v>6</v>
      </c>
      <c r="H8" s="20">
        <f>IF(B8="","",_xlfn.NUMBERVALUE(LEFT(B8,8)))</f>
        <v>44205</v>
      </c>
      <c r="I8" s="20">
        <f t="shared" si="1"/>
        <v>44205.625</v>
      </c>
      <c r="J8" s="19" t="str">
        <f>IF(I8="","",IF(B8="","",IFERROR(TEXT(I8-B8,"[ч]:мм"),TEXT(B8-I8,"-[ч]:мм"))))</f>
        <v>0:01</v>
      </c>
      <c r="K8" s="21" t="str">
        <f t="shared" si="2"/>
        <v/>
      </c>
      <c r="L8" s="24">
        <f t="shared" si="3"/>
        <v>44205.708333333336</v>
      </c>
      <c r="M8" s="22" t="str">
        <f>IF(C8="","",IF(L8="","",IFERROR(TEXT(C8-L8,"[ч]:мм"),TEXT(L8-C8,"-[ч]:мм"))))</f>
        <v>47:59</v>
      </c>
      <c r="N8" s="20">
        <f t="shared" si="4"/>
        <v>44206.5</v>
      </c>
      <c r="O8" s="22" t="str">
        <f>IF(C8="","",IF(N8="","",IFERROR(TEXT(C8-N8,"[ч]:мм"),TEXT(N8-C8,"-[ч]:мм"))))</f>
        <v>28:59</v>
      </c>
      <c r="P8" s="20">
        <f t="shared" si="5"/>
        <v>44208.708333333336</v>
      </c>
      <c r="Q8" s="22" t="str">
        <f>IF(G8=6,IF(K8="",M8,IF(C8="","",IF(P8="","",IFERROR(TEXT(C8-P8,"[ч]:мм"),TEXT(P8-C8,"-[ч]:мм"))))),"")</f>
        <v>47:59</v>
      </c>
      <c r="R8" s="20" t="str">
        <f t="shared" si="6"/>
        <v/>
      </c>
      <c r="S8" s="22" t="str">
        <f>IF(G8=7,IF(C8="","",IF(R8="","",IFERROR(TEXT(C8-R8,"[ч]:мм"),TEXT(R8-C8,"-[ч]:мм")))),"")</f>
        <v/>
      </c>
      <c r="T8" s="20" t="str">
        <f t="shared" si="7"/>
        <v/>
      </c>
      <c r="U8" s="22" t="str">
        <f>IF(G8=1,IF(K8="","",IF(C8="","",IF(T8="","",IFERROR(TEXT(C8-T8,"[ч]:мм"),TEXT(T8-C8,"-[ч]:мм"))))),"")</f>
        <v/>
      </c>
      <c r="V8" s="22"/>
      <c r="W8" s="28" t="str">
        <f>IF(B8="","",IF(C8="","",IF(G8=6,Q8,IF(G8=7,S8,IF(G8=1,U8,IF(K8="",M8,O8))))))</f>
        <v>47:59</v>
      </c>
    </row>
    <row r="9" spans="1:24" ht="15" customHeight="1" x14ac:dyDescent="0.25">
      <c r="A9" s="27">
        <v>8</v>
      </c>
      <c r="B9" s="13" t="s">
        <v>11</v>
      </c>
      <c r="C9" s="30" t="s">
        <v>8</v>
      </c>
      <c r="D9" s="2">
        <v>45454</v>
      </c>
      <c r="E9" s="30">
        <f>TRUNC(B9)+HLOOKUP(WEEKDAY(B9,2)*100+HOUR(B9),{100,115,200,215,300,315,400,415,500,515,600,700;17,36,17,36,17,36,17,36,17,89,65,41},2)/24</f>
        <v>44200.708333333336</v>
      </c>
      <c r="F9" s="30">
        <f>TRUNC(B9)+HLOOKUP(WEEKDAY(B9,2)*100+HOUR(B9),Лист1!$Q$18:$AB$19,2)/24</f>
        <v>44200.708333333336</v>
      </c>
      <c r="G9" s="18">
        <f t="shared" si="0"/>
        <v>7</v>
      </c>
      <c r="H9" s="20">
        <f>IF(B9="","",_xlfn.NUMBERVALUE(LEFT(B9,8)))</f>
        <v>44199</v>
      </c>
      <c r="I9" s="20">
        <f t="shared" si="1"/>
        <v>44199.625</v>
      </c>
      <c r="J9" s="19" t="str">
        <f>IF(I9="","",IF(B9="","",IFERROR(TEXT(I9-B9,"[ч]:мм"),TEXT(B9-I9,"-[ч]:мм"))))</f>
        <v>-1:00</v>
      </c>
      <c r="K9" s="21" t="str">
        <f t="shared" si="2"/>
        <v>15:00</v>
      </c>
      <c r="L9" s="24">
        <f t="shared" si="3"/>
        <v>44199.708333333336</v>
      </c>
      <c r="M9" s="22" t="str">
        <f>IF(C9="","",IF(L9="","",IFERROR(TEXT(C9-L9,"[ч]:мм"),TEXT(L9-C9,"-[ч]:мм"))))</f>
        <v>19:43</v>
      </c>
      <c r="N9" s="20">
        <f t="shared" si="4"/>
        <v>44200.5</v>
      </c>
      <c r="O9" s="22" t="str">
        <f>IF(C9="","",IF(N9="","",IFERROR(TEXT(C9-N9,"[ч]:мм"),TEXT(N9-C9,"-[ч]:мм"))))</f>
        <v>0:43</v>
      </c>
      <c r="P9" s="20" t="str">
        <f t="shared" si="5"/>
        <v/>
      </c>
      <c r="Q9" s="22" t="str">
        <f>IF(G9=6,IF(K9="",M9,IF(C9="","",IF(P9="","",IFERROR(TEXT(C9-P9,"[ч]:мм"),TEXT(P9-C9,"-[ч]:мм"))))),"")</f>
        <v/>
      </c>
      <c r="R9" s="20">
        <f t="shared" si="6"/>
        <v>44201.708333333336</v>
      </c>
      <c r="S9" s="22" t="str">
        <f>IF(G9=7,IF(C9="","",IF(R9="","",IFERROR(TEXT(C9-R9,"[ч]:мм"),TEXT(R9-C9,"-[ч]:мм")))),"")</f>
        <v>-28:17</v>
      </c>
      <c r="T9" s="20" t="str">
        <f t="shared" si="7"/>
        <v/>
      </c>
      <c r="U9" s="22" t="str">
        <f>IF(G9=1,IF(K9="","",IF(C9="","",IF(T9="","",IFERROR(TEXT(C9-T9,"[ч]:мм"),TEXT(T9-C9,"-[ч]:мм"))))),"")</f>
        <v/>
      </c>
      <c r="V9" s="22"/>
      <c r="W9" s="28" t="str">
        <f>IF(B9="","",IF(C9="","",IF(G9=6,Q9,IF(G9=7,S9,IF(G9=1,U9,IF(K9="",M9,O9))))))</f>
        <v>-28:17</v>
      </c>
    </row>
    <row r="10" spans="1:24" ht="15" customHeight="1" x14ac:dyDescent="0.25">
      <c r="A10" s="27">
        <v>9</v>
      </c>
      <c r="B10" s="13" t="s">
        <v>5</v>
      </c>
      <c r="C10" s="6">
        <v>44201.673611111109</v>
      </c>
      <c r="D10" s="5">
        <v>3457</v>
      </c>
      <c r="E10" s="30">
        <f>TRUNC(B10)+HLOOKUP(WEEKDAY(B10,2)*100+HOUR(B10),{100,115,200,215,300,315,400,415,500,515,600,700;17,36,17,36,17,36,17,36,17,89,65,41},2)/24</f>
        <v>44201.5</v>
      </c>
      <c r="F10" s="30">
        <f>TRUNC(B10)+HLOOKUP(WEEKDAY(B10,2)*100+HOUR(B10),Лист1!$Q$18:$AB$19,2)/24</f>
        <v>44201.5</v>
      </c>
      <c r="G10" s="18">
        <f t="shared" si="0"/>
        <v>1</v>
      </c>
      <c r="H10" s="20">
        <f>IF(B10="","",_xlfn.NUMBERVALUE(LEFT(B10,8)))</f>
        <v>44200</v>
      </c>
      <c r="I10" s="20">
        <f t="shared" si="1"/>
        <v>44200.625</v>
      </c>
      <c r="J10" s="19" t="str">
        <f>IF(I10="","",IF(B10="","",IFERROR(TEXT(I10-B10,"[ч]:мм"),TEXT(B10-I10,"-[ч]:мм"))))</f>
        <v>-1:00</v>
      </c>
      <c r="K10" s="21" t="str">
        <f>IF(LEFT(J10,1)="-","15:00","")</f>
        <v>15:00</v>
      </c>
      <c r="L10" s="24">
        <f t="shared" si="3"/>
        <v>44200.708333333336</v>
      </c>
      <c r="M10" s="22" t="str">
        <f>IF(C10="","",IF(L10="","",IFERROR(TEXT(C10-L10,"[ч]:мм"),TEXT(L10-C10,"-[ч]:мм"))))</f>
        <v>23:10</v>
      </c>
      <c r="N10" s="20">
        <f t="shared" si="4"/>
        <v>44201.5</v>
      </c>
      <c r="O10" s="22" t="str">
        <f>IF(C10="","",IF(N10="","",IFERROR(TEXT(C10-N10,"[ч]:мм"),TEXT(N10-C10,"-[ч]:мм"))))</f>
        <v>4:10</v>
      </c>
      <c r="P10" s="20" t="str">
        <f t="shared" si="5"/>
        <v/>
      </c>
      <c r="Q10" s="22" t="str">
        <f>IF(G10=6,IF(K10="",M10,IF(C10="","",IF(P10="","",IFERROR(TEXT(C10-P10,"[ч]:мм"),TEXT(P10-C10,"-[ч]:мм"))))),"")</f>
        <v/>
      </c>
      <c r="R10" s="20" t="str">
        <f t="shared" si="6"/>
        <v/>
      </c>
      <c r="S10" s="22" t="str">
        <f>IF(G10=7,IF(C10="","",IF(R10="","",IFERROR(TEXT(C10-R10,"[ч]:мм"),TEXT(R10-C10,"-[ч]:мм")))),"")</f>
        <v/>
      </c>
      <c r="T10" s="20">
        <f t="shared" si="7"/>
        <v>44201.708333333336</v>
      </c>
      <c r="U10" s="22" t="str">
        <f>IF(G10=1,IF(K10="","",IF(C10="","",IF(T10="","",IFERROR(TEXT(C10-T10,"[ч]:мм"),TEXT(T10-C10,"-[ч]:мм"))))),"")</f>
        <v>-0:50</v>
      </c>
      <c r="V10" s="22"/>
      <c r="W10" s="28" t="str">
        <f>IF(B10="","",IF(C10="","",IF(G10=6,Q10,IF(G10=7,S10,IF(G10=1,U10,IF(K10="",M10,O10))))))</f>
        <v>-0:50</v>
      </c>
    </row>
    <row r="11" spans="1:24" ht="15" customHeight="1" x14ac:dyDescent="0.25">
      <c r="A11" s="27">
        <v>10</v>
      </c>
      <c r="B11" s="13" t="s">
        <v>7</v>
      </c>
      <c r="C11" s="6">
        <v>44203.552777777775</v>
      </c>
      <c r="D11" s="5">
        <v>2553</v>
      </c>
      <c r="E11" s="30">
        <f>TRUNC(B11)+HLOOKUP(WEEKDAY(B11,2)*100+HOUR(B11),{100,115,200,215,300,315,400,415,500,515,600,700;17,36,17,36,17,36,17,36,17,89,65,41},2)/24</f>
        <v>44202.708333333336</v>
      </c>
      <c r="F11" s="30">
        <f>TRUNC(B11)+HLOOKUP(WEEKDAY(B11,2)*100+HOUR(B11),Лист1!$Q$18:$AB$19,2)/24</f>
        <v>44202.708333333336</v>
      </c>
      <c r="G11" s="18">
        <f t="shared" si="0"/>
        <v>3</v>
      </c>
      <c r="H11" s="20">
        <f>IF(B11="","",_xlfn.NUMBERVALUE(LEFT(B11,8)))</f>
        <v>44202</v>
      </c>
      <c r="I11" s="20">
        <f t="shared" si="1"/>
        <v>44202.625</v>
      </c>
      <c r="J11" s="19" t="str">
        <f>IF(I11="","",IF(B11="","",IFERROR(TEXT(I11-B11,"[ч]:мм"),TEXT(B11-I11,"-[ч]:мм"))))</f>
        <v>5:00</v>
      </c>
      <c r="K11" s="21" t="str">
        <f t="shared" si="2"/>
        <v/>
      </c>
      <c r="L11" s="24">
        <f t="shared" si="3"/>
        <v>44202.708333333336</v>
      </c>
      <c r="M11" s="22" t="str">
        <f>IF(C11="","",IF(L11="","",IFERROR(TEXT(C11-L11,"[ч]:мм"),TEXT(L11-C11,"-[ч]:мм"))))</f>
        <v>20:16</v>
      </c>
      <c r="N11" s="20">
        <f t="shared" si="4"/>
        <v>44203.5</v>
      </c>
      <c r="O11" s="22" t="str">
        <f>IF(C11="","",IF(N11="","",IFERROR(TEXT(C11-N11,"[ч]:мм"),TEXT(N11-C11,"-[ч]:мм"))))</f>
        <v>1:16</v>
      </c>
      <c r="P11" s="20" t="str">
        <f t="shared" si="5"/>
        <v/>
      </c>
      <c r="Q11" s="22" t="str">
        <f>IF(G11=6,IF(K11="",M11,IF(C11="","",IF(P11="","",IFERROR(TEXT(C11-P11,"[ч]:мм"),TEXT(P11-C11,"-[ч]:мм"))))),"")</f>
        <v/>
      </c>
      <c r="R11" s="20" t="str">
        <f t="shared" si="6"/>
        <v/>
      </c>
      <c r="S11" s="22" t="str">
        <f>IF(G11=7,IF(C11="","",IF(R11="","",IFERROR(TEXT(C11-R11,"[ч]:мм"),TEXT(R11-C11,"-[ч]:мм")))),"")</f>
        <v/>
      </c>
      <c r="T11" s="20" t="str">
        <f t="shared" si="7"/>
        <v/>
      </c>
      <c r="U11" s="22" t="str">
        <f>IF(G11=1,IF(K11="","",IF(C11="","",IF(T11="","",IFERROR(TEXT(C11-T11,"[ч]:мм"),TEXT(T11-C11,"-[ч]:мм"))))),"")</f>
        <v/>
      </c>
      <c r="V11" s="22"/>
      <c r="W11" s="28" t="str">
        <f>IF(B11="","",IF(C11="","",IF(G11=6,Q11,IF(G11=7,S11,IF(G11=1,U11,IF(K11="",M11,O11))))))</f>
        <v>20:16</v>
      </c>
    </row>
    <row r="14" spans="1:24" ht="13.5" customHeight="1" x14ac:dyDescent="0.25">
      <c r="H14" s="12">
        <v>15</v>
      </c>
    </row>
  </sheetData>
  <autoFilter ref="A1:U11"/>
  <conditionalFormatting sqref="W2:W11">
    <cfRule type="containsBlanks" dxfId="2" priority="3">
      <formula>LEN(TRIM(W2))=0</formula>
    </cfRule>
  </conditionalFormatting>
  <conditionalFormatting sqref="C2:C11">
    <cfRule type="expression" dxfId="0" priority="1">
      <formula>--C2&gt;--E2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4" operator="notContains" id="{2D218EEA-F331-44D2-872A-829E0D21BB56}">
            <xm:f>ISERROR(SEARCH("-",W2))</xm:f>
            <xm:f>"-"</xm:f>
            <x14:dxf>
              <fill>
                <patternFill>
                  <bgColor rgb="FFFF0000"/>
                </patternFill>
              </fill>
            </x14:dxf>
          </x14:cfRule>
          <xm:sqref>W2:W11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E3:AB19"/>
  <sheetViews>
    <sheetView topLeftCell="K10" workbookViewId="0">
      <selection activeCell="P22" sqref="P22"/>
    </sheetView>
  </sheetViews>
  <sheetFormatPr defaultRowHeight="15" x14ac:dyDescent="0.25"/>
  <sheetData>
    <row r="3" spans="5:18" x14ac:dyDescent="0.25">
      <c r="E3" t="s">
        <v>0</v>
      </c>
      <c r="F3" t="s">
        <v>25</v>
      </c>
      <c r="G3" t="s">
        <v>26</v>
      </c>
    </row>
    <row r="4" spans="5:18" x14ac:dyDescent="0.25">
      <c r="E4">
        <v>1</v>
      </c>
      <c r="F4">
        <v>0</v>
      </c>
      <c r="G4">
        <v>0</v>
      </c>
      <c r="H4">
        <f>E4+G4</f>
        <v>1</v>
      </c>
      <c r="I4">
        <v>17</v>
      </c>
      <c r="L4">
        <f>E4*100+F4</f>
        <v>100</v>
      </c>
      <c r="M4">
        <v>0</v>
      </c>
      <c r="N4">
        <v>17</v>
      </c>
      <c r="O4">
        <f>M4*24+N4</f>
        <v>17</v>
      </c>
      <c r="Q4">
        <v>100</v>
      </c>
      <c r="R4">
        <v>17</v>
      </c>
    </row>
    <row r="5" spans="5:18" x14ac:dyDescent="0.25">
      <c r="E5">
        <v>1</v>
      </c>
      <c r="F5">
        <v>15</v>
      </c>
      <c r="G5">
        <v>1</v>
      </c>
      <c r="H5">
        <f t="shared" ref="H5:H15" si="0">E5+G5</f>
        <v>2</v>
      </c>
      <c r="I5">
        <v>12</v>
      </c>
      <c r="L5">
        <f t="shared" ref="L5:L15" si="1">E5*100+F5</f>
        <v>115</v>
      </c>
      <c r="M5">
        <v>1</v>
      </c>
      <c r="N5">
        <v>12</v>
      </c>
      <c r="O5">
        <v>36</v>
      </c>
      <c r="Q5">
        <v>115</v>
      </c>
      <c r="R5">
        <v>36</v>
      </c>
    </row>
    <row r="6" spans="5:18" x14ac:dyDescent="0.25">
      <c r="E6">
        <f>E4+1</f>
        <v>2</v>
      </c>
      <c r="F6">
        <v>0</v>
      </c>
      <c r="G6">
        <v>0</v>
      </c>
      <c r="H6">
        <f t="shared" si="0"/>
        <v>2</v>
      </c>
      <c r="I6">
        <f>I4</f>
        <v>17</v>
      </c>
      <c r="L6">
        <f t="shared" si="1"/>
        <v>200</v>
      </c>
      <c r="M6">
        <v>0</v>
      </c>
      <c r="N6">
        <v>17</v>
      </c>
      <c r="O6">
        <v>17</v>
      </c>
      <c r="Q6">
        <v>200</v>
      </c>
      <c r="R6">
        <v>17</v>
      </c>
    </row>
    <row r="7" spans="5:18" x14ac:dyDescent="0.25">
      <c r="E7">
        <f>E5+1</f>
        <v>2</v>
      </c>
      <c r="F7">
        <f>F5</f>
        <v>15</v>
      </c>
      <c r="G7">
        <v>1</v>
      </c>
      <c r="H7">
        <f t="shared" si="0"/>
        <v>3</v>
      </c>
      <c r="I7">
        <f>I5</f>
        <v>12</v>
      </c>
      <c r="L7">
        <f t="shared" si="1"/>
        <v>215</v>
      </c>
      <c r="M7">
        <v>1</v>
      </c>
      <c r="N7">
        <v>12</v>
      </c>
      <c r="O7">
        <v>36</v>
      </c>
      <c r="Q7">
        <v>215</v>
      </c>
      <c r="R7">
        <v>36</v>
      </c>
    </row>
    <row r="8" spans="5:18" x14ac:dyDescent="0.25">
      <c r="E8">
        <f t="shared" ref="E8:E14" si="2">E6+1</f>
        <v>3</v>
      </c>
      <c r="F8">
        <f t="shared" ref="F8:F13" si="3">F6</f>
        <v>0</v>
      </c>
      <c r="G8">
        <v>0</v>
      </c>
      <c r="H8">
        <f t="shared" si="0"/>
        <v>3</v>
      </c>
      <c r="I8">
        <f t="shared" ref="I8:I15" si="4">I6</f>
        <v>17</v>
      </c>
      <c r="L8">
        <f t="shared" si="1"/>
        <v>300</v>
      </c>
      <c r="M8">
        <v>0</v>
      </c>
      <c r="N8">
        <v>17</v>
      </c>
      <c r="O8">
        <v>17</v>
      </c>
      <c r="Q8">
        <v>300</v>
      </c>
      <c r="R8">
        <v>17</v>
      </c>
    </row>
    <row r="9" spans="5:18" x14ac:dyDescent="0.25">
      <c r="E9">
        <f t="shared" si="2"/>
        <v>3</v>
      </c>
      <c r="F9">
        <f t="shared" si="3"/>
        <v>15</v>
      </c>
      <c r="G9">
        <v>1</v>
      </c>
      <c r="H9">
        <f t="shared" si="0"/>
        <v>4</v>
      </c>
      <c r="I9">
        <f t="shared" si="4"/>
        <v>12</v>
      </c>
      <c r="L9">
        <f t="shared" si="1"/>
        <v>315</v>
      </c>
      <c r="M9">
        <v>1</v>
      </c>
      <c r="N9">
        <v>12</v>
      </c>
      <c r="O9">
        <v>36</v>
      </c>
      <c r="Q9">
        <v>315</v>
      </c>
      <c r="R9">
        <v>36</v>
      </c>
    </row>
    <row r="10" spans="5:18" x14ac:dyDescent="0.25">
      <c r="E10">
        <f t="shared" si="2"/>
        <v>4</v>
      </c>
      <c r="F10">
        <f t="shared" si="3"/>
        <v>0</v>
      </c>
      <c r="G10">
        <v>0</v>
      </c>
      <c r="H10">
        <f t="shared" si="0"/>
        <v>4</v>
      </c>
      <c r="I10">
        <f t="shared" si="4"/>
        <v>17</v>
      </c>
      <c r="L10">
        <f t="shared" si="1"/>
        <v>400</v>
      </c>
      <c r="M10">
        <v>0</v>
      </c>
      <c r="N10">
        <v>17</v>
      </c>
      <c r="O10">
        <v>17</v>
      </c>
      <c r="Q10">
        <v>400</v>
      </c>
      <c r="R10">
        <v>17</v>
      </c>
    </row>
    <row r="11" spans="5:18" x14ac:dyDescent="0.25">
      <c r="E11">
        <f t="shared" si="2"/>
        <v>4</v>
      </c>
      <c r="F11">
        <f t="shared" si="3"/>
        <v>15</v>
      </c>
      <c r="G11">
        <v>1</v>
      </c>
      <c r="H11">
        <f t="shared" si="0"/>
        <v>5</v>
      </c>
      <c r="I11">
        <f t="shared" si="4"/>
        <v>12</v>
      </c>
      <c r="L11">
        <f t="shared" si="1"/>
        <v>415</v>
      </c>
      <c r="M11">
        <v>1</v>
      </c>
      <c r="N11">
        <v>12</v>
      </c>
      <c r="O11">
        <v>36</v>
      </c>
      <c r="Q11">
        <v>415</v>
      </c>
      <c r="R11">
        <v>36</v>
      </c>
    </row>
    <row r="12" spans="5:18" x14ac:dyDescent="0.25">
      <c r="E12">
        <f t="shared" si="2"/>
        <v>5</v>
      </c>
      <c r="F12">
        <f t="shared" si="3"/>
        <v>0</v>
      </c>
      <c r="G12">
        <v>0</v>
      </c>
      <c r="H12">
        <f t="shared" si="0"/>
        <v>5</v>
      </c>
      <c r="I12">
        <f t="shared" si="4"/>
        <v>17</v>
      </c>
      <c r="L12">
        <f t="shared" si="1"/>
        <v>500</v>
      </c>
      <c r="M12">
        <v>0</v>
      </c>
      <c r="N12">
        <v>17</v>
      </c>
      <c r="O12">
        <v>17</v>
      </c>
      <c r="Q12">
        <v>500</v>
      </c>
      <c r="R12">
        <v>17</v>
      </c>
    </row>
    <row r="13" spans="5:18" x14ac:dyDescent="0.25">
      <c r="E13">
        <f t="shared" si="2"/>
        <v>5</v>
      </c>
      <c r="F13">
        <f t="shared" si="3"/>
        <v>15</v>
      </c>
      <c r="G13">
        <v>3</v>
      </c>
      <c r="H13">
        <v>1</v>
      </c>
      <c r="I13">
        <v>17</v>
      </c>
      <c r="L13">
        <f t="shared" si="1"/>
        <v>515</v>
      </c>
      <c r="M13">
        <v>3</v>
      </c>
      <c r="N13">
        <v>17</v>
      </c>
      <c r="O13">
        <f>M13*24+17</f>
        <v>89</v>
      </c>
      <c r="Q13">
        <v>515</v>
      </c>
      <c r="R13">
        <v>89</v>
      </c>
    </row>
    <row r="14" spans="5:18" x14ac:dyDescent="0.25">
      <c r="E14">
        <f t="shared" si="2"/>
        <v>6</v>
      </c>
      <c r="F14">
        <v>0</v>
      </c>
      <c r="G14">
        <v>2</v>
      </c>
      <c r="H14">
        <v>1</v>
      </c>
      <c r="I14">
        <f t="shared" si="4"/>
        <v>17</v>
      </c>
      <c r="L14">
        <f t="shared" si="1"/>
        <v>600</v>
      </c>
      <c r="M14">
        <v>2</v>
      </c>
      <c r="N14">
        <v>17</v>
      </c>
      <c r="O14">
        <f>M14*24+17</f>
        <v>65</v>
      </c>
      <c r="Q14">
        <v>600</v>
      </c>
      <c r="R14">
        <v>65</v>
      </c>
    </row>
    <row r="15" spans="5:18" x14ac:dyDescent="0.25">
      <c r="E15">
        <v>7</v>
      </c>
      <c r="F15">
        <v>0</v>
      </c>
      <c r="G15">
        <v>1</v>
      </c>
      <c r="H15">
        <v>1</v>
      </c>
      <c r="I15">
        <f t="shared" si="4"/>
        <v>17</v>
      </c>
      <c r="L15">
        <f t="shared" si="1"/>
        <v>700</v>
      </c>
      <c r="M15">
        <v>1</v>
      </c>
      <c r="N15">
        <v>17</v>
      </c>
      <c r="O15">
        <f>M15*24+17</f>
        <v>41</v>
      </c>
      <c r="Q15">
        <v>700</v>
      </c>
      <c r="R15">
        <v>41</v>
      </c>
    </row>
    <row r="17" spans="16:28" x14ac:dyDescent="0.25">
      <c r="Q17" s="32" t="s">
        <v>30</v>
      </c>
    </row>
    <row r="18" spans="16:28" x14ac:dyDescent="0.25">
      <c r="P18" s="33" t="s">
        <v>29</v>
      </c>
      <c r="Q18" s="31">
        <v>100</v>
      </c>
      <c r="R18" s="31">
        <v>115</v>
      </c>
      <c r="S18" s="31">
        <v>200</v>
      </c>
      <c r="T18" s="31">
        <v>215</v>
      </c>
      <c r="U18" s="31">
        <v>300</v>
      </c>
      <c r="V18" s="31">
        <v>315</v>
      </c>
      <c r="W18" s="31">
        <v>400</v>
      </c>
      <c r="X18" s="31">
        <v>415</v>
      </c>
      <c r="Y18" s="31">
        <v>500</v>
      </c>
      <c r="Z18" s="31">
        <v>515</v>
      </c>
      <c r="AA18" s="31">
        <v>600</v>
      </c>
      <c r="AB18" s="31">
        <v>700</v>
      </c>
    </row>
    <row r="19" spans="16:28" x14ac:dyDescent="0.25">
      <c r="P19" s="33" t="s">
        <v>31</v>
      </c>
      <c r="Q19" s="31">
        <v>17</v>
      </c>
      <c r="R19" s="31">
        <v>36</v>
      </c>
      <c r="S19" s="31">
        <v>17</v>
      </c>
      <c r="T19" s="31">
        <v>36</v>
      </c>
      <c r="U19" s="31">
        <v>17</v>
      </c>
      <c r="V19" s="31">
        <v>36</v>
      </c>
      <c r="W19" s="31">
        <v>17</v>
      </c>
      <c r="X19" s="31">
        <v>36</v>
      </c>
      <c r="Y19" s="31">
        <v>17</v>
      </c>
      <c r="Z19" s="31">
        <v>89</v>
      </c>
      <c r="AA19" s="31">
        <v>65</v>
      </c>
      <c r="AB19" s="31">
        <v>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2021-01-05T01:36:20Z</dcterms:created>
  <dcterms:modified xsi:type="dcterms:W3CDTF">2021-01-05T01:36:37Z</dcterms:modified>
</cp:coreProperties>
</file>