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1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15336" windowHeight="6996" tabRatio="669" activeTab="1"/>
  </bookViews>
  <sheets>
    <sheet name="Пластик" sheetId="6" r:id="rId1"/>
    <sheet name="Дерево" sheetId="10" r:id="rId2"/>
    <sheet name="Свод" sheetId="16" r:id="rId3"/>
  </sheets>
  <definedNames>
    <definedName name="_xlnm._FilterDatabase" localSheetId="1" hidden="1">Дерево!$A$26:$P$51</definedName>
    <definedName name="_xlnm._FilterDatabase" localSheetId="0" hidden="1">Пластик!$A$26:$Q$77</definedName>
    <definedName name="A999999999" localSheetId="1">Дерево!#REF!</definedName>
    <definedName name="A999999999" localSheetId="0">Пластик!#REF!</definedName>
    <definedName name="A999999999" localSheetId="2">#REF!</definedName>
    <definedName name="A999999999">#REF!</definedName>
    <definedName name="Abv_Plast" localSheetId="1">Дерево!#REF!</definedName>
    <definedName name="Abv_Plast" localSheetId="2">#REF!</definedName>
    <definedName name="Abv_Plast">Пластик!#REF!</definedName>
    <definedName name="Steko" localSheetId="1">Дерево!#REF!</definedName>
    <definedName name="Steko">Пластик!$AC$3:$AC$14</definedName>
    <definedName name="Ааа" localSheetId="2">#REF!</definedName>
    <definedName name="Ааа">Дерево!#REF!</definedName>
    <definedName name="АБВ" localSheetId="1">Дерево!#REF!</definedName>
    <definedName name="АБВ" localSheetId="2">#REF!</definedName>
    <definedName name="АБВ">Пластик!#REF!</definedName>
    <definedName name="АБВ_Пласт" localSheetId="1">Дерево!$Z$3:$Z$3</definedName>
    <definedName name="АБВ_Пласт">Пластик!$AA$3:$AA$8</definedName>
    <definedName name="абвпласт" localSheetId="2">#REF!</definedName>
    <definedName name="абвпласт">Пластик!#REF!</definedName>
    <definedName name="ббб" localSheetId="2">#REF!</definedName>
    <definedName name="ббб">#REF!</definedName>
    <definedName name="Виробник" localSheetId="2">#REF!</definedName>
    <definedName name="Виробник">#REF!</definedName>
    <definedName name="ВІдливи" localSheetId="2">#REF!</definedName>
    <definedName name="ВІдливи">#REF!</definedName>
    <definedName name="Вікнарі" localSheetId="1">Дерево!#REF!</definedName>
    <definedName name="Вікнарі">Пластик!$AS$3:$AS$8</definedName>
    <definedName name="ВікнаСтиль" localSheetId="1">Дерево!#REF!</definedName>
    <definedName name="ВікнаСтиль">Пластик!$AI$3:$AI$11</definedName>
    <definedName name="ВІкнопром" localSheetId="1">Дерево!#REF!</definedName>
    <definedName name="ВІкнопром">Пластик!$AO$3:$AO$8</definedName>
    <definedName name="Віконда" localSheetId="1">Дерево!#REF!</definedName>
    <definedName name="Віконда">Пластик!$AE$3:$AE$13</definedName>
    <definedName name="вмробник1" localSheetId="2">#REF!</definedName>
    <definedName name="вмробник1">#REF!</definedName>
    <definedName name="Вхідні" localSheetId="2">#REF!</definedName>
    <definedName name="Вхідні">Таблица1119207[Вхідні]</definedName>
    <definedName name="Галактика" localSheetId="1">Дерево!#REF!</definedName>
    <definedName name="Галактика">Пластик!$AQ$3:$AQ$8</definedName>
    <definedName name="Гаражні_ворота" localSheetId="2">#REF!</definedName>
    <definedName name="Гаражні_ворота">#REF!</definedName>
    <definedName name="Екіпаж" localSheetId="1">Дерево!#REF!</definedName>
    <definedName name="Екіпаж">Пластик!$AK$3:$AK$14</definedName>
    <definedName name="Захисні_ролети" localSheetId="2">#REF!</definedName>
    <definedName name="Захисні_ролети">#REF!</definedName>
    <definedName name="Інотерм" localSheetId="1">Дерево!#REF!</definedName>
    <definedName name="Інотерм">Пластик!$AM$3:$AM$8</definedName>
    <definedName name="Комплектація" localSheetId="2">#REF!</definedName>
    <definedName name="Комплектація">Таблица5[Комплектація]</definedName>
    <definedName name="Комплектуючі" localSheetId="2">#REF!</definedName>
    <definedName name="Комплектуючі">#REF!</definedName>
    <definedName name="Котли" localSheetId="2">#REF!</definedName>
    <definedName name="Котли">#REF!</definedName>
    <definedName name="міжкімнатні" localSheetId="2">#REF!</definedName>
    <definedName name="міжкімнатні">Таблица31[Міжкімнатні]</definedName>
    <definedName name="Москітки" localSheetId="2">#REF!</definedName>
    <definedName name="Москітки">#REF!</definedName>
    <definedName name="Підвіконня" localSheetId="2">#REF!</definedName>
    <definedName name="Підвіконня">#REF!</definedName>
    <definedName name="різне" localSheetId="2">#REF!</definedName>
    <definedName name="різне">Дерево!#REF!</definedName>
    <definedName name="Статус" localSheetId="1">Дерево!$R$3:$R$10</definedName>
    <definedName name="Статус" localSheetId="2">#REF!</definedName>
    <definedName name="Статус">Таблица837[Статус]</definedName>
    <definedName name="Термопласт" localSheetId="1">Дерево!#REF!</definedName>
    <definedName name="Термопласт">Пластик!$AG$3:$AG$10</definedName>
  </definedNames>
  <calcPr calcId="162913"/>
</workbook>
</file>

<file path=xl/calcChain.xml><?xml version="1.0" encoding="utf-8"?>
<calcChain xmlns="http://schemas.openxmlformats.org/spreadsheetml/2006/main">
  <c r="D14" i="16" l="1"/>
  <c r="F77" i="6" l="1"/>
  <c r="I28" i="10" l="1"/>
  <c r="O28" i="10" s="1"/>
  <c r="I29" i="10"/>
  <c r="O29" i="10" s="1"/>
  <c r="I30" i="10"/>
  <c r="O30" i="10" s="1"/>
  <c r="I31" i="10"/>
  <c r="O31" i="10" s="1"/>
  <c r="I32" i="10"/>
  <c r="O32" i="10" s="1"/>
  <c r="I33" i="10"/>
  <c r="O33" i="10" s="1"/>
  <c r="I34" i="10"/>
  <c r="O34" i="10" s="1"/>
  <c r="I35" i="10"/>
  <c r="O35" i="10" s="1"/>
  <c r="I36" i="10"/>
  <c r="O36" i="10" s="1"/>
  <c r="I37" i="10"/>
  <c r="O37" i="10" s="1"/>
  <c r="I38" i="10"/>
  <c r="O38" i="10" s="1"/>
  <c r="I39" i="10"/>
  <c r="O39" i="10" s="1"/>
  <c r="I40" i="10"/>
  <c r="O40" i="10" s="1"/>
  <c r="I41" i="10"/>
  <c r="O41" i="10" s="1"/>
  <c r="I42" i="10"/>
  <c r="O42" i="10" s="1"/>
  <c r="I43" i="10"/>
  <c r="O43" i="10" s="1"/>
  <c r="I44" i="10"/>
  <c r="O44" i="10" s="1"/>
  <c r="I45" i="10"/>
  <c r="O45" i="10" s="1"/>
  <c r="I46" i="10"/>
  <c r="O46" i="10" s="1"/>
  <c r="I47" i="10"/>
  <c r="O47" i="10" s="1"/>
  <c r="I48" i="10"/>
  <c r="O48" i="10" s="1"/>
  <c r="I49" i="10"/>
  <c r="O49" i="10" s="1"/>
  <c r="K28" i="10"/>
  <c r="L28" i="10" s="1"/>
  <c r="K29" i="10"/>
  <c r="L29" i="10" s="1"/>
  <c r="K30" i="10"/>
  <c r="L30" i="10" s="1"/>
  <c r="K31" i="10"/>
  <c r="L31" i="10" s="1"/>
  <c r="K32" i="10"/>
  <c r="K33" i="10"/>
  <c r="L33" i="10" s="1"/>
  <c r="K34" i="10"/>
  <c r="L34" i="10" s="1"/>
  <c r="K35" i="10"/>
  <c r="K36" i="10"/>
  <c r="L36" i="10" s="1"/>
  <c r="K37" i="10"/>
  <c r="L37" i="10" s="1"/>
  <c r="K38" i="10"/>
  <c r="L38" i="10" s="1"/>
  <c r="K39" i="10"/>
  <c r="L39" i="10" s="1"/>
  <c r="K40" i="10"/>
  <c r="K41" i="10"/>
  <c r="L41" i="10" s="1"/>
  <c r="K42" i="10"/>
  <c r="L42" i="10" s="1"/>
  <c r="K43" i="10"/>
  <c r="L43" i="10" s="1"/>
  <c r="K44" i="10"/>
  <c r="L44" i="10" s="1"/>
  <c r="K45" i="10"/>
  <c r="L45" i="10" s="1"/>
  <c r="K46" i="10"/>
  <c r="K47" i="10"/>
  <c r="L47" i="10" s="1"/>
  <c r="K48" i="10"/>
  <c r="L48" i="10" s="1"/>
  <c r="K49" i="10"/>
  <c r="L49" i="10" s="1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J28" i="6"/>
  <c r="P28" i="6" s="1"/>
  <c r="J29" i="6"/>
  <c r="P29" i="6" s="1"/>
  <c r="J30" i="6"/>
  <c r="P30" i="6" s="1"/>
  <c r="J31" i="6"/>
  <c r="P31" i="6" s="1"/>
  <c r="J32" i="6"/>
  <c r="P32" i="6" s="1"/>
  <c r="J33" i="6"/>
  <c r="P33" i="6" s="1"/>
  <c r="J34" i="6"/>
  <c r="P34" i="6" s="1"/>
  <c r="J35" i="6"/>
  <c r="P35" i="6" s="1"/>
  <c r="J36" i="6"/>
  <c r="P36" i="6" s="1"/>
  <c r="J37" i="6"/>
  <c r="P37" i="6" s="1"/>
  <c r="J38" i="6"/>
  <c r="P38" i="6" s="1"/>
  <c r="J39" i="6"/>
  <c r="P39" i="6" s="1"/>
  <c r="J40" i="6"/>
  <c r="P40" i="6" s="1"/>
  <c r="J41" i="6"/>
  <c r="P41" i="6" s="1"/>
  <c r="J42" i="6"/>
  <c r="P42" i="6" s="1"/>
  <c r="J43" i="6"/>
  <c r="P43" i="6" s="1"/>
  <c r="J44" i="6"/>
  <c r="P44" i="6" s="1"/>
  <c r="J45" i="6"/>
  <c r="P45" i="6" s="1"/>
  <c r="J46" i="6"/>
  <c r="P46" i="6" s="1"/>
  <c r="L28" i="6"/>
  <c r="M28" i="6" s="1"/>
  <c r="L29" i="6"/>
  <c r="M29" i="6" s="1"/>
  <c r="L30" i="6"/>
  <c r="M30" i="6" s="1"/>
  <c r="L31" i="6"/>
  <c r="M31" i="6" s="1"/>
  <c r="L32" i="6"/>
  <c r="M32" i="6" s="1"/>
  <c r="L33" i="6"/>
  <c r="M33" i="6" s="1"/>
  <c r="L34" i="6"/>
  <c r="M34" i="6" s="1"/>
  <c r="L35" i="6"/>
  <c r="M35" i="6" s="1"/>
  <c r="L36" i="6"/>
  <c r="M36" i="6" s="1"/>
  <c r="L37" i="6"/>
  <c r="M37" i="6" s="1"/>
  <c r="L38" i="6"/>
  <c r="M38" i="6" s="1"/>
  <c r="L39" i="6"/>
  <c r="M39" i="6" s="1"/>
  <c r="L40" i="6"/>
  <c r="M40" i="6" s="1"/>
  <c r="L41" i="6"/>
  <c r="L42" i="6"/>
  <c r="M42" i="6" s="1"/>
  <c r="L43" i="6"/>
  <c r="M43" i="6" s="1"/>
  <c r="L44" i="6"/>
  <c r="M44" i="6" s="1"/>
  <c r="L45" i="6"/>
  <c r="M45" i="6" s="1"/>
  <c r="L46" i="6"/>
  <c r="M46" i="6" s="1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J47" i="6"/>
  <c r="P47" i="6" s="1"/>
  <c r="J48" i="6"/>
  <c r="P48" i="6" s="1"/>
  <c r="J49" i="6"/>
  <c r="P49" i="6" s="1"/>
  <c r="J50" i="6"/>
  <c r="P50" i="6" s="1"/>
  <c r="J51" i="6"/>
  <c r="P51" i="6" s="1"/>
  <c r="J52" i="6"/>
  <c r="P52" i="6" s="1"/>
  <c r="J53" i="6"/>
  <c r="P53" i="6" s="1"/>
  <c r="J54" i="6"/>
  <c r="P54" i="6" s="1"/>
  <c r="J55" i="6"/>
  <c r="P55" i="6" s="1"/>
  <c r="J56" i="6"/>
  <c r="P56" i="6" s="1"/>
  <c r="J57" i="6"/>
  <c r="P57" i="6" s="1"/>
  <c r="J58" i="6"/>
  <c r="P58" i="6" s="1"/>
  <c r="J59" i="6"/>
  <c r="P59" i="6" s="1"/>
  <c r="J60" i="6"/>
  <c r="P60" i="6" s="1"/>
  <c r="J61" i="6"/>
  <c r="P61" i="6" s="1"/>
  <c r="J62" i="6"/>
  <c r="P62" i="6" s="1"/>
  <c r="J63" i="6"/>
  <c r="P63" i="6" s="1"/>
  <c r="J64" i="6"/>
  <c r="P64" i="6" s="1"/>
  <c r="J65" i="6"/>
  <c r="P65" i="6" s="1"/>
  <c r="J66" i="6"/>
  <c r="P66" i="6" s="1"/>
  <c r="J67" i="6"/>
  <c r="P67" i="6" s="1"/>
  <c r="J68" i="6"/>
  <c r="P68" i="6" s="1"/>
  <c r="J69" i="6"/>
  <c r="P69" i="6" s="1"/>
  <c r="J70" i="6"/>
  <c r="P70" i="6" s="1"/>
  <c r="J71" i="6"/>
  <c r="P71" i="6" s="1"/>
  <c r="J72" i="6"/>
  <c r="P72" i="6" s="1"/>
  <c r="J73" i="6"/>
  <c r="P73" i="6" s="1"/>
  <c r="J74" i="6"/>
  <c r="P74" i="6" s="1"/>
  <c r="L47" i="6"/>
  <c r="M47" i="6" s="1"/>
  <c r="L48" i="6"/>
  <c r="M48" i="6" s="1"/>
  <c r="L49" i="6"/>
  <c r="M49" i="6" s="1"/>
  <c r="L50" i="6"/>
  <c r="M50" i="6" s="1"/>
  <c r="L51" i="6"/>
  <c r="L52" i="6"/>
  <c r="M52" i="6" s="1"/>
  <c r="L53" i="6"/>
  <c r="M53" i="6" s="1"/>
  <c r="L54" i="6"/>
  <c r="M54" i="6" s="1"/>
  <c r="L55" i="6"/>
  <c r="M55" i="6" s="1"/>
  <c r="L56" i="6"/>
  <c r="M56" i="6" s="1"/>
  <c r="L57" i="6"/>
  <c r="M57" i="6" s="1"/>
  <c r="L58" i="6"/>
  <c r="M58" i="6" s="1"/>
  <c r="L59" i="6"/>
  <c r="M59" i="6" s="1"/>
  <c r="L60" i="6"/>
  <c r="M60" i="6" s="1"/>
  <c r="L61" i="6"/>
  <c r="M61" i="6" s="1"/>
  <c r="L62" i="6"/>
  <c r="M62" i="6" s="1"/>
  <c r="L63" i="6"/>
  <c r="M63" i="6" s="1"/>
  <c r="L64" i="6"/>
  <c r="M64" i="6" s="1"/>
  <c r="L65" i="6"/>
  <c r="M65" i="6" s="1"/>
  <c r="L66" i="6"/>
  <c r="M66" i="6" s="1"/>
  <c r="L67" i="6"/>
  <c r="M67" i="6" s="1"/>
  <c r="L68" i="6"/>
  <c r="M68" i="6" s="1"/>
  <c r="L69" i="6"/>
  <c r="M69" i="6" s="1"/>
  <c r="L70" i="6"/>
  <c r="M70" i="6" s="1"/>
  <c r="L71" i="6"/>
  <c r="M71" i="6" s="1"/>
  <c r="L72" i="6"/>
  <c r="M72" i="6" s="1"/>
  <c r="L73" i="6"/>
  <c r="M73" i="6" s="1"/>
  <c r="L74" i="6"/>
  <c r="M74" i="6" s="1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J75" i="6"/>
  <c r="P75" i="6" s="1"/>
  <c r="J76" i="6"/>
  <c r="P76" i="6" s="1"/>
  <c r="L75" i="6"/>
  <c r="M75" i="6" s="1"/>
  <c r="L76" i="6"/>
  <c r="M76" i="6" s="1"/>
  <c r="R75" i="6"/>
  <c r="R76" i="6"/>
  <c r="E13" i="16" l="1"/>
  <c r="L46" i="10"/>
  <c r="L40" i="10"/>
  <c r="M51" i="6"/>
  <c r="L32" i="10"/>
  <c r="L35" i="10"/>
  <c r="M41" i="6"/>
  <c r="K27" i="10"/>
  <c r="K50" i="10"/>
  <c r="K51" i="10"/>
  <c r="L27" i="6"/>
  <c r="I27" i="10"/>
  <c r="I50" i="10"/>
  <c r="I51" i="10"/>
  <c r="J27" i="6"/>
  <c r="C16" i="16" l="1"/>
  <c r="C15" i="16"/>
  <c r="C14" i="16"/>
  <c r="C13" i="16"/>
  <c r="E14" i="16" l="1"/>
  <c r="D13" i="16"/>
  <c r="G77" i="6"/>
  <c r="L77" i="6" l="1"/>
  <c r="L27" i="10"/>
  <c r="O27" i="10"/>
  <c r="M27" i="6"/>
  <c r="P27" i="6"/>
  <c r="R27" i="6"/>
  <c r="Q27" i="10" l="1"/>
  <c r="N52" i="10" l="1"/>
  <c r="M52" i="10"/>
  <c r="J52" i="10"/>
  <c r="G52" i="10"/>
  <c r="F52" i="10"/>
  <c r="I52" i="10"/>
  <c r="D52" i="10"/>
  <c r="O51" i="10"/>
  <c r="Q51" i="10"/>
  <c r="O50" i="10"/>
  <c r="Q50" i="10"/>
  <c r="O77" i="6"/>
  <c r="N77" i="6"/>
  <c r="K77" i="6"/>
  <c r="I77" i="6"/>
  <c r="H77" i="6"/>
  <c r="J77" i="6"/>
  <c r="E77" i="6"/>
  <c r="D77" i="6"/>
  <c r="E15" i="16" l="1"/>
  <c r="D15" i="16"/>
  <c r="E16" i="16"/>
  <c r="D16" i="16"/>
  <c r="L50" i="10"/>
  <c r="L51" i="10"/>
  <c r="O52" i="10"/>
  <c r="E52" i="10"/>
  <c r="P77" i="6"/>
  <c r="K52" i="10" l="1"/>
  <c r="L52" i="10"/>
  <c r="M77" i="6" l="1"/>
</calcChain>
</file>

<file path=xl/sharedStrings.xml><?xml version="1.0" encoding="utf-8"?>
<sst xmlns="http://schemas.openxmlformats.org/spreadsheetml/2006/main" count="313" uniqueCount="140">
  <si>
    <t>Дата</t>
  </si>
  <si>
    <t>К-сть</t>
  </si>
  <si>
    <t>Сума</t>
  </si>
  <si>
    <t>Завод</t>
  </si>
  <si>
    <t>Різн.</t>
  </si>
  <si>
    <t>Залишок</t>
  </si>
  <si>
    <t>Ав №1</t>
  </si>
  <si>
    <t>Ав №2</t>
  </si>
  <si>
    <t>Доставка</t>
  </si>
  <si>
    <t>Монтаж</t>
  </si>
  <si>
    <t>Товар</t>
  </si>
  <si>
    <t>дотягувач</t>
  </si>
  <si>
    <t>Виробник</t>
  </si>
  <si>
    <t>На складі</t>
  </si>
  <si>
    <t>Виконано</t>
  </si>
  <si>
    <t>В роботі</t>
  </si>
  <si>
    <t>Термопласт</t>
  </si>
  <si>
    <t>Екіпаж</t>
  </si>
  <si>
    <t>Schon</t>
  </si>
  <si>
    <t>Wintech 642</t>
  </si>
  <si>
    <t>Wintech 753</t>
  </si>
  <si>
    <t>Steko</t>
  </si>
  <si>
    <t>Steko S300</t>
  </si>
  <si>
    <t>Steko S400</t>
  </si>
  <si>
    <t>Steko S500</t>
  </si>
  <si>
    <t>Steko S600</t>
  </si>
  <si>
    <t>Steko S700</t>
  </si>
  <si>
    <t>Steko S800</t>
  </si>
  <si>
    <t>АБВ_Пласт</t>
  </si>
  <si>
    <t>Статус</t>
  </si>
  <si>
    <t>Віконда</t>
  </si>
  <si>
    <t>Потр. сервіс</t>
  </si>
  <si>
    <t>Оч. доставка</t>
  </si>
  <si>
    <t>Рекламація</t>
  </si>
  <si>
    <t>вікна</t>
  </si>
  <si>
    <t>двері</t>
  </si>
  <si>
    <t>Роздріб</t>
  </si>
  <si>
    <t>Стандарт</t>
  </si>
  <si>
    <t>Стандарт+</t>
  </si>
  <si>
    <t>Термо</t>
  </si>
  <si>
    <t>Котедж</t>
  </si>
  <si>
    <t>Комфорт</t>
  </si>
  <si>
    <t>Lider  4k</t>
  </si>
  <si>
    <t>Viknaland 6k</t>
  </si>
  <si>
    <t>WDS 5s</t>
  </si>
  <si>
    <t>WDS 6s</t>
  </si>
  <si>
    <t>WDS 7s</t>
  </si>
  <si>
    <t>WDS 8s</t>
  </si>
  <si>
    <t>WinOpen</t>
  </si>
  <si>
    <t>Aluplast 2000</t>
  </si>
  <si>
    <t>Aluplast 4000</t>
  </si>
  <si>
    <t>Aluplast 7000</t>
  </si>
  <si>
    <t>Aluplast 8000</t>
  </si>
  <si>
    <t>ВікнаСтиль</t>
  </si>
  <si>
    <t>S300 Trio</t>
  </si>
  <si>
    <t>Класік</t>
  </si>
  <si>
    <t>Ультра 6</t>
  </si>
  <si>
    <t>Ультра 7</t>
  </si>
  <si>
    <t>Класік+</t>
  </si>
  <si>
    <t>WDS 5s еко</t>
  </si>
  <si>
    <t>WDS 5s +</t>
  </si>
  <si>
    <t>WDS 6s +</t>
  </si>
  <si>
    <t>Millenium</t>
  </si>
  <si>
    <t>Olimpia</t>
  </si>
  <si>
    <t>Rehau euro 60</t>
  </si>
  <si>
    <t>Rehau euro 70</t>
  </si>
  <si>
    <t>Synego 80</t>
  </si>
  <si>
    <t>Geneo 86</t>
  </si>
  <si>
    <t>Інотерм</t>
  </si>
  <si>
    <t>Veka euroline</t>
  </si>
  <si>
    <t>Veka Q7</t>
  </si>
  <si>
    <t>Veka Q8</t>
  </si>
  <si>
    <t>Вікнопром</t>
  </si>
  <si>
    <t>WHS</t>
  </si>
  <si>
    <t>Галактика</t>
  </si>
  <si>
    <t>Вікнарі</t>
  </si>
  <si>
    <t>База даних</t>
  </si>
  <si>
    <t>ВІкнаСтиль</t>
  </si>
  <si>
    <t>Інший</t>
  </si>
  <si>
    <t>Рент.</t>
  </si>
  <si>
    <t>На офісі</t>
  </si>
  <si>
    <t>вхідні</t>
  </si>
  <si>
    <t>міжкімнатні</t>
  </si>
  <si>
    <t>Тип</t>
  </si>
  <si>
    <t>Термінус</t>
  </si>
  <si>
    <t>Корфад</t>
  </si>
  <si>
    <t>Леадор</t>
  </si>
  <si>
    <t>Міжкімнатні</t>
  </si>
  <si>
    <t>Подільські</t>
  </si>
  <si>
    <t>Вхідні</t>
  </si>
  <si>
    <t>Контур</t>
  </si>
  <si>
    <t>Разом</t>
  </si>
  <si>
    <t>Оковка</t>
  </si>
  <si>
    <t>Новий Стиль</t>
  </si>
  <si>
    <t>інший</t>
  </si>
  <si>
    <t>лиштва</t>
  </si>
  <si>
    <t>добори</t>
  </si>
  <si>
    <t>поріг</t>
  </si>
  <si>
    <t>замок</t>
  </si>
  <si>
    <t>серцевина</t>
  </si>
  <si>
    <t>ручка</t>
  </si>
  <si>
    <t>інші компл.</t>
  </si>
  <si>
    <t>ніжка дверна</t>
  </si>
  <si>
    <t>інші</t>
  </si>
  <si>
    <t>Комплектація</t>
  </si>
  <si>
    <t>комплектація</t>
  </si>
  <si>
    <t>Тех.</t>
  </si>
  <si>
    <t>склопакети</t>
  </si>
  <si>
    <t>Тип заміру</t>
  </si>
  <si>
    <t>звич.</t>
  </si>
  <si>
    <t>власний</t>
  </si>
  <si>
    <t>1/2власн.</t>
  </si>
  <si>
    <t>Інший виробник</t>
  </si>
  <si>
    <t>полотна</t>
  </si>
  <si>
    <t>акційні двері</t>
  </si>
  <si>
    <t>акційні полотна</t>
  </si>
  <si>
    <t>коробка</t>
  </si>
  <si>
    <t>притв. планка</t>
  </si>
  <si>
    <t>шпінгалети</t>
  </si>
  <si>
    <t>накладки</t>
  </si>
  <si>
    <t>Сума замовлення</t>
  </si>
  <si>
    <t>Супутні товари</t>
  </si>
  <si>
    <t>Роздріб м.п.к.</t>
  </si>
  <si>
    <t>Завод м.п.к.</t>
  </si>
  <si>
    <t>2020-2021</t>
  </si>
  <si>
    <t>2021-2022</t>
  </si>
  <si>
    <t>2022-2023</t>
  </si>
  <si>
    <t>2023-2024</t>
  </si>
  <si>
    <t>Дарумі</t>
  </si>
  <si>
    <t>ЗахідЄвроДім</t>
  </si>
  <si>
    <t>2024-2025</t>
  </si>
  <si>
    <t>Брама</t>
  </si>
  <si>
    <t>Роки</t>
  </si>
  <si>
    <t>Січ</t>
  </si>
  <si>
    <t>Пер:</t>
  </si>
  <si>
    <t>Пластик</t>
  </si>
  <si>
    <t>Столбец1</t>
  </si>
  <si>
    <t>Дерево</t>
  </si>
  <si>
    <t>Столбец7</t>
  </si>
  <si>
    <t>Столбец8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</si>
</sst>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&quot; замовл.&quot;"/>
    <numFmt numFmtId="166" formatCode="#,##0;[Red]\-#,##0;;"/>
  </numFmts>
  <fonts count="4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/>
        <bgColor theme="8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10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2" fillId="4" borderId="1" applyNumberFormat="0" applyAlignment="0" applyProtection="0"/>
    <xf numFmtId="0" fontId="13" fillId="12" borderId="2" applyNumberFormat="0" applyAlignment="0" applyProtection="0"/>
    <xf numFmtId="0" fontId="14" fillId="12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3" borderId="7" applyNumberFormat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15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36">
    <xf numFmtId="0" fontId="0" fillId="0" borderId="0" xfId="0"/>
    <xf numFmtId="0" fontId="34" fillId="0" borderId="13" xfId="0" applyFont="1" applyFill="1" applyBorder="1" applyAlignment="1" applyProtection="1">
      <alignment horizontal="left"/>
      <protection locked="0"/>
    </xf>
    <xf numFmtId="16" fontId="34" fillId="0" borderId="22" xfId="0" applyNumberFormat="1" applyFont="1" applyFill="1" applyBorder="1" applyAlignment="1" applyProtection="1">
      <alignment horizontal="left"/>
      <protection locked="0"/>
    </xf>
    <xf numFmtId="0" fontId="29" fillId="0" borderId="0" xfId="0" applyFont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19" fillId="5" borderId="0" xfId="1" applyFont="1" applyAlignment="1" applyProtection="1">
      <alignment horizontal="centerContinuous"/>
      <protection locked="0"/>
    </xf>
    <xf numFmtId="0" fontId="10" fillId="5" borderId="0" xfId="1" applyAlignment="1" applyProtection="1">
      <alignment horizontal="centerContinuous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31" fillId="0" borderId="0" xfId="0" applyFont="1" applyFill="1" applyBorder="1" applyProtection="1">
      <protection locked="0"/>
    </xf>
    <xf numFmtId="0" fontId="30" fillId="0" borderId="0" xfId="0" applyFont="1" applyFill="1" applyBorder="1" applyProtection="1">
      <protection locked="0"/>
    </xf>
    <xf numFmtId="0" fontId="28" fillId="22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Protection="1">
      <protection locked="0"/>
    </xf>
    <xf numFmtId="0" fontId="30" fillId="18" borderId="0" xfId="0" applyFont="1" applyFill="1" applyBorder="1" applyProtection="1">
      <protection locked="0"/>
    </xf>
    <xf numFmtId="0" fontId="30" fillId="27" borderId="0" xfId="0" applyFont="1" applyFill="1" applyBorder="1" applyProtection="1">
      <protection locked="0"/>
    </xf>
    <xf numFmtId="0" fontId="28" fillId="17" borderId="0" xfId="0" applyFont="1" applyFill="1" applyBorder="1" applyProtection="1">
      <protection locked="0"/>
    </xf>
    <xf numFmtId="0" fontId="28" fillId="24" borderId="0" xfId="0" applyFont="1" applyFill="1" applyBorder="1" applyProtection="1">
      <protection locked="0"/>
    </xf>
    <xf numFmtId="0" fontId="30" fillId="25" borderId="0" xfId="0" applyFont="1" applyFill="1" applyBorder="1" applyProtection="1">
      <protection locked="0"/>
    </xf>
    <xf numFmtId="0" fontId="28" fillId="26" borderId="0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28" fillId="20" borderId="0" xfId="0" applyFont="1" applyFill="1" applyBorder="1" applyAlignment="1" applyProtection="1">
      <alignment horizontal="center"/>
      <protection locked="0"/>
    </xf>
    <xf numFmtId="0" fontId="28" fillId="30" borderId="0" xfId="0" applyFont="1" applyFill="1" applyBorder="1" applyAlignment="1" applyProtection="1">
      <alignment horizontal="center"/>
      <protection locked="0"/>
    </xf>
    <xf numFmtId="0" fontId="28" fillId="25" borderId="0" xfId="0" applyFont="1" applyFill="1" applyBorder="1" applyProtection="1">
      <protection locked="0"/>
    </xf>
    <xf numFmtId="0" fontId="28" fillId="28" borderId="0" xfId="0" applyFont="1" applyFill="1" applyBorder="1" applyAlignment="1" applyProtection="1">
      <alignment horizontal="center"/>
      <protection locked="0"/>
    </xf>
    <xf numFmtId="0" fontId="15" fillId="0" borderId="11" xfId="0" applyFont="1" applyBorder="1" applyProtection="1">
      <protection locked="0"/>
    </xf>
    <xf numFmtId="0" fontId="28" fillId="19" borderId="0" xfId="0" applyFont="1" applyFill="1" applyBorder="1" applyAlignment="1" applyProtection="1">
      <alignment horizontal="center"/>
      <protection locked="0"/>
    </xf>
    <xf numFmtId="0" fontId="28" fillId="0" borderId="11" xfId="0" applyFont="1" applyBorder="1" applyProtection="1">
      <protection locked="0"/>
    </xf>
    <xf numFmtId="0" fontId="28" fillId="23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8" fillId="21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Protection="1">
      <protection locked="0"/>
    </xf>
    <xf numFmtId="0" fontId="30" fillId="26" borderId="0" xfId="0" applyFont="1" applyFill="1" applyBorder="1" applyProtection="1">
      <protection locked="0"/>
    </xf>
    <xf numFmtId="0" fontId="28" fillId="0" borderId="0" xfId="0" applyFont="1" applyFill="1" applyProtection="1"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9" fontId="34" fillId="16" borderId="13" xfId="0" applyNumberFormat="1" applyFont="1" applyFill="1" applyBorder="1" applyAlignment="1" applyProtection="1">
      <alignment horizontal="center"/>
    </xf>
    <xf numFmtId="0" fontId="37" fillId="16" borderId="0" xfId="0" applyFont="1" applyFill="1" applyAlignment="1" applyProtection="1">
      <alignment horizontal="center"/>
    </xf>
    <xf numFmtId="16" fontId="9" fillId="0" borderId="26" xfId="0" applyNumberFormat="1" applyFont="1" applyBorder="1" applyAlignment="1" applyProtection="1">
      <alignment horizontal="left"/>
      <protection locked="0"/>
    </xf>
    <xf numFmtId="9" fontId="9" fillId="0" borderId="24" xfId="0" applyNumberFormat="1" applyFont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16" fontId="7" fillId="0" borderId="26" xfId="0" applyNumberFormat="1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49" fontId="34" fillId="0" borderId="17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left"/>
      <protection locked="0"/>
    </xf>
    <xf numFmtId="166" fontId="34" fillId="16" borderId="13" xfId="0" applyNumberFormat="1" applyFont="1" applyFill="1" applyBorder="1" applyAlignment="1" applyProtection="1">
      <alignment horizontal="center"/>
      <protection locked="0"/>
    </xf>
    <xf numFmtId="166" fontId="34" fillId="0" borderId="13" xfId="0" applyNumberFormat="1" applyFont="1" applyFill="1" applyBorder="1" applyAlignment="1" applyProtection="1">
      <alignment horizontal="center"/>
      <protection locked="0"/>
    </xf>
    <xf numFmtId="166" fontId="34" fillId="16" borderId="13" xfId="0" applyNumberFormat="1" applyFont="1" applyFill="1" applyBorder="1" applyAlignment="1" applyProtection="1">
      <alignment horizontal="center"/>
    </xf>
    <xf numFmtId="38" fontId="34" fillId="16" borderId="13" xfId="0" applyNumberFormat="1" applyFont="1" applyFill="1" applyBorder="1" applyAlignment="1" applyProtection="1">
      <alignment horizontal="center"/>
    </xf>
    <xf numFmtId="166" fontId="7" fillId="0" borderId="24" xfId="0" applyNumberFormat="1" applyFont="1" applyBorder="1" applyAlignment="1" applyProtection="1">
      <alignment horizontal="center"/>
      <protection locked="0"/>
    </xf>
    <xf numFmtId="166" fontId="9" fillId="0" borderId="24" xfId="0" applyNumberFormat="1" applyFont="1" applyBorder="1" applyAlignment="1" applyProtection="1">
      <alignment horizontal="center"/>
    </xf>
    <xf numFmtId="166" fontId="9" fillId="0" borderId="24" xfId="0" applyNumberFormat="1" applyFont="1" applyBorder="1" applyAlignment="1" applyProtection="1">
      <alignment horizontal="center"/>
      <protection locked="0"/>
    </xf>
    <xf numFmtId="38" fontId="9" fillId="0" borderId="24" xfId="0" applyNumberFormat="1" applyFont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  <protection locked="0"/>
    </xf>
    <xf numFmtId="0" fontId="36" fillId="0" borderId="11" xfId="0" applyFont="1" applyBorder="1" applyProtection="1">
      <protection locked="0"/>
    </xf>
    <xf numFmtId="0" fontId="31" fillId="31" borderId="32" xfId="0" applyFont="1" applyFill="1" applyBorder="1" applyProtection="1">
      <protection locked="0"/>
    </xf>
    <xf numFmtId="0" fontId="36" fillId="0" borderId="10" xfId="0" applyFont="1" applyBorder="1" applyProtection="1"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33" fillId="19" borderId="19" xfId="0" applyFont="1" applyFill="1" applyBorder="1" applyAlignment="1" applyProtection="1">
      <alignment horizontal="centerContinuous"/>
      <protection locked="0"/>
    </xf>
    <xf numFmtId="0" fontId="29" fillId="19" borderId="12" xfId="0" applyFont="1" applyFill="1" applyBorder="1" applyAlignment="1" applyProtection="1">
      <alignment horizontal="centerContinuous"/>
      <protection locked="0"/>
    </xf>
    <xf numFmtId="0" fontId="29" fillId="19" borderId="15" xfId="0" applyFont="1" applyFill="1" applyBorder="1" applyAlignment="1" applyProtection="1">
      <alignment horizontal="centerContinuous"/>
      <protection locked="0"/>
    </xf>
    <xf numFmtId="0" fontId="28" fillId="0" borderId="0" xfId="0" applyFont="1" applyFill="1" applyAlignment="1" applyProtection="1">
      <alignment horizontal="centerContinuous"/>
      <protection locked="0"/>
    </xf>
    <xf numFmtId="0" fontId="35" fillId="19" borderId="20" xfId="0" applyFont="1" applyFill="1" applyBorder="1" applyAlignment="1" applyProtection="1">
      <alignment horizontal="centerContinuous" vertical="center" wrapText="1"/>
      <protection locked="0"/>
    </xf>
    <xf numFmtId="0" fontId="35" fillId="19" borderId="16" xfId="0" applyFont="1" applyFill="1" applyBorder="1" applyAlignment="1" applyProtection="1">
      <alignment horizontal="centerContinuous" vertical="center" wrapText="1"/>
      <protection locked="0"/>
    </xf>
    <xf numFmtId="0" fontId="35" fillId="19" borderId="21" xfId="0" applyFont="1" applyFill="1" applyBorder="1" applyAlignment="1" applyProtection="1">
      <alignment horizontal="centerContinuous"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5" fillId="28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0" fillId="0" borderId="33" xfId="0" applyFont="1" applyBorder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0" fontId="31" fillId="31" borderId="0" xfId="0" applyFont="1" applyFill="1" applyBorder="1" applyProtection="1">
      <protection locked="0"/>
    </xf>
    <xf numFmtId="0" fontId="33" fillId="28" borderId="19" xfId="0" applyFont="1" applyFill="1" applyBorder="1" applyAlignment="1" applyProtection="1">
      <alignment horizontal="centerContinuous"/>
      <protection locked="0"/>
    </xf>
    <xf numFmtId="0" fontId="29" fillId="28" borderId="12" xfId="0" applyFont="1" applyFill="1" applyBorder="1" applyAlignment="1" applyProtection="1">
      <alignment horizontal="centerContinuous"/>
      <protection locked="0"/>
    </xf>
    <xf numFmtId="0" fontId="29" fillId="28" borderId="15" xfId="0" applyFont="1" applyFill="1" applyBorder="1" applyAlignment="1" applyProtection="1">
      <alignment horizontal="centerContinuous"/>
      <protection locked="0"/>
    </xf>
    <xf numFmtId="0" fontId="35" fillId="28" borderId="0" xfId="0" applyFont="1" applyFill="1" applyBorder="1" applyAlignment="1" applyProtection="1">
      <alignment horizontal="center" vertical="center"/>
      <protection locked="0"/>
    </xf>
    <xf numFmtId="0" fontId="35" fillId="28" borderId="25" xfId="0" applyFont="1" applyFill="1" applyBorder="1" applyAlignment="1" applyProtection="1">
      <alignment horizontal="center" vertical="center"/>
      <protection locked="0"/>
    </xf>
    <xf numFmtId="0" fontId="35" fillId="28" borderId="28" xfId="0" applyFont="1" applyFill="1" applyBorder="1" applyAlignment="1" applyProtection="1">
      <alignment horizontal="center" vertical="center"/>
      <protection locked="0"/>
    </xf>
    <xf numFmtId="0" fontId="39" fillId="29" borderId="26" xfId="0" applyFont="1" applyFill="1" applyBorder="1" applyAlignment="1" applyProtection="1">
      <alignment horizontal="centerContinuous"/>
      <protection locked="0"/>
    </xf>
    <xf numFmtId="0" fontId="39" fillId="28" borderId="24" xfId="0" applyFont="1" applyFill="1" applyBorder="1" applyAlignment="1" applyProtection="1">
      <alignment horizontal="centerContinuous"/>
      <protection locked="0"/>
    </xf>
    <xf numFmtId="166" fontId="39" fillId="28" borderId="24" xfId="0" applyNumberFormat="1" applyFont="1" applyFill="1" applyBorder="1" applyAlignment="1" applyProtection="1">
      <alignment horizontal="center"/>
    </xf>
    <xf numFmtId="166" fontId="39" fillId="28" borderId="24" xfId="0" applyNumberFormat="1" applyFont="1" applyFill="1" applyBorder="1" applyAlignment="1" applyProtection="1">
      <alignment horizontal="center"/>
      <protection locked="0"/>
    </xf>
    <xf numFmtId="9" fontId="39" fillId="28" borderId="24" xfId="0" applyNumberFormat="1" applyFont="1" applyFill="1" applyBorder="1" applyAlignment="1" applyProtection="1">
      <alignment horizontal="center"/>
    </xf>
    <xf numFmtId="38" fontId="39" fillId="28" borderId="24" xfId="0" applyNumberFormat="1" applyFont="1" applyFill="1" applyBorder="1" applyAlignment="1" applyProtection="1">
      <alignment horizontal="center"/>
    </xf>
    <xf numFmtId="0" fontId="39" fillId="28" borderId="18" xfId="0" applyFont="1" applyFill="1" applyBorder="1" applyAlignment="1" applyProtection="1">
      <alignment horizontal="center"/>
      <protection locked="0"/>
    </xf>
    <xf numFmtId="0" fontId="39" fillId="28" borderId="26" xfId="0" applyFont="1" applyFill="1" applyBorder="1" applyAlignment="1" applyProtection="1">
      <alignment horizontal="center"/>
      <protection locked="0"/>
    </xf>
    <xf numFmtId="0" fontId="34" fillId="0" borderId="0" xfId="0" applyFont="1" applyFill="1" applyAlignment="1" applyProtection="1">
      <alignment horizontal="center"/>
      <protection locked="0"/>
    </xf>
    <xf numFmtId="0" fontId="28" fillId="0" borderId="0" xfId="25" applyFont="1" applyProtection="1">
      <protection locked="0"/>
    </xf>
    <xf numFmtId="3" fontId="28" fillId="0" borderId="0" xfId="25" applyNumberFormat="1" applyFont="1" applyProtection="1">
      <protection locked="0"/>
    </xf>
    <xf numFmtId="0" fontId="33" fillId="25" borderId="29" xfId="25" applyFont="1" applyFill="1" applyBorder="1" applyProtection="1">
      <protection locked="0"/>
    </xf>
    <xf numFmtId="0" fontId="33" fillId="25" borderId="30" xfId="25" applyFont="1" applyFill="1" applyBorder="1" applyAlignment="1" applyProtection="1">
      <alignment horizontal="right"/>
      <protection locked="0"/>
    </xf>
    <xf numFmtId="0" fontId="28" fillId="28" borderId="0" xfId="25" applyFont="1" applyFill="1" applyBorder="1" applyProtection="1">
      <protection locked="0"/>
    </xf>
    <xf numFmtId="3" fontId="28" fillId="28" borderId="0" xfId="25" applyNumberFormat="1" applyFont="1" applyFill="1" applyBorder="1" applyProtection="1">
      <protection locked="0"/>
    </xf>
    <xf numFmtId="0" fontId="28" fillId="0" borderId="0" xfId="25" applyFont="1" applyAlignment="1" applyProtection="1">
      <alignment horizontal="center"/>
      <protection locked="0"/>
    </xf>
    <xf numFmtId="3" fontId="41" fillId="27" borderId="36" xfId="25" applyNumberFormat="1" applyFont="1" applyFill="1" applyBorder="1" applyProtection="1"/>
    <xf numFmtId="3" fontId="41" fillId="27" borderId="35" xfId="25" applyNumberFormat="1" applyFont="1" applyFill="1" applyBorder="1" applyProtection="1"/>
    <xf numFmtId="9" fontId="41" fillId="27" borderId="37" xfId="28" applyFont="1" applyFill="1" applyBorder="1" applyProtection="1"/>
    <xf numFmtId="3" fontId="41" fillId="27" borderId="31" xfId="25" applyNumberFormat="1" applyFont="1" applyFill="1" applyBorder="1" applyProtection="1"/>
    <xf numFmtId="3" fontId="41" fillId="27" borderId="34" xfId="25" applyNumberFormat="1" applyFont="1" applyFill="1" applyBorder="1" applyProtection="1"/>
    <xf numFmtId="0" fontId="32" fillId="27" borderId="31" xfId="25" applyFont="1" applyFill="1" applyBorder="1" applyAlignment="1" applyProtection="1">
      <alignment horizontal="right"/>
    </xf>
    <xf numFmtId="0" fontId="32" fillId="27" borderId="34" xfId="25" applyFont="1" applyFill="1" applyBorder="1" applyAlignment="1" applyProtection="1">
      <alignment horizontal="right"/>
    </xf>
    <xf numFmtId="0" fontId="32" fillId="18" borderId="31" xfId="25" applyFont="1" applyFill="1" applyBorder="1" applyAlignment="1" applyProtection="1">
      <alignment horizontal="right"/>
    </xf>
    <xf numFmtId="3" fontId="41" fillId="18" borderId="36" xfId="25" applyNumberFormat="1" applyFont="1" applyFill="1" applyBorder="1" applyProtection="1"/>
    <xf numFmtId="3" fontId="41" fillId="18" borderId="31" xfId="25" applyNumberFormat="1" applyFont="1" applyFill="1" applyBorder="1" applyProtection="1"/>
    <xf numFmtId="0" fontId="32" fillId="18" borderId="34" xfId="25" applyFont="1" applyFill="1" applyBorder="1" applyAlignment="1" applyProtection="1">
      <alignment horizontal="right"/>
    </xf>
    <xf numFmtId="3" fontId="41" fillId="18" borderId="35" xfId="25" applyNumberFormat="1" applyFont="1" applyFill="1" applyBorder="1" applyProtection="1"/>
    <xf numFmtId="3" fontId="41" fillId="18" borderId="34" xfId="25" applyNumberFormat="1" applyFont="1" applyFill="1" applyBorder="1" applyProtection="1"/>
    <xf numFmtId="9" fontId="41" fillId="18" borderId="37" xfId="28" applyFont="1" applyFill="1" applyBorder="1" applyProtection="1"/>
    <xf numFmtId="0" fontId="28" fillId="21" borderId="36" xfId="25" applyFont="1" applyFill="1" applyBorder="1" applyAlignment="1" applyProtection="1">
      <alignment horizontal="center"/>
    </xf>
    <xf numFmtId="0" fontId="28" fillId="21" borderId="31" xfId="25" applyFont="1" applyFill="1" applyBorder="1" applyAlignment="1" applyProtection="1">
      <alignment horizontal="right"/>
    </xf>
    <xf numFmtId="3" fontId="28" fillId="21" borderId="36" xfId="25" applyNumberFormat="1" applyFont="1" applyFill="1" applyBorder="1" applyAlignment="1" applyProtection="1">
      <alignment horizontal="centerContinuous"/>
    </xf>
    <xf numFmtId="0" fontId="15" fillId="21" borderId="31" xfId="0" applyFont="1" applyFill="1" applyBorder="1" applyAlignment="1" applyProtection="1">
      <alignment horizontal="centerContinuous"/>
    </xf>
    <xf numFmtId="0" fontId="15" fillId="21" borderId="27" xfId="0" applyFont="1" applyFill="1" applyBorder="1" applyAlignment="1" applyProtection="1">
      <alignment horizontal="centerContinuous"/>
    </xf>
    <xf numFmtId="0" fontId="32" fillId="27" borderId="36" xfId="25" applyFont="1" applyFill="1" applyBorder="1" applyProtection="1"/>
    <xf numFmtId="9" fontId="41" fillId="27" borderId="27" xfId="28" applyFont="1" applyFill="1" applyBorder="1" applyProtection="1"/>
    <xf numFmtId="0" fontId="32" fillId="27" borderId="35" xfId="25" applyFont="1" applyFill="1" applyBorder="1" applyProtection="1"/>
    <xf numFmtId="0" fontId="32" fillId="18" borderId="36" xfId="25" applyFont="1" applyFill="1" applyBorder="1" applyProtection="1"/>
    <xf numFmtId="9" fontId="41" fillId="18" borderId="27" xfId="28" applyFont="1" applyFill="1" applyBorder="1" applyProtection="1"/>
    <xf numFmtId="0" fontId="32" fillId="18" borderId="35" xfId="25" applyFont="1" applyFill="1" applyBorder="1" applyProtection="1"/>
    <xf numFmtId="166" fontId="7" fillId="0" borderId="24" xfId="0" applyNumberFormat="1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49" fontId="2" fillId="0" borderId="18" xfId="0" applyNumberFormat="1" applyFont="1" applyBorder="1" applyAlignment="1" applyProtection="1">
      <alignment horizontal="left"/>
      <protection locked="0"/>
    </xf>
    <xf numFmtId="0" fontId="42" fillId="29" borderId="23" xfId="0" applyFont="1" applyFill="1" applyBorder="1" applyAlignment="1" applyProtection="1">
      <alignment horizontal="centerContinuous"/>
      <protection locked="0"/>
    </xf>
    <xf numFmtId="0" fontId="42" fillId="19" borderId="14" xfId="0" applyFont="1" applyFill="1" applyBorder="1" applyAlignment="1" applyProtection="1">
      <alignment horizontal="centerContinuous"/>
      <protection locked="0"/>
    </xf>
    <xf numFmtId="165" fontId="42" fillId="19" borderId="14" xfId="0" applyNumberFormat="1" applyFont="1" applyFill="1" applyBorder="1" applyAlignment="1" applyProtection="1">
      <alignment horizontal="centerContinuous"/>
    </xf>
    <xf numFmtId="166" fontId="42" fillId="19" borderId="14" xfId="0" applyNumberFormat="1" applyFont="1" applyFill="1" applyBorder="1" applyAlignment="1" applyProtection="1">
      <alignment horizontal="center"/>
    </xf>
    <xf numFmtId="9" fontId="42" fillId="19" borderId="14" xfId="0" applyNumberFormat="1" applyFont="1" applyFill="1" applyBorder="1" applyAlignment="1" applyProtection="1">
      <alignment horizontal="center"/>
    </xf>
    <xf numFmtId="38" fontId="42" fillId="19" borderId="14" xfId="0" applyNumberFormat="1" applyFont="1" applyFill="1" applyBorder="1" applyAlignment="1" applyProtection="1">
      <alignment horizontal="center"/>
    </xf>
    <xf numFmtId="38" fontId="42" fillId="19" borderId="14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</cellXfs>
  <cellStyles count="29">
    <cellStyle name="40% — акцент5" xfId="1" builtinId="47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25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8" builtinId="5"/>
    <cellStyle name="Процентный 2" xfId="27"/>
    <cellStyle name="Связанная ячейка" xfId="22" builtinId="24" customBuiltin="1"/>
    <cellStyle name="Текст предупреждения" xfId="23" builtinId="11" customBuiltin="1"/>
    <cellStyle name="Финансовый 2" xfId="26"/>
    <cellStyle name="Хороший" xfId="24" builtinId="26" customBuiltin="1"/>
  </cellStyles>
  <dxfs count="1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theme="8"/>
        </top>
        <bottom/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8"/>
          <bgColor theme="8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\ _₴;[Red]\-#,##0\ _₴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#,##0;[Red]\-#,##0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#,##0;[Red]\-#,##0;;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;[Red]\-#,##0;;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66FF66"/>
        </patternFill>
      </fill>
      <alignment horizontal="centerContinuous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1" formatCode="dd/mmm"/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  <protection locked="0" hidden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hair">
          <color rgb="FF000000"/>
        </left>
        <right style="thin">
          <color rgb="FF000000"/>
        </right>
        <top style="thin">
          <color rgb="FF000000"/>
        </top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theme="8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8"/>
          <bgColor theme="8"/>
        </patternFill>
      </fill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protection locked="0" hidden="0"/>
    </dxf>
    <dxf>
      <border outline="0">
        <bottom style="thin">
          <color theme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99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9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CFF9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CCFF99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6" formatCode="#,##0\ _₴;[Red]\-#,##0\ _₴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6" formatCode="#,##0\ _₴;[Red]\-#,##0\ _₴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font>
        <sz val="1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6" formatCode="#,##0\ _₴;[Red]\-#,##0\ _₴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7" formatCode="#,##0;[Red]\-#,##0"/>
      <border>
        <right style="hair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6" formatCode="#,##0;[Red]\-#,##0;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6" formatCode="#,##0;[Red]\-#,##0;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3" formatCode="0%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3" formatCode="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6" formatCode="#,##0;[Red]\-#,##0;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6" formatCode="#,##0;[Red]\-#,##0;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font>
        <sz val="11"/>
        <name val="Calibri"/>
        <scheme val="minor"/>
      </font>
      <numFmt numFmtId="166" formatCode="#,##0;[Red]\-#,##0;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6" formatCode="#,##0;[Red]\-#,##0;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6" formatCode="#,##0;[Red]\-#,##0;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#,##0;[Red]\-#,##0;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font>
        <sz val="11"/>
        <name val="Calibri"/>
        <scheme val="minor"/>
      </font>
      <numFmt numFmtId="166" formatCode="#,##0;[Red]\-#,##0;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#,##0;[Red]\-#,##0;;"/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numFmt numFmtId="166" formatCode="#,##0;[Red]\-#,##0;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&quot; замовл.&quot;"/>
      <fill>
        <patternFill patternType="solid">
          <fgColor indexed="64"/>
          <bgColor rgb="FF92D050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66FF66"/>
        </patternFill>
      </fill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  <protection locked="0" hidden="0"/>
    </dxf>
    <dxf>
      <protection locked="0" hidden="0"/>
    </dxf>
    <dxf>
      <border>
        <top style="hair">
          <color indexed="64"/>
        </top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rgb="FF92D050"/>
        </patternFill>
      </fill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  <protection locked="0" hidden="0"/>
    </dxf>
    <dxf>
      <border outline="0">
        <left style="hair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Continuous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  <protection locked="0" hidden="0"/>
    </dxf>
  </dxfs>
  <tableStyles count="1" defaultTableStyle="TableStyleMedium9" defaultPivotStyle="PivotStyleLight16">
    <tableStyle name="Стиль среза 1" pivot="0" table="0" count="1"/>
  </tableStyles>
  <colors>
    <mruColors>
      <color rgb="FFFFFF66"/>
      <color rgb="FFF8696B"/>
      <color rgb="FFFFFF99"/>
      <color rgb="FFFBABAD"/>
      <color rgb="FFFA989A"/>
      <color rgb="FFFFFFCC"/>
      <color rgb="FFCCFF99"/>
      <color rgb="FF99FF99"/>
      <color rgb="FF66CCFF"/>
      <color rgb="FFFFFFFF"/>
    </mruColors>
  </colors>
  <extLst>
    <ext xmlns:x14="http://schemas.microsoft.com/office/spreadsheetml/2009/9/main" uri="{46F421CA-312F-682f-3DD2-61675219B42D}">
      <x14:dxfs count="1">
        <dxf>
          <fill>
            <patternFill>
              <bgColor rgb="FF92D050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9</xdr:col>
          <xdr:colOff>0</xdr:colOff>
          <xdr:row>24</xdr:row>
          <xdr:rowOff>0</xdr:rowOff>
        </xdr:to>
        <xdr:grpSp>
          <xdr:nvGrpSpPr>
            <xdr:cNvPr id="5" name="Группа 4"/>
            <xdr:cNvGrpSpPr/>
          </xdr:nvGrpSpPr>
          <xdr:grpSpPr>
            <a:xfrm>
              <a:off x="645459" y="0"/>
              <a:ext cx="5629835" cy="1183341"/>
              <a:chOff x="5095875" y="3409950"/>
              <a:chExt cx="5067300" cy="1200150"/>
            </a:xfrm>
          </xdr:grpSpPr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26:R77" totalsRowCount="1" headerRowDxfId="152" dataDxfId="150" totalsRowDxfId="148" headerRowBorderDxfId="151" tableBorderDxfId="149" totalsRowBorderDxfId="147">
  <autoFilter ref="A26:R76"/>
  <tableColumns count="18">
    <tableColumn id="1" name="Дата" dataDxfId="146" totalsRowDxfId="145"/>
    <tableColumn id="7" name="Товар" dataDxfId="144" totalsRowDxfId="143"/>
    <tableColumn id="8" name="Столбец7" dataDxfId="142" totalsRowDxfId="141"/>
    <tableColumn id="9" name="Столбец8" totalsRowFunction="count" dataDxfId="140" totalsRowDxfId="139"/>
    <tableColumn id="10" name="К-сть" totalsRowFunction="sum" dataDxfId="138" totalsRowDxfId="137"/>
    <tableColumn id="14" name="Роздріб м.п.к." totalsRowFunction="sum" dataDxfId="136" totalsRowDxfId="135"/>
    <tableColumn id="37" name="Супутні товари" totalsRowFunction="sum" dataDxfId="134" totalsRowDxfId="133"/>
    <tableColumn id="12" name="Монтаж" totalsRowFunction="sum" dataDxfId="132" totalsRowDxfId="131"/>
    <tableColumn id="13" name="Доставка" totalsRowFunction="sum" dataDxfId="130" totalsRowDxfId="129"/>
    <tableColumn id="11" name="Сума замовлення" totalsRowFunction="sum" dataDxfId="128" totalsRowDxfId="127">
      <calculatedColumnFormula>Таблица1[[#This Row],[Роздріб м.п.к.]]+Таблица1[[#This Row],[Супутні товари]]+Таблица1[[#This Row],[Монтаж]]+Таблица1[[#This Row],[Доставка]]</calculatedColumnFormula>
    </tableColumn>
    <tableColumn id="15" name="Завод м.п.к." totalsRowFunction="sum" dataDxfId="126" totalsRowDxfId="125"/>
    <tableColumn id="16" name="Різн." totalsRowFunction="sum" dataDxfId="124" totalsRowDxfId="123">
      <calculatedColumnFormula>Таблица1[[#This Row],[Роздріб м.п.к.]]-Таблица1[[#This Row],[Завод м.п.к.]]</calculatedColumnFormula>
    </tableColumn>
    <tableColumn id="17" name="Рент." totalsRowFunction="custom" dataDxfId="122" totalsRowDxfId="121">
      <calculatedColumnFormula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calculatedColumnFormula>
      <totalsRowFormula>IFERROR(SUBTOTAL(101,Таблица1[Рент.]),"")</totalsRowFormula>
    </tableColumn>
    <tableColumn id="18" name="Ав №1" totalsRowFunction="sum" dataDxfId="120" totalsRowDxfId="119"/>
    <tableColumn id="19" name="Ав №2" totalsRowFunction="sum" dataDxfId="118" totalsRowDxfId="117"/>
    <tableColumn id="20" name="Залишок" totalsRowFunction="sum" dataDxfId="116" totalsRowDxfId="115">
      <calculatedColumnFormula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calculatedColumnFormula>
    </tableColumn>
    <tableColumn id="21" name="Столбец1" dataDxfId="114" totalsRowDxfId="113"/>
    <tableColumn id="22" name="Тех." dataDxfId="112" totalsRowDxfId="111">
      <calculatedColumnFormula>SUBTOTAL(2,Таблица1[[#This Row],[Роздріб м.п.к.]])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9" name="Таблица9" displayName="Таблица9" ref="W2:W5" totalsRowShown="0" headerRowDxfId="110" dataDxfId="109">
  <autoFilter ref="W2:W5"/>
  <tableColumns count="1">
    <tableColumn id="1" name="Товар" dataDxfId="108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0" name="Таблица10" displayName="Таблица10" ref="Y2:Y14" totalsRowShown="0" headerRowDxfId="107" dataDxfId="106">
  <autoFilter ref="Y2:Y14"/>
  <tableColumns count="1">
    <tableColumn id="1" name="Завод" dataDxfId="10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2" name="Таблица12" displayName="Таблица12" ref="AC2:AC14" totalsRowShown="0" headerRowDxfId="104" dataDxfId="103">
  <autoFilter ref="AC2:AC14"/>
  <tableColumns count="1">
    <tableColumn id="1" name="Steko" dataDxfId="10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19" name="Таблица111920" displayName="Таблица111920" ref="AA2:AA8" totalsRowShown="0" headerRowDxfId="101" dataDxfId="100">
  <autoFilter ref="AA2:AA8"/>
  <tableColumns count="1">
    <tableColumn id="1" name="АБВ_Пласт" dataDxfId="99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30" name="Таблица30" displayName="Таблица30" ref="AE2:AE13" totalsRowShown="0" headerRowDxfId="98" dataDxfId="97">
  <autoFilter ref="AE2:AE13"/>
  <tableColumns count="1">
    <tableColumn id="1" name="Віконда" dataDxfId="96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37" name="Таблица37" displayName="Таблица37" ref="AG2:AG10" totalsRowShown="0" headerRowDxfId="95" dataDxfId="94" tableBorderDxfId="93">
  <autoFilter ref="AG2:AG10"/>
  <tableColumns count="1">
    <tableColumn id="1" name="Термопласт" dataDxfId="9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38" name="Таблица38" displayName="Таблица38" ref="AI2:AI11" totalsRowShown="0" headerRowDxfId="91" dataDxfId="90" tableBorderDxfId="89">
  <autoFilter ref="AI2:AI11"/>
  <tableColumns count="1">
    <tableColumn id="1" name="ВікнаСтиль" dataDxfId="88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39" name="Таблица39" displayName="Таблица39" ref="AK2:AK14" totalsRowShown="0" headerRowDxfId="87" dataDxfId="86" tableBorderDxfId="85">
  <autoFilter ref="AK2:AK14"/>
  <tableColumns count="1">
    <tableColumn id="1" name="Екіпаж" dataDxfId="84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40" name="Таблица40" displayName="Таблица40" ref="AM2:AM8" totalsRowShown="0" headerRowDxfId="83" dataDxfId="82" tableBorderDxfId="81">
  <autoFilter ref="AM2:AM8"/>
  <tableColumns count="1">
    <tableColumn id="1" name="Інотерм" dataDxfId="80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41" name="Таблица41" displayName="Таблица41" ref="AO2:AO8" totalsRowShown="0" headerRowDxfId="79" dataDxfId="78" tableBorderDxfId="77">
  <autoFilter ref="AO2:AO8"/>
  <tableColumns count="1">
    <tableColumn id="1" name="Вікнопром" dataDxfId="76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42" name="Таблица42" displayName="Таблица42" ref="AQ2:AQ8" totalsRowShown="0" headerRowDxfId="75" dataDxfId="74" tableBorderDxfId="73">
  <autoFilter ref="AQ2:AQ8"/>
  <tableColumns count="1">
    <tableColumn id="1" name="Галактика" dataDxfId="72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43" name="Таблица43" displayName="Таблица43" ref="AS2:AS8" totalsRowShown="0" headerRowDxfId="71" dataDxfId="70" tableBorderDxfId="69">
  <autoFilter ref="AS2:AS8"/>
  <tableColumns count="1">
    <tableColumn id="1" name="Вікнарі" dataDxfId="68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29" name="Таблица29" displayName="Таблица29" ref="AU2:AU5" totalsRowShown="0" headerRowDxfId="67" dataDxfId="66" tableBorderDxfId="65">
  <autoFilter ref="AU2:AU5"/>
  <tableColumns count="1">
    <tableColumn id="1" name="Тип заміру" dataDxfId="64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36" name="Таблица837" displayName="Таблица837" ref="U2:U10" totalsRowShown="0" headerRowDxfId="63" dataDxfId="62">
  <autoFilter ref="U2:U10"/>
  <tableColumns count="1">
    <tableColumn id="1" name="Статус" dataDxfId="61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id="2" name="Таблица83" displayName="Таблица83" ref="R2:R10" totalsRowShown="0" headerRowDxfId="60" dataDxfId="59">
  <autoFilter ref="R2:R10"/>
  <tableColumns count="1">
    <tableColumn id="1" name="Статус" dataDxfId="58"/>
  </tableColumns>
  <tableStyleInfo name="TableStyleLight13" showFirstColumn="0" showLastColumn="0" showRowStripes="1" showColumnStripes="0"/>
</table>
</file>

<file path=xl/tables/table17.xml><?xml version="1.0" encoding="utf-8"?>
<table xmlns="http://schemas.openxmlformats.org/spreadsheetml/2006/main" id="3" name="Таблица94" displayName="Таблица94" ref="T2:T6" totalsRowShown="0" headerRowDxfId="57" dataDxfId="56">
  <autoFilter ref="T2:T6"/>
  <tableColumns count="1">
    <tableColumn id="1" name="Тип" dataDxfId="55"/>
  </tableColumns>
  <tableStyleInfo name="TableStyleLight13" showFirstColumn="0" showLastColumn="0" showRowStripes="1" showColumnStripes="0"/>
</table>
</file>

<file path=xl/tables/table18.xml><?xml version="1.0" encoding="utf-8"?>
<table xmlns="http://schemas.openxmlformats.org/spreadsheetml/2006/main" id="5" name="Таблица5" displayName="Таблица5" ref="AB2:AB15" totalsRowShown="0" headerRowDxfId="54" dataDxfId="53">
  <autoFilter ref="AB2:AB15"/>
  <tableColumns count="1">
    <tableColumn id="1" name="Комплектація" dataDxfId="52"/>
  </tableColumns>
  <tableStyleInfo name="TableStyleLight13" showFirstColumn="0" showLastColumn="0" showRowStripes="1" showColumnStripes="0"/>
</table>
</file>

<file path=xl/tables/table19.xml><?xml version="1.0" encoding="utf-8"?>
<table xmlns="http://schemas.openxmlformats.org/spreadsheetml/2006/main" id="28" name="Таблица28" displayName="Таблица28" ref="A26:Q52" totalsRowCount="1" headerRowDxfId="51" dataDxfId="50" totalsRowDxfId="48" tableBorderDxfId="49" totalsRowBorderDxfId="47">
  <autoFilter ref="A26:Q51"/>
  <tableColumns count="17">
    <tableColumn id="1" name="Дата" dataDxfId="46" totalsRowDxfId="45"/>
    <tableColumn id="8" name="Тип" dataDxfId="44" totalsRowDxfId="43"/>
    <tableColumn id="27" name="Товар" dataDxfId="42" totalsRowDxfId="41"/>
    <tableColumn id="9" name="К-сть" totalsRowFunction="custom" dataDxfId="40" totalsRowDxfId="39">
      <totalsRowFormula>SUBTOTAL(109,Дерево!$D$27:$D$51)</totalsRowFormula>
    </tableColumn>
    <tableColumn id="14" name="Роздріб" totalsRowFunction="custom" dataDxfId="38" totalsRowDxfId="37">
      <totalsRowFormula>SUBTOTAL(109,Дерево!$E$27:$E$51)</totalsRowFormula>
    </tableColumn>
    <tableColumn id="11" name="Монтаж" totalsRowFunction="custom" dataDxfId="36" totalsRowDxfId="35">
      <totalsRowFormula>SUBTOTAL(109,Дерево!$F$27:$F$51)</totalsRowFormula>
    </tableColumn>
    <tableColumn id="12" name="Доставка" totalsRowFunction="custom" dataDxfId="34" totalsRowDxfId="33">
      <totalsRowFormula>SUBTOTAL(109,Дерево!$G$27:$G$51)</totalsRowFormula>
    </tableColumn>
    <tableColumn id="13" name="Оковка" dataDxfId="32" totalsRowDxfId="31"/>
    <tableColumn id="10" name="Сума" totalsRowFunction="custom" dataDxfId="30" totalsRowDxfId="29">
      <calculatedColumnFormula>Таблица28[[#This Row],[Роздріб]]+Таблица28[[#This Row],[Монтаж]]+Таблица28[[#This Row],[Доставка]]+Таблица28[[#This Row],[Оковка]]</calculatedColumnFormula>
      <totalsRowFormula>SUBTOTAL(109,Дерево!$I$27:$I$51)</totalsRowFormula>
    </tableColumn>
    <tableColumn id="15" name="Завод" totalsRowFunction="custom" dataDxfId="28" totalsRowDxfId="27">
      <totalsRowFormula>SUBTOTAL(109,Дерево!$J$27:$J$51)</totalsRowFormula>
    </tableColumn>
    <tableColumn id="16" name="Різн." totalsRowFunction="custom" dataDxfId="26" totalsRowDxfId="25">
      <calculatedColumnFormula>Таблица28[[#This Row],[Роздріб]]-Таблица28[[#This Row],[Завод]]</calculatedColumnFormula>
      <totalsRowFormula>SUBTOTAL(109,Дерево!$K$27:$K$51)</totalsRowFormula>
    </tableColumn>
    <tableColumn id="17" name="Рент." totalsRowFunction="custom" dataDxfId="24" totalsRowDxfId="23">
      <calculatedColumnFormula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calculatedColumnFormula>
      <totalsRowFormula>IFERROR(SUBTOTAL(101,Дерево!$L$27:$L$51),"")</totalsRowFormula>
    </tableColumn>
    <tableColumn id="18" name="Ав №1" totalsRowFunction="custom" dataDxfId="22" totalsRowDxfId="21">
      <totalsRowFormula>SUBTOTAL(109,Дерево!$M$27:$M$51)</totalsRowFormula>
    </tableColumn>
    <tableColumn id="19" name="Ав №2" totalsRowFunction="custom" dataDxfId="20" totalsRowDxfId="19">
      <totalsRowFormula>SUBTOTAL(109,Дерево!$N$27:$N$51)</totalsRowFormula>
    </tableColumn>
    <tableColumn id="20" name="Залишок" totalsRowFunction="custom" dataDxfId="18" totalsRowDxfId="17">
      <calculatedColumnFormula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calculatedColumnFormula>
      <totalsRowFormula>SUBTOTAL(109,Дерево!$O$27:$O$51)</totalsRowFormula>
    </tableColumn>
    <tableColumn id="21" name="Столбец1" dataDxfId="16" totalsRowDxfId="15"/>
    <tableColumn id="22" name="Тех." dataDxfId="14" totalsRowDxfId="13">
      <calculatedColumnFormula>SUBTOTAL(2,Таблица28[[#This Row],[Роздріб]])</calculatedColumnFormula>
    </tableColumn>
  </tableColumns>
  <tableStyleInfo name="TableStyleLight7" showFirstColumn="0" showLastColumn="0" showRowStripes="0" showColumnStripes="0"/>
</table>
</file>

<file path=xl/tables/table20.xml><?xml version="1.0" encoding="utf-8"?>
<table xmlns="http://schemas.openxmlformats.org/spreadsheetml/2006/main" id="6" name="Таблица1119207" displayName="Таблица1119207" ref="Z2:Z3" totalsRowShown="0" headerRowDxfId="12" dataDxfId="11">
  <autoFilter ref="Z2:Z3"/>
  <tableColumns count="1">
    <tableColumn id="1" name="Вхідні" dataDxfId="10"/>
  </tableColumns>
  <tableStyleInfo name="TableStyleLight13" showFirstColumn="0" showLastColumn="0" showRowStripes="1" showColumnStripes="0"/>
</table>
</file>

<file path=xl/tables/table21.xml><?xml version="1.0" encoding="utf-8"?>
<table xmlns="http://schemas.openxmlformats.org/spreadsheetml/2006/main" id="31" name="Таблица31" displayName="Таблица31" ref="X2:X7" totalsRowShown="0" headerRowDxfId="9" dataDxfId="8" tableBorderDxfId="7">
  <autoFilter ref="X2:X7"/>
  <tableColumns count="1">
    <tableColumn id="1" name="Міжкімнатні" dataDxfId="6"/>
  </tableColumns>
  <tableStyleInfo name="TableStyleLight13" showFirstColumn="0" showLastColumn="0" showRowStripes="1" showColumnStripes="0"/>
</table>
</file>

<file path=xl/tables/table22.xml><?xml version="1.0" encoding="utf-8"?>
<table xmlns="http://schemas.openxmlformats.org/spreadsheetml/2006/main" id="33" name="Таблица33" displayName="Таблица33" ref="V2:V14" totalsRowShown="0" headerRowDxfId="5" dataDxfId="4">
  <autoFilter ref="V2:V14"/>
  <tableColumns count="1">
    <tableColumn id="1" name="Виробник" dataDxfId="3"/>
  </tableColumns>
  <tableStyleInfo name="TableStyleLight13" showFirstColumn="0" showLastColumn="0" showRowStripes="1" showColumnStripes="0"/>
</table>
</file>

<file path=xl/tables/table23.xml><?xml version="1.0" encoding="utf-8"?>
<table xmlns="http://schemas.openxmlformats.org/spreadsheetml/2006/main" id="34" name="Таблица34" displayName="Таблица34" ref="C1:C6" totalsRowShown="0" headerRowDxfId="2" dataDxfId="1" headerRowCellStyle="Обычный 2" dataCellStyle="Обычный 2">
  <autoFilter ref="C1:C6"/>
  <tableColumns count="1">
    <tableColumn id="1" name="Роки" dataDxfId="0" dataCellStyle="Обычный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table" Target="../tables/table16.xml"/><Relationship Id="rId7" Type="http://schemas.openxmlformats.org/officeDocument/2006/relationships/table" Target="../tables/table2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Relationship Id="rId9" Type="http://schemas.openxmlformats.org/officeDocument/2006/relationships/table" Target="../tables/table2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U81"/>
  <sheetViews>
    <sheetView topLeftCell="A59" zoomScale="85" zoomScaleNormal="85" workbookViewId="0">
      <pane xSplit="1" topLeftCell="B1" activePane="topRight" state="frozen"/>
      <selection activeCell="A19" sqref="A19"/>
      <selection pane="topRight" activeCell="G82" sqref="G82"/>
    </sheetView>
  </sheetViews>
  <sheetFormatPr defaultColWidth="9.109375" defaultRowHeight="13.8" x14ac:dyDescent="0.3"/>
  <cols>
    <col min="1" max="1" width="9.44140625" style="7" customWidth="1"/>
    <col min="2" max="2" width="7.6640625" style="7" customWidth="1"/>
    <col min="3" max="3" width="12.109375" style="7" customWidth="1"/>
    <col min="4" max="4" width="13.44140625" style="7" customWidth="1"/>
    <col min="5" max="5" width="6" style="7" customWidth="1"/>
    <col min="6" max="6" width="10.5546875" style="7" customWidth="1"/>
    <col min="7" max="7" width="8.88671875"/>
    <col min="8" max="8" width="8.6640625" style="7" bestFit="1" customWidth="1"/>
    <col min="9" max="9" width="8.109375" style="7" customWidth="1"/>
    <col min="10" max="10" width="11.44140625" style="7" customWidth="1"/>
    <col min="11" max="11" width="10.5546875" style="7" customWidth="1"/>
    <col min="12" max="12" width="8.88671875"/>
    <col min="13" max="14" width="10" style="7" customWidth="1"/>
    <col min="15" max="15" width="9.44140625" style="7" customWidth="1"/>
    <col min="16" max="16" width="11.88671875" style="7" customWidth="1"/>
    <col min="17" max="17" width="15" style="7" customWidth="1"/>
    <col min="18" max="18" width="3.44140625" style="7" hidden="1" customWidth="1"/>
    <col min="19" max="19" width="7.109375" customWidth="1"/>
    <col min="20" max="20" width="7.109375" style="4" customWidth="1"/>
    <col min="21" max="21" width="10.6640625" style="8" bestFit="1" customWidth="1"/>
    <col min="22" max="22" width="0.88671875" customWidth="1"/>
    <col min="23" max="23" width="10.6640625" style="8" bestFit="1" customWidth="1"/>
    <col min="24" max="24" width="0.88671875" style="4" customWidth="1"/>
    <col min="25" max="25" width="10.6640625" style="4" customWidth="1"/>
    <col min="26" max="26" width="0.88671875" style="7" customWidth="1"/>
    <col min="27" max="27" width="11" style="7" customWidth="1"/>
    <col min="28" max="28" width="0.88671875" style="7" customWidth="1"/>
    <col min="29" max="29" width="11.44140625" style="7" customWidth="1"/>
    <col min="30" max="30" width="0.88671875" style="7" customWidth="1"/>
    <col min="31" max="31" width="12" style="7" bestFit="1" customWidth="1"/>
    <col min="32" max="32" width="0.88671875" style="7" customWidth="1"/>
    <col min="33" max="33" width="9.5546875" style="7" customWidth="1"/>
    <col min="34" max="34" width="0.88671875" style="7" customWidth="1"/>
    <col min="35" max="35" width="12.6640625" style="7" customWidth="1"/>
    <col min="36" max="36" width="0.88671875" style="7" customWidth="1"/>
    <col min="37" max="37" width="12.109375" style="7" customWidth="1"/>
    <col min="38" max="38" width="0.88671875" style="7" customWidth="1"/>
    <col min="39" max="39" width="12" style="7" bestFit="1" customWidth="1"/>
    <col min="40" max="40" width="0.88671875" style="7" customWidth="1"/>
    <col min="41" max="41" width="13.109375" style="7" bestFit="1" customWidth="1"/>
    <col min="42" max="42" width="0.88671875" style="7" customWidth="1"/>
    <col min="43" max="43" width="12.33203125" style="7" bestFit="1" customWidth="1"/>
    <col min="44" max="44" width="0.88671875" style="7" customWidth="1"/>
    <col min="45" max="45" width="11.44140625" style="7" customWidth="1"/>
    <col min="46" max="46" width="0.88671875" style="7" customWidth="1"/>
    <col min="47" max="47" width="12.33203125" style="7" bestFit="1" customWidth="1"/>
    <col min="48" max="48" width="0.88671875" style="7" customWidth="1"/>
    <col min="49" max="16384" width="9.109375" style="7"/>
  </cols>
  <sheetData>
    <row r="1" spans="7:47" ht="15.6" hidden="1" x14ac:dyDescent="0.3">
      <c r="G1" s="7"/>
      <c r="L1" s="7"/>
      <c r="Q1" s="3"/>
      <c r="R1" s="4"/>
      <c r="U1" s="5" t="s">
        <v>76</v>
      </c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7:47" hidden="1" x14ac:dyDescent="0.3">
      <c r="G2" s="7"/>
      <c r="L2" s="7"/>
      <c r="R2" s="4"/>
      <c r="U2" s="8" t="s">
        <v>29</v>
      </c>
      <c r="W2" s="4" t="s">
        <v>10</v>
      </c>
      <c r="X2" s="7"/>
      <c r="Y2" s="7" t="s">
        <v>3</v>
      </c>
      <c r="AA2" s="7" t="s">
        <v>28</v>
      </c>
      <c r="AB2" s="9"/>
      <c r="AC2" s="7" t="s">
        <v>21</v>
      </c>
      <c r="AE2" s="7" t="s">
        <v>30</v>
      </c>
      <c r="AG2" s="7" t="s">
        <v>16</v>
      </c>
      <c r="AI2" s="7" t="s">
        <v>53</v>
      </c>
      <c r="AK2" s="7" t="s">
        <v>17</v>
      </c>
      <c r="AM2" s="7" t="s">
        <v>68</v>
      </c>
      <c r="AO2" s="7" t="s">
        <v>72</v>
      </c>
      <c r="AQ2" s="7" t="s">
        <v>74</v>
      </c>
      <c r="AS2" s="7" t="s">
        <v>75</v>
      </c>
      <c r="AU2" s="56" t="s">
        <v>108</v>
      </c>
    </row>
    <row r="3" spans="7:47" hidden="1" x14ac:dyDescent="0.3">
      <c r="G3" s="7"/>
      <c r="L3" s="7"/>
      <c r="Q3" s="10"/>
      <c r="R3" s="4"/>
      <c r="U3" s="11" t="s">
        <v>15</v>
      </c>
      <c r="W3" s="12" t="s">
        <v>34</v>
      </c>
      <c r="X3" s="13"/>
      <c r="Y3" s="14" t="s">
        <v>28</v>
      </c>
      <c r="Z3" s="13"/>
      <c r="AA3" s="14" t="s">
        <v>18</v>
      </c>
      <c r="AB3" s="10"/>
      <c r="AC3" s="15" t="s">
        <v>22</v>
      </c>
      <c r="AD3" s="13"/>
      <c r="AE3" s="16" t="s">
        <v>62</v>
      </c>
      <c r="AF3" s="13"/>
      <c r="AG3" s="17" t="s">
        <v>42</v>
      </c>
      <c r="AH3" s="13"/>
      <c r="AI3" s="18" t="s">
        <v>62</v>
      </c>
      <c r="AJ3" s="13"/>
      <c r="AK3" s="19" t="s">
        <v>54</v>
      </c>
      <c r="AL3" s="13"/>
      <c r="AM3" s="13" t="s">
        <v>64</v>
      </c>
      <c r="AN3" s="13"/>
      <c r="AO3" s="13" t="s">
        <v>69</v>
      </c>
      <c r="AP3" s="13"/>
      <c r="AQ3" s="13" t="s">
        <v>69</v>
      </c>
      <c r="AS3" s="20" t="s">
        <v>69</v>
      </c>
      <c r="AU3" s="57" t="s">
        <v>109</v>
      </c>
    </row>
    <row r="4" spans="7:47" hidden="1" x14ac:dyDescent="0.3">
      <c r="G4" s="7"/>
      <c r="L4" s="7"/>
      <c r="Q4" s="10"/>
      <c r="R4" s="4"/>
      <c r="U4" s="21" t="s">
        <v>32</v>
      </c>
      <c r="W4" s="12" t="s">
        <v>35</v>
      </c>
      <c r="X4" s="13"/>
      <c r="Y4" s="15" t="s">
        <v>21</v>
      </c>
      <c r="Z4" s="13"/>
      <c r="AA4" s="14" t="s">
        <v>48</v>
      </c>
      <c r="AB4" s="10"/>
      <c r="AC4" s="15" t="s">
        <v>23</v>
      </c>
      <c r="AD4" s="13"/>
      <c r="AE4" s="16" t="s">
        <v>63</v>
      </c>
      <c r="AF4" s="13"/>
      <c r="AG4" s="17" t="s">
        <v>44</v>
      </c>
      <c r="AH4" s="13"/>
      <c r="AI4" s="18" t="s">
        <v>63</v>
      </c>
      <c r="AJ4" s="13"/>
      <c r="AK4" s="19" t="s">
        <v>55</v>
      </c>
      <c r="AL4" s="13"/>
      <c r="AM4" s="13" t="s">
        <v>65</v>
      </c>
      <c r="AN4" s="13"/>
      <c r="AO4" s="13" t="s">
        <v>70</v>
      </c>
      <c r="AP4" s="13"/>
      <c r="AQ4" s="13" t="s">
        <v>70</v>
      </c>
      <c r="AS4" s="20" t="s">
        <v>70</v>
      </c>
      <c r="AU4" s="55" t="s">
        <v>110</v>
      </c>
    </row>
    <row r="5" spans="7:47" hidden="1" x14ac:dyDescent="0.3">
      <c r="G5" s="7"/>
      <c r="L5" s="7"/>
      <c r="Q5" s="10"/>
      <c r="R5" s="4"/>
      <c r="U5" s="22" t="s">
        <v>13</v>
      </c>
      <c r="W5" s="54" t="s">
        <v>107</v>
      </c>
      <c r="X5" s="13"/>
      <c r="Y5" s="16" t="s">
        <v>30</v>
      </c>
      <c r="Z5" s="13"/>
      <c r="AA5" s="14" t="s">
        <v>19</v>
      </c>
      <c r="AB5" s="10"/>
      <c r="AC5" s="15" t="s">
        <v>24</v>
      </c>
      <c r="AD5" s="13"/>
      <c r="AE5" s="16" t="s">
        <v>55</v>
      </c>
      <c r="AF5" s="13"/>
      <c r="AG5" s="17" t="s">
        <v>45</v>
      </c>
      <c r="AH5" s="13"/>
      <c r="AI5" s="23" t="s">
        <v>59</v>
      </c>
      <c r="AJ5" s="13"/>
      <c r="AK5" s="19" t="s">
        <v>56</v>
      </c>
      <c r="AL5" s="13"/>
      <c r="AM5" s="13" t="s">
        <v>66</v>
      </c>
      <c r="AN5" s="13"/>
      <c r="AO5" s="13" t="s">
        <v>71</v>
      </c>
      <c r="AP5" s="13"/>
      <c r="AQ5" s="13" t="s">
        <v>71</v>
      </c>
      <c r="AS5" s="20" t="s">
        <v>71</v>
      </c>
      <c r="AU5" s="55" t="s">
        <v>111</v>
      </c>
    </row>
    <row r="6" spans="7:47" hidden="1" x14ac:dyDescent="0.3">
      <c r="G6" s="7"/>
      <c r="L6" s="7"/>
      <c r="Q6" s="10"/>
      <c r="R6" s="4"/>
      <c r="U6" s="24" t="s">
        <v>80</v>
      </c>
      <c r="W6" s="12"/>
      <c r="X6" s="13"/>
      <c r="Y6" s="17" t="s">
        <v>16</v>
      </c>
      <c r="Z6" s="13"/>
      <c r="AA6" s="14" t="s">
        <v>20</v>
      </c>
      <c r="AB6" s="10"/>
      <c r="AC6" s="15" t="s">
        <v>25</v>
      </c>
      <c r="AD6" s="13"/>
      <c r="AE6" s="16" t="s">
        <v>58</v>
      </c>
      <c r="AF6" s="13"/>
      <c r="AG6" s="17" t="s">
        <v>46</v>
      </c>
      <c r="AH6" s="13"/>
      <c r="AI6" s="23" t="s">
        <v>60</v>
      </c>
      <c r="AJ6" s="13"/>
      <c r="AK6" s="19" t="s">
        <v>57</v>
      </c>
      <c r="AL6" s="13"/>
      <c r="AM6" s="13" t="s">
        <v>67</v>
      </c>
      <c r="AN6" s="13"/>
      <c r="AO6" s="13" t="s">
        <v>73</v>
      </c>
      <c r="AP6" s="13"/>
      <c r="AQ6" s="13" t="s">
        <v>73</v>
      </c>
      <c r="AS6" s="25" t="s">
        <v>73</v>
      </c>
    </row>
    <row r="7" spans="7:47" ht="15.6" hidden="1" x14ac:dyDescent="0.3">
      <c r="G7" s="7"/>
      <c r="L7" s="7"/>
      <c r="Q7" s="3"/>
      <c r="R7" s="4"/>
      <c r="U7" s="26" t="s">
        <v>14</v>
      </c>
      <c r="W7" s="12"/>
      <c r="X7" s="13"/>
      <c r="Y7" s="18" t="s">
        <v>77</v>
      </c>
      <c r="Z7" s="13"/>
      <c r="AA7" s="14" t="s">
        <v>107</v>
      </c>
      <c r="AB7" s="10"/>
      <c r="AC7" s="15" t="s">
        <v>26</v>
      </c>
      <c r="AD7" s="13"/>
      <c r="AE7" s="16" t="s">
        <v>37</v>
      </c>
      <c r="AF7" s="13"/>
      <c r="AG7" s="17" t="s">
        <v>47</v>
      </c>
      <c r="AH7" s="13"/>
      <c r="AI7" s="23" t="s">
        <v>61</v>
      </c>
      <c r="AJ7" s="13"/>
      <c r="AK7" s="19" t="s">
        <v>46</v>
      </c>
      <c r="AL7" s="13"/>
      <c r="AM7" s="13" t="s">
        <v>107</v>
      </c>
      <c r="AN7" s="13"/>
      <c r="AO7" s="13" t="s">
        <v>107</v>
      </c>
      <c r="AP7" s="13"/>
      <c r="AQ7" s="13" t="s">
        <v>107</v>
      </c>
      <c r="AS7" s="25" t="s">
        <v>107</v>
      </c>
    </row>
    <row r="8" spans="7:47" ht="15.6" hidden="1" x14ac:dyDescent="0.3">
      <c r="G8" s="7"/>
      <c r="L8" s="7"/>
      <c r="Q8" s="3"/>
      <c r="R8" s="4"/>
      <c r="U8" s="28" t="s">
        <v>31</v>
      </c>
      <c r="W8" s="12"/>
      <c r="X8" s="13"/>
      <c r="Y8" s="19" t="s">
        <v>17</v>
      </c>
      <c r="Z8" s="13"/>
      <c r="AA8" s="14" t="s">
        <v>78</v>
      </c>
      <c r="AB8" s="10"/>
      <c r="AC8" s="15" t="s">
        <v>27</v>
      </c>
      <c r="AD8" s="13"/>
      <c r="AE8" s="16" t="s">
        <v>38</v>
      </c>
      <c r="AF8" s="13"/>
      <c r="AG8" s="17" t="s">
        <v>43</v>
      </c>
      <c r="AH8" s="13"/>
      <c r="AI8" s="23" t="s">
        <v>46</v>
      </c>
      <c r="AJ8" s="13"/>
      <c r="AK8" s="19" t="s">
        <v>47</v>
      </c>
      <c r="AL8" s="13"/>
      <c r="AM8" s="13" t="s">
        <v>78</v>
      </c>
      <c r="AN8" s="13"/>
      <c r="AO8" s="13" t="s">
        <v>78</v>
      </c>
      <c r="AP8" s="13"/>
      <c r="AQ8" s="13" t="s">
        <v>78</v>
      </c>
      <c r="AS8" s="27" t="s">
        <v>78</v>
      </c>
    </row>
    <row r="9" spans="7:47" s="33" customFormat="1" ht="15.6" hidden="1" x14ac:dyDescent="0.3">
      <c r="Q9" s="29"/>
      <c r="R9" s="4"/>
      <c r="S9"/>
      <c r="T9" s="4"/>
      <c r="U9" s="30" t="s">
        <v>33</v>
      </c>
      <c r="V9"/>
      <c r="W9" s="12"/>
      <c r="X9" s="31"/>
      <c r="Y9" s="31" t="s">
        <v>68</v>
      </c>
      <c r="Z9" s="31"/>
      <c r="AA9" s="13"/>
      <c r="AB9" s="10"/>
      <c r="AC9" s="15" t="s">
        <v>49</v>
      </c>
      <c r="AD9" s="31"/>
      <c r="AE9" s="16" t="s">
        <v>39</v>
      </c>
      <c r="AF9" s="31"/>
      <c r="AG9" s="17" t="s">
        <v>107</v>
      </c>
      <c r="AH9" s="31"/>
      <c r="AI9" s="23" t="s">
        <v>47</v>
      </c>
      <c r="AJ9" s="31"/>
      <c r="AK9" s="32" t="s">
        <v>49</v>
      </c>
      <c r="AL9" s="31"/>
      <c r="AM9" s="13"/>
      <c r="AN9" s="31"/>
      <c r="AO9" s="13"/>
      <c r="AP9" s="31"/>
      <c r="AQ9" s="13"/>
      <c r="AS9" s="7"/>
    </row>
    <row r="10" spans="7:47" ht="15.6" hidden="1" x14ac:dyDescent="0.3">
      <c r="G10" s="7"/>
      <c r="L10" s="7"/>
      <c r="Q10" s="3"/>
      <c r="R10" s="4"/>
      <c r="U10" s="12" t="s">
        <v>78</v>
      </c>
      <c r="W10" s="12"/>
      <c r="X10" s="13"/>
      <c r="Y10" s="13" t="s">
        <v>72</v>
      </c>
      <c r="Z10" s="13"/>
      <c r="AA10" s="31"/>
      <c r="AB10" s="10"/>
      <c r="AC10" s="15" t="s">
        <v>50</v>
      </c>
      <c r="AD10" s="13"/>
      <c r="AE10" s="16" t="s">
        <v>41</v>
      </c>
      <c r="AF10" s="13"/>
      <c r="AG10" s="17" t="s">
        <v>78</v>
      </c>
      <c r="AH10" s="13"/>
      <c r="AI10" s="23" t="s">
        <v>107</v>
      </c>
      <c r="AJ10" s="13"/>
      <c r="AK10" s="32" t="s">
        <v>50</v>
      </c>
      <c r="AL10" s="13"/>
      <c r="AM10" s="31"/>
      <c r="AN10" s="13"/>
      <c r="AO10" s="31"/>
      <c r="AP10" s="13"/>
      <c r="AQ10" s="31"/>
      <c r="AS10" s="33"/>
    </row>
    <row r="11" spans="7:47" ht="15.6" hidden="1" x14ac:dyDescent="0.3">
      <c r="G11" s="7"/>
      <c r="L11" s="7"/>
      <c r="Q11" s="3"/>
      <c r="R11" s="4"/>
      <c r="U11" s="34"/>
      <c r="W11" s="12"/>
      <c r="X11" s="13"/>
      <c r="Y11" s="13" t="s">
        <v>74</v>
      </c>
      <c r="Z11" s="13"/>
      <c r="AA11" s="13"/>
      <c r="AB11" s="10"/>
      <c r="AC11" s="15" t="s">
        <v>51</v>
      </c>
      <c r="AD11" s="13"/>
      <c r="AE11" s="16" t="s">
        <v>40</v>
      </c>
      <c r="AF11" s="13"/>
      <c r="AG11" s="13"/>
      <c r="AH11" s="13"/>
      <c r="AI11" s="23" t="s">
        <v>78</v>
      </c>
      <c r="AJ11" s="13"/>
      <c r="AK11" s="32" t="s">
        <v>51</v>
      </c>
      <c r="AL11" s="13"/>
      <c r="AM11" s="13"/>
      <c r="AN11" s="13"/>
      <c r="AO11" s="13"/>
      <c r="AP11" s="13"/>
      <c r="AQ11" s="13"/>
    </row>
    <row r="12" spans="7:47" ht="15.6" hidden="1" x14ac:dyDescent="0.3">
      <c r="G12" s="7"/>
      <c r="L12" s="7"/>
      <c r="Q12" s="3"/>
      <c r="R12" s="4"/>
      <c r="U12" s="34"/>
      <c r="W12" s="12"/>
      <c r="X12" s="13"/>
      <c r="Y12" s="13" t="s">
        <v>75</v>
      </c>
      <c r="Z12" s="13"/>
      <c r="AA12" s="13"/>
      <c r="AB12" s="10"/>
      <c r="AC12" s="15" t="s">
        <v>52</v>
      </c>
      <c r="AD12" s="13"/>
      <c r="AE12" s="16" t="s">
        <v>107</v>
      </c>
      <c r="AF12" s="13"/>
      <c r="AG12" s="13"/>
      <c r="AH12" s="13"/>
      <c r="AI12" s="13"/>
      <c r="AJ12" s="13"/>
      <c r="AK12" s="32" t="s">
        <v>52</v>
      </c>
      <c r="AL12" s="13"/>
      <c r="AM12" s="13"/>
      <c r="AN12" s="13"/>
      <c r="AO12" s="13"/>
      <c r="AP12" s="13"/>
      <c r="AQ12" s="13"/>
    </row>
    <row r="13" spans="7:47" ht="15.6" hidden="1" x14ac:dyDescent="0.3">
      <c r="G13" s="7"/>
      <c r="L13" s="7"/>
      <c r="Q13" s="3"/>
      <c r="R13" s="4"/>
      <c r="U13" s="34"/>
      <c r="W13" s="12"/>
      <c r="X13" s="13"/>
      <c r="Y13" s="13" t="s">
        <v>107</v>
      </c>
      <c r="Z13" s="13"/>
      <c r="AA13" s="13"/>
      <c r="AB13" s="10"/>
      <c r="AC13" s="15" t="s">
        <v>107</v>
      </c>
      <c r="AD13" s="13"/>
      <c r="AE13" s="16" t="s">
        <v>78</v>
      </c>
      <c r="AF13" s="13"/>
      <c r="AG13" s="13"/>
      <c r="AH13" s="13"/>
      <c r="AI13" s="13"/>
      <c r="AJ13" s="13"/>
      <c r="AK13" s="32" t="s">
        <v>107</v>
      </c>
      <c r="AL13" s="13"/>
      <c r="AM13" s="13"/>
      <c r="AN13" s="13"/>
      <c r="AO13" s="13"/>
      <c r="AP13" s="13"/>
      <c r="AQ13" s="13"/>
    </row>
    <row r="14" spans="7:47" ht="15.6" hidden="1" x14ac:dyDescent="0.3">
      <c r="G14" s="7"/>
      <c r="L14" s="7"/>
      <c r="Q14" s="3"/>
      <c r="R14" s="4"/>
      <c r="U14" s="34"/>
      <c r="W14" s="12"/>
      <c r="X14" s="13"/>
      <c r="Y14" s="13" t="s">
        <v>78</v>
      </c>
      <c r="Z14" s="13"/>
      <c r="AA14" s="13"/>
      <c r="AB14" s="10"/>
      <c r="AC14" s="15" t="s">
        <v>78</v>
      </c>
      <c r="AD14" s="13"/>
      <c r="AE14" s="13"/>
      <c r="AF14" s="13"/>
      <c r="AG14" s="13"/>
      <c r="AH14" s="13"/>
      <c r="AI14" s="13"/>
      <c r="AJ14" s="13"/>
      <c r="AK14" s="32" t="s">
        <v>78</v>
      </c>
      <c r="AL14" s="13"/>
      <c r="AM14" s="13"/>
      <c r="AN14" s="13"/>
      <c r="AO14" s="13"/>
      <c r="AP14" s="13"/>
      <c r="AQ14" s="13"/>
    </row>
    <row r="15" spans="7:47" ht="15.6" hidden="1" x14ac:dyDescent="0.3">
      <c r="G15" s="7"/>
      <c r="L15" s="7"/>
      <c r="Q15" s="3"/>
      <c r="R15" s="4"/>
      <c r="U15" s="34"/>
      <c r="W15" s="12"/>
      <c r="X15" s="13"/>
      <c r="Y15" s="13"/>
      <c r="Z15" s="13"/>
      <c r="AA15" s="13"/>
      <c r="AB15" s="10"/>
      <c r="AC15" s="10"/>
      <c r="AD15" s="13"/>
      <c r="AE15" s="13"/>
      <c r="AF15" s="13"/>
      <c r="AG15" s="13"/>
      <c r="AH15" s="13"/>
      <c r="AI15" s="13"/>
      <c r="AJ15" s="13"/>
      <c r="AK15" s="10"/>
      <c r="AL15" s="13"/>
      <c r="AM15" s="13"/>
      <c r="AN15" s="13"/>
      <c r="AO15" s="13"/>
      <c r="AP15" s="13"/>
      <c r="AQ15" s="13"/>
    </row>
    <row r="16" spans="7:47" ht="15.6" hidden="1" x14ac:dyDescent="0.3">
      <c r="G16" s="7"/>
      <c r="L16" s="7"/>
      <c r="Q16" s="3"/>
      <c r="R16" s="4"/>
      <c r="U16" s="34"/>
      <c r="W16" s="12"/>
      <c r="X16" s="13"/>
      <c r="Y16" s="13"/>
      <c r="Z16" s="13"/>
      <c r="AA16" s="13"/>
      <c r="AB16" s="10"/>
      <c r="AC16" s="10"/>
      <c r="AD16" s="13"/>
      <c r="AE16" s="13"/>
      <c r="AF16" s="13"/>
      <c r="AG16" s="13"/>
      <c r="AH16" s="13"/>
      <c r="AI16" s="13"/>
      <c r="AJ16" s="13"/>
      <c r="AK16" s="10"/>
      <c r="AL16" s="13"/>
      <c r="AM16" s="13"/>
      <c r="AN16" s="13"/>
      <c r="AO16" s="13"/>
      <c r="AP16" s="13"/>
      <c r="AQ16" s="13"/>
    </row>
    <row r="17" spans="1:43" ht="15.6" hidden="1" x14ac:dyDescent="0.3">
      <c r="G17" s="7"/>
      <c r="L17" s="7"/>
      <c r="Q17" s="3"/>
      <c r="R17" s="4"/>
      <c r="U17" s="34"/>
      <c r="W17" s="12"/>
      <c r="X17" s="13"/>
      <c r="Y17" s="13"/>
      <c r="Z17" s="13"/>
      <c r="AA17" s="13"/>
      <c r="AB17" s="10"/>
      <c r="AC17" s="10"/>
      <c r="AD17" s="13"/>
      <c r="AE17" s="13"/>
      <c r="AF17" s="13"/>
      <c r="AG17" s="13"/>
      <c r="AH17" s="13"/>
      <c r="AI17" s="13"/>
      <c r="AJ17" s="13"/>
      <c r="AK17" s="10"/>
      <c r="AL17" s="13"/>
      <c r="AM17" s="13"/>
      <c r="AN17" s="13"/>
      <c r="AO17" s="13"/>
      <c r="AP17" s="13"/>
      <c r="AQ17" s="13"/>
    </row>
    <row r="18" spans="1:43" ht="15.6" hidden="1" x14ac:dyDescent="0.3">
      <c r="G18" s="7"/>
      <c r="L18" s="7"/>
      <c r="Q18" s="3"/>
      <c r="R18" s="4"/>
      <c r="U18" s="34"/>
      <c r="W18" s="12"/>
      <c r="X18" s="13"/>
      <c r="Y18" s="13"/>
      <c r="Z18" s="13"/>
      <c r="AA18" s="13"/>
      <c r="AB18" s="10"/>
      <c r="AC18" s="10"/>
      <c r="AD18" s="13"/>
      <c r="AE18" s="13"/>
      <c r="AF18" s="13"/>
      <c r="AG18" s="13"/>
      <c r="AH18" s="13"/>
      <c r="AI18" s="13"/>
      <c r="AJ18" s="13"/>
      <c r="AK18" s="10"/>
      <c r="AL18" s="13"/>
      <c r="AM18" s="13"/>
      <c r="AN18" s="13"/>
      <c r="AO18" s="13"/>
      <c r="AP18" s="13"/>
      <c r="AQ18" s="13"/>
    </row>
    <row r="19" spans="1:43" ht="15.6" x14ac:dyDescent="0.3">
      <c r="G19" s="7"/>
      <c r="L19" s="7"/>
      <c r="Q19" s="3"/>
      <c r="R19" s="4"/>
      <c r="U19" s="34"/>
      <c r="W19" s="12"/>
      <c r="X19" s="13"/>
      <c r="Y19" s="13"/>
      <c r="Z19" s="13"/>
      <c r="AA19" s="13"/>
      <c r="AB19" s="10"/>
      <c r="AC19" s="10"/>
      <c r="AD19" s="13"/>
      <c r="AE19" s="13"/>
      <c r="AF19" s="13"/>
      <c r="AG19" s="13"/>
      <c r="AH19" s="13"/>
      <c r="AI19" s="13"/>
      <c r="AJ19" s="13"/>
      <c r="AK19" s="10"/>
      <c r="AL19" s="13"/>
      <c r="AM19" s="13"/>
      <c r="AN19" s="13"/>
      <c r="AO19" s="13"/>
      <c r="AP19" s="13"/>
      <c r="AQ19" s="13"/>
    </row>
    <row r="20" spans="1:43" ht="15.6" x14ac:dyDescent="0.3">
      <c r="G20" s="7"/>
      <c r="L20" s="7"/>
      <c r="Q20" s="3"/>
      <c r="R20" s="4"/>
      <c r="U20" s="34"/>
      <c r="W20" s="12"/>
      <c r="X20" s="13"/>
      <c r="Y20" s="13"/>
      <c r="Z20" s="13"/>
      <c r="AA20" s="13"/>
      <c r="AB20" s="10"/>
      <c r="AC20" s="10"/>
      <c r="AD20" s="13"/>
      <c r="AE20" s="13"/>
      <c r="AF20" s="13"/>
      <c r="AG20" s="13"/>
      <c r="AH20" s="13"/>
      <c r="AI20" s="13"/>
      <c r="AJ20" s="13"/>
      <c r="AK20" s="10"/>
      <c r="AL20" s="13"/>
      <c r="AM20" s="13"/>
      <c r="AN20" s="13"/>
      <c r="AO20" s="13"/>
      <c r="AP20" s="13"/>
      <c r="AQ20" s="13"/>
    </row>
    <row r="21" spans="1:43" ht="15.6" x14ac:dyDescent="0.3">
      <c r="G21" s="7"/>
      <c r="L21" s="7"/>
      <c r="Q21" s="3"/>
      <c r="R21" s="4"/>
      <c r="U21" s="34"/>
      <c r="W21" s="12"/>
      <c r="X21" s="13"/>
      <c r="Y21" s="13"/>
      <c r="Z21" s="13"/>
      <c r="AA21" s="13"/>
      <c r="AB21" s="10"/>
      <c r="AC21" s="10"/>
      <c r="AD21" s="13"/>
      <c r="AE21" s="13"/>
      <c r="AF21" s="13"/>
      <c r="AG21" s="13"/>
      <c r="AH21" s="13"/>
      <c r="AI21" s="13"/>
      <c r="AJ21" s="13"/>
      <c r="AK21" s="10"/>
      <c r="AL21" s="13"/>
      <c r="AM21" s="13"/>
      <c r="AN21" s="13"/>
      <c r="AO21" s="13"/>
      <c r="AP21" s="13"/>
      <c r="AQ21" s="13"/>
    </row>
    <row r="22" spans="1:43" ht="15.6" x14ac:dyDescent="0.3">
      <c r="G22" s="7"/>
      <c r="L22" s="7"/>
      <c r="Q22" s="3"/>
      <c r="R22" s="4"/>
      <c r="U22" s="34"/>
      <c r="W22" s="4"/>
      <c r="X22" s="7"/>
      <c r="Y22" s="13"/>
      <c r="AA22" s="13"/>
      <c r="AC22" s="10"/>
      <c r="AE22" s="13"/>
      <c r="AG22" s="13"/>
      <c r="AI22" s="13"/>
      <c r="AK22" s="10"/>
      <c r="AM22" s="13"/>
      <c r="AO22" s="13"/>
      <c r="AQ22" s="13"/>
    </row>
    <row r="23" spans="1:43" ht="15.6" x14ac:dyDescent="0.3">
      <c r="G23" s="7"/>
      <c r="L23" s="7"/>
      <c r="Q23" s="3"/>
      <c r="R23" s="4"/>
      <c r="W23" s="4"/>
      <c r="X23" s="7"/>
      <c r="Y23" s="7"/>
    </row>
    <row r="24" spans="1:43" ht="15.6" x14ac:dyDescent="0.3">
      <c r="G24" s="7"/>
      <c r="L24" s="7"/>
      <c r="Q24" s="3"/>
      <c r="R24" s="33"/>
      <c r="T24" s="33"/>
      <c r="U24" s="4"/>
      <c r="W24" s="33"/>
      <c r="X24" s="7"/>
      <c r="Y24" s="7"/>
    </row>
    <row r="25" spans="1:43" ht="15.6" x14ac:dyDescent="0.3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  <c r="R25" s="65"/>
      <c r="T25" s="35"/>
      <c r="U25" s="33"/>
      <c r="W25" s="33"/>
      <c r="X25" s="7"/>
      <c r="Y25" s="7"/>
    </row>
    <row r="26" spans="1:43" s="58" customFormat="1" ht="25.5" customHeight="1" x14ac:dyDescent="0.25">
      <c r="A26" s="66" t="s">
        <v>0</v>
      </c>
      <c r="B26" s="67" t="s">
        <v>10</v>
      </c>
      <c r="C26" s="67" t="s">
        <v>138</v>
      </c>
      <c r="D26" s="67" t="s">
        <v>139</v>
      </c>
      <c r="E26" s="67" t="s">
        <v>1</v>
      </c>
      <c r="F26" s="67" t="s">
        <v>122</v>
      </c>
      <c r="G26" s="67" t="s">
        <v>121</v>
      </c>
      <c r="H26" s="67" t="s">
        <v>9</v>
      </c>
      <c r="I26" s="67" t="s">
        <v>8</v>
      </c>
      <c r="J26" s="67" t="s">
        <v>120</v>
      </c>
      <c r="K26" s="67" t="s">
        <v>123</v>
      </c>
      <c r="L26" s="67" t="s">
        <v>4</v>
      </c>
      <c r="M26" s="67" t="s">
        <v>79</v>
      </c>
      <c r="N26" s="67" t="s">
        <v>6</v>
      </c>
      <c r="O26" s="67" t="s">
        <v>7</v>
      </c>
      <c r="P26" s="67" t="s">
        <v>5</v>
      </c>
      <c r="Q26" s="68" t="s">
        <v>136</v>
      </c>
      <c r="R26" s="69" t="s">
        <v>106</v>
      </c>
      <c r="S26"/>
      <c r="T26" s="60"/>
      <c r="U26" s="61"/>
      <c r="V26"/>
      <c r="W26" s="59"/>
    </row>
    <row r="27" spans="1:43" ht="14.4" x14ac:dyDescent="0.3">
      <c r="A27" s="2">
        <v>43845</v>
      </c>
      <c r="B27" s="1" t="s">
        <v>34</v>
      </c>
      <c r="C27" s="1"/>
      <c r="D27" s="1"/>
      <c r="E27" s="46">
        <v>2</v>
      </c>
      <c r="F27" s="47">
        <v>3355</v>
      </c>
      <c r="G27" s="46"/>
      <c r="H27" s="47"/>
      <c r="I27" s="47"/>
      <c r="J27" s="48">
        <f>Таблица1[[#This Row],[Роздріб м.п.к.]]+Таблица1[[#This Row],[Супутні товари]]+Таблица1[[#This Row],[Монтаж]]+Таблица1[[#This Row],[Доставка]]</f>
        <v>3355</v>
      </c>
      <c r="K27" s="47">
        <v>2647</v>
      </c>
      <c r="L27" s="48">
        <f>Таблица1[[#This Row],[Роздріб м.п.к.]]-Таблица1[[#This Row],[Завод м.п.к.]]</f>
        <v>708</v>
      </c>
      <c r="M27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0.21102831594634874</v>
      </c>
      <c r="N27" s="46">
        <v>1745</v>
      </c>
      <c r="O27" s="46">
        <v>1610</v>
      </c>
      <c r="P27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27" s="43"/>
      <c r="R27" s="37">
        <f>SUBTOTAL(2,Таблица1[[#This Row],[Роздріб м.п.к.]])</f>
        <v>1</v>
      </c>
      <c r="T27" s="89"/>
      <c r="U27" s="4"/>
      <c r="W27" s="33"/>
      <c r="X27" s="7"/>
      <c r="Y27" s="7"/>
    </row>
    <row r="28" spans="1:43" ht="14.4" x14ac:dyDescent="0.3">
      <c r="A28" s="2">
        <v>43850</v>
      </c>
      <c r="B28" s="1" t="s">
        <v>35</v>
      </c>
      <c r="C28" s="1"/>
      <c r="D28" s="1"/>
      <c r="E28" s="46">
        <v>1</v>
      </c>
      <c r="F28" s="47">
        <v>3220</v>
      </c>
      <c r="G28" s="46"/>
      <c r="H28" s="47"/>
      <c r="I28" s="47"/>
      <c r="J28" s="48">
        <f>Таблица1[[#This Row],[Роздріб м.п.к.]]+Таблица1[[#This Row],[Супутні товари]]+Таблица1[[#This Row],[Монтаж]]+Таблица1[[#This Row],[Доставка]]</f>
        <v>3220</v>
      </c>
      <c r="K28" s="47">
        <v>2338</v>
      </c>
      <c r="L28" s="48">
        <f>Таблица1[[#This Row],[Роздріб м.п.к.]]-Таблица1[[#This Row],[Завод м.п.к.]]</f>
        <v>882</v>
      </c>
      <c r="M28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0.27391304347826084</v>
      </c>
      <c r="N28" s="46">
        <v>800</v>
      </c>
      <c r="O28" s="46">
        <v>2420</v>
      </c>
      <c r="P28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28" s="43"/>
      <c r="R28" s="37">
        <f>SUBTOTAL(2,Таблица1[[#This Row],[Роздріб м.п.к.]])</f>
        <v>1</v>
      </c>
      <c r="T28" s="89"/>
      <c r="U28" s="33"/>
      <c r="W28" s="33"/>
      <c r="X28" s="7"/>
      <c r="Y28" s="7"/>
    </row>
    <row r="29" spans="1:43" ht="14.4" x14ac:dyDescent="0.3">
      <c r="A29" s="2">
        <v>43850</v>
      </c>
      <c r="B29" s="1" t="s">
        <v>34</v>
      </c>
      <c r="C29" s="1"/>
      <c r="D29" s="1"/>
      <c r="E29" s="46">
        <v>4</v>
      </c>
      <c r="F29" s="47">
        <v>7320</v>
      </c>
      <c r="G29" s="46"/>
      <c r="H29" s="47"/>
      <c r="I29" s="47"/>
      <c r="J29" s="48">
        <f>Таблица1[[#This Row],[Роздріб м.п.к.]]+Таблица1[[#This Row],[Супутні товари]]+Таблица1[[#This Row],[Монтаж]]+Таблица1[[#This Row],[Доставка]]</f>
        <v>7320</v>
      </c>
      <c r="K29" s="47">
        <v>6424</v>
      </c>
      <c r="L29" s="48">
        <f>Таблица1[[#This Row],[Роздріб м.п.к.]]-Таблица1[[#This Row],[Завод м.п.к.]]</f>
        <v>896</v>
      </c>
      <c r="M29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0.12240437158469945</v>
      </c>
      <c r="N29" s="46">
        <v>3800</v>
      </c>
      <c r="O29" s="46">
        <v>3520</v>
      </c>
      <c r="P29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29" s="43"/>
      <c r="R29" s="37">
        <f>SUBTOTAL(2,Таблица1[[#This Row],[Роздріб м.п.к.]])</f>
        <v>1</v>
      </c>
      <c r="T29" s="89"/>
      <c r="U29" s="33"/>
      <c r="W29" s="33"/>
      <c r="X29" s="7"/>
      <c r="Y29" s="7"/>
    </row>
    <row r="30" spans="1:43" ht="14.4" x14ac:dyDescent="0.3">
      <c r="A30" s="2">
        <v>43850</v>
      </c>
      <c r="B30" s="1" t="s">
        <v>35</v>
      </c>
      <c r="C30" s="1"/>
      <c r="D30" s="1"/>
      <c r="E30" s="46">
        <v>2</v>
      </c>
      <c r="F30" s="47">
        <v>18890</v>
      </c>
      <c r="G30" s="46"/>
      <c r="H30" s="47"/>
      <c r="I30" s="47"/>
      <c r="J30" s="48">
        <f>Таблица1[[#This Row],[Роздріб м.п.к.]]+Таблица1[[#This Row],[Супутні товари]]+Таблица1[[#This Row],[Монтаж]]+Таблица1[[#This Row],[Доставка]]</f>
        <v>18890</v>
      </c>
      <c r="K30" s="47">
        <v>16570</v>
      </c>
      <c r="L30" s="48">
        <f>Таблица1[[#This Row],[Роздріб м.п.к.]]-Таблица1[[#This Row],[Завод м.п.к.]]</f>
        <v>2320</v>
      </c>
      <c r="M30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0.12281630492323981</v>
      </c>
      <c r="N30" s="46">
        <v>9450</v>
      </c>
      <c r="O30" s="46">
        <v>9440</v>
      </c>
      <c r="P30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0" s="43"/>
      <c r="R30" s="37">
        <f>SUBTOTAL(2,Таблица1[[#This Row],[Роздріб м.п.к.]])</f>
        <v>1</v>
      </c>
      <c r="T30" s="89"/>
      <c r="U30" s="33"/>
      <c r="W30" s="33"/>
      <c r="X30" s="7"/>
      <c r="Y30" s="7"/>
    </row>
    <row r="31" spans="1:43" ht="14.4" x14ac:dyDescent="0.3">
      <c r="A31" s="2">
        <v>43850</v>
      </c>
      <c r="B31" s="1" t="s">
        <v>35</v>
      </c>
      <c r="C31" s="1"/>
      <c r="D31" s="1"/>
      <c r="E31" s="46">
        <v>1</v>
      </c>
      <c r="F31" s="47">
        <v>6950</v>
      </c>
      <c r="G31" s="46"/>
      <c r="H31" s="47"/>
      <c r="I31" s="47"/>
      <c r="J31" s="48">
        <f>Таблица1[[#This Row],[Роздріб м.п.к.]]+Таблица1[[#This Row],[Супутні товари]]+Таблица1[[#This Row],[Монтаж]]+Таблица1[[#This Row],[Доставка]]</f>
        <v>6950</v>
      </c>
      <c r="K31" s="47">
        <v>6102</v>
      </c>
      <c r="L31" s="48">
        <f>Таблица1[[#This Row],[Роздріб м.п.к.]]-Таблица1[[#This Row],[Завод м.п.к.]]</f>
        <v>848</v>
      </c>
      <c r="M31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0.12201438848920863</v>
      </c>
      <c r="N31" s="46">
        <v>3500</v>
      </c>
      <c r="O31" s="46">
        <v>3450</v>
      </c>
      <c r="P31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1" s="43"/>
      <c r="R31" s="37">
        <f>SUBTOTAL(2,Таблица1[[#This Row],[Роздріб м.п.к.]])</f>
        <v>1</v>
      </c>
      <c r="T31" s="89"/>
      <c r="U31" s="33"/>
      <c r="W31" s="33"/>
      <c r="X31" s="7"/>
      <c r="Y31" s="7"/>
    </row>
    <row r="32" spans="1:43" ht="14.4" x14ac:dyDescent="0.3">
      <c r="A32" s="2">
        <v>43850</v>
      </c>
      <c r="B32" s="1" t="s">
        <v>34</v>
      </c>
      <c r="C32" s="1"/>
      <c r="D32" s="1"/>
      <c r="E32" s="46">
        <v>14</v>
      </c>
      <c r="F32" s="47">
        <v>40095</v>
      </c>
      <c r="G32" s="46"/>
      <c r="H32" s="47">
        <v>7200</v>
      </c>
      <c r="I32" s="47"/>
      <c r="J32" s="48">
        <f>Таблица1[[#This Row],[Роздріб м.п.к.]]+Таблица1[[#This Row],[Супутні товари]]+Таблица1[[#This Row],[Монтаж]]+Таблица1[[#This Row],[Доставка]]</f>
        <v>47295</v>
      </c>
      <c r="K32" s="47">
        <v>35158</v>
      </c>
      <c r="L32" s="48">
        <f>Таблица1[[#This Row],[Роздріб м.п.к.]]-Таблица1[[#This Row],[Завод м.п.к.]]</f>
        <v>4937</v>
      </c>
      <c r="M32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0.12313256016959721</v>
      </c>
      <c r="N32" s="46">
        <v>24000</v>
      </c>
      <c r="O32" s="46">
        <v>23295</v>
      </c>
      <c r="P32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2" s="43"/>
      <c r="R32" s="37">
        <f>SUBTOTAL(2,Таблица1[[#This Row],[Роздріб м.п.к.]])</f>
        <v>1</v>
      </c>
      <c r="T32" s="89"/>
      <c r="U32" s="7"/>
      <c r="W32" s="33"/>
      <c r="X32" s="7"/>
      <c r="Y32" s="7"/>
    </row>
    <row r="33" spans="1:25" ht="14.4" x14ac:dyDescent="0.3">
      <c r="A33" s="2">
        <v>43851</v>
      </c>
      <c r="B33" s="1" t="s">
        <v>34</v>
      </c>
      <c r="C33" s="1"/>
      <c r="D33" s="1"/>
      <c r="E33" s="46">
        <v>1</v>
      </c>
      <c r="F33" s="47">
        <v>2225</v>
      </c>
      <c r="G33" s="46"/>
      <c r="H33" s="47">
        <v>300</v>
      </c>
      <c r="I33" s="47"/>
      <c r="J33" s="48">
        <f>Таблица1[[#This Row],[Роздріб м.п.к.]]+Таблица1[[#This Row],[Супутні товари]]+Таблица1[[#This Row],[Монтаж]]+Таблица1[[#This Row],[Доставка]]</f>
        <v>2525</v>
      </c>
      <c r="K33" s="47">
        <v>1677</v>
      </c>
      <c r="L33" s="48">
        <f>Таблица1[[#This Row],[Роздріб м.п.к.]]-Таблица1[[#This Row],[Завод м.п.к.]]</f>
        <v>548</v>
      </c>
      <c r="M33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0.24629213483146067</v>
      </c>
      <c r="N33" s="46">
        <v>1000</v>
      </c>
      <c r="O33" s="46">
        <v>1525</v>
      </c>
      <c r="P33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3" s="43"/>
      <c r="R33" s="37">
        <f>SUBTOTAL(2,Таблица1[[#This Row],[Роздріб м.п.к.]])</f>
        <v>1</v>
      </c>
      <c r="T33" s="89"/>
      <c r="U33" s="7"/>
      <c r="W33" s="33"/>
      <c r="X33" s="7"/>
      <c r="Y33" s="7"/>
    </row>
    <row r="34" spans="1:25" ht="14.4" x14ac:dyDescent="0.3">
      <c r="A34" s="2">
        <v>43857</v>
      </c>
      <c r="B34" s="1" t="s">
        <v>34</v>
      </c>
      <c r="C34" s="1"/>
      <c r="D34" s="1"/>
      <c r="E34" s="46">
        <v>2</v>
      </c>
      <c r="F34" s="47">
        <v>1700</v>
      </c>
      <c r="G34" s="46"/>
      <c r="H34" s="47"/>
      <c r="I34" s="47"/>
      <c r="J34" s="48">
        <f>Таблица1[[#This Row],[Роздріб м.п.к.]]+Таблица1[[#This Row],[Супутні товари]]+Таблица1[[#This Row],[Монтаж]]+Таблица1[[#This Row],[Доставка]]</f>
        <v>1700</v>
      </c>
      <c r="K34" s="47">
        <v>1280</v>
      </c>
      <c r="L34" s="48">
        <f>Таблица1[[#This Row],[Роздріб м.п.к.]]-Таблица1[[#This Row],[Завод м.п.к.]]</f>
        <v>420</v>
      </c>
      <c r="M34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0.24705882352941178</v>
      </c>
      <c r="N34" s="46">
        <v>250</v>
      </c>
      <c r="O34" s="46">
        <v>1450</v>
      </c>
      <c r="P34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4" s="43"/>
      <c r="R34" s="37">
        <f>SUBTOTAL(2,Таблица1[[#This Row],[Роздріб м.п.к.]])</f>
        <v>1</v>
      </c>
      <c r="T34" s="89"/>
      <c r="U34" s="7"/>
      <c r="W34" s="33"/>
      <c r="X34" s="7"/>
      <c r="Y34" s="7"/>
    </row>
    <row r="35" spans="1:25" ht="14.4" x14ac:dyDescent="0.3">
      <c r="A35" s="2">
        <v>43857</v>
      </c>
      <c r="B35" s="1" t="s">
        <v>34</v>
      </c>
      <c r="C35" s="1"/>
      <c r="D35" s="1"/>
      <c r="E35" s="46">
        <v>2</v>
      </c>
      <c r="F35" s="47">
        <v>4290</v>
      </c>
      <c r="G35" s="46"/>
      <c r="H35" s="47">
        <v>450</v>
      </c>
      <c r="I35" s="47"/>
      <c r="J35" s="48">
        <f>Таблица1[[#This Row],[Роздріб м.п.к.]]+Таблица1[[#This Row],[Супутні товари]]+Таблица1[[#This Row],[Монтаж]]+Таблица1[[#This Row],[Доставка]]</f>
        <v>4740</v>
      </c>
      <c r="K35" s="47">
        <v>3784</v>
      </c>
      <c r="L35" s="48">
        <f>Таблица1[[#This Row],[Роздріб м.п.к.]]-Таблица1[[#This Row],[Завод м.п.к.]]</f>
        <v>506</v>
      </c>
      <c r="M35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0.11794871794871795</v>
      </c>
      <c r="N35" s="46">
        <v>2350</v>
      </c>
      <c r="O35" s="46">
        <v>2390</v>
      </c>
      <c r="P35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5" s="43"/>
      <c r="R35" s="37">
        <f>SUBTOTAL(2,Таблица1[[#This Row],[Роздріб м.п.к.]])</f>
        <v>1</v>
      </c>
      <c r="T35" s="89"/>
      <c r="U35" s="7"/>
      <c r="W35" s="33"/>
      <c r="X35" s="7"/>
      <c r="Y35" s="7"/>
    </row>
    <row r="36" spans="1:25" ht="14.4" x14ac:dyDescent="0.3">
      <c r="A36" s="2">
        <v>43858</v>
      </c>
      <c r="B36" s="1" t="s">
        <v>35</v>
      </c>
      <c r="C36" s="1"/>
      <c r="D36" s="1"/>
      <c r="E36" s="46">
        <v>1</v>
      </c>
      <c r="F36" s="47">
        <v>3790</v>
      </c>
      <c r="G36" s="46"/>
      <c r="H36" s="47"/>
      <c r="I36" s="47"/>
      <c r="J36" s="48">
        <f>Таблица1[[#This Row],[Роздріб м.п.к.]]+Таблица1[[#This Row],[Супутні товари]]+Таблица1[[#This Row],[Монтаж]]+Таблица1[[#This Row],[Доставка]]</f>
        <v>3790</v>
      </c>
      <c r="K36" s="47">
        <v>3332</v>
      </c>
      <c r="L36" s="48">
        <f>Таблица1[[#This Row],[Роздріб м.п.к.]]-Таблица1[[#This Row],[Завод м.п.к.]]</f>
        <v>458</v>
      </c>
      <c r="M36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0.12084432717678101</v>
      </c>
      <c r="N36" s="46">
        <v>1900</v>
      </c>
      <c r="O36" s="46">
        <v>1890</v>
      </c>
      <c r="P36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6" s="43"/>
      <c r="R36" s="37">
        <f>SUBTOTAL(2,Таблица1[[#This Row],[Роздріб м.п.к.]])</f>
        <v>1</v>
      </c>
      <c r="T36" s="89"/>
      <c r="U36" s="7"/>
      <c r="W36" s="33"/>
      <c r="X36" s="7"/>
      <c r="Y36" s="7"/>
    </row>
    <row r="37" spans="1:25" ht="14.4" x14ac:dyDescent="0.3">
      <c r="A37" s="2">
        <v>43859</v>
      </c>
      <c r="B37" s="1" t="s">
        <v>34</v>
      </c>
      <c r="C37" s="1"/>
      <c r="D37" s="1"/>
      <c r="E37" s="46">
        <v>1</v>
      </c>
      <c r="F37" s="47">
        <v>1495</v>
      </c>
      <c r="G37" s="46"/>
      <c r="H37" s="47"/>
      <c r="I37" s="47"/>
      <c r="J37" s="48">
        <f>Таблица1[[#This Row],[Роздріб м.п.к.]]+Таблица1[[#This Row],[Супутні товари]]+Таблица1[[#This Row],[Монтаж]]+Таблица1[[#This Row],[Доставка]]</f>
        <v>1495</v>
      </c>
      <c r="K37" s="47">
        <v>1156</v>
      </c>
      <c r="L37" s="48">
        <f>Таблица1[[#This Row],[Роздріб м.п.к.]]-Таблица1[[#This Row],[Завод м.п.к.]]</f>
        <v>339</v>
      </c>
      <c r="M37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0.22675585284280936</v>
      </c>
      <c r="N37" s="46">
        <v>300</v>
      </c>
      <c r="O37" s="46">
        <v>1195</v>
      </c>
      <c r="P37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7" s="43"/>
      <c r="R37" s="37">
        <f>SUBTOTAL(2,Таблица1[[#This Row],[Роздріб м.п.к.]])</f>
        <v>1</v>
      </c>
      <c r="T37" s="89"/>
      <c r="U37" s="7"/>
      <c r="W37" s="33"/>
      <c r="X37" s="7"/>
      <c r="Y37" s="7"/>
    </row>
    <row r="38" spans="1:25" ht="14.4" x14ac:dyDescent="0.3">
      <c r="A38" s="2">
        <v>43860</v>
      </c>
      <c r="B38" s="1" t="s">
        <v>35</v>
      </c>
      <c r="C38" s="1"/>
      <c r="D38" s="1"/>
      <c r="E38" s="46">
        <v>1</v>
      </c>
      <c r="F38" s="47">
        <v>5650</v>
      </c>
      <c r="G38" s="46"/>
      <c r="H38" s="47">
        <v>400</v>
      </c>
      <c r="I38" s="47">
        <v>130</v>
      </c>
      <c r="J38" s="48">
        <f>Таблица1[[#This Row],[Роздріб м.п.к.]]+Таблица1[[#This Row],[Супутні товари]]+Таблица1[[#This Row],[Монтаж]]+Таблица1[[#This Row],[Доставка]]</f>
        <v>6180</v>
      </c>
      <c r="K38" s="47">
        <v>4424</v>
      </c>
      <c r="L38" s="48">
        <f>Таблица1[[#This Row],[Роздріб м.п.к.]]-Таблица1[[#This Row],[Завод м.п.к.]]</f>
        <v>1226</v>
      </c>
      <c r="M38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0.21699115044247788</v>
      </c>
      <c r="N38" s="46">
        <v>3000</v>
      </c>
      <c r="O38" s="46">
        <v>3180</v>
      </c>
      <c r="P38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8" s="43"/>
      <c r="R38" s="37">
        <f>SUBTOTAL(2,Таблица1[[#This Row],[Роздріб м.п.к.]])</f>
        <v>1</v>
      </c>
      <c r="T38" s="89"/>
      <c r="U38" s="7"/>
      <c r="W38" s="33"/>
      <c r="X38" s="7"/>
      <c r="Y38" s="7"/>
    </row>
    <row r="39" spans="1:25" ht="14.4" x14ac:dyDescent="0.3">
      <c r="A39" s="2">
        <v>43861</v>
      </c>
      <c r="B39" s="1" t="s">
        <v>34</v>
      </c>
      <c r="C39" s="1"/>
      <c r="D39" s="1"/>
      <c r="E39" s="46">
        <v>1</v>
      </c>
      <c r="F39" s="47">
        <v>2495</v>
      </c>
      <c r="G39" s="46"/>
      <c r="H39" s="47"/>
      <c r="I39" s="47"/>
      <c r="J39" s="48">
        <f>Таблица1[[#This Row],[Роздріб м.п.к.]]+Таблица1[[#This Row],[Супутні товари]]+Таблица1[[#This Row],[Монтаж]]+Таблица1[[#This Row],[Доставка]]</f>
        <v>2495</v>
      </c>
      <c r="K39" s="47">
        <v>1898</v>
      </c>
      <c r="L39" s="48">
        <f>Таблица1[[#This Row],[Роздріб м.п.к.]]-Таблица1[[#This Row],[Завод м.п.к.]]</f>
        <v>597</v>
      </c>
      <c r="M39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0.23927855711422846</v>
      </c>
      <c r="N39" s="46">
        <v>725</v>
      </c>
      <c r="O39" s="46">
        <v>1770</v>
      </c>
      <c r="P39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39" s="43"/>
      <c r="R39" s="37">
        <f>SUBTOTAL(2,Таблица1[[#This Row],[Роздріб м.п.к.]])</f>
        <v>1</v>
      </c>
      <c r="T39" s="89"/>
      <c r="U39" s="7"/>
      <c r="W39" s="33"/>
      <c r="X39" s="7"/>
      <c r="Y39" s="7"/>
    </row>
    <row r="40" spans="1:25" ht="14.4" x14ac:dyDescent="0.3">
      <c r="A40" s="2">
        <v>43861</v>
      </c>
      <c r="B40" s="1" t="s">
        <v>34</v>
      </c>
      <c r="C40" s="1"/>
      <c r="D40" s="1"/>
      <c r="E40" s="46">
        <v>1</v>
      </c>
      <c r="F40" s="47">
        <v>2170</v>
      </c>
      <c r="G40" s="46"/>
      <c r="H40" s="47"/>
      <c r="I40" s="47"/>
      <c r="J40" s="48">
        <f>Таблица1[[#This Row],[Роздріб м.п.к.]]+Таблица1[[#This Row],[Супутні товари]]+Таблица1[[#This Row],[Монтаж]]+Таблица1[[#This Row],[Доставка]]</f>
        <v>2170</v>
      </c>
      <c r="K40" s="47">
        <v>1675</v>
      </c>
      <c r="L40" s="48">
        <f>Таблица1[[#This Row],[Роздріб м.п.к.]]-Таблица1[[#This Row],[Завод м.п.к.]]</f>
        <v>495</v>
      </c>
      <c r="M40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0.22811059907834103</v>
      </c>
      <c r="N40" s="46">
        <v>1000</v>
      </c>
      <c r="O40" s="46">
        <v>1170</v>
      </c>
      <c r="P40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0" s="43"/>
      <c r="R40" s="37">
        <f>SUBTOTAL(2,Таблица1[[#This Row],[Роздріб м.п.к.]])</f>
        <v>1</v>
      </c>
      <c r="T40" s="89"/>
      <c r="U40" s="7"/>
      <c r="W40" s="33"/>
      <c r="X40" s="7"/>
      <c r="Y40" s="7"/>
    </row>
    <row r="41" spans="1:25" ht="14.4" x14ac:dyDescent="0.3">
      <c r="A41" s="2">
        <v>43864</v>
      </c>
      <c r="B41" s="1" t="s">
        <v>35</v>
      </c>
      <c r="C41" s="1"/>
      <c r="D41" s="1"/>
      <c r="E41" s="46">
        <v>1</v>
      </c>
      <c r="F41" s="47">
        <v>6290</v>
      </c>
      <c r="G41" s="46"/>
      <c r="H41" s="47"/>
      <c r="I41" s="47"/>
      <c r="J41" s="48">
        <f>Таблица1[[#This Row],[Роздріб м.п.к.]]+Таблица1[[#This Row],[Супутні товари]]+Таблица1[[#This Row],[Монтаж]]+Таблица1[[#This Row],[Доставка]]</f>
        <v>6290</v>
      </c>
      <c r="K41" s="47">
        <v>5537</v>
      </c>
      <c r="L41" s="48">
        <f>Таблица1[[#This Row],[Роздріб м.п.к.]]-Таблица1[[#This Row],[Завод м.п.к.]]</f>
        <v>753</v>
      </c>
      <c r="M41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0.11971383147853736</v>
      </c>
      <c r="N41" s="46"/>
      <c r="O41" s="46">
        <v>6290</v>
      </c>
      <c r="P41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1" s="43"/>
      <c r="R41" s="37">
        <f>SUBTOTAL(2,Таблица1[[#This Row],[Роздріб м.п.к.]])</f>
        <v>1</v>
      </c>
      <c r="T41" s="89"/>
      <c r="U41" s="7"/>
      <c r="W41" s="33"/>
      <c r="X41" s="7"/>
      <c r="Y41" s="7"/>
    </row>
    <row r="42" spans="1:25" ht="14.4" x14ac:dyDescent="0.3">
      <c r="A42" s="2">
        <v>43864</v>
      </c>
      <c r="B42" s="1" t="s">
        <v>34</v>
      </c>
      <c r="C42" s="1"/>
      <c r="D42" s="1"/>
      <c r="E42" s="46">
        <v>1</v>
      </c>
      <c r="F42" s="47">
        <v>1280</v>
      </c>
      <c r="G42" s="46"/>
      <c r="H42" s="47"/>
      <c r="I42" s="47"/>
      <c r="J42" s="48">
        <f>Таблица1[[#This Row],[Роздріб м.п.к.]]+Таблица1[[#This Row],[Супутні товари]]+Таблица1[[#This Row],[Монтаж]]+Таблица1[[#This Row],[Доставка]]</f>
        <v>1280</v>
      </c>
      <c r="K42" s="47">
        <v>1132</v>
      </c>
      <c r="L42" s="48">
        <f>Таблица1[[#This Row],[Роздріб м.п.к.]]-Таблица1[[#This Row],[Завод м.п.к.]]</f>
        <v>148</v>
      </c>
      <c r="M42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0.11562500000000001</v>
      </c>
      <c r="N42" s="46"/>
      <c r="O42" s="46">
        <v>1280</v>
      </c>
      <c r="P42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2" s="43"/>
      <c r="R42" s="37">
        <f>SUBTOTAL(2,Таблица1[[#This Row],[Роздріб м.п.к.]])</f>
        <v>1</v>
      </c>
      <c r="T42" s="89"/>
      <c r="U42" s="7"/>
      <c r="W42" s="33"/>
      <c r="X42" s="7"/>
      <c r="Y42" s="7"/>
    </row>
    <row r="43" spans="1:25" ht="14.4" x14ac:dyDescent="0.3">
      <c r="A43" s="2">
        <v>43864</v>
      </c>
      <c r="B43" s="1" t="s">
        <v>34</v>
      </c>
      <c r="C43" s="1"/>
      <c r="D43" s="1"/>
      <c r="E43" s="46">
        <v>2</v>
      </c>
      <c r="F43" s="47">
        <v>6540</v>
      </c>
      <c r="G43" s="46"/>
      <c r="H43" s="47"/>
      <c r="I43" s="47"/>
      <c r="J43" s="48">
        <f>Таблица1[[#This Row],[Роздріб м.п.к.]]+Таблица1[[#This Row],[Супутні товари]]+Таблица1[[#This Row],[Монтаж]]+Таблица1[[#This Row],[Доставка]]</f>
        <v>6540</v>
      </c>
      <c r="K43" s="47">
        <v>5754</v>
      </c>
      <c r="L43" s="48">
        <f>Таблица1[[#This Row],[Роздріб м.п.к.]]-Таблица1[[#This Row],[Завод м.п.к.]]</f>
        <v>786</v>
      </c>
      <c r="M43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0.12018348623853212</v>
      </c>
      <c r="N43" s="46"/>
      <c r="O43" s="46">
        <v>6540</v>
      </c>
      <c r="P43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3" s="43"/>
      <c r="R43" s="37">
        <f>SUBTOTAL(2,Таблица1[[#This Row],[Роздріб м.п.к.]])</f>
        <v>1</v>
      </c>
      <c r="T43" s="89"/>
      <c r="U43" s="7"/>
      <c r="W43" s="33"/>
      <c r="X43" s="7"/>
      <c r="Y43" s="7"/>
    </row>
    <row r="44" spans="1:25" ht="14.4" x14ac:dyDescent="0.3">
      <c r="A44" s="2">
        <v>43868</v>
      </c>
      <c r="B44" s="1" t="s">
        <v>34</v>
      </c>
      <c r="C44" s="1"/>
      <c r="D44" s="1"/>
      <c r="E44" s="46">
        <v>1</v>
      </c>
      <c r="F44" s="47">
        <v>920</v>
      </c>
      <c r="G44" s="46"/>
      <c r="H44" s="47"/>
      <c r="I44" s="47"/>
      <c r="J44" s="48">
        <f>Таблица1[[#This Row],[Роздріб м.п.к.]]+Таблица1[[#This Row],[Супутні товари]]+Таблица1[[#This Row],[Монтаж]]+Таблица1[[#This Row],[Доставка]]</f>
        <v>920</v>
      </c>
      <c r="K44" s="47">
        <v>580</v>
      </c>
      <c r="L44" s="48">
        <f>Таблица1[[#This Row],[Роздріб м.п.к.]]-Таблица1[[#This Row],[Завод м.п.к.]]</f>
        <v>340</v>
      </c>
      <c r="M44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0.36956521739130432</v>
      </c>
      <c r="N44" s="46">
        <v>920</v>
      </c>
      <c r="O44" s="46"/>
      <c r="P44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4" s="43"/>
      <c r="R44" s="37">
        <f>SUBTOTAL(2,Таблица1[[#This Row],[Роздріб м.п.к.]])</f>
        <v>1</v>
      </c>
      <c r="T44" s="89"/>
      <c r="U44" s="7"/>
      <c r="W44" s="33"/>
      <c r="X44" s="7"/>
      <c r="Y44" s="7"/>
    </row>
    <row r="45" spans="1:25" ht="14.4" x14ac:dyDescent="0.3">
      <c r="A45" s="2">
        <v>43871</v>
      </c>
      <c r="B45" s="1" t="s">
        <v>34</v>
      </c>
      <c r="C45" s="1"/>
      <c r="D45" s="1"/>
      <c r="E45" s="46">
        <v>4</v>
      </c>
      <c r="F45" s="47">
        <v>5385</v>
      </c>
      <c r="G45" s="46"/>
      <c r="H45" s="47">
        <v>1610</v>
      </c>
      <c r="I45" s="47">
        <v>200</v>
      </c>
      <c r="J45" s="48">
        <f>Таблица1[[#This Row],[Роздріб м.п.к.]]+Таблица1[[#This Row],[Супутні товари]]+Таблица1[[#This Row],[Монтаж]]+Таблица1[[#This Row],[Доставка]]</f>
        <v>7195</v>
      </c>
      <c r="K45" s="47">
        <v>4307</v>
      </c>
      <c r="L45" s="48">
        <f>Таблица1[[#This Row],[Роздріб м.п.к.]]-Таблица1[[#This Row],[Завод м.п.к.]]</f>
        <v>1078</v>
      </c>
      <c r="M45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0.20018570102135561</v>
      </c>
      <c r="N45" s="46">
        <v>5000</v>
      </c>
      <c r="O45" s="46">
        <v>2195</v>
      </c>
      <c r="P45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5" s="43"/>
      <c r="R45" s="37">
        <f>SUBTOTAL(2,Таблица1[[#This Row],[Роздріб м.п.к.]])</f>
        <v>1</v>
      </c>
      <c r="T45" s="89"/>
      <c r="U45" s="7"/>
      <c r="W45" s="33"/>
      <c r="X45" s="7"/>
      <c r="Y45" s="7"/>
    </row>
    <row r="46" spans="1:25" ht="14.4" x14ac:dyDescent="0.3">
      <c r="A46" s="2">
        <v>43871</v>
      </c>
      <c r="B46" s="1" t="s">
        <v>35</v>
      </c>
      <c r="C46" s="1"/>
      <c r="D46" s="1"/>
      <c r="E46" s="46">
        <v>1</v>
      </c>
      <c r="F46" s="47">
        <v>4610</v>
      </c>
      <c r="G46" s="46"/>
      <c r="H46" s="47"/>
      <c r="I46" s="47">
        <v>220</v>
      </c>
      <c r="J46" s="48">
        <f>Таблица1[[#This Row],[Роздріб м.п.к.]]+Таблица1[[#This Row],[Супутні товари]]+Таблица1[[#This Row],[Монтаж]]+Таблица1[[#This Row],[Доставка]]</f>
        <v>4830</v>
      </c>
      <c r="K46" s="47">
        <v>3404</v>
      </c>
      <c r="L46" s="48">
        <f>Таблица1[[#This Row],[Роздріб м.п.к.]]-Таблица1[[#This Row],[Завод м.п.к.]]</f>
        <v>1206</v>
      </c>
      <c r="M46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0.26160520607375271</v>
      </c>
      <c r="N46" s="46">
        <v>1000</v>
      </c>
      <c r="O46" s="46">
        <v>3830</v>
      </c>
      <c r="P46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6" s="43"/>
      <c r="R46" s="37">
        <f>SUBTOTAL(2,Таблица1[[#This Row],[Роздріб м.п.к.]])</f>
        <v>1</v>
      </c>
      <c r="T46" s="89"/>
      <c r="U46" s="7"/>
      <c r="W46" s="33"/>
      <c r="X46" s="7"/>
      <c r="Y46" s="7"/>
    </row>
    <row r="47" spans="1:25" ht="14.4" x14ac:dyDescent="0.3">
      <c r="A47" s="2">
        <v>44181</v>
      </c>
      <c r="B47" s="1" t="s">
        <v>35</v>
      </c>
      <c r="C47" s="1"/>
      <c r="D47" s="1"/>
      <c r="E47" s="46">
        <v>2</v>
      </c>
      <c r="F47" s="47">
        <v>14065</v>
      </c>
      <c r="G47" s="46"/>
      <c r="H47" s="47"/>
      <c r="I47" s="47">
        <v>150</v>
      </c>
      <c r="J47" s="48">
        <f>Таблица1[[#This Row],[Роздріб м.п.к.]]+Таблица1[[#This Row],[Супутні товари]]+Таблица1[[#This Row],[Монтаж]]+Таблица1[[#This Row],[Доставка]]</f>
        <v>14215</v>
      </c>
      <c r="K47" s="47">
        <v>11637</v>
      </c>
      <c r="L47" s="48">
        <f>Таблица1[[#This Row],[Роздріб м.п.к.]]-Таблица1[[#This Row],[Завод м.п.к.]]</f>
        <v>2428</v>
      </c>
      <c r="M47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0.17262708851759687</v>
      </c>
      <c r="N47" s="46">
        <v>4880</v>
      </c>
      <c r="O47" s="46">
        <v>9335</v>
      </c>
      <c r="P47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7" s="43"/>
      <c r="R47" s="37">
        <f>SUBTOTAL(2,Таблица1[[#This Row],[Роздріб м.п.к.]])</f>
        <v>1</v>
      </c>
      <c r="T47" s="89"/>
      <c r="U47" s="4"/>
      <c r="W47" s="33"/>
      <c r="X47" s="7"/>
      <c r="Y47" s="7"/>
    </row>
    <row r="48" spans="1:25" ht="14.4" x14ac:dyDescent="0.3">
      <c r="A48" s="2">
        <v>44188</v>
      </c>
      <c r="B48" s="1" t="s">
        <v>35</v>
      </c>
      <c r="C48" s="1"/>
      <c r="D48" s="1"/>
      <c r="E48" s="46">
        <v>2</v>
      </c>
      <c r="F48" s="47">
        <v>10810</v>
      </c>
      <c r="G48" s="46"/>
      <c r="H48" s="47"/>
      <c r="I48" s="47"/>
      <c r="J48" s="48">
        <f>Таблица1[[#This Row],[Роздріб м.п.к.]]+Таблица1[[#This Row],[Супутні товари]]+Таблица1[[#This Row],[Монтаж]]+Таблица1[[#This Row],[Доставка]]</f>
        <v>10810</v>
      </c>
      <c r="K48" s="47">
        <v>9210</v>
      </c>
      <c r="L48" s="48">
        <f>Таблица1[[#This Row],[Роздріб м.п.к.]]-Таблица1[[#This Row],[Завод м.п.к.]]</f>
        <v>1600</v>
      </c>
      <c r="M48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0.14801110083256244</v>
      </c>
      <c r="N48" s="46">
        <v>4900</v>
      </c>
      <c r="O48" s="46">
        <v>5910</v>
      </c>
      <c r="P48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8" s="43"/>
      <c r="R48" s="37">
        <f>SUBTOTAL(2,Таблица1[[#This Row],[Роздріб м.п.к.]])</f>
        <v>1</v>
      </c>
      <c r="T48" s="89"/>
      <c r="U48" s="4"/>
      <c r="W48" s="33"/>
      <c r="X48" s="7"/>
      <c r="Y48" s="7"/>
    </row>
    <row r="49" spans="1:25" ht="14.4" x14ac:dyDescent="0.3">
      <c r="A49" s="2">
        <v>44189</v>
      </c>
      <c r="B49" s="1" t="s">
        <v>34</v>
      </c>
      <c r="C49" s="1"/>
      <c r="D49" s="1"/>
      <c r="E49" s="46">
        <v>3</v>
      </c>
      <c r="F49" s="47">
        <v>4625</v>
      </c>
      <c r="G49" s="46"/>
      <c r="H49" s="47">
        <v>800</v>
      </c>
      <c r="I49" s="47">
        <v>90</v>
      </c>
      <c r="J49" s="48">
        <f>Таблица1[[#This Row],[Роздріб м.п.к.]]+Таблица1[[#This Row],[Супутні товари]]+Таблица1[[#This Row],[Монтаж]]+Таблица1[[#This Row],[Доставка]]</f>
        <v>5515</v>
      </c>
      <c r="K49" s="47">
        <v>3703.4</v>
      </c>
      <c r="L49" s="48">
        <f>Таблица1[[#This Row],[Роздріб м.п.к.]]-Таблица1[[#This Row],[Завод м.п.к.]]</f>
        <v>921.59999999999991</v>
      </c>
      <c r="M49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0.19926486486486483</v>
      </c>
      <c r="N49" s="46">
        <v>5515</v>
      </c>
      <c r="O49" s="46"/>
      <c r="P49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49" s="43"/>
      <c r="R49" s="37">
        <f>SUBTOTAL(2,Таблица1[[#This Row],[Роздріб м.п.к.]])</f>
        <v>1</v>
      </c>
      <c r="T49" s="89"/>
      <c r="U49" s="4"/>
      <c r="W49" s="33"/>
      <c r="X49" s="7"/>
      <c r="Y49" s="7"/>
    </row>
    <row r="50" spans="1:25" ht="14.4" x14ac:dyDescent="0.3">
      <c r="A50" s="2">
        <v>44189</v>
      </c>
      <c r="B50" s="1" t="s">
        <v>34</v>
      </c>
      <c r="C50" s="1"/>
      <c r="D50" s="1"/>
      <c r="E50" s="46">
        <v>9</v>
      </c>
      <c r="F50" s="47">
        <v>24460</v>
      </c>
      <c r="G50" s="46"/>
      <c r="H50" s="47"/>
      <c r="I50" s="47">
        <v>200</v>
      </c>
      <c r="J50" s="48">
        <f>Таблица1[[#This Row],[Роздріб м.п.к.]]+Таблица1[[#This Row],[Супутні товари]]+Таблица1[[#This Row],[Монтаж]]+Таблица1[[#This Row],[Доставка]]</f>
        <v>24660</v>
      </c>
      <c r="K50" s="47">
        <v>19595.88</v>
      </c>
      <c r="L50" s="48">
        <f>Таблица1[[#This Row],[Роздріб м.п.к.]]-Таблица1[[#This Row],[Завод м.п.к.]]</f>
        <v>4864.119999999999</v>
      </c>
      <c r="M50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0.19886017988552734</v>
      </c>
      <c r="N50" s="46">
        <v>10000</v>
      </c>
      <c r="O50" s="46">
        <v>14660</v>
      </c>
      <c r="P50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0" s="43"/>
      <c r="R50" s="37">
        <f>SUBTOTAL(2,Таблица1[[#This Row],[Роздріб м.п.к.]])</f>
        <v>1</v>
      </c>
      <c r="T50" s="89"/>
      <c r="U50" s="4"/>
      <c r="W50" s="33"/>
      <c r="X50" s="7"/>
      <c r="Y50" s="7"/>
    </row>
    <row r="51" spans="1:25" ht="14.4" x14ac:dyDescent="0.3">
      <c r="A51" s="2">
        <v>44200</v>
      </c>
      <c r="B51" s="1" t="s">
        <v>35</v>
      </c>
      <c r="C51" s="1"/>
      <c r="D51" s="1"/>
      <c r="E51" s="46">
        <v>1</v>
      </c>
      <c r="F51" s="47">
        <v>7940</v>
      </c>
      <c r="G51" s="46"/>
      <c r="H51" s="47"/>
      <c r="I51" s="47"/>
      <c r="J51" s="48">
        <f>Таблица1[[#This Row],[Роздріб м.п.к.]]+Таблица1[[#This Row],[Супутні товари]]+Таблица1[[#This Row],[Монтаж]]+Таблица1[[#This Row],[Доставка]]</f>
        <v>7940</v>
      </c>
      <c r="K51" s="47">
        <v>6359</v>
      </c>
      <c r="L51" s="48">
        <f>Таблица1[[#This Row],[Роздріб м.п.к.]]-Таблица1[[#This Row],[Завод м.п.к.]]</f>
        <v>1581</v>
      </c>
      <c r="M51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0.1991183879093199</v>
      </c>
      <c r="N51" s="46">
        <v>7940</v>
      </c>
      <c r="O51" s="46"/>
      <c r="P51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1" s="43"/>
      <c r="R51" s="37">
        <f>SUBTOTAL(2,Таблица1[[#This Row],[Роздріб м.п.к.]])</f>
        <v>1</v>
      </c>
      <c r="T51" s="89"/>
      <c r="U51" s="4"/>
      <c r="W51" s="33"/>
      <c r="X51" s="7"/>
      <c r="Y51" s="7"/>
    </row>
    <row r="52" spans="1:25" ht="14.4" x14ac:dyDescent="0.3">
      <c r="A52" s="2">
        <v>44200</v>
      </c>
      <c r="B52" s="1" t="s">
        <v>34</v>
      </c>
      <c r="C52" s="1"/>
      <c r="D52" s="1"/>
      <c r="E52" s="46">
        <v>2</v>
      </c>
      <c r="F52" s="47">
        <v>5045</v>
      </c>
      <c r="G52" s="46"/>
      <c r="H52" s="47">
        <v>500</v>
      </c>
      <c r="I52" s="47">
        <v>300</v>
      </c>
      <c r="J52" s="48">
        <f>Таблица1[[#This Row],[Роздріб м.п.к.]]+Таблица1[[#This Row],[Супутні товари]]+Таблица1[[#This Row],[Монтаж]]+Таблица1[[#This Row],[Доставка]]</f>
        <v>5845</v>
      </c>
      <c r="K52" s="47">
        <v>3749</v>
      </c>
      <c r="L52" s="48">
        <f>Таблица1[[#This Row],[Роздріб м.п.к.]]-Таблица1[[#This Row],[Завод м.п.к.]]</f>
        <v>1296</v>
      </c>
      <c r="M52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0.25688800792864219</v>
      </c>
      <c r="N52" s="46">
        <v>5045</v>
      </c>
      <c r="O52" s="46">
        <v>800</v>
      </c>
      <c r="P52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2" s="43"/>
      <c r="R52" s="37">
        <f>SUBTOTAL(2,Таблица1[[#This Row],[Роздріб м.п.к.]])</f>
        <v>1</v>
      </c>
      <c r="T52" s="89"/>
      <c r="U52" s="4"/>
      <c r="W52" s="33"/>
      <c r="X52" s="7"/>
      <c r="Y52" s="7"/>
    </row>
    <row r="53" spans="1:25" ht="14.4" x14ac:dyDescent="0.3">
      <c r="A53" s="2">
        <v>44202</v>
      </c>
      <c r="B53" s="1" t="s">
        <v>35</v>
      </c>
      <c r="C53" s="1"/>
      <c r="D53" s="1"/>
      <c r="E53" s="46">
        <v>1</v>
      </c>
      <c r="F53" s="47">
        <v>2880</v>
      </c>
      <c r="G53" s="46"/>
      <c r="H53" s="47"/>
      <c r="I53" s="47"/>
      <c r="J53" s="48">
        <f>Таблица1[[#This Row],[Роздріб м.п.к.]]+Таблица1[[#This Row],[Супутні товари]]+Таблица1[[#This Row],[Монтаж]]+Таблица1[[#This Row],[Доставка]]</f>
        <v>2880</v>
      </c>
      <c r="K53" s="47">
        <v>2736.5</v>
      </c>
      <c r="L53" s="48">
        <f>Таблица1[[#This Row],[Роздріб м.п.к.]]-Таблица1[[#This Row],[Завод м.п.к.]]</f>
        <v>143.5</v>
      </c>
      <c r="M53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4.9826388888888892E-2</v>
      </c>
      <c r="N53" s="46">
        <v>2880</v>
      </c>
      <c r="O53" s="46"/>
      <c r="P53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3" s="43"/>
      <c r="R53" s="37">
        <f>SUBTOTAL(2,Таблица1[[#This Row],[Роздріб м.п.к.]])</f>
        <v>1</v>
      </c>
      <c r="T53" s="89"/>
      <c r="U53" s="4"/>
      <c r="W53" s="33"/>
      <c r="X53" s="7"/>
      <c r="Y53" s="7"/>
    </row>
    <row r="54" spans="1:25" ht="14.4" x14ac:dyDescent="0.3">
      <c r="A54" s="2">
        <v>44216</v>
      </c>
      <c r="B54" s="1" t="s">
        <v>34</v>
      </c>
      <c r="C54" s="1"/>
      <c r="D54" s="1"/>
      <c r="E54" s="46">
        <v>6</v>
      </c>
      <c r="F54" s="47">
        <v>16060</v>
      </c>
      <c r="G54" s="46"/>
      <c r="H54" s="47"/>
      <c r="I54" s="47"/>
      <c r="J54" s="48">
        <f>Таблица1[[#This Row],[Роздріб м.п.к.]]+Таблица1[[#This Row],[Супутні товари]]+Таблица1[[#This Row],[Монтаж]]+Таблица1[[#This Row],[Доставка]]</f>
        <v>16060</v>
      </c>
      <c r="K54" s="47">
        <v>12998</v>
      </c>
      <c r="L54" s="48">
        <f>Таблица1[[#This Row],[Роздріб м.п.к.]]-Таблица1[[#This Row],[Завод м.п.к.]]</f>
        <v>3062</v>
      </c>
      <c r="M54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0.19066002490660025</v>
      </c>
      <c r="N54" s="46">
        <v>7000</v>
      </c>
      <c r="O54" s="46">
        <v>9060</v>
      </c>
      <c r="P54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4" s="43"/>
      <c r="R54" s="37">
        <f>SUBTOTAL(2,Таблица1[[#This Row],[Роздріб м.п.к.]])</f>
        <v>1</v>
      </c>
      <c r="T54" s="89"/>
      <c r="U54" s="4"/>
      <c r="W54" s="33"/>
      <c r="X54" s="7"/>
      <c r="Y54" s="7"/>
    </row>
    <row r="55" spans="1:25" ht="14.4" x14ac:dyDescent="0.3">
      <c r="A55" s="2">
        <v>44216</v>
      </c>
      <c r="B55" s="1" t="s">
        <v>35</v>
      </c>
      <c r="C55" s="1"/>
      <c r="D55" s="1"/>
      <c r="E55" s="46">
        <v>1</v>
      </c>
      <c r="F55" s="47">
        <v>4415</v>
      </c>
      <c r="G55" s="46"/>
      <c r="H55" s="47"/>
      <c r="I55" s="47">
        <v>300</v>
      </c>
      <c r="J55" s="48">
        <f>Таблица1[[#This Row],[Роздріб м.п.к.]]+Таблица1[[#This Row],[Супутні товари]]+Таблица1[[#This Row],[Монтаж]]+Таблица1[[#This Row],[Доставка]]</f>
        <v>4715</v>
      </c>
      <c r="K55" s="47">
        <v>3553.02</v>
      </c>
      <c r="L55" s="48">
        <f>Таблица1[[#This Row],[Роздріб м.п.к.]]-Таблица1[[#This Row],[Завод м.п.к.]]</f>
        <v>861.98</v>
      </c>
      <c r="M55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0.19523895809739525</v>
      </c>
      <c r="N55" s="46"/>
      <c r="O55" s="46">
        <v>4715</v>
      </c>
      <c r="P55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5" s="43"/>
      <c r="R55" s="37">
        <f>SUBTOTAL(2,Таблица1[[#This Row],[Роздріб м.п.к.]])</f>
        <v>1</v>
      </c>
      <c r="T55" s="89"/>
      <c r="U55" s="4"/>
      <c r="W55" s="33"/>
      <c r="X55" s="7"/>
      <c r="Y55" s="7"/>
    </row>
    <row r="56" spans="1:25" ht="14.4" x14ac:dyDescent="0.3">
      <c r="A56" s="2">
        <v>44221</v>
      </c>
      <c r="B56" s="1" t="s">
        <v>34</v>
      </c>
      <c r="C56" s="1"/>
      <c r="D56" s="1"/>
      <c r="E56" s="46">
        <v>4</v>
      </c>
      <c r="F56" s="47">
        <v>10320</v>
      </c>
      <c r="G56" s="46"/>
      <c r="H56" s="47"/>
      <c r="I56" s="47">
        <v>200</v>
      </c>
      <c r="J56" s="48">
        <f>Таблица1[[#This Row],[Роздріб м.п.к.]]+Таблица1[[#This Row],[Супутні товари]]+Таблица1[[#This Row],[Монтаж]]+Таблица1[[#This Row],[Доставка]]</f>
        <v>10520</v>
      </c>
      <c r="K56" s="47">
        <v>8268.34</v>
      </c>
      <c r="L56" s="48">
        <f>Таблица1[[#This Row],[Роздріб м.п.к.]]-Таблица1[[#This Row],[Завод м.п.к.]]</f>
        <v>2051.66</v>
      </c>
      <c r="M56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0.19880426356589145</v>
      </c>
      <c r="N56" s="46">
        <v>10520</v>
      </c>
      <c r="O56" s="46"/>
      <c r="P56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6" s="43"/>
      <c r="R56" s="37">
        <f>SUBTOTAL(2,Таблица1[[#This Row],[Роздріб м.п.к.]])</f>
        <v>1</v>
      </c>
      <c r="T56" s="89"/>
      <c r="U56" s="4"/>
      <c r="W56" s="33"/>
      <c r="X56" s="7"/>
      <c r="Y56" s="7"/>
    </row>
    <row r="57" spans="1:25" ht="14.4" x14ac:dyDescent="0.3">
      <c r="A57" s="2">
        <v>44221</v>
      </c>
      <c r="B57" s="1" t="s">
        <v>35</v>
      </c>
      <c r="C57" s="1"/>
      <c r="D57" s="1"/>
      <c r="E57" s="46">
        <v>2</v>
      </c>
      <c r="F57" s="47">
        <v>17650</v>
      </c>
      <c r="G57" s="46"/>
      <c r="H57" s="47"/>
      <c r="I57" s="47"/>
      <c r="J57" s="48">
        <f>Таблица1[[#This Row],[Роздріб м.п.к.]]+Таблица1[[#This Row],[Супутні товари]]+Таблица1[[#This Row],[Монтаж]]+Таблица1[[#This Row],[Доставка]]</f>
        <v>17650</v>
      </c>
      <c r="K57" s="47">
        <v>14548.9</v>
      </c>
      <c r="L57" s="48">
        <f>Таблица1[[#This Row],[Роздріб м.п.к.]]-Таблица1[[#This Row],[Завод м.п.к.]]</f>
        <v>3101.1000000000004</v>
      </c>
      <c r="M57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0.17569971671388104</v>
      </c>
      <c r="N57" s="46">
        <v>17650</v>
      </c>
      <c r="O57" s="46"/>
      <c r="P57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7" s="43"/>
      <c r="R57" s="37">
        <f>SUBTOTAL(2,Таблица1[[#This Row],[Роздріб м.п.к.]])</f>
        <v>1</v>
      </c>
      <c r="T57" s="89"/>
      <c r="U57" s="4"/>
      <c r="W57" s="33"/>
      <c r="X57" s="7"/>
      <c r="Y57" s="7"/>
    </row>
    <row r="58" spans="1:25" ht="14.4" x14ac:dyDescent="0.3">
      <c r="A58" s="2">
        <v>44222</v>
      </c>
      <c r="B58" s="1" t="s">
        <v>34</v>
      </c>
      <c r="C58" s="1"/>
      <c r="D58" s="1"/>
      <c r="E58" s="46">
        <v>6</v>
      </c>
      <c r="F58" s="47">
        <v>16730</v>
      </c>
      <c r="G58" s="46"/>
      <c r="H58" s="47">
        <v>1700</v>
      </c>
      <c r="I58" s="47">
        <v>70</v>
      </c>
      <c r="J58" s="48">
        <f>Таблица1[[#This Row],[Роздріб м.п.к.]]+Таблица1[[#This Row],[Супутні товари]]+Таблица1[[#This Row],[Монтаж]]+Таблица1[[#This Row],[Доставка]]</f>
        <v>18500</v>
      </c>
      <c r="K58" s="47">
        <v>14607</v>
      </c>
      <c r="L58" s="48">
        <f>Таблица1[[#This Row],[Роздріб м.п.к.]]-Таблица1[[#This Row],[Завод м.п.к.]]</f>
        <v>2123</v>
      </c>
      <c r="M58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0.12689778840406454</v>
      </c>
      <c r="N58" s="46">
        <v>14000</v>
      </c>
      <c r="O58" s="46"/>
      <c r="P58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4500</v>
      </c>
      <c r="Q58" s="43"/>
      <c r="R58" s="37">
        <f>SUBTOTAL(2,Таблица1[[#This Row],[Роздріб м.п.к.]])</f>
        <v>1</v>
      </c>
      <c r="T58" s="89"/>
      <c r="U58" s="4"/>
      <c r="W58" s="33"/>
      <c r="X58" s="7"/>
      <c r="Y58" s="7"/>
    </row>
    <row r="59" spans="1:25" ht="14.4" x14ac:dyDescent="0.3">
      <c r="A59" s="2">
        <v>44229</v>
      </c>
      <c r="B59" s="1" t="s">
        <v>107</v>
      </c>
      <c r="C59" s="1"/>
      <c r="D59" s="1"/>
      <c r="E59" s="46">
        <v>1</v>
      </c>
      <c r="F59" s="47">
        <v>725</v>
      </c>
      <c r="G59" s="46"/>
      <c r="H59" s="47"/>
      <c r="I59" s="47"/>
      <c r="J59" s="48">
        <f>Таблица1[[#This Row],[Роздріб м.п.к.]]+Таблица1[[#This Row],[Супутні товари]]+Таблица1[[#This Row],[Монтаж]]+Таблица1[[#This Row],[Доставка]]</f>
        <v>725</v>
      </c>
      <c r="K59" s="47">
        <v>724</v>
      </c>
      <c r="L59" s="48">
        <f>Таблица1[[#This Row],[Роздріб м.п.к.]]-Таблица1[[#This Row],[Завод м.п.к.]]</f>
        <v>1</v>
      </c>
      <c r="M59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1.3793103448275861E-3</v>
      </c>
      <c r="N59" s="46">
        <v>365</v>
      </c>
      <c r="O59" s="46">
        <v>360</v>
      </c>
      <c r="P59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59" s="43"/>
      <c r="R59" s="37">
        <f>SUBTOTAL(2,Таблица1[[#This Row],[Роздріб м.п.к.]])</f>
        <v>1</v>
      </c>
      <c r="T59" s="89"/>
      <c r="U59" s="4"/>
      <c r="W59" s="33"/>
      <c r="X59" s="7"/>
      <c r="Y59" s="7"/>
    </row>
    <row r="60" spans="1:25" ht="14.4" x14ac:dyDescent="0.3">
      <c r="A60" s="2">
        <v>44229</v>
      </c>
      <c r="B60" s="1" t="s">
        <v>107</v>
      </c>
      <c r="C60" s="1"/>
      <c r="D60" s="1"/>
      <c r="E60" s="46">
        <v>1</v>
      </c>
      <c r="F60" s="47">
        <v>515</v>
      </c>
      <c r="G60" s="46"/>
      <c r="H60" s="47">
        <v>130</v>
      </c>
      <c r="I60" s="47">
        <v>215</v>
      </c>
      <c r="J60" s="48">
        <f>Таблица1[[#This Row],[Роздріб м.п.к.]]+Таблица1[[#This Row],[Супутні товари]]+Таблица1[[#This Row],[Монтаж]]+Таблица1[[#This Row],[Доставка]]</f>
        <v>860</v>
      </c>
      <c r="K60" s="47">
        <v>411.47</v>
      </c>
      <c r="L60" s="48">
        <f>Таблица1[[#This Row],[Роздріб м.п.к.]]-Таблица1[[#This Row],[Завод м.п.к.]]</f>
        <v>103.52999999999997</v>
      </c>
      <c r="M60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0.20102912621359217</v>
      </c>
      <c r="N60" s="46">
        <v>860</v>
      </c>
      <c r="O60" s="46"/>
      <c r="P60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60" s="43"/>
      <c r="R60" s="37">
        <f>SUBTOTAL(2,Таблица1[[#This Row],[Роздріб м.п.к.]])</f>
        <v>1</v>
      </c>
      <c r="T60" s="89"/>
      <c r="U60" s="4"/>
      <c r="W60" s="33"/>
      <c r="X60" s="7"/>
      <c r="Y60" s="7"/>
    </row>
    <row r="61" spans="1:25" ht="14.4" x14ac:dyDescent="0.3">
      <c r="A61" s="2">
        <v>44229</v>
      </c>
      <c r="B61" s="1" t="s">
        <v>34</v>
      </c>
      <c r="C61" s="1"/>
      <c r="D61" s="1"/>
      <c r="E61" s="46">
        <v>1</v>
      </c>
      <c r="F61" s="47">
        <v>1315</v>
      </c>
      <c r="G61" s="46"/>
      <c r="H61" s="47"/>
      <c r="I61" s="47"/>
      <c r="J61" s="48">
        <f>Таблица1[[#This Row],[Роздріб м.п.к.]]+Таблица1[[#This Row],[Супутні товари]]+Таблица1[[#This Row],[Монтаж]]+Таблица1[[#This Row],[Доставка]]</f>
        <v>1315</v>
      </c>
      <c r="K61" s="47">
        <v>1032</v>
      </c>
      <c r="L61" s="48">
        <f>Таблица1[[#This Row],[Роздріб м.п.к.]]-Таблица1[[#This Row],[Завод м.п.к.]]</f>
        <v>283</v>
      </c>
      <c r="M61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0.21520912547528517</v>
      </c>
      <c r="N61" s="46">
        <v>815</v>
      </c>
      <c r="O61" s="46">
        <v>500</v>
      </c>
      <c r="P61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61" s="43"/>
      <c r="R61" s="37">
        <f>SUBTOTAL(2,Таблица1[[#This Row],[Роздріб м.п.к.]])</f>
        <v>1</v>
      </c>
      <c r="T61" s="89"/>
      <c r="U61" s="4"/>
      <c r="W61" s="33"/>
      <c r="X61" s="7"/>
      <c r="Y61" s="7"/>
    </row>
    <row r="62" spans="1:25" ht="14.4" x14ac:dyDescent="0.3">
      <c r="A62" s="2">
        <v>44235</v>
      </c>
      <c r="B62" s="1" t="s">
        <v>35</v>
      </c>
      <c r="C62" s="1"/>
      <c r="D62" s="1"/>
      <c r="E62" s="46">
        <v>1</v>
      </c>
      <c r="F62" s="47">
        <v>3720</v>
      </c>
      <c r="G62" s="46"/>
      <c r="H62" s="47"/>
      <c r="I62" s="47"/>
      <c r="J62" s="48">
        <f>Таблица1[[#This Row],[Роздріб м.п.к.]]+Таблица1[[#This Row],[Супутні товари]]+Таблица1[[#This Row],[Монтаж]]+Таблица1[[#This Row],[Доставка]]</f>
        <v>3720</v>
      </c>
      <c r="K62" s="47">
        <v>2976.5</v>
      </c>
      <c r="L62" s="48">
        <f>Таблица1[[#This Row],[Роздріб м.п.к.]]-Таблица1[[#This Row],[Завод м.п.к.]]</f>
        <v>743.5</v>
      </c>
      <c r="M62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0.19986559139784946</v>
      </c>
      <c r="N62" s="46">
        <v>1000</v>
      </c>
      <c r="O62" s="46">
        <v>2720</v>
      </c>
      <c r="P62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62" s="43"/>
      <c r="R62" s="37">
        <f>SUBTOTAL(2,Таблица1[[#This Row],[Роздріб м.п.к.]])</f>
        <v>1</v>
      </c>
      <c r="T62" s="89"/>
      <c r="U62" s="4"/>
      <c r="W62" s="33"/>
      <c r="X62" s="7"/>
      <c r="Y62" s="7"/>
    </row>
    <row r="63" spans="1:25" ht="14.4" x14ac:dyDescent="0.3">
      <c r="A63" s="2">
        <v>44242</v>
      </c>
      <c r="B63" s="1" t="s">
        <v>35</v>
      </c>
      <c r="C63" s="1"/>
      <c r="D63" s="1"/>
      <c r="E63" s="46">
        <v>1</v>
      </c>
      <c r="F63" s="47">
        <v>13760</v>
      </c>
      <c r="G63" s="46"/>
      <c r="H63" s="47"/>
      <c r="I63" s="47"/>
      <c r="J63" s="48">
        <f>Таблица1[[#This Row],[Роздріб м.п.к.]]+Таблица1[[#This Row],[Супутні товари]]+Таблица1[[#This Row],[Монтаж]]+Таблица1[[#This Row],[Доставка]]</f>
        <v>13760</v>
      </c>
      <c r="K63" s="47">
        <v>13073</v>
      </c>
      <c r="L63" s="48">
        <f>Таблица1[[#This Row],[Роздріб м.п.к.]]-Таблица1[[#This Row],[Завод м.п.к.]]</f>
        <v>687</v>
      </c>
      <c r="M63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4.992732558139535E-2</v>
      </c>
      <c r="N63" s="46">
        <v>6125</v>
      </c>
      <c r="O63" s="46"/>
      <c r="P63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7635</v>
      </c>
      <c r="Q63" s="43"/>
      <c r="R63" s="37">
        <f>SUBTOTAL(2,Таблица1[[#This Row],[Роздріб м.п.к.]])</f>
        <v>1</v>
      </c>
      <c r="T63" s="89"/>
      <c r="U63" s="4"/>
      <c r="W63" s="33"/>
      <c r="X63" s="7"/>
      <c r="Y63" s="7"/>
    </row>
    <row r="64" spans="1:25" ht="14.4" x14ac:dyDescent="0.3">
      <c r="A64" s="2">
        <v>44242</v>
      </c>
      <c r="B64" s="1" t="s">
        <v>34</v>
      </c>
      <c r="C64" s="1"/>
      <c r="D64" s="1"/>
      <c r="E64" s="46">
        <v>1</v>
      </c>
      <c r="F64" s="47">
        <v>1270</v>
      </c>
      <c r="G64" s="46"/>
      <c r="H64" s="47"/>
      <c r="I64" s="47"/>
      <c r="J64" s="48">
        <f>Таблица1[[#This Row],[Роздріб м.п.к.]]+Таблица1[[#This Row],[Супутні товари]]+Таблица1[[#This Row],[Монтаж]]+Таблица1[[#This Row],[Доставка]]</f>
        <v>1270</v>
      </c>
      <c r="K64" s="47">
        <v>1207</v>
      </c>
      <c r="L64" s="48">
        <f>Таблица1[[#This Row],[Роздріб м.п.к.]]-Таблица1[[#This Row],[Завод м.п.к.]]</f>
        <v>63</v>
      </c>
      <c r="M64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4.9606299212598425E-2</v>
      </c>
      <c r="N64" s="46">
        <v>1270</v>
      </c>
      <c r="O64" s="46"/>
      <c r="P64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64" s="43"/>
      <c r="R64" s="37">
        <f>SUBTOTAL(2,Таблица1[[#This Row],[Роздріб м.п.к.]])</f>
        <v>1</v>
      </c>
      <c r="T64" s="89"/>
      <c r="U64" s="4"/>
      <c r="W64" s="33"/>
      <c r="X64" s="7"/>
      <c r="Y64" s="7"/>
    </row>
    <row r="65" spans="1:41" ht="14.4" x14ac:dyDescent="0.3">
      <c r="A65" s="2">
        <v>44242</v>
      </c>
      <c r="B65" s="1" t="s">
        <v>34</v>
      </c>
      <c r="C65" s="1"/>
      <c r="D65" s="1"/>
      <c r="E65" s="46">
        <v>1</v>
      </c>
      <c r="F65" s="47">
        <v>1605</v>
      </c>
      <c r="G65" s="46"/>
      <c r="H65" s="47"/>
      <c r="I65" s="47"/>
      <c r="J65" s="48">
        <f>Таблица1[[#This Row],[Роздріб м.п.к.]]+Таблица1[[#This Row],[Супутні товари]]+Таблица1[[#This Row],[Монтаж]]+Таблица1[[#This Row],[Доставка]]</f>
        <v>1605</v>
      </c>
      <c r="K65" s="47">
        <v>1525</v>
      </c>
      <c r="L65" s="48">
        <f>Таблица1[[#This Row],[Роздріб м.п.к.]]-Таблица1[[#This Row],[Завод м.п.к.]]</f>
        <v>80</v>
      </c>
      <c r="M65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4.9844236760124609E-2</v>
      </c>
      <c r="N65" s="46">
        <v>1605</v>
      </c>
      <c r="O65" s="46"/>
      <c r="P65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65" s="43"/>
      <c r="R65" s="37">
        <f>SUBTOTAL(2,Таблица1[[#This Row],[Роздріб м.п.к.]])</f>
        <v>1</v>
      </c>
      <c r="T65" s="89"/>
      <c r="U65" s="4"/>
      <c r="W65" s="33"/>
      <c r="X65" s="7"/>
      <c r="Y65" s="7"/>
    </row>
    <row r="66" spans="1:41" ht="14.4" x14ac:dyDescent="0.3">
      <c r="A66" s="2">
        <v>44249</v>
      </c>
      <c r="B66" s="1" t="s">
        <v>35</v>
      </c>
      <c r="C66" s="1"/>
      <c r="D66" s="1"/>
      <c r="E66" s="46">
        <v>1</v>
      </c>
      <c r="F66" s="47">
        <v>4170</v>
      </c>
      <c r="G66" s="46"/>
      <c r="H66" s="47"/>
      <c r="I66" s="47">
        <v>160</v>
      </c>
      <c r="J66" s="48">
        <f>Таблица1[[#This Row],[Роздріб м.п.к.]]+Таблица1[[#This Row],[Супутні товари]]+Таблица1[[#This Row],[Монтаж]]+Таблица1[[#This Row],[Доставка]]</f>
        <v>4330</v>
      </c>
      <c r="K66" s="47">
        <v>3461.25</v>
      </c>
      <c r="L66" s="48">
        <f>Таблица1[[#This Row],[Роздріб м.п.к.]]-Таблица1[[#This Row],[Завод м.п.к.]]</f>
        <v>708.75</v>
      </c>
      <c r="M66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0.16996402877697842</v>
      </c>
      <c r="N66" s="46">
        <v>1000</v>
      </c>
      <c r="O66" s="46"/>
      <c r="P66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3330</v>
      </c>
      <c r="Q66" s="43"/>
      <c r="R66" s="37">
        <f>SUBTOTAL(2,Таблица1[[#This Row],[Роздріб м.п.к.]])</f>
        <v>1</v>
      </c>
      <c r="T66" s="89"/>
      <c r="U66" s="4"/>
      <c r="W66" s="33"/>
      <c r="X66" s="7"/>
      <c r="Y66" s="7"/>
    </row>
    <row r="67" spans="1:41" ht="14.4" x14ac:dyDescent="0.3">
      <c r="A67" s="2">
        <v>44252</v>
      </c>
      <c r="B67" s="1" t="s">
        <v>34</v>
      </c>
      <c r="C67" s="1"/>
      <c r="D67" s="1"/>
      <c r="E67" s="46">
        <v>2</v>
      </c>
      <c r="F67" s="47">
        <v>6180</v>
      </c>
      <c r="G67" s="46"/>
      <c r="H67" s="47"/>
      <c r="I67" s="47"/>
      <c r="J67" s="48">
        <f>Таблица1[[#This Row],[Роздріб м.п.к.]]+Таблица1[[#This Row],[Супутні товари]]+Таблица1[[#This Row],[Монтаж]]+Таблица1[[#This Row],[Доставка]]</f>
        <v>6180</v>
      </c>
      <c r="K67" s="47">
        <v>4850</v>
      </c>
      <c r="L67" s="48">
        <f>Таблица1[[#This Row],[Роздріб м.п.к.]]-Таблица1[[#This Row],[Завод м.п.к.]]</f>
        <v>1330</v>
      </c>
      <c r="M67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0.21521035598705501</v>
      </c>
      <c r="N67" s="46">
        <v>3314</v>
      </c>
      <c r="O67" s="46"/>
      <c r="P67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2866</v>
      </c>
      <c r="Q67" s="43"/>
      <c r="R67" s="37">
        <f>SUBTOTAL(2,Таблица1[[#This Row],[Роздріб м.п.к.]])</f>
        <v>1</v>
      </c>
      <c r="T67" s="89"/>
      <c r="U67" s="4"/>
      <c r="W67" s="33"/>
      <c r="X67" s="7"/>
      <c r="Y67" s="7"/>
    </row>
    <row r="68" spans="1:41" ht="14.4" x14ac:dyDescent="0.3">
      <c r="A68" s="2">
        <v>44253</v>
      </c>
      <c r="B68" s="1" t="s">
        <v>34</v>
      </c>
      <c r="C68" s="1"/>
      <c r="D68" s="1"/>
      <c r="E68" s="46">
        <v>2</v>
      </c>
      <c r="F68" s="47">
        <v>5435</v>
      </c>
      <c r="G68" s="46"/>
      <c r="H68" s="47"/>
      <c r="I68" s="47">
        <v>250</v>
      </c>
      <c r="J68" s="48">
        <f>Таблица1[[#This Row],[Роздріб м.п.к.]]+Таблица1[[#This Row],[Супутні товари]]+Таблица1[[#This Row],[Монтаж]]+Таблица1[[#This Row],[Доставка]]</f>
        <v>5685</v>
      </c>
      <c r="K68" s="47">
        <v>4352</v>
      </c>
      <c r="L68" s="48">
        <f>Таблица1[[#This Row],[Роздріб м.п.к.]]-Таблица1[[#This Row],[Завод м.п.к.]]</f>
        <v>1083</v>
      </c>
      <c r="M68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0.19926402943882246</v>
      </c>
      <c r="N68" s="46">
        <v>1000</v>
      </c>
      <c r="O68" s="46"/>
      <c r="P68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4685</v>
      </c>
      <c r="Q68" s="43"/>
      <c r="R68" s="37">
        <f>SUBTOTAL(2,Таблица1[[#This Row],[Роздріб м.п.к.]])</f>
        <v>1</v>
      </c>
      <c r="T68" s="89"/>
      <c r="U68" s="4"/>
      <c r="W68" s="33"/>
      <c r="X68" s="7"/>
      <c r="Y68" s="7"/>
    </row>
    <row r="69" spans="1:41" ht="14.4" x14ac:dyDescent="0.3">
      <c r="A69" s="2">
        <v>44257</v>
      </c>
      <c r="B69" s="1" t="s">
        <v>35</v>
      </c>
      <c r="C69" s="1"/>
      <c r="D69" s="1"/>
      <c r="E69" s="46">
        <v>1</v>
      </c>
      <c r="F69" s="47">
        <v>7400</v>
      </c>
      <c r="G69" s="46"/>
      <c r="H69" s="47"/>
      <c r="I69" s="47"/>
      <c r="J69" s="48">
        <f>Таблица1[[#This Row],[Роздріб м.п.к.]]+Таблица1[[#This Row],[Супутні товари]]+Таблица1[[#This Row],[Монтаж]]+Таблица1[[#This Row],[Доставка]]</f>
        <v>7400</v>
      </c>
      <c r="K69" s="47">
        <v>6298</v>
      </c>
      <c r="L69" s="48">
        <f>Таблица1[[#This Row],[Роздріб м.п.к.]]-Таблица1[[#This Row],[Завод м.п.к.]]</f>
        <v>1102</v>
      </c>
      <c r="M69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0.14891891891891892</v>
      </c>
      <c r="N69" s="46">
        <v>6000</v>
      </c>
      <c r="O69" s="46"/>
      <c r="P69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1400</v>
      </c>
      <c r="Q69" s="43"/>
      <c r="R69" s="37">
        <f>SUBTOTAL(2,Таблица1[[#This Row],[Роздріб м.п.к.]])</f>
        <v>1</v>
      </c>
      <c r="T69" s="89"/>
      <c r="U69" s="4"/>
      <c r="W69" s="33"/>
      <c r="X69" s="7"/>
      <c r="Y69" s="7"/>
    </row>
    <row r="70" spans="1:41" ht="14.4" x14ac:dyDescent="0.3">
      <c r="A70" s="2">
        <v>44259</v>
      </c>
      <c r="B70" s="1" t="s">
        <v>34</v>
      </c>
      <c r="C70" s="1"/>
      <c r="D70" s="1"/>
      <c r="E70" s="46">
        <v>1</v>
      </c>
      <c r="F70" s="47">
        <v>1550</v>
      </c>
      <c r="G70" s="46"/>
      <c r="H70" s="47"/>
      <c r="I70" s="47"/>
      <c r="J70" s="48">
        <f>Таблица1[[#This Row],[Роздріб м.п.к.]]+Таблица1[[#This Row],[Супутні товари]]+Таблица1[[#This Row],[Монтаж]]+Таблица1[[#This Row],[Доставка]]</f>
        <v>1550</v>
      </c>
      <c r="K70" s="47">
        <v>1162</v>
      </c>
      <c r="L70" s="48">
        <f>Таблица1[[#This Row],[Роздріб м.п.к.]]-Таблица1[[#This Row],[Завод м.п.к.]]</f>
        <v>388</v>
      </c>
      <c r="M70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0.25032258064516127</v>
      </c>
      <c r="N70" s="46">
        <v>1550</v>
      </c>
      <c r="O70" s="46"/>
      <c r="P70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0</v>
      </c>
      <c r="Q70" s="43"/>
      <c r="R70" s="37">
        <f>SUBTOTAL(2,Таблица1[[#This Row],[Роздріб м.п.к.]])</f>
        <v>1</v>
      </c>
      <c r="T70" s="89"/>
      <c r="U70" s="4"/>
      <c r="W70" s="33"/>
      <c r="X70" s="7"/>
      <c r="Y70" s="7"/>
    </row>
    <row r="71" spans="1:41" ht="14.4" x14ac:dyDescent="0.3">
      <c r="A71" s="2">
        <v>44259</v>
      </c>
      <c r="B71" s="1" t="s">
        <v>35</v>
      </c>
      <c r="C71" s="1"/>
      <c r="D71" s="1"/>
      <c r="E71" s="46">
        <v>1</v>
      </c>
      <c r="F71" s="47">
        <v>19245</v>
      </c>
      <c r="G71" s="46"/>
      <c r="H71" s="47"/>
      <c r="I71" s="47">
        <v>300</v>
      </c>
      <c r="J71" s="48">
        <f>Таблица1[[#This Row],[Роздріб м.п.к.]]+Таблица1[[#This Row],[Супутні товари]]+Таблица1[[#This Row],[Монтаж]]+Таблица1[[#This Row],[Доставка]]</f>
        <v>19545</v>
      </c>
      <c r="K71" s="47">
        <v>14910</v>
      </c>
      <c r="L71" s="48">
        <f>Таблица1[[#This Row],[Роздріб м.п.к.]]-Таблица1[[#This Row],[Завод м.п.к.]]</f>
        <v>4335</v>
      </c>
      <c r="M71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0.22525331254871395</v>
      </c>
      <c r="N71" s="46">
        <v>6970</v>
      </c>
      <c r="O71" s="46"/>
      <c r="P71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12575</v>
      </c>
      <c r="Q71" s="43"/>
      <c r="R71" s="37">
        <f>SUBTOTAL(2,Таблица1[[#This Row],[Роздріб м.п.к.]])</f>
        <v>1</v>
      </c>
      <c r="T71" s="89"/>
      <c r="U71" s="4"/>
      <c r="W71" s="33"/>
      <c r="X71" s="7"/>
      <c r="Y71" s="7"/>
    </row>
    <row r="72" spans="1:41" ht="14.4" x14ac:dyDescent="0.3">
      <c r="A72" s="2">
        <v>44259</v>
      </c>
      <c r="B72" s="1" t="s">
        <v>34</v>
      </c>
      <c r="C72" s="1"/>
      <c r="D72" s="1"/>
      <c r="E72" s="46">
        <v>1</v>
      </c>
      <c r="F72" s="47">
        <v>12280</v>
      </c>
      <c r="G72" s="46"/>
      <c r="H72" s="47">
        <v>700</v>
      </c>
      <c r="I72" s="47"/>
      <c r="J72" s="48">
        <f>Таблица1[[#This Row],[Роздріб м.п.к.]]+Таблица1[[#This Row],[Супутні товари]]+Таблица1[[#This Row],[Монтаж]]+Таблица1[[#This Row],[Доставка]]</f>
        <v>12980</v>
      </c>
      <c r="K72" s="47">
        <v>10051</v>
      </c>
      <c r="L72" s="48">
        <f>Таблица1[[#This Row],[Роздріб м.п.к.]]-Таблица1[[#This Row],[Завод м.п.к.]]</f>
        <v>2229</v>
      </c>
      <c r="M72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0.18151465798045602</v>
      </c>
      <c r="N72" s="46">
        <v>6000</v>
      </c>
      <c r="O72" s="46"/>
      <c r="P72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6980</v>
      </c>
      <c r="Q72" s="43"/>
      <c r="R72" s="37">
        <f>SUBTOTAL(2,Таблица1[[#This Row],[Роздріб м.п.к.]])</f>
        <v>1</v>
      </c>
      <c r="T72" s="89"/>
      <c r="U72" s="4"/>
      <c r="W72" s="33"/>
      <c r="X72" s="7"/>
      <c r="Y72" s="7"/>
    </row>
    <row r="73" spans="1:41" ht="14.4" x14ac:dyDescent="0.3">
      <c r="A73" s="2">
        <v>44260</v>
      </c>
      <c r="B73" s="1" t="s">
        <v>35</v>
      </c>
      <c r="C73" s="1"/>
      <c r="D73" s="1"/>
      <c r="E73" s="46">
        <v>1</v>
      </c>
      <c r="F73" s="47">
        <v>8400</v>
      </c>
      <c r="G73" s="46"/>
      <c r="H73" s="47"/>
      <c r="I73" s="47">
        <v>200</v>
      </c>
      <c r="J73" s="48">
        <f>Таблица1[[#This Row],[Роздріб м.п.к.]]+Таблица1[[#This Row],[Супутні товари]]+Таблица1[[#This Row],[Монтаж]]+Таблица1[[#This Row],[Доставка]]</f>
        <v>8600</v>
      </c>
      <c r="K73" s="47">
        <v>6503</v>
      </c>
      <c r="L73" s="48">
        <f>Таблица1[[#This Row],[Роздріб м.п.к.]]-Таблица1[[#This Row],[Завод м.п.к.]]</f>
        <v>1897</v>
      </c>
      <c r="M73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0.22583333333333333</v>
      </c>
      <c r="N73" s="46">
        <v>3500</v>
      </c>
      <c r="O73" s="46"/>
      <c r="P73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5100</v>
      </c>
      <c r="Q73" s="43"/>
      <c r="R73" s="37">
        <f>SUBTOTAL(2,Таблица1[[#This Row],[Роздріб м.п.к.]])</f>
        <v>1</v>
      </c>
      <c r="T73" s="89"/>
      <c r="U73" s="4"/>
      <c r="W73" s="33"/>
      <c r="X73" s="7"/>
      <c r="Y73" s="7"/>
    </row>
    <row r="74" spans="1:41" ht="14.4" x14ac:dyDescent="0.3">
      <c r="A74" s="2">
        <v>44260</v>
      </c>
      <c r="B74" s="1" t="s">
        <v>35</v>
      </c>
      <c r="C74" s="1"/>
      <c r="D74" s="1"/>
      <c r="E74" s="46">
        <v>1</v>
      </c>
      <c r="F74" s="47">
        <v>18870</v>
      </c>
      <c r="G74" s="46"/>
      <c r="H74" s="47"/>
      <c r="I74" s="47">
        <v>250</v>
      </c>
      <c r="J74" s="48">
        <f>Таблица1[[#This Row],[Роздріб м.п.к.]]+Таблица1[[#This Row],[Супутні товари]]+Таблица1[[#This Row],[Монтаж]]+Таблица1[[#This Row],[Доставка]]</f>
        <v>19120</v>
      </c>
      <c r="K74" s="47">
        <v>15290</v>
      </c>
      <c r="L74" s="48">
        <f>Таблица1[[#This Row],[Роздріб м.п.к.]]-Таблица1[[#This Row],[Завод м.п.к.]]</f>
        <v>3580</v>
      </c>
      <c r="M74" s="36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>0.1897191308956015</v>
      </c>
      <c r="N74" s="46">
        <v>2800</v>
      </c>
      <c r="O74" s="46"/>
      <c r="P74" s="49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>16320</v>
      </c>
      <c r="Q74" s="43"/>
      <c r="R74" s="37">
        <f>SUBTOTAL(2,Таблица1[[#This Row],[Роздріб м.п.к.]])</f>
        <v>1</v>
      </c>
      <c r="T74" s="89"/>
      <c r="U74" s="4"/>
      <c r="W74" s="33"/>
      <c r="X74" s="7"/>
      <c r="Y74" s="7"/>
    </row>
    <row r="75" spans="1:41" ht="14.4" x14ac:dyDescent="0.3">
      <c r="A75" s="2"/>
      <c r="B75" s="1"/>
      <c r="C75" s="1"/>
      <c r="D75" s="1"/>
      <c r="E75" s="46"/>
      <c r="F75" s="47"/>
      <c r="G75" s="46"/>
      <c r="H75" s="47"/>
      <c r="I75" s="47"/>
      <c r="J75" s="48">
        <f>Таблица1[[#This Row],[Роздріб м.п.к.]]+Таблица1[[#This Row],[Супутні товари]]+Таблица1[[#This Row],[Монтаж]]+Таблица1[[#This Row],[Доставка]]</f>
        <v>0</v>
      </c>
      <c r="K75" s="47"/>
      <c r="L75" s="48">
        <f>Таблица1[[#This Row],[Роздріб м.п.к.]]-Таблица1[[#This Row],[Завод м.п.к.]]</f>
        <v>0</v>
      </c>
      <c r="M75" s="36" t="str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/>
      </c>
      <c r="N75" s="46"/>
      <c r="O75" s="46"/>
      <c r="P75" s="49" t="str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/>
      </c>
      <c r="Q75" s="43"/>
      <c r="R75" s="37">
        <f>SUBTOTAL(2,Таблица1[[#This Row],[Роздріб м.п.к.]])</f>
        <v>0</v>
      </c>
      <c r="W75" s="33"/>
      <c r="X75" s="7"/>
      <c r="Y75" s="7"/>
    </row>
    <row r="76" spans="1:41" ht="14.4" x14ac:dyDescent="0.3">
      <c r="A76" s="2"/>
      <c r="B76" s="1"/>
      <c r="C76" s="1"/>
      <c r="D76" s="1"/>
      <c r="E76" s="46"/>
      <c r="F76" s="47"/>
      <c r="G76" s="46"/>
      <c r="H76" s="47"/>
      <c r="I76" s="47"/>
      <c r="J76" s="48">
        <f>Таблица1[[#This Row],[Роздріб м.п.к.]]+Таблица1[[#This Row],[Супутні товари]]+Таблица1[[#This Row],[Монтаж]]+Таблица1[[#This Row],[Доставка]]</f>
        <v>0</v>
      </c>
      <c r="K76" s="47"/>
      <c r="L76" s="48">
        <f>Таблица1[[#This Row],[Роздріб м.п.к.]]-Таблица1[[#This Row],[Завод м.п.к.]]</f>
        <v>0</v>
      </c>
      <c r="M76" s="36" t="str">
        <f>IF(OR(Таблица1[[#This Row],[Різн.]]="",Таблица1[[#This Row],[Різн.]]=0,Таблица1[[#This Row],[Роздріб м.п.к.]]="",Таблица1[[#This Row],[Роздріб м.п.к.]]=0),"",Таблица1[[#This Row],[Різн.]]/Таблица1[[#This Row],[Роздріб м.п.к.]])</f>
        <v/>
      </c>
      <c r="N76" s="46"/>
      <c r="O76" s="46"/>
      <c r="P76" s="49" t="str">
        <f>IF(Таблица1[[#This Row],[Сума замовлення]]&gt;Таблица1[[#This Row],[Завод м.п.к.]],Таблица1[[#This Row],[Сума замовлення]]-Таблица1[[#This Row],[Ав №1]]-Таблица1[[#This Row],[Ав №2]],IF(Таблица1[[#This Row],[Сума замовлення]]&lt;Таблица1[[#This Row],[Завод м.п.к.]],"",IF(Таблица1[[#This Row],[Сума замовлення]]="","","")))</f>
        <v/>
      </c>
      <c r="Q76" s="43"/>
      <c r="R76" s="37">
        <f>SUBTOTAL(2,Таблица1[[#This Row],[Роздріб м.п.к.]])</f>
        <v>0</v>
      </c>
      <c r="W76" s="33"/>
      <c r="X76" s="7"/>
      <c r="Y76" s="7"/>
    </row>
    <row r="77" spans="1:41" ht="15.6" x14ac:dyDescent="0.3">
      <c r="A77" s="128"/>
      <c r="B77" s="129"/>
      <c r="C77" s="129"/>
      <c r="D77" s="130">
        <f>SUBTOTAL(103,Таблица1[Столбец8])</f>
        <v>0</v>
      </c>
      <c r="E77" s="131">
        <f>SUBTOTAL(109,Таблица1[К-сть])</f>
        <v>101</v>
      </c>
      <c r="F77" s="131">
        <f>SUBTOTAL(109,Таблица1[Роздріб м.п.к.])</f>
        <v>370110</v>
      </c>
      <c r="G77" s="131">
        <f>SUBTOTAL(109,Таблица1[Супутні товари])</f>
        <v>0</v>
      </c>
      <c r="H77" s="131">
        <f>SUBTOTAL(109,Таблица1[Монтаж])</f>
        <v>13790</v>
      </c>
      <c r="I77" s="131">
        <f>SUBTOTAL(109,Таблица1[Доставка])</f>
        <v>3235</v>
      </c>
      <c r="J77" s="131">
        <f>SUBTOTAL(109,Таблица1[Сума замовлення])</f>
        <v>387135</v>
      </c>
      <c r="K77" s="131">
        <f>SUBTOTAL(109,Таблица1[Завод м.п.к.])</f>
        <v>307971.26</v>
      </c>
      <c r="L77" s="131">
        <f>SUBTOTAL(109,Таблица1[Різн.])</f>
        <v>62138.74</v>
      </c>
      <c r="M77" s="132">
        <f>IFERROR(SUBTOTAL(101,Таблица1[Рент.]),"")</f>
        <v>0.17687970257885444</v>
      </c>
      <c r="N77" s="131">
        <f>SUBTOTAL(109,Таблица1[Ав №1])</f>
        <v>195244</v>
      </c>
      <c r="O77" s="131">
        <f>SUBTOTAL(109,Таблица1[Ав №2])</f>
        <v>126500</v>
      </c>
      <c r="P77" s="133">
        <f>SUBTOTAL(109,Таблица1[Залишок])</f>
        <v>65391</v>
      </c>
      <c r="Q77" s="134"/>
      <c r="R77" s="134"/>
      <c r="W77" s="4"/>
      <c r="X77" s="7"/>
      <c r="Y77" s="7"/>
    </row>
    <row r="78" spans="1:41" x14ac:dyDescent="0.3">
      <c r="AD78" s="33"/>
      <c r="AF78" s="33"/>
      <c r="AH78" s="33"/>
      <c r="AJ78" s="33"/>
      <c r="AL78" s="33"/>
      <c r="AN78" s="33"/>
    </row>
    <row r="79" spans="1:41" x14ac:dyDescent="0.3"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</row>
    <row r="80" spans="1:41" x14ac:dyDescent="0.3"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</row>
    <row r="81" spans="29:41" x14ac:dyDescent="0.3">
      <c r="AC81" s="33"/>
      <c r="AE81" s="33"/>
      <c r="AG81" s="33"/>
      <c r="AI81" s="33"/>
      <c r="AK81" s="33"/>
      <c r="AM81" s="33"/>
      <c r="AO81" s="33"/>
    </row>
  </sheetData>
  <sheetProtection formatCells="0" formatColumns="0" sort="0" autoFilter="0" pivotTables="0"/>
  <dataValidations count="7">
    <dataValidation type="list" allowBlank="1" showInputMessage="1" showErrorMessage="1" sqref="B27:B76">
      <formula1>$W$3:$W$5</formula1>
    </dataValidation>
    <dataValidation type="date" allowBlank="1" showInputMessage="1" showErrorMessage="1" errorTitle="Помилка введення дати!" error="Введіть дату в форматі - ДД.ММ" promptTitle="Дата" prompt="Введіть дату у форматі ДД.ММ" sqref="A27:A76">
      <formula1>43831</formula1>
      <formula2>47484</formula2>
    </dataValidation>
    <dataValidation type="whole" allowBlank="1" showInputMessage="1" showErrorMessage="1" errorTitle="Помилка введення!" error="Ввведіть числове значення!" sqref="N27:O76 E27:E76">
      <formula1>-100000000</formula1>
      <formula2>100000000</formula2>
    </dataValidation>
    <dataValidation type="list" allowBlank="1" showInputMessage="1" showErrorMessage="1" sqref="C27:C76">
      <formula1>$Y$3:$Y$14</formula1>
    </dataValidation>
    <dataValidation allowBlank="1" showInputMessage="1" showErrorMessage="1" errorTitle="Помилка введення!" error="Ввведіть числове значення!" sqref="J27:K76"/>
    <dataValidation type="whole" allowBlank="1" showInputMessage="1" showErrorMessage="1" sqref="F27:I76">
      <formula1>-100000000</formula1>
      <formula2>100000000</formula2>
    </dataValidation>
    <dataValidation type="list" allowBlank="1" showInputMessage="1" showErrorMessage="1" sqref="D27:D76">
      <formula1>INDIRECT($C27)</formula1>
    </dataValidation>
  </dataValidations>
  <pageMargins left="0.23" right="0.2" top="0.15" bottom="0.33" header="0.13" footer="0.24"/>
  <pageSetup paperSize="9" orientation="landscape" horizontalDpi="4294967294" r:id="rId1"/>
  <headerFooter alignWithMargins="0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9" tint="0.39997558519241921"/>
  </sheetPr>
  <dimension ref="A1:AQ53"/>
  <sheetViews>
    <sheetView tabSelected="1" topLeftCell="A34" zoomScale="85" zoomScaleNormal="85" workbookViewId="0">
      <pane xSplit="1" topLeftCell="B1" activePane="topRight" state="frozen"/>
      <selection pane="topRight" activeCell="E46" sqref="E46"/>
    </sheetView>
  </sheetViews>
  <sheetFormatPr defaultColWidth="9.109375" defaultRowHeight="13.8" outlineLevelRow="1" x14ac:dyDescent="0.3"/>
  <cols>
    <col min="1" max="1" width="9.44140625" style="7" customWidth="1"/>
    <col min="2" max="2" width="14" style="7" customWidth="1"/>
    <col min="3" max="3" width="10" style="7" customWidth="1"/>
    <col min="4" max="4" width="8.44140625" style="7" customWidth="1"/>
    <col min="5" max="5" width="9.5546875" style="7" customWidth="1"/>
    <col min="6" max="6" width="8.88671875"/>
    <col min="7" max="7" width="10.44140625" style="7" customWidth="1"/>
    <col min="8" max="9" width="10.33203125" style="7" customWidth="1"/>
    <col min="10" max="10" width="11.33203125" style="7" customWidth="1"/>
    <col min="11" max="11" width="13.88671875" customWidth="1"/>
    <col min="12" max="12" width="13.33203125" style="7" customWidth="1"/>
    <col min="13" max="13" width="10" style="7" customWidth="1"/>
    <col min="14" max="14" width="9.88671875" style="7" customWidth="1"/>
    <col min="15" max="15" width="11.5546875" style="7" customWidth="1"/>
    <col min="16" max="16" width="19.44140625" style="7" customWidth="1"/>
    <col min="17" max="17" width="0.109375" style="7" customWidth="1"/>
    <col min="18" max="19" width="11.44140625" style="4" customWidth="1"/>
    <col min="20" max="20" width="10.6640625" style="8" bestFit="1" customWidth="1"/>
    <col min="21" max="21" width="0.88671875" style="4" customWidth="1"/>
    <col min="22" max="22" width="12" style="4" bestFit="1" customWidth="1"/>
    <col min="23" max="23" width="0.88671875" style="7" customWidth="1"/>
    <col min="24" max="24" width="15.109375" style="7" bestFit="1" customWidth="1"/>
    <col min="25" max="25" width="0.88671875" style="7" customWidth="1"/>
    <col min="26" max="26" width="14.44140625" style="7" customWidth="1"/>
    <col min="27" max="27" width="0.88671875" style="7" customWidth="1"/>
    <col min="28" max="28" width="11.44140625" style="7" customWidth="1"/>
    <col min="29" max="29" width="0.88671875" style="7" customWidth="1"/>
    <col min="30" max="30" width="16.33203125" style="7" customWidth="1"/>
    <col min="31" max="31" width="1.33203125" style="7" customWidth="1"/>
    <col min="32" max="32" width="11.6640625" style="7" customWidth="1"/>
    <col min="33" max="16384" width="9.109375" style="7"/>
  </cols>
  <sheetData>
    <row r="1" spans="6:28" ht="15.6" hidden="1" x14ac:dyDescent="0.3">
      <c r="F1" s="7"/>
      <c r="K1" s="7"/>
      <c r="P1" s="3"/>
      <c r="Q1" s="4"/>
      <c r="R1" s="5" t="s">
        <v>76</v>
      </c>
      <c r="S1" s="6"/>
      <c r="T1" s="6"/>
      <c r="U1" s="6"/>
      <c r="V1" s="6"/>
      <c r="W1" s="6"/>
      <c r="X1" s="6"/>
      <c r="Y1" s="6"/>
      <c r="Z1" s="6"/>
      <c r="AA1" s="6"/>
      <c r="AB1" s="5"/>
    </row>
    <row r="2" spans="6:28" hidden="1" x14ac:dyDescent="0.3">
      <c r="F2" s="7"/>
      <c r="K2" s="7"/>
      <c r="Q2" s="4"/>
      <c r="R2" s="8" t="s">
        <v>29</v>
      </c>
      <c r="T2" s="4" t="s">
        <v>83</v>
      </c>
      <c r="U2" s="7"/>
      <c r="V2" s="73" t="s">
        <v>12</v>
      </c>
      <c r="X2" s="74" t="s">
        <v>87</v>
      </c>
      <c r="Z2" s="7" t="s">
        <v>89</v>
      </c>
      <c r="AA2" s="9"/>
      <c r="AB2" s="7" t="s">
        <v>104</v>
      </c>
    </row>
    <row r="3" spans="6:28" ht="12.75" hidden="1" customHeight="1" x14ac:dyDescent="0.3">
      <c r="F3" s="7"/>
      <c r="K3" s="7"/>
      <c r="P3" s="10"/>
      <c r="Q3" s="4"/>
      <c r="R3" s="11" t="s">
        <v>15</v>
      </c>
      <c r="S3" s="12"/>
      <c r="T3" s="10" t="s">
        <v>82</v>
      </c>
      <c r="U3" s="13"/>
      <c r="V3" s="7" t="s">
        <v>93</v>
      </c>
      <c r="W3" s="13"/>
      <c r="X3" s="72" t="s">
        <v>35</v>
      </c>
      <c r="Y3" s="13"/>
      <c r="Z3" s="10" t="s">
        <v>35</v>
      </c>
      <c r="AA3" s="10"/>
      <c r="AB3" s="7" t="s">
        <v>116</v>
      </c>
    </row>
    <row r="4" spans="6:28" ht="12.75" hidden="1" customHeight="1" x14ac:dyDescent="0.3">
      <c r="F4" s="7"/>
      <c r="K4" s="7"/>
      <c r="P4" s="10"/>
      <c r="Q4" s="4"/>
      <c r="R4" s="21" t="s">
        <v>32</v>
      </c>
      <c r="S4" s="12"/>
      <c r="T4" s="10" t="s">
        <v>81</v>
      </c>
      <c r="U4" s="13"/>
      <c r="V4" s="7" t="s">
        <v>84</v>
      </c>
      <c r="W4" s="13"/>
      <c r="X4" s="72" t="s">
        <v>113</v>
      </c>
      <c r="Y4" s="13"/>
      <c r="Z4" s="10"/>
      <c r="AA4" s="10"/>
      <c r="AB4" s="10" t="s">
        <v>95</v>
      </c>
    </row>
    <row r="5" spans="6:28" ht="12.75" hidden="1" customHeight="1" x14ac:dyDescent="0.3">
      <c r="F5" s="7"/>
      <c r="K5" s="7"/>
      <c r="P5" s="10"/>
      <c r="Q5" s="4"/>
      <c r="R5" s="22" t="s">
        <v>13</v>
      </c>
      <c r="S5" s="12"/>
      <c r="T5" s="10" t="s">
        <v>105</v>
      </c>
      <c r="U5" s="13"/>
      <c r="V5" s="7" t="s">
        <v>85</v>
      </c>
      <c r="W5" s="13"/>
      <c r="X5" s="72" t="s">
        <v>114</v>
      </c>
      <c r="Y5" s="13"/>
      <c r="Z5" s="10"/>
      <c r="AA5" s="10"/>
      <c r="AB5" s="10" t="s">
        <v>96</v>
      </c>
    </row>
    <row r="6" spans="6:28" ht="12.75" hidden="1" customHeight="1" x14ac:dyDescent="0.3">
      <c r="F6" s="7"/>
      <c r="K6" s="7"/>
      <c r="P6" s="10"/>
      <c r="Q6" s="4"/>
      <c r="R6" s="24" t="s">
        <v>80</v>
      </c>
      <c r="S6" s="12"/>
      <c r="T6" s="10" t="s">
        <v>94</v>
      </c>
      <c r="U6" s="13"/>
      <c r="V6" s="7" t="s">
        <v>86</v>
      </c>
      <c r="W6" s="13"/>
      <c r="X6" s="72" t="s">
        <v>115</v>
      </c>
      <c r="Y6" s="13"/>
      <c r="Z6" s="10"/>
      <c r="AA6" s="10"/>
      <c r="AB6" s="10" t="s">
        <v>117</v>
      </c>
    </row>
    <row r="7" spans="6:28" ht="12.75" hidden="1" customHeight="1" x14ac:dyDescent="0.3">
      <c r="F7" s="7"/>
      <c r="K7" s="7"/>
      <c r="P7" s="3"/>
      <c r="Q7" s="4"/>
      <c r="R7" s="26" t="s">
        <v>14</v>
      </c>
      <c r="S7" s="12"/>
      <c r="T7" s="12"/>
      <c r="U7" s="13"/>
      <c r="V7" s="7" t="s">
        <v>128</v>
      </c>
      <c r="W7" s="13"/>
      <c r="X7" s="72" t="s">
        <v>103</v>
      </c>
      <c r="Y7" s="13"/>
      <c r="Z7" s="13"/>
      <c r="AA7" s="10"/>
      <c r="AB7" s="10" t="s">
        <v>97</v>
      </c>
    </row>
    <row r="8" spans="6:28" ht="12.75" hidden="1" customHeight="1" x14ac:dyDescent="0.3">
      <c r="F8" s="7"/>
      <c r="K8" s="7"/>
      <c r="P8" s="3"/>
      <c r="Q8" s="4"/>
      <c r="R8" s="28" t="s">
        <v>31</v>
      </c>
      <c r="S8" s="12"/>
      <c r="T8" s="12"/>
      <c r="U8" s="13"/>
      <c r="V8" s="7" t="s">
        <v>88</v>
      </c>
      <c r="W8" s="13"/>
      <c r="X8" s="13"/>
      <c r="Y8" s="13"/>
      <c r="Z8" s="31"/>
      <c r="AA8" s="10"/>
      <c r="AB8" s="10" t="s">
        <v>100</v>
      </c>
    </row>
    <row r="9" spans="6:28" s="33" customFormat="1" ht="12.75" hidden="1" customHeight="1" x14ac:dyDescent="0.3">
      <c r="P9" s="29"/>
      <c r="Q9" s="4"/>
      <c r="R9" s="30" t="s">
        <v>33</v>
      </c>
      <c r="S9" s="12"/>
      <c r="T9" s="12"/>
      <c r="U9" s="31"/>
      <c r="V9" s="7" t="s">
        <v>16</v>
      </c>
      <c r="W9" s="31"/>
      <c r="X9" s="31"/>
      <c r="Y9" s="31"/>
      <c r="Z9" s="13"/>
      <c r="AA9" s="10"/>
      <c r="AB9" s="10" t="s">
        <v>98</v>
      </c>
    </row>
    <row r="10" spans="6:28" ht="12.75" hidden="1" customHeight="1" x14ac:dyDescent="0.3">
      <c r="F10" s="7"/>
      <c r="K10" s="7"/>
      <c r="P10" s="3"/>
      <c r="Q10" s="4"/>
      <c r="R10" s="12" t="s">
        <v>78</v>
      </c>
      <c r="S10" s="12"/>
      <c r="T10" s="12"/>
      <c r="U10" s="13"/>
      <c r="V10" s="7" t="s">
        <v>90</v>
      </c>
      <c r="W10" s="13"/>
      <c r="X10" s="13"/>
      <c r="Y10" s="13"/>
      <c r="Z10" s="13"/>
      <c r="AA10" s="10"/>
      <c r="AB10" s="10" t="s">
        <v>99</v>
      </c>
    </row>
    <row r="11" spans="6:28" ht="12.75" hidden="1" customHeight="1" x14ac:dyDescent="0.3">
      <c r="F11" s="7"/>
      <c r="K11" s="7"/>
      <c r="P11" s="3"/>
      <c r="Q11" s="4"/>
      <c r="R11" s="34"/>
      <c r="S11" s="12"/>
      <c r="T11" s="12"/>
      <c r="U11" s="13"/>
      <c r="V11" s="33" t="s">
        <v>91</v>
      </c>
      <c r="W11" s="13"/>
      <c r="X11" s="13"/>
      <c r="Y11" s="13"/>
      <c r="Z11" s="13"/>
      <c r="AA11" s="10"/>
      <c r="AB11" s="10" t="s">
        <v>119</v>
      </c>
    </row>
    <row r="12" spans="6:28" ht="12.75" hidden="1" customHeight="1" x14ac:dyDescent="0.3">
      <c r="F12" s="7"/>
      <c r="K12" s="7"/>
      <c r="P12" s="3"/>
      <c r="Q12" s="4"/>
      <c r="R12" s="34"/>
      <c r="S12" s="12"/>
      <c r="T12" s="12"/>
      <c r="U12" s="13"/>
      <c r="V12" s="33" t="s">
        <v>129</v>
      </c>
      <c r="W12" s="13"/>
      <c r="X12" s="13"/>
      <c r="Y12" s="13"/>
      <c r="Z12" s="13"/>
      <c r="AA12" s="10"/>
      <c r="AB12" s="10" t="s">
        <v>118</v>
      </c>
    </row>
    <row r="13" spans="6:28" ht="15.6" hidden="1" x14ac:dyDescent="0.3">
      <c r="F13" s="7"/>
      <c r="K13" s="7"/>
      <c r="P13" s="3"/>
      <c r="Q13" s="4"/>
      <c r="R13" s="34"/>
      <c r="S13" s="12"/>
      <c r="T13" s="12"/>
      <c r="U13" s="13"/>
      <c r="V13" s="33" t="s">
        <v>131</v>
      </c>
      <c r="W13" s="13"/>
      <c r="X13" s="13"/>
      <c r="Y13" s="13"/>
      <c r="Z13" s="13"/>
      <c r="AA13" s="10"/>
      <c r="AB13" s="10" t="s">
        <v>11</v>
      </c>
    </row>
    <row r="14" spans="6:28" ht="15.6" hidden="1" x14ac:dyDescent="0.3">
      <c r="F14" s="7"/>
      <c r="K14" s="7"/>
      <c r="P14" s="3"/>
      <c r="Q14" s="4"/>
      <c r="R14" s="34"/>
      <c r="S14" s="12"/>
      <c r="T14" s="12"/>
      <c r="U14" s="13"/>
      <c r="V14" s="7" t="s">
        <v>112</v>
      </c>
      <c r="W14" s="13"/>
      <c r="X14" s="13"/>
      <c r="Y14" s="13"/>
      <c r="Z14" s="13"/>
      <c r="AA14" s="10"/>
      <c r="AB14" s="10" t="s">
        <v>102</v>
      </c>
    </row>
    <row r="15" spans="6:28" ht="15.6" hidden="1" x14ac:dyDescent="0.3">
      <c r="F15" s="7"/>
      <c r="K15" s="7"/>
      <c r="P15" s="3"/>
      <c r="Q15" s="4"/>
      <c r="R15" s="34"/>
      <c r="S15" s="12"/>
      <c r="T15" s="12"/>
      <c r="U15" s="13"/>
      <c r="V15" s="13"/>
      <c r="W15" s="13"/>
      <c r="X15" s="13"/>
      <c r="Y15" s="13"/>
      <c r="Z15" s="13"/>
      <c r="AA15" s="10"/>
      <c r="AB15" s="10" t="s">
        <v>101</v>
      </c>
    </row>
    <row r="16" spans="6:28" ht="15.6" hidden="1" x14ac:dyDescent="0.3">
      <c r="F16" s="7"/>
      <c r="K16" s="7"/>
      <c r="P16" s="3"/>
      <c r="Q16" s="4"/>
      <c r="R16" s="34"/>
      <c r="S16" s="12"/>
      <c r="T16" s="12"/>
      <c r="U16" s="13"/>
      <c r="V16" s="13"/>
      <c r="W16" s="13"/>
      <c r="X16" s="13"/>
      <c r="Y16" s="13"/>
      <c r="Z16" s="13"/>
      <c r="AA16" s="10"/>
    </row>
    <row r="17" spans="1:31" ht="15.6" hidden="1" x14ac:dyDescent="0.3">
      <c r="F17" s="7"/>
      <c r="K17" s="7"/>
      <c r="P17" s="3"/>
      <c r="Q17" s="4"/>
      <c r="R17" s="34"/>
      <c r="S17" s="12"/>
      <c r="T17" s="12"/>
      <c r="U17" s="13"/>
      <c r="V17" s="13"/>
      <c r="W17" s="13"/>
      <c r="X17" s="13"/>
      <c r="Y17" s="13"/>
      <c r="Z17" s="13"/>
      <c r="AA17" s="10"/>
    </row>
    <row r="18" spans="1:31" ht="15.6" hidden="1" x14ac:dyDescent="0.3">
      <c r="F18" s="7"/>
      <c r="K18" s="7"/>
      <c r="P18" s="3"/>
      <c r="Q18" s="4"/>
      <c r="R18" s="34"/>
      <c r="S18" s="12"/>
      <c r="T18" s="12"/>
      <c r="U18" s="13"/>
      <c r="V18" s="13"/>
      <c r="W18" s="13"/>
      <c r="X18" s="13"/>
      <c r="Y18" s="13"/>
      <c r="Z18" s="13"/>
      <c r="AA18" s="10"/>
    </row>
    <row r="19" spans="1:31" ht="15.6" x14ac:dyDescent="0.3">
      <c r="F19" s="7"/>
      <c r="K19" s="7"/>
      <c r="P19" s="3"/>
      <c r="Q19" s="4"/>
      <c r="R19" s="34"/>
      <c r="S19" s="12"/>
      <c r="T19" s="12"/>
      <c r="U19" s="13"/>
      <c r="V19" s="13"/>
      <c r="W19" s="13"/>
      <c r="X19" s="13"/>
      <c r="Y19" s="13"/>
      <c r="Z19" s="13"/>
      <c r="AA19" s="10"/>
    </row>
    <row r="20" spans="1:31" ht="15.6" x14ac:dyDescent="0.3">
      <c r="F20" s="7"/>
      <c r="K20" s="7"/>
      <c r="P20" s="3"/>
      <c r="Q20" s="4"/>
      <c r="R20" s="34"/>
      <c r="S20" s="12"/>
      <c r="T20" s="12"/>
      <c r="U20" s="13"/>
      <c r="V20" s="13"/>
      <c r="W20" s="13"/>
      <c r="X20" s="13"/>
      <c r="Y20" s="13"/>
      <c r="Z20" s="13"/>
      <c r="AA20" s="10"/>
    </row>
    <row r="21" spans="1:31" ht="15.6" x14ac:dyDescent="0.3">
      <c r="F21" s="7"/>
      <c r="K21" s="7"/>
      <c r="P21" s="3"/>
      <c r="Q21" s="4"/>
      <c r="R21" s="34"/>
      <c r="S21" s="12"/>
      <c r="T21" s="12"/>
      <c r="U21" s="13"/>
      <c r="V21" s="13"/>
      <c r="W21" s="13"/>
      <c r="X21" s="13"/>
      <c r="Y21" s="13"/>
      <c r="AA21" s="10"/>
    </row>
    <row r="22" spans="1:31" ht="15.6" x14ac:dyDescent="0.3">
      <c r="F22" s="7"/>
      <c r="K22" s="7"/>
      <c r="P22" s="3"/>
      <c r="Q22" s="4"/>
      <c r="R22" s="34"/>
      <c r="T22" s="4"/>
      <c r="U22" s="7"/>
      <c r="V22" s="7"/>
    </row>
    <row r="23" spans="1:31" ht="15.6" x14ac:dyDescent="0.3">
      <c r="F23" s="7"/>
      <c r="K23" s="7"/>
      <c r="P23" s="3"/>
      <c r="Q23" s="4"/>
      <c r="R23" s="8"/>
      <c r="T23" s="4"/>
      <c r="U23" s="7"/>
      <c r="V23" s="7"/>
    </row>
    <row r="24" spans="1:31" ht="15.6" x14ac:dyDescent="0.3">
      <c r="F24" s="7"/>
      <c r="K24" s="7"/>
      <c r="P24" s="3"/>
      <c r="Q24" s="33"/>
      <c r="R24" s="8"/>
      <c r="S24" s="33"/>
      <c r="T24" s="33"/>
      <c r="U24" s="7"/>
      <c r="V24" s="7"/>
    </row>
    <row r="25" spans="1:31" ht="15.6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7"/>
      <c r="Q25" s="33"/>
      <c r="R25" s="7"/>
      <c r="S25" s="33"/>
      <c r="T25" s="35"/>
      <c r="U25" s="35"/>
      <c r="V25" s="7"/>
      <c r="W25" s="35"/>
      <c r="X25" s="35"/>
      <c r="Y25" s="35"/>
      <c r="Z25" s="35"/>
      <c r="AA25" s="35"/>
      <c r="AC25" s="35"/>
      <c r="AD25" s="35"/>
      <c r="AE25" s="35"/>
    </row>
    <row r="26" spans="1:31" s="71" customFormat="1" ht="25.5" customHeight="1" x14ac:dyDescent="0.3">
      <c r="A26" s="78" t="s">
        <v>0</v>
      </c>
      <c r="B26" s="79" t="s">
        <v>83</v>
      </c>
      <c r="C26" s="79" t="s">
        <v>10</v>
      </c>
      <c r="D26" s="79" t="s">
        <v>1</v>
      </c>
      <c r="E26" s="79" t="s">
        <v>36</v>
      </c>
      <c r="F26" s="79" t="s">
        <v>9</v>
      </c>
      <c r="G26" s="79" t="s">
        <v>8</v>
      </c>
      <c r="H26" s="79" t="s">
        <v>92</v>
      </c>
      <c r="I26" s="79" t="s">
        <v>2</v>
      </c>
      <c r="J26" s="79" t="s">
        <v>3</v>
      </c>
      <c r="K26" s="79" t="s">
        <v>4</v>
      </c>
      <c r="L26" s="79" t="s">
        <v>79</v>
      </c>
      <c r="M26" s="79" t="s">
        <v>6</v>
      </c>
      <c r="N26" s="79" t="s">
        <v>7</v>
      </c>
      <c r="O26" s="79" t="s">
        <v>5</v>
      </c>
      <c r="P26" s="80" t="s">
        <v>136</v>
      </c>
      <c r="Q26" s="70" t="s">
        <v>106</v>
      </c>
      <c r="S26" s="59"/>
      <c r="T26" s="35"/>
      <c r="U26" s="35"/>
      <c r="V26" s="7"/>
      <c r="W26" s="35"/>
      <c r="X26" s="35"/>
      <c r="Y26" s="35"/>
      <c r="Z26" s="35"/>
      <c r="AA26" s="35"/>
      <c r="AB26" s="7"/>
      <c r="AC26" s="35"/>
      <c r="AD26" s="35"/>
      <c r="AE26" s="35"/>
    </row>
    <row r="27" spans="1:31" ht="14.4" x14ac:dyDescent="0.3">
      <c r="A27" s="41">
        <v>43833</v>
      </c>
      <c r="B27" s="42" t="s">
        <v>105</v>
      </c>
      <c r="C27" s="42" t="s">
        <v>96</v>
      </c>
      <c r="D27" s="50">
        <v>1</v>
      </c>
      <c r="E27" s="52">
        <v>405</v>
      </c>
      <c r="F27" s="50"/>
      <c r="G27" s="50"/>
      <c r="H27" s="50"/>
      <c r="I27" s="122">
        <f>Таблица28[[#This Row],[Роздріб]]+Таблица28[[#This Row],[Монтаж]]+Таблица28[[#This Row],[Доставка]]+Таблица28[[#This Row],[Оковка]]</f>
        <v>405</v>
      </c>
      <c r="J27" s="50">
        <v>330</v>
      </c>
      <c r="K27" s="51">
        <f>Таблица28[[#This Row],[Роздріб]]-Таблица28[[#This Row],[Завод]]</f>
        <v>75</v>
      </c>
      <c r="L27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0.18518518518518517</v>
      </c>
      <c r="M27" s="50">
        <v>100</v>
      </c>
      <c r="N27" s="50">
        <v>305</v>
      </c>
      <c r="O27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27" s="44"/>
      <c r="Q27" s="40">
        <f>SUBTOTAL(2,Таблица28[[#This Row],[Роздріб]])</f>
        <v>1</v>
      </c>
      <c r="R27" s="7"/>
      <c r="S27" s="33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ht="14.4" x14ac:dyDescent="0.3">
      <c r="A28" s="41">
        <v>43846</v>
      </c>
      <c r="B28" s="42" t="s">
        <v>82</v>
      </c>
      <c r="C28" s="42" t="s">
        <v>35</v>
      </c>
      <c r="D28" s="50">
        <v>3</v>
      </c>
      <c r="E28" s="52">
        <v>16890</v>
      </c>
      <c r="F28" s="50">
        <v>1800</v>
      </c>
      <c r="G28" s="50">
        <v>80</v>
      </c>
      <c r="H28" s="50"/>
      <c r="I28" s="122">
        <f>Таблица28[[#This Row],[Роздріб]]+Таблица28[[#This Row],[Монтаж]]+Таблица28[[#This Row],[Доставка]]+Таблица28[[#This Row],[Оковка]]</f>
        <v>18770</v>
      </c>
      <c r="J28" s="50">
        <v>13996</v>
      </c>
      <c r="K28" s="51">
        <f>Таблица28[[#This Row],[Роздріб]]-Таблица28[[#This Row],[Завод]]</f>
        <v>2894</v>
      </c>
      <c r="L28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0.17134399052693902</v>
      </c>
      <c r="M28" s="50">
        <v>9770</v>
      </c>
      <c r="N28" s="50">
        <v>9000</v>
      </c>
      <c r="O28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28" s="44"/>
      <c r="Q28" s="40">
        <f>SUBTOTAL(2,Таблица28[[#This Row],[Роздріб]])</f>
        <v>1</v>
      </c>
      <c r="R28" s="7"/>
      <c r="S28" s="33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ht="14.4" x14ac:dyDescent="0.3">
      <c r="A29" s="41">
        <v>43851</v>
      </c>
      <c r="B29" s="42" t="s">
        <v>82</v>
      </c>
      <c r="C29" s="42" t="s">
        <v>35</v>
      </c>
      <c r="D29" s="50">
        <v>3</v>
      </c>
      <c r="E29" s="52">
        <v>11955</v>
      </c>
      <c r="F29" s="50"/>
      <c r="G29" s="50">
        <v>150</v>
      </c>
      <c r="H29" s="50"/>
      <c r="I29" s="122">
        <f>Таблица28[[#This Row],[Роздріб]]+Таблица28[[#This Row],[Монтаж]]+Таблица28[[#This Row],[Доставка]]+Таблица28[[#This Row],[Оковка]]</f>
        <v>12105</v>
      </c>
      <c r="J29" s="50">
        <v>9478</v>
      </c>
      <c r="K29" s="51">
        <f>Таблица28[[#This Row],[Роздріб]]-Таблица28[[#This Row],[Завод]]</f>
        <v>2477</v>
      </c>
      <c r="L29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0.20719364282726893</v>
      </c>
      <c r="M29" s="50">
        <v>5000</v>
      </c>
      <c r="N29" s="50">
        <v>7105</v>
      </c>
      <c r="O29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29" s="44"/>
      <c r="Q29" s="40">
        <f>SUBTOTAL(2,Таблица28[[#This Row],[Роздріб]])</f>
        <v>1</v>
      </c>
      <c r="R29" s="7"/>
      <c r="S29" s="33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ht="14.4" x14ac:dyDescent="0.3">
      <c r="A30" s="41">
        <v>43851</v>
      </c>
      <c r="B30" s="42" t="s">
        <v>105</v>
      </c>
      <c r="C30" s="42" t="s">
        <v>96</v>
      </c>
      <c r="D30" s="50">
        <v>3</v>
      </c>
      <c r="E30" s="52">
        <v>2338</v>
      </c>
      <c r="F30" s="50"/>
      <c r="G30" s="50"/>
      <c r="H30" s="50"/>
      <c r="I30" s="122">
        <f>Таблица28[[#This Row],[Роздріб]]+Таблица28[[#This Row],[Монтаж]]+Таблица28[[#This Row],[Доставка]]+Таблица28[[#This Row],[Оковка]]</f>
        <v>2338</v>
      </c>
      <c r="J30" s="50">
        <v>619</v>
      </c>
      <c r="K30" s="51">
        <f>Таблица28[[#This Row],[Роздріб]]-Таблица28[[#This Row],[Завод]]</f>
        <v>1719</v>
      </c>
      <c r="L30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0.73524379811804963</v>
      </c>
      <c r="M30" s="50">
        <v>2338</v>
      </c>
      <c r="N30" s="50"/>
      <c r="O30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30" s="44"/>
      <c r="Q30" s="40">
        <f>SUBTOTAL(2,Таблица28[[#This Row],[Роздріб]])</f>
        <v>1</v>
      </c>
      <c r="R30" s="7"/>
      <c r="S30" s="33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ht="14.4" x14ac:dyDescent="0.3">
      <c r="A31" s="41">
        <v>43851</v>
      </c>
      <c r="B31" s="42" t="s">
        <v>105</v>
      </c>
      <c r="C31" s="42" t="s">
        <v>98</v>
      </c>
      <c r="D31" s="50">
        <v>1</v>
      </c>
      <c r="E31" s="52">
        <v>60</v>
      </c>
      <c r="F31" s="50"/>
      <c r="G31" s="50"/>
      <c r="H31" s="50"/>
      <c r="I31" s="122">
        <f>Таблица28[[#This Row],[Роздріб]]+Таблица28[[#This Row],[Монтаж]]+Таблица28[[#This Row],[Доставка]]+Таблица28[[#This Row],[Оковка]]</f>
        <v>60</v>
      </c>
      <c r="J31" s="50">
        <v>57</v>
      </c>
      <c r="K31" s="51">
        <f>Таблица28[[#This Row],[Роздріб]]-Таблица28[[#This Row],[Завод]]</f>
        <v>3</v>
      </c>
      <c r="L31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0.05</v>
      </c>
      <c r="M31" s="50"/>
      <c r="N31" s="50"/>
      <c r="O31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60</v>
      </c>
      <c r="P31" s="44"/>
      <c r="Q31" s="40">
        <f>SUBTOTAL(2,Таблица28[[#This Row],[Роздріб]])</f>
        <v>1</v>
      </c>
      <c r="R31" s="7"/>
      <c r="S31" s="33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ht="14.4" x14ac:dyDescent="0.3">
      <c r="A32" s="41">
        <v>43865</v>
      </c>
      <c r="B32" s="42" t="s">
        <v>82</v>
      </c>
      <c r="C32" s="42" t="s">
        <v>35</v>
      </c>
      <c r="D32" s="50">
        <v>1</v>
      </c>
      <c r="E32" s="52">
        <v>4585</v>
      </c>
      <c r="F32" s="50"/>
      <c r="G32" s="50">
        <v>150</v>
      </c>
      <c r="H32" s="50"/>
      <c r="I32" s="122">
        <f>Таблица28[[#This Row],[Роздріб]]+Таблица28[[#This Row],[Монтаж]]+Таблица28[[#This Row],[Доставка]]+Таблица28[[#This Row],[Оковка]]</f>
        <v>4735</v>
      </c>
      <c r="J32" s="50">
        <v>3472</v>
      </c>
      <c r="K32" s="51">
        <f>Таблица28[[#This Row],[Роздріб]]-Таблица28[[#This Row],[Завод]]</f>
        <v>1113</v>
      </c>
      <c r="L32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0.24274809160305344</v>
      </c>
      <c r="M32" s="50">
        <v>1500</v>
      </c>
      <c r="N32" s="50">
        <v>3235</v>
      </c>
      <c r="O32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32" s="44"/>
      <c r="Q32" s="40">
        <f>SUBTOTAL(2,Таблица28[[#This Row],[Роздріб]])</f>
        <v>1</v>
      </c>
      <c r="R32" s="7"/>
      <c r="S32" s="33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ht="14.4" x14ac:dyDescent="0.3">
      <c r="A33" s="41">
        <v>43882</v>
      </c>
      <c r="B33" s="42" t="s">
        <v>82</v>
      </c>
      <c r="C33" s="42" t="s">
        <v>115</v>
      </c>
      <c r="D33" s="50">
        <v>1</v>
      </c>
      <c r="E33" s="52">
        <v>585</v>
      </c>
      <c r="F33" s="50"/>
      <c r="G33" s="50"/>
      <c r="H33" s="50"/>
      <c r="I33" s="122">
        <f>Таблица28[[#This Row],[Роздріб]]+Таблица28[[#This Row],[Монтаж]]+Таблица28[[#This Row],[Доставка]]+Таблица28[[#This Row],[Оковка]]</f>
        <v>585</v>
      </c>
      <c r="J33" s="50"/>
      <c r="K33" s="51">
        <f>Таблица28[[#This Row],[Роздріб]]-Таблица28[[#This Row],[Завод]]</f>
        <v>585</v>
      </c>
      <c r="L33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1</v>
      </c>
      <c r="M33" s="50">
        <v>500</v>
      </c>
      <c r="N33" s="50">
        <v>85</v>
      </c>
      <c r="O33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33" s="44"/>
      <c r="Q33" s="40">
        <f>SUBTOTAL(2,Таблица28[[#This Row],[Роздріб]])</f>
        <v>1</v>
      </c>
      <c r="R33" s="7"/>
      <c r="S33" s="33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ht="14.4" x14ac:dyDescent="0.3">
      <c r="A34" s="41">
        <v>43889</v>
      </c>
      <c r="B34" s="42" t="s">
        <v>105</v>
      </c>
      <c r="C34" s="42" t="s">
        <v>95</v>
      </c>
      <c r="D34" s="50">
        <v>1</v>
      </c>
      <c r="E34" s="52">
        <v>233</v>
      </c>
      <c r="F34" s="50"/>
      <c r="G34" s="50"/>
      <c r="H34" s="50"/>
      <c r="I34" s="122">
        <f>Таблица28[[#This Row],[Роздріб]]+Таблица28[[#This Row],[Монтаж]]+Таблица28[[#This Row],[Доставка]]+Таблица28[[#This Row],[Оковка]]</f>
        <v>233</v>
      </c>
      <c r="J34" s="50">
        <v>233</v>
      </c>
      <c r="K34" s="51">
        <f>Таблица28[[#This Row],[Роздріб]]-Таблица28[[#This Row],[Завод]]</f>
        <v>0</v>
      </c>
      <c r="L34" s="39" t="str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/>
      </c>
      <c r="M34" s="50">
        <v>233</v>
      </c>
      <c r="N34" s="50"/>
      <c r="O34" s="53" t="str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/>
      </c>
      <c r="P34" s="44"/>
      <c r="Q34" s="40">
        <f>SUBTOTAL(2,Таблица28[[#This Row],[Роздріб]])</f>
        <v>1</v>
      </c>
      <c r="R34" s="7"/>
      <c r="S34" s="33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ht="14.4" x14ac:dyDescent="0.3">
      <c r="A35" s="41">
        <v>43892</v>
      </c>
      <c r="B35" s="42" t="s">
        <v>82</v>
      </c>
      <c r="C35" s="42" t="s">
        <v>35</v>
      </c>
      <c r="D35" s="50">
        <v>3</v>
      </c>
      <c r="E35" s="52">
        <v>18310</v>
      </c>
      <c r="F35" s="50"/>
      <c r="G35" s="50">
        <v>110</v>
      </c>
      <c r="H35" s="50"/>
      <c r="I35" s="122">
        <f>Таблица28[[#This Row],[Роздріб]]+Таблица28[[#This Row],[Монтаж]]+Таблица28[[#This Row],[Доставка]]+Таблица28[[#This Row],[Оковка]]</f>
        <v>18420</v>
      </c>
      <c r="J35" s="50">
        <v>15177</v>
      </c>
      <c r="K35" s="51">
        <f>Таблица28[[#This Row],[Роздріб]]-Таблица28[[#This Row],[Завод]]</f>
        <v>3133</v>
      </c>
      <c r="L35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0.17110868377935554</v>
      </c>
      <c r="M35" s="50">
        <v>18420</v>
      </c>
      <c r="N35" s="50"/>
      <c r="O35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35" s="44"/>
      <c r="Q35" s="40">
        <f>SUBTOTAL(2,Таблица28[[#This Row],[Роздріб]])</f>
        <v>1</v>
      </c>
      <c r="R35" s="7"/>
      <c r="S35" s="33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ht="14.4" x14ac:dyDescent="0.3">
      <c r="A36" s="41">
        <v>43900</v>
      </c>
      <c r="B36" s="42" t="s">
        <v>82</v>
      </c>
      <c r="C36" s="42" t="s">
        <v>35</v>
      </c>
      <c r="D36" s="50">
        <v>1</v>
      </c>
      <c r="E36" s="52">
        <v>3950</v>
      </c>
      <c r="F36" s="50">
        <v>350</v>
      </c>
      <c r="G36" s="50">
        <v>230</v>
      </c>
      <c r="H36" s="50"/>
      <c r="I36" s="122">
        <f>Таблица28[[#This Row],[Роздріб]]+Таблица28[[#This Row],[Монтаж]]+Таблица28[[#This Row],[Доставка]]+Таблица28[[#This Row],[Оковка]]</f>
        <v>4530</v>
      </c>
      <c r="J36" s="50">
        <v>3243</v>
      </c>
      <c r="K36" s="51">
        <f>Таблица28[[#This Row],[Роздріб]]-Таблица28[[#This Row],[Завод]]</f>
        <v>707</v>
      </c>
      <c r="L36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0.17898734177215189</v>
      </c>
      <c r="M36" s="50">
        <v>1000</v>
      </c>
      <c r="N36" s="50">
        <v>3530</v>
      </c>
      <c r="O36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36" s="44"/>
      <c r="Q36" s="40">
        <f>SUBTOTAL(2,Таблица28[[#This Row],[Роздріб]])</f>
        <v>1</v>
      </c>
      <c r="R36" s="7"/>
      <c r="S36" s="33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ht="14.4" x14ac:dyDescent="0.3">
      <c r="A37" s="41">
        <v>43906</v>
      </c>
      <c r="B37" s="42" t="s">
        <v>105</v>
      </c>
      <c r="C37" s="42" t="s">
        <v>95</v>
      </c>
      <c r="D37" s="50">
        <v>1</v>
      </c>
      <c r="E37" s="52">
        <v>265</v>
      </c>
      <c r="F37" s="50"/>
      <c r="G37" s="50"/>
      <c r="H37" s="50"/>
      <c r="I37" s="122">
        <f>Таблица28[[#This Row],[Роздріб]]+Таблица28[[#This Row],[Монтаж]]+Таблица28[[#This Row],[Доставка]]+Таблица28[[#This Row],[Оковка]]</f>
        <v>265</v>
      </c>
      <c r="J37" s="50">
        <v>232</v>
      </c>
      <c r="K37" s="51">
        <f>Таблица28[[#This Row],[Роздріб]]-Таблица28[[#This Row],[Завод]]</f>
        <v>33</v>
      </c>
      <c r="L37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0.12452830188679245</v>
      </c>
      <c r="M37" s="50">
        <v>200</v>
      </c>
      <c r="N37" s="50">
        <v>65</v>
      </c>
      <c r="O37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37" s="44"/>
      <c r="Q37" s="40">
        <f>SUBTOTAL(2,Таблица28[[#This Row],[Роздріб]])</f>
        <v>1</v>
      </c>
      <c r="R37" s="7"/>
      <c r="S37" s="33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ht="14.4" x14ac:dyDescent="0.3">
      <c r="A38" s="41">
        <v>44186</v>
      </c>
      <c r="B38" s="42" t="s">
        <v>105</v>
      </c>
      <c r="C38" s="42" t="s">
        <v>96</v>
      </c>
      <c r="D38" s="50">
        <v>1</v>
      </c>
      <c r="E38" s="52">
        <v>555</v>
      </c>
      <c r="F38" s="50"/>
      <c r="G38" s="50"/>
      <c r="H38" s="50"/>
      <c r="I38" s="122">
        <f>Таблица28[[#This Row],[Роздріб]]+Таблица28[[#This Row],[Монтаж]]+Таблица28[[#This Row],[Доставка]]+Таблица28[[#This Row],[Оковка]]</f>
        <v>555</v>
      </c>
      <c r="J38" s="50">
        <v>458</v>
      </c>
      <c r="K38" s="51">
        <f>Таблица28[[#This Row],[Роздріб]]-Таблица28[[#This Row],[Завод]]</f>
        <v>97</v>
      </c>
      <c r="L38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0.17477477477477477</v>
      </c>
      <c r="M38" s="50">
        <v>55</v>
      </c>
      <c r="N38" s="50">
        <v>500</v>
      </c>
      <c r="O38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38" s="44"/>
      <c r="Q38" s="40">
        <f>SUBTOTAL(2,Таблица28[[#This Row],[Роздріб]])</f>
        <v>1</v>
      </c>
      <c r="R38" s="7"/>
      <c r="S38" s="33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4.4" x14ac:dyDescent="0.3">
      <c r="A39" s="41">
        <v>44186</v>
      </c>
      <c r="B39" s="42" t="s">
        <v>105</v>
      </c>
      <c r="C39" s="42" t="s">
        <v>95</v>
      </c>
      <c r="D39" s="50">
        <v>1</v>
      </c>
      <c r="E39" s="52">
        <v>378</v>
      </c>
      <c r="F39" s="50"/>
      <c r="G39" s="50"/>
      <c r="H39" s="50"/>
      <c r="I39" s="122">
        <f>Таблица28[[#This Row],[Роздріб]]+Таблица28[[#This Row],[Монтаж]]+Таблица28[[#This Row],[Доставка]]+Таблица28[[#This Row],[Оковка]]</f>
        <v>378</v>
      </c>
      <c r="J39" s="50">
        <v>378</v>
      </c>
      <c r="K39" s="51">
        <f>Таблица28[[#This Row],[Роздріб]]-Таблица28[[#This Row],[Завод]]</f>
        <v>0</v>
      </c>
      <c r="L39" s="39" t="str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/>
      </c>
      <c r="M39" s="50"/>
      <c r="N39" s="50"/>
      <c r="O39" s="53" t="str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/>
      </c>
      <c r="P39" s="44"/>
      <c r="Q39" s="40">
        <f>SUBTOTAL(2,Таблица28[[#This Row],[Роздріб]])</f>
        <v>1</v>
      </c>
      <c r="R39" s="7"/>
      <c r="S39" s="33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ht="14.4" x14ac:dyDescent="0.3">
      <c r="A40" s="41">
        <v>44202</v>
      </c>
      <c r="B40" s="42" t="s">
        <v>105</v>
      </c>
      <c r="C40" s="42" t="s">
        <v>118</v>
      </c>
      <c r="D40" s="50">
        <v>1</v>
      </c>
      <c r="E40" s="52">
        <v>60</v>
      </c>
      <c r="F40" s="50"/>
      <c r="G40" s="50"/>
      <c r="H40" s="50"/>
      <c r="I40" s="122">
        <f>Таблица28[[#This Row],[Роздріб]]+Таблица28[[#This Row],[Монтаж]]+Таблица28[[#This Row],[Доставка]]+Таблица28[[#This Row],[Оковка]]</f>
        <v>60</v>
      </c>
      <c r="J40" s="50">
        <v>0</v>
      </c>
      <c r="K40" s="51">
        <f>Таблица28[[#This Row],[Роздріб]]-Таблица28[[#This Row],[Завод]]</f>
        <v>60</v>
      </c>
      <c r="L40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1</v>
      </c>
      <c r="M40" s="50">
        <v>60</v>
      </c>
      <c r="N40" s="50"/>
      <c r="O40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40" s="44"/>
      <c r="Q40" s="40">
        <f>SUBTOTAL(2,Таблица28[[#This Row],[Роздріб]])</f>
        <v>1</v>
      </c>
      <c r="R40" s="7"/>
      <c r="S40" s="33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4.4" x14ac:dyDescent="0.3">
      <c r="A41" s="41">
        <v>44207</v>
      </c>
      <c r="B41" s="42" t="s">
        <v>82</v>
      </c>
      <c r="C41" s="42" t="s">
        <v>35</v>
      </c>
      <c r="D41" s="50">
        <v>2</v>
      </c>
      <c r="E41" s="52">
        <v>8015</v>
      </c>
      <c r="F41" s="50"/>
      <c r="G41" s="50">
        <v>160</v>
      </c>
      <c r="H41" s="50">
        <v>260</v>
      </c>
      <c r="I41" s="122">
        <f>Таблица28[[#This Row],[Роздріб]]+Таблица28[[#This Row],[Монтаж]]+Таблица28[[#This Row],[Доставка]]+Таблица28[[#This Row],[Оковка]]</f>
        <v>8435</v>
      </c>
      <c r="J41" s="50">
        <v>7132</v>
      </c>
      <c r="K41" s="51">
        <f>Таблица28[[#This Row],[Роздріб]]-Таблица28[[#This Row],[Завод]]</f>
        <v>883</v>
      </c>
      <c r="L41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0.11016843418590143</v>
      </c>
      <c r="M41" s="50">
        <v>5000</v>
      </c>
      <c r="N41" s="50"/>
      <c r="O41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3435</v>
      </c>
      <c r="P41" s="127"/>
      <c r="Q41" s="40">
        <f>SUBTOTAL(2,Таблица28[[#This Row],[Роздріб]])</f>
        <v>1</v>
      </c>
      <c r="R41" s="7"/>
      <c r="S41" s="33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ht="14.4" x14ac:dyDescent="0.3">
      <c r="A42" s="41">
        <v>44207</v>
      </c>
      <c r="B42" s="42" t="s">
        <v>81</v>
      </c>
      <c r="C42" s="42" t="s">
        <v>35</v>
      </c>
      <c r="D42" s="50">
        <v>1</v>
      </c>
      <c r="E42" s="52">
        <v>9685</v>
      </c>
      <c r="F42" s="50">
        <v>700</v>
      </c>
      <c r="G42" s="50"/>
      <c r="H42" s="50"/>
      <c r="I42" s="122">
        <f>Таблица28[[#This Row],[Роздріб]]+Таблица28[[#This Row],[Монтаж]]+Таблица28[[#This Row],[Доставка]]+Таблица28[[#This Row],[Оковка]]</f>
        <v>10385</v>
      </c>
      <c r="J42" s="50">
        <v>8090</v>
      </c>
      <c r="K42" s="51">
        <f>Таблица28[[#This Row],[Роздріб]]-Таблица28[[#This Row],[Завод]]</f>
        <v>1595</v>
      </c>
      <c r="L42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0.16468766133195664</v>
      </c>
      <c r="M42" s="50">
        <v>5000</v>
      </c>
      <c r="N42" s="50"/>
      <c r="O42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5385</v>
      </c>
      <c r="P42" s="44"/>
      <c r="Q42" s="40">
        <f>SUBTOTAL(2,Таблица28[[#This Row],[Роздріб]])</f>
        <v>1</v>
      </c>
      <c r="R42" s="7"/>
      <c r="S42" s="33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ht="14.4" x14ac:dyDescent="0.3">
      <c r="A43" s="41">
        <v>44209</v>
      </c>
      <c r="B43" s="123" t="s">
        <v>82</v>
      </c>
      <c r="C43" s="123" t="s">
        <v>35</v>
      </c>
      <c r="D43" s="50">
        <v>1</v>
      </c>
      <c r="E43" s="52">
        <v>3080</v>
      </c>
      <c r="F43" s="50">
        <v>400</v>
      </c>
      <c r="G43" s="50">
        <v>100</v>
      </c>
      <c r="H43" s="50"/>
      <c r="I43" s="122">
        <f>Таблица28[[#This Row],[Роздріб]]+Таблица28[[#This Row],[Монтаж]]+Таблица28[[#This Row],[Доставка]]+Таблица28[[#This Row],[Оковка]]</f>
        <v>3580</v>
      </c>
      <c r="J43" s="50">
        <v>2423</v>
      </c>
      <c r="K43" s="51">
        <f>Таблица28[[#This Row],[Роздріб]]-Таблица28[[#This Row],[Завод]]</f>
        <v>657</v>
      </c>
      <c r="L43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0.21331168831168831</v>
      </c>
      <c r="M43" s="50">
        <v>1200</v>
      </c>
      <c r="N43" s="50">
        <v>2380</v>
      </c>
      <c r="O43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43" s="44"/>
      <c r="Q43" s="40">
        <f>SUBTOTAL(2,Таблица28[[#This Row],[Роздріб]])</f>
        <v>1</v>
      </c>
      <c r="R43" s="7"/>
      <c r="S43" s="33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ht="14.4" x14ac:dyDescent="0.3">
      <c r="A44" s="41">
        <v>44224</v>
      </c>
      <c r="B44" s="42" t="s">
        <v>105</v>
      </c>
      <c r="C44" s="42" t="s">
        <v>95</v>
      </c>
      <c r="D44" s="50">
        <v>1</v>
      </c>
      <c r="E44" s="52">
        <v>855</v>
      </c>
      <c r="F44" s="50"/>
      <c r="G44" s="50"/>
      <c r="H44" s="50"/>
      <c r="I44" s="122">
        <f>Таблица28[[#This Row],[Роздріб]]+Таблица28[[#This Row],[Монтаж]]+Таблица28[[#This Row],[Доставка]]+Таблица28[[#This Row],[Оковка]]</f>
        <v>855</v>
      </c>
      <c r="J44" s="50">
        <v>713</v>
      </c>
      <c r="K44" s="51">
        <f>Таблица28[[#This Row],[Роздріб]]-Таблица28[[#This Row],[Завод]]</f>
        <v>142</v>
      </c>
      <c r="L44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0.16608187134502925</v>
      </c>
      <c r="M44" s="50">
        <v>200</v>
      </c>
      <c r="N44" s="50">
        <v>655</v>
      </c>
      <c r="O44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44" s="44"/>
      <c r="Q44" s="40">
        <f>SUBTOTAL(2,Таблица28[[#This Row],[Роздріб]])</f>
        <v>1</v>
      </c>
      <c r="R44" s="7"/>
      <c r="S44" s="33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ht="14.4" x14ac:dyDescent="0.3">
      <c r="A45" s="41">
        <v>44225</v>
      </c>
      <c r="B45" s="124" t="s">
        <v>82</v>
      </c>
      <c r="C45" s="124" t="s">
        <v>35</v>
      </c>
      <c r="D45" s="50">
        <v>1</v>
      </c>
      <c r="E45" s="52">
        <v>2630</v>
      </c>
      <c r="F45" s="50"/>
      <c r="G45" s="50"/>
      <c r="H45" s="50"/>
      <c r="I45" s="122">
        <f>Таблица28[[#This Row],[Роздріб]]+Таблица28[[#This Row],[Монтаж]]+Таблица28[[#This Row],[Доставка]]+Таблица28[[#This Row],[Оковка]]</f>
        <v>2630</v>
      </c>
      <c r="J45" s="50">
        <v>2085</v>
      </c>
      <c r="K45" s="51">
        <f>Таблица28[[#This Row],[Роздріб]]-Таблица28[[#This Row],[Завод]]</f>
        <v>545</v>
      </c>
      <c r="L45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0.20722433460076045</v>
      </c>
      <c r="M45" s="50">
        <v>1000</v>
      </c>
      <c r="N45" s="50"/>
      <c r="O45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1630</v>
      </c>
      <c r="P45" s="44"/>
      <c r="Q45" s="40">
        <f>SUBTOTAL(2,Таблица28[[#This Row],[Роздріб]])</f>
        <v>1</v>
      </c>
      <c r="R45" s="7"/>
      <c r="S45" s="33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ht="14.4" x14ac:dyDescent="0.3">
      <c r="A46" s="41">
        <v>44229</v>
      </c>
      <c r="B46" s="125" t="s">
        <v>82</v>
      </c>
      <c r="C46" s="125" t="s">
        <v>35</v>
      </c>
      <c r="D46" s="50">
        <v>1</v>
      </c>
      <c r="E46" s="52">
        <v>3910</v>
      </c>
      <c r="F46" s="50"/>
      <c r="G46" s="50">
        <v>250</v>
      </c>
      <c r="H46" s="50"/>
      <c r="I46" s="122">
        <f>Таблица28[[#This Row],[Роздріб]]+Таблица28[[#This Row],[Монтаж]]+Таблица28[[#This Row],[Доставка]]+Таблица28[[#This Row],[Оковка]]</f>
        <v>4160</v>
      </c>
      <c r="J46" s="50">
        <v>3099</v>
      </c>
      <c r="K46" s="51">
        <f>Таблица28[[#This Row],[Роздріб]]-Таблица28[[#This Row],[Завод]]</f>
        <v>811</v>
      </c>
      <c r="L46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0.20741687979539641</v>
      </c>
      <c r="M46" s="50">
        <v>2160</v>
      </c>
      <c r="N46" s="50">
        <v>2000</v>
      </c>
      <c r="O46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46" s="44"/>
      <c r="Q46" s="40">
        <f>SUBTOTAL(2,Таблица28[[#This Row],[Роздріб]])</f>
        <v>1</v>
      </c>
      <c r="R46" s="7"/>
      <c r="S46" s="33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ht="14.4" x14ac:dyDescent="0.3">
      <c r="A47" s="41">
        <v>44237</v>
      </c>
      <c r="B47" s="126" t="s">
        <v>105</v>
      </c>
      <c r="C47" s="126" t="s">
        <v>96</v>
      </c>
      <c r="D47" s="50">
        <v>1</v>
      </c>
      <c r="E47" s="52">
        <v>805</v>
      </c>
      <c r="F47" s="50"/>
      <c r="G47" s="50"/>
      <c r="H47" s="50"/>
      <c r="I47" s="122">
        <f>Таблица28[[#This Row],[Роздріб]]+Таблица28[[#This Row],[Монтаж]]+Таблица28[[#This Row],[Доставка]]+Таблица28[[#This Row],[Оковка]]</f>
        <v>805</v>
      </c>
      <c r="J47" s="50">
        <v>669</v>
      </c>
      <c r="K47" s="51">
        <f>Таблица28[[#This Row],[Роздріб]]-Таблица28[[#This Row],[Завод]]</f>
        <v>136</v>
      </c>
      <c r="L47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0.168944099378882</v>
      </c>
      <c r="M47" s="50">
        <v>805</v>
      </c>
      <c r="N47" s="50"/>
      <c r="O47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47" s="44"/>
      <c r="Q47" s="40">
        <f>SUBTOTAL(2,Таблица28[[#This Row],[Роздріб]])</f>
        <v>1</v>
      </c>
      <c r="R47" s="7"/>
      <c r="S47" s="33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ht="14.4" x14ac:dyDescent="0.3">
      <c r="A48" s="41">
        <v>44245</v>
      </c>
      <c r="B48" s="42" t="s">
        <v>82</v>
      </c>
      <c r="C48" s="42" t="s">
        <v>113</v>
      </c>
      <c r="D48" s="50">
        <v>1</v>
      </c>
      <c r="E48" s="52">
        <v>1700</v>
      </c>
      <c r="F48" s="50"/>
      <c r="G48" s="50">
        <v>130</v>
      </c>
      <c r="H48" s="50"/>
      <c r="I48" s="122">
        <f>Таблица28[[#This Row],[Роздріб]]+Таблица28[[#This Row],[Монтаж]]+Таблица28[[#This Row],[Доставка]]+Таблица28[[#This Row],[Оковка]]</f>
        <v>1830</v>
      </c>
      <c r="J48" s="50">
        <v>1409</v>
      </c>
      <c r="K48" s="51">
        <f>Таблица28[[#This Row],[Роздріб]]-Таблица28[[#This Row],[Завод]]</f>
        <v>291</v>
      </c>
      <c r="L48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0.17117647058823529</v>
      </c>
      <c r="M48" s="50">
        <v>1000</v>
      </c>
      <c r="N48" s="50">
        <v>830</v>
      </c>
      <c r="O48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48" s="135"/>
      <c r="Q48" s="40">
        <f>SUBTOTAL(2,Таблица28[[#This Row],[Роздріб]])</f>
        <v>1</v>
      </c>
      <c r="R48" s="7"/>
      <c r="S48" s="33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3" ht="14.4" x14ac:dyDescent="0.3">
      <c r="A49" s="41">
        <v>44253</v>
      </c>
      <c r="B49" s="42" t="s">
        <v>105</v>
      </c>
      <c r="C49" s="42" t="s">
        <v>96</v>
      </c>
      <c r="D49" s="50">
        <v>1</v>
      </c>
      <c r="E49" s="52">
        <v>1012</v>
      </c>
      <c r="F49" s="50"/>
      <c r="G49" s="50"/>
      <c r="H49" s="50"/>
      <c r="I49" s="122">
        <f>Таблица28[[#This Row],[Роздріб]]+Таблица28[[#This Row],[Монтаж]]+Таблица28[[#This Row],[Доставка]]+Таблица28[[#This Row],[Оковка]]</f>
        <v>1012</v>
      </c>
      <c r="J49" s="50">
        <v>842</v>
      </c>
      <c r="K49" s="51">
        <f>Таблица28[[#This Row],[Роздріб]]-Таблица28[[#This Row],[Завод]]</f>
        <v>170</v>
      </c>
      <c r="L49" s="39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>0.16798418972332016</v>
      </c>
      <c r="M49" s="50">
        <v>1012</v>
      </c>
      <c r="N49" s="50"/>
      <c r="O49" s="53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>0</v>
      </c>
      <c r="P49" s="44"/>
      <c r="Q49" s="40">
        <f>SUBTOTAL(2,Таблица28[[#This Row],[Роздріб]])</f>
        <v>1</v>
      </c>
      <c r="R49" s="7"/>
      <c r="S49" s="33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3" ht="14.4" x14ac:dyDescent="0.3">
      <c r="A50" s="38"/>
      <c r="B50" s="42"/>
      <c r="C50" s="42"/>
      <c r="D50" s="52"/>
      <c r="E50" s="52"/>
      <c r="F50" s="52"/>
      <c r="G50" s="52"/>
      <c r="H50" s="52"/>
      <c r="I50" s="51">
        <f>Таблица28[[#This Row],[Роздріб]]+Таблица28[[#This Row],[Монтаж]]+Таблица28[[#This Row],[Доставка]]+Таблица28[[#This Row],[Оковка]]</f>
        <v>0</v>
      </c>
      <c r="J50" s="52"/>
      <c r="K50" s="51">
        <f>Таблица28[[#This Row],[Роздріб]]-Таблица28[[#This Row],[Завод]]</f>
        <v>0</v>
      </c>
      <c r="L50" s="39" t="str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/>
      </c>
      <c r="M50" s="52"/>
      <c r="N50" s="52"/>
      <c r="O50" s="53" t="str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/>
      </c>
      <c r="P50" s="45"/>
      <c r="Q50" s="40">
        <f>SUBTOTAL(2,Таблица28[[#This Row],[Роздріб]])</f>
        <v>0</v>
      </c>
      <c r="R50" s="7"/>
      <c r="S50" s="33"/>
      <c r="T50" s="33"/>
      <c r="U50" s="7"/>
      <c r="V50" s="7"/>
    </row>
    <row r="51" spans="1:43" ht="14.4" x14ac:dyDescent="0.3">
      <c r="A51" s="38"/>
      <c r="B51" s="42"/>
      <c r="C51" s="42"/>
      <c r="D51" s="52"/>
      <c r="E51" s="52"/>
      <c r="F51" s="52"/>
      <c r="G51" s="52"/>
      <c r="H51" s="52"/>
      <c r="I51" s="51">
        <f>Таблица28[[#This Row],[Роздріб]]+Таблица28[[#This Row],[Монтаж]]+Таблица28[[#This Row],[Доставка]]+Таблица28[[#This Row],[Оковка]]</f>
        <v>0</v>
      </c>
      <c r="J51" s="52"/>
      <c r="K51" s="51">
        <f>Таблица28[[#This Row],[Роздріб]]-Таблица28[[#This Row],[Завод]]</f>
        <v>0</v>
      </c>
      <c r="L51" s="39" t="str">
        <f>IF(OR(Таблица28[[#This Row],[Різн.]]="",Таблица28[[#This Row],[Різн.]]=0,Таблица28[[#This Row],[Роздріб]]="",Таблица28[[#This Row],[Роздріб]]=0),"",Таблица28[[#This Row],[Різн.]]/Таблица28[[#This Row],[Роздріб]])</f>
        <v/>
      </c>
      <c r="M51" s="52"/>
      <c r="N51" s="52"/>
      <c r="O51" s="53" t="str">
        <f>IF(Таблица28[[#This Row],[Сума]]&gt;Таблица28[[#This Row],[Завод]],Таблица28[[#This Row],[Сума]]-Таблица28[[#This Row],[Ав №1]]-Таблица28[[#This Row],[Ав №2]],IF(Таблица28[[#This Row],[Сума]]&lt;Таблица28[[#This Row],[Завод]],"",IF(Таблица28[[#This Row],[Сума]]="","","")))</f>
        <v/>
      </c>
      <c r="P51" s="45"/>
      <c r="Q51" s="40">
        <f>SUBTOTAL(2,Таблица28[[#This Row],[Роздріб]])</f>
        <v>0</v>
      </c>
      <c r="R51" s="7"/>
      <c r="S51" s="33"/>
      <c r="T51" s="33"/>
      <c r="U51" s="7"/>
      <c r="V51" s="7"/>
    </row>
    <row r="52" spans="1:43" s="4" customFormat="1" ht="15.6" outlineLevel="1" x14ac:dyDescent="0.3">
      <c r="A52" s="81"/>
      <c r="B52" s="82"/>
      <c r="C52" s="82"/>
      <c r="D52" s="83">
        <f>SUBTOTAL(109,Дерево!$D$27:$D$51)</f>
        <v>32</v>
      </c>
      <c r="E52" s="83">
        <f>SUBTOTAL(109,Дерево!$E$27:$E$51)</f>
        <v>92261</v>
      </c>
      <c r="F52" s="83">
        <f>SUBTOTAL(109,Дерево!$F$27:$F$51)</f>
        <v>3250</v>
      </c>
      <c r="G52" s="83">
        <f>SUBTOTAL(109,Дерево!$G$27:$G$51)</f>
        <v>1360</v>
      </c>
      <c r="H52" s="84"/>
      <c r="I52" s="83">
        <f>SUBTOTAL(109,Дерево!$I$27:$I$51)</f>
        <v>97131</v>
      </c>
      <c r="J52" s="83">
        <f>SUBTOTAL(109,Дерево!$J$27:$J$51)</f>
        <v>74135</v>
      </c>
      <c r="K52" s="83">
        <f>SUBTOTAL(109,Дерево!$K$27:$K$51)</f>
        <v>18126</v>
      </c>
      <c r="L52" s="85">
        <f>IFERROR(SUBTOTAL(101,Дерево!$L$27:$L$51),"")</f>
        <v>0.27705283046355911</v>
      </c>
      <c r="M52" s="83">
        <f>SUBTOTAL(109,Дерево!$M$27:$M$51)</f>
        <v>56553</v>
      </c>
      <c r="N52" s="83">
        <f>SUBTOTAL(109,Дерево!$N$27:$N$51)</f>
        <v>29690</v>
      </c>
      <c r="O52" s="86">
        <f>SUBTOTAL(109,Дерево!$O$27:$O$51)</f>
        <v>10510</v>
      </c>
      <c r="P52" s="87"/>
      <c r="Q52" s="88"/>
      <c r="R52" s="8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3">
      <c r="AC53" s="33"/>
    </row>
  </sheetData>
  <sheetProtection formatCells="0" formatColumns="0" sort="0" autoFilter="0" pivotTables="0"/>
  <dataValidations count="5">
    <dataValidation type="whole" allowBlank="1" showInputMessage="1" showErrorMessage="1" errorTitle="Помилка введення!" error="Ввведіть числове значення!" sqref="M27:N51 D27:D51 J27:J51">
      <formula1>-100000000</formula1>
      <formula2>100000000</formula2>
    </dataValidation>
    <dataValidation type="date" allowBlank="1" showInputMessage="1" showErrorMessage="1" errorTitle="Помилка введення дати!" error="Введіть дату в форматі - ДД.ММ" promptTitle="Дата" prompt="Введіть дату у форматі ДД.ММ" sqref="A27:A51">
      <formula1>43831</formula1>
      <formula2>47484</formula2>
    </dataValidation>
    <dataValidation type="list" allowBlank="1" showInputMessage="1" showErrorMessage="1" sqref="B27:B51">
      <formula1>$T$3:$T$6</formula1>
    </dataValidation>
    <dataValidation type="list" allowBlank="1" showInputMessage="1" showErrorMessage="1" sqref="C27:C51">
      <formula1>INDIRECT($B27)</formula1>
    </dataValidation>
    <dataValidation type="whole" allowBlank="1" showInputMessage="1" showErrorMessage="1" sqref="E27:H51">
      <formula1>-100000000</formula1>
      <formula2>100000000</formula2>
    </dataValidation>
  </dataValidations>
  <pageMargins left="0.23" right="0.2" top="0.15" bottom="0.33" header="0.13" footer="0.24"/>
  <pageSetup paperSize="9" orientation="landscape" horizontalDpi="4294967294" r:id="rId1"/>
  <headerFooter alignWithMargins="0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</sheetPr>
  <dimension ref="B1:F17"/>
  <sheetViews>
    <sheetView topLeftCell="A9" zoomScale="85" zoomScaleNormal="85" workbookViewId="0">
      <pane xSplit="3" topLeftCell="D1" activePane="topRight" state="frozen"/>
      <selection activeCell="A9" sqref="A9"/>
      <selection pane="topRight" activeCell="D15" sqref="D15"/>
    </sheetView>
  </sheetViews>
  <sheetFormatPr defaultColWidth="9.109375" defaultRowHeight="13.8" x14ac:dyDescent="0.3"/>
  <cols>
    <col min="1" max="1" width="2.33203125" style="90" customWidth="1"/>
    <col min="2" max="2" width="15.5546875" style="90" customWidth="1"/>
    <col min="3" max="3" width="10.88671875" style="90" bestFit="1" customWidth="1"/>
    <col min="4" max="4" width="5.6640625" style="90" customWidth="1"/>
    <col min="5" max="5" width="9.109375" style="91" customWidth="1"/>
    <col min="6" max="6" width="8.88671875" style="90" customWidth="1"/>
    <col min="7" max="16384" width="9.109375" style="90"/>
  </cols>
  <sheetData>
    <row r="1" spans="2:6" hidden="1" x14ac:dyDescent="0.3">
      <c r="C1" s="90" t="s">
        <v>132</v>
      </c>
    </row>
    <row r="2" spans="2:6" hidden="1" x14ac:dyDescent="0.3">
      <c r="C2" s="90" t="s">
        <v>124</v>
      </c>
    </row>
    <row r="3" spans="2:6" hidden="1" x14ac:dyDescent="0.3">
      <c r="C3" s="90" t="s">
        <v>125</v>
      </c>
    </row>
    <row r="4" spans="2:6" hidden="1" x14ac:dyDescent="0.3">
      <c r="C4" s="90" t="s">
        <v>126</v>
      </c>
    </row>
    <row r="5" spans="2:6" hidden="1" x14ac:dyDescent="0.3">
      <c r="C5" s="90" t="s">
        <v>127</v>
      </c>
    </row>
    <row r="6" spans="2:6" hidden="1" x14ac:dyDescent="0.3">
      <c r="C6" s="90" t="s">
        <v>130</v>
      </c>
    </row>
    <row r="7" spans="2:6" hidden="1" x14ac:dyDescent="0.3"/>
    <row r="8" spans="2:6" hidden="1" x14ac:dyDescent="0.3"/>
    <row r="9" spans="2:6" ht="15.6" x14ac:dyDescent="0.3">
      <c r="B9" s="92" t="s">
        <v>134</v>
      </c>
      <c r="C9" s="93" t="s">
        <v>124</v>
      </c>
      <c r="D9" s="35"/>
    </row>
    <row r="11" spans="2:6" ht="14.1" customHeight="1" x14ac:dyDescent="0.3">
      <c r="B11" s="94"/>
      <c r="C11" s="94"/>
      <c r="D11" s="94"/>
      <c r="E11" s="95">
        <v>1</v>
      </c>
      <c r="F11" s="94"/>
    </row>
    <row r="12" spans="2:6" s="96" customFormat="1" ht="20.100000000000001" customHeight="1" x14ac:dyDescent="0.3">
      <c r="B12" s="111"/>
      <c r="C12" s="112"/>
      <c r="D12" s="113" t="s">
        <v>133</v>
      </c>
      <c r="E12" s="114"/>
      <c r="F12" s="115"/>
    </row>
    <row r="13" spans="2:6" ht="20.100000000000001" customHeight="1" x14ac:dyDescent="0.3">
      <c r="B13" s="116" t="s">
        <v>135</v>
      </c>
      <c r="C13" s="102" t="str">
        <f t="shared" ref="C13" si="0">RIGHT($C$9,4)</f>
        <v>2021</v>
      </c>
      <c r="D13" s="97">
        <f>SUMPRODUCT(SUMIFS(Пластик!$E:$E,Пластик!$A:$A,"&gt;="&amp;DATE($C13,E$11,1),Пластик!$A:$A,"&lt;="&amp;DATE($C13,E$11+1,1)-1,Пластик!$B:$B,{"вікна","двері"}))</f>
        <v>23</v>
      </c>
      <c r="E13" s="100">
        <f>SUMIFS(Пластик!$L:$L,Пластик!$A:$A,"&gt;=" &amp; DATE($C13,E$11,1),Пластик!$A:$A,"&lt;=" &amp; DATE($C13,E$11+1,1)-1)</f>
        <v>14220.24</v>
      </c>
      <c r="F13" s="117"/>
    </row>
    <row r="14" spans="2:6" ht="20.100000000000001" customHeight="1" x14ac:dyDescent="0.3">
      <c r="B14" s="118"/>
      <c r="C14" s="103" t="str">
        <f t="shared" ref="C14" si="1">LEFT($C$9,4)</f>
        <v>2020</v>
      </c>
      <c r="D14" s="98">
        <f>SUMPRODUCT(SUMIFS(Пластик!$E:$E,Пластик!$A:$A,"&gt;="&amp;DATE($C14,E$11,1),Пластик!$A:$A,"&lt;="&amp;DATE($C14,E$11+1,1)-1,Пластик!$B:$B,{"вікна","двері"}))</f>
        <v>34</v>
      </c>
      <c r="E14" s="101">
        <f>SUMIFS(Пластик!$L:$L,Пластик!$A:$A,"&gt;=" &amp; DATE($C14,E$11,1),Пластик!$A:$A,"&lt;=" &amp; DATE($C14,E$11+1,1)-1)</f>
        <v>15180</v>
      </c>
      <c r="F14" s="99"/>
    </row>
    <row r="15" spans="2:6" ht="20.100000000000001" customHeight="1" x14ac:dyDescent="0.3">
      <c r="B15" s="119" t="s">
        <v>137</v>
      </c>
      <c r="C15" s="104" t="str">
        <f t="shared" ref="C15" si="2">RIGHT($C$9,4)</f>
        <v>2021</v>
      </c>
      <c r="D15" s="105">
        <f>SUM(SUMIFS(Дерево!$D:$D,Дерево!$A:$A,"&gt;=" &amp; DATE($C15,E$11,1),Дерево!$A:$A,"&lt;=" &amp; DATE($C15,E$11+1,1)-1,Дерево!$C:$C,{"двері","акційні двері","полотна","акційні полотна"}))</f>
        <v>5</v>
      </c>
      <c r="E15" s="106">
        <f>SUMIFS(Дерево!$K:$K,Дерево!$A:$A,"&gt;=" &amp; DATE($C15,E$11,1),Дерево!$A:$A,"&lt;=" &amp; DATE($C15,E$11+1,1)-1)</f>
        <v>3882</v>
      </c>
      <c r="F15" s="120"/>
    </row>
    <row r="16" spans="2:6" ht="20.100000000000001" customHeight="1" x14ac:dyDescent="0.3">
      <c r="B16" s="121"/>
      <c r="C16" s="107" t="str">
        <f t="shared" ref="C16" si="3">LEFT($C$9,4)</f>
        <v>2020</v>
      </c>
      <c r="D16" s="108">
        <f>SUM(SUMIFS(Дерево!$D:$D,Дерево!$A:$A,"&gt;=" &amp; DATE($C16,E$11,1),Дерево!$A:$A,"&lt;=" &amp; DATE($C16,E$11+1,1)-1,Дерево!$C:$C,{"двері","акційні двері","полотна","акційні полотна"}))</f>
        <v>6</v>
      </c>
      <c r="E16" s="109">
        <f>SUMIFS(Дерево!$K:$K,Дерево!$A:$A,"&gt;=" &amp; DATE($C16,E$11,1),Дерево!$A:$A,"&lt;=" &amp; DATE($C16,E$11+1,1)-1)</f>
        <v>7168</v>
      </c>
      <c r="F16" s="110"/>
    </row>
    <row r="17" ht="14.1" customHeight="1" x14ac:dyDescent="0.3"/>
  </sheetData>
  <conditionalFormatting sqref="F13:F16">
    <cfRule type="iconSet" priority="1355">
      <iconSet iconSet="3Arrow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C9">
      <formula1>$C$2:$C$6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16</vt:i4>
      </vt:variant>
    </vt:vector>
  </HeadingPairs>
  <TitlesOfParts>
    <vt:vector size="19" baseType="lpstr">
      <vt:lpstr>Пластик</vt:lpstr>
      <vt:lpstr>Дерево</vt:lpstr>
      <vt:lpstr>Свод</vt:lpstr>
      <vt:lpstr>Steko</vt:lpstr>
      <vt:lpstr>Дерево!АБВ_Пласт</vt:lpstr>
      <vt:lpstr>АБВ_Пласт</vt:lpstr>
      <vt:lpstr>Вікнарі</vt:lpstr>
      <vt:lpstr>ВікнаСтиль</vt:lpstr>
      <vt:lpstr>ВІкнопром</vt:lpstr>
      <vt:lpstr>Віконда</vt:lpstr>
      <vt:lpstr>Вхідні</vt:lpstr>
      <vt:lpstr>Галактика</vt:lpstr>
      <vt:lpstr>Екіпаж</vt:lpstr>
      <vt:lpstr>Інотерм</vt:lpstr>
      <vt:lpstr>Комплектація</vt:lpstr>
      <vt:lpstr>міжкімнатні</vt:lpstr>
      <vt:lpstr>Дерево!Статус</vt:lpstr>
      <vt:lpstr>Статус</vt:lpstr>
      <vt:lpstr>Термопласт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2020-07-31T13:26:21Z</cp:lastPrinted>
  <dcterms:created xsi:type="dcterms:W3CDTF">2011-02-01T11:34:26Z</dcterms:created>
  <dcterms:modified xsi:type="dcterms:W3CDTF">2021-03-08T13:42:21Z</dcterms:modified>
</cp:coreProperties>
</file>