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ЭтаКнига"/>
  <mc:AlternateContent xmlns:mc="http://schemas.openxmlformats.org/markup-compatibility/2006">
    <mc:Choice Requires="x15">
      <x15ac:absPath xmlns:x15ac="http://schemas.microsoft.com/office/spreadsheetml/2010/11/ac" url="F:\Downloads\SHAVKAT AKAGA\"/>
    </mc:Choice>
  </mc:AlternateContent>
  <xr:revisionPtr revIDLastSave="0" documentId="13_ncr:1_{A981932C-2B91-47D8-AF63-728A2B17D238}" xr6:coauthVersionLast="46" xr6:coauthVersionMax="46" xr10:uidLastSave="{00000000-0000-0000-0000-000000000000}"/>
  <bookViews>
    <workbookView xWindow="-120" yWindow="-120" windowWidth="20730" windowHeight="11160" tabRatio="731" activeTab="4" xr2:uid="{00000000-000D-0000-FFFF-FFFF00000000}"/>
  </bookViews>
  <sheets>
    <sheet name="Yöriqnoma" sheetId="9" r:id="rId1"/>
    <sheet name="Sozlaş" sheetId="24" r:id="rId2"/>
    <sheet name="Xodim" sheetId="29" r:id="rId3"/>
    <sheet name="Yöqlik" sheetId="25" r:id="rId4"/>
    <sheet name="Tabel" sheetId="27" r:id="rId5"/>
  </sheets>
  <definedNames>
    <definedName name="_xlnm._FilterDatabase" localSheetId="4" hidden="1">Tabel!$D$13:$E$13</definedName>
    <definedName name="aH">--(MID(aShf,WEEKDAY(aPrd,2),1))</definedName>
    <definedName name="aHdw">--ISERROR(MATCH(aPrd,IF(Sozlaş!$J1=5,Hdw_5,Hdw_6),0))</definedName>
    <definedName name="aHs">IF(aHdw,IF(aqHdHdxPre=1,aH,IF(aH&gt;0,aH-1,0)),--MID(aShf,1,1)-(1-aqHdHdxPre))*aqHd*aqHdx</definedName>
    <definedName name="aPrd">ROW(INDEX(Tabel!$A:$A,DATE(Yöriqnoma!zYear,Sozlaş!A$6,1)):INDEX(Tabel!$A:$A,EOMONTH(DATE(Yöriqnoma!zYear,Sozlaş!A$6,1),0)))</definedName>
    <definedName name="aqHd">--ISERROR(MATCH(aPrd,Hd,0))</definedName>
    <definedName name="aqHdHdxPre">--ISERROR(MATCH(aPrd+1,Hd,0))*--ISERROR(MATCH(aPrd+1,IF(Sozlaş!$J1=5,Hdx_5,Hdx_6),0))</definedName>
    <definedName name="aqHdx">--ISERROR(MATCH(aPrd,IF(Sozlaş!$J1=5,Hdx_5,Hdx_6),0))</definedName>
    <definedName name="aShf">IF(Sozlaş!$J1=5,"8888800",IF(Sozlaş!$J1=6,"7777750","6666660"))</definedName>
    <definedName name="aTimex">IF(Sozlaş!$K1&gt;0,SUM(aHs),SUM(IF(aHs&gt;0,1,0)))</definedName>
    <definedName name="emp_1">IF(INDEX(emp[kuni],t_No)&gt;0,INDEX(emp[kuni],t_No),DATE(Yöriqnoma!zYear,1,1))</definedName>
    <definedName name="emp_31">IF(INDEX(emp[[kuni ]],t_No)&gt;0,INDEX(emp[[kuni ]],t_No),DATE(Yöriqnoma!zYear+1,1,1))</definedName>
    <definedName name="emp_Nm">emp[FIŞ]</definedName>
    <definedName name="emp_No">emp[Tab №]</definedName>
    <definedName name="emp_Prd">ROW(INDEX(Tabel!$A:$A,emp_1):INDEX(Tabel!$A:$A,emp_31-1))</definedName>
    <definedName name="Hd">Sozlaş!$B$2:INDEX(Sozlaş!$B$2:'Sozlaş'!$B$100, MATCH(50000,Sozlaş!$B$2:'Sozlaş'!$B$100))</definedName>
    <definedName name="Hdw">IF(--MID(t_ShfGen,11,2)&gt;0,Hdw_6,Hdw_5)</definedName>
    <definedName name="Hdw_5">Sozlaş!$D$2:INDEX(Sozlaş!$D$2:'Sozlaş'!$D$100, MATCH(50000,Sozlaş!$D$2:'Sozlaş'!$D$100))</definedName>
    <definedName name="Hdw_6">Sozlaş!$G$2:INDEX(Sozlaş!$G$2:'Sozlaş'!$G$100, MATCH(50000,Sozlaş!$G$2:'Sozlaş'!$G$100))</definedName>
    <definedName name="Hdx">IF(--MID(t_ShfGen,11,2)&gt;0,Hdx_6,Hdx_5)</definedName>
    <definedName name="Hdx_5">Sozlaş!$E$2:INDEX(Sozlaş!$E$2:'Sozlaş'!$E$100, MATCH(50000,Sozlaş!$E$2:'Sozlaş'!$E$100))</definedName>
    <definedName name="Hdx_6">Sozlaş!$H$2:INDEX(Sozlaş!$H$2:'Sozlaş'!$H$100, MATCH(50000,Sozlaş!$H$2:'Sozlaş'!$H$100))</definedName>
    <definedName name="id">Sozlaş!$L$17</definedName>
    <definedName name="lvDt1">IF(COLUMN()=7,lv[[#This Row],[dan]],IF(COLUMN()=8,lv[[#This Row],[gaça]]+1,IF(lv[[#This Row],[dan]]&lt;DATE(Yöriqnoma!zYear,1,1),DATE(Yöriqnoma!zYear,1,1),lv[[#This Row],[dan]])))</definedName>
    <definedName name="lvDt31">IF(COLUMN()=7,lv[[#This Row],[gaça]],IF(COLUMN()=8,lv[[#This Row],[gaça]]+7,IF(lv[[#This Row],[gaça]]&gt;t_Dt_31,t_Dt_31,lv[[#This Row],[gaça]])))</definedName>
    <definedName name="lvDtBack">IF(lv[[#This Row],[gaça]]&lt;&gt;0,lv[[#This Row],[gaça]]+MATCH(1,lvTxD,0),"")</definedName>
    <definedName name="lvH">--MID(lvShfAll,lvWkd*2-1,2)</definedName>
    <definedName name="lvHHdw">--MID(lvShfAll,lvWkdHdw*2-1,2)</definedName>
    <definedName name="lvLvK">IF(AND(lv[[#This Row],[Yöqlik turi]]&lt;&gt;0,lv[[#This Row],[dan]]&lt;&gt;0),OFFSET(id,MATCH(lv[[#This Row],[Yöqlik turi]],Sozlaş!$N$18:$N$25,0),-2),"")</definedName>
    <definedName name="lvNm">MATCH(lv[[#This Row],[FIŞ]],emp_Nm,0)</definedName>
    <definedName name="lvPrd">IF(lvDt31&gt;=lvDt1,ROW(INDEX(Tabel!$A:$A,lvDt1):INDEX(Tabel!$A:$A,lvDt31)),0)</definedName>
    <definedName name="lvqHd">--ISERROR(MATCH(lvPrd,Hd,0))</definedName>
    <definedName name="lvqHdHdxPre">--ISERROR(MATCH(lvPrd+1,Hd,0))*--ISERROR(MATCH(lvPrd+1,Hdx,0))</definedName>
    <definedName name="lvqHdw">--ISERROR(MATCH(lvPrd,Hdw,0))</definedName>
    <definedName name="lvqHdx">--ISERROR(MATCH(lvPrd,Hdx,0))</definedName>
    <definedName name="lvShf">INDEX(emp[Du],lvNm)</definedName>
    <definedName name="lvShfAll">IF(--lvShfInd=0,t_ShfGen,lvShfInd)</definedName>
    <definedName name="lvShfInd">IF(--lvShf&gt;9,--lvShf,"0"&amp;--lvShf)&amp;IF(--OFFSET(lvShf,,1)&gt;9,--OFFSET(lvShf,,1),"0"&amp;--OFFSET(lvShf,,1))&amp;IF(--OFFSET(lvShf,,2)&gt;9,--OFFSET(lvShf,,2),"0"&amp;--OFFSET(lvShf,,2))&amp;IF(--OFFSET(lvShf,,3)&gt;9,--OFFSET(lvShf,,3),"0"&amp;--OFFSET(lvShf,,3))&amp;IF(--OFFSET(lvShf,,4)&gt;9,--OFFSET(lvShf,,4),"0"&amp;--OFFSET(lvShf,,4))&amp;IF(--OFFSET(lvShf,,5)&gt;9,--OFFSET(lvShf,,5),"0"&amp;--OFFSET(lvShf,,5))&amp;IF(--OFFSET(lvShf,,6)&gt;9,--OFFSET(lvShf,,6),"0"&amp;--OFFSET(lvShf,,6))</definedName>
    <definedName name="lvTxD">IF(IF(lvH&gt;0,lvH-(1-lvqHdHdxPre),IF(lvHHdw&gt;0,lvHHdw-(1-lvqHdHdxPre),0))*lvqHd*lvqHdx&gt;0,1,0)</definedName>
    <definedName name="lvTxDs">IF(lvDt1&gt;lvDt31,"",IFERROR(IF(ISNUMBER(lvLvK),SUM(lvTxD),""),""))</definedName>
    <definedName name="lvTxDsTk">IF(lvDt1&gt;lvDt31,"",IF(ISNUMBER(lvLvK),IF(lvLvK&lt;3,SUM(lvqHd*lvqHdx*IF(lvWkd=7,0,1)),IF(lvLvK&lt;8,SUM(lvqHd*lvqHdx),lvTxDs)),""))</definedName>
    <definedName name="lvTxH">IF(lvH&gt;0,lvH-(1-lvqHdHdxPre),IF(lvHHdw&gt;0,lvHHdw-(1-lvqHdHdxPre),0))*lvqHd*lvqHdx</definedName>
    <definedName name="lvTxHs">IF(lvDt1&gt;lvDt31,"",IFERROR(IF(ISNUMBER(lvLvK),SUM(lvTxH),""),""))</definedName>
    <definedName name="lvWkd">WEEKDAY(lvPrd,2)</definedName>
    <definedName name="lvWkdHdw">lvqHdw*lvWkd+IF(lvqHdw=0,IF(lvWkd=3,4,IF(lvWkd=7,IF(--ISERROR(MATCH(lvPrd-2,Hdx,0))=0,5,IF(--ISERROR(MATCH(lvPrd+3,Hdx,0))=0,3,1)),1)),0)</definedName>
    <definedName name="qEmp">--ISERROR(MATCH(t_Prd,emp_Prd,0))=0</definedName>
    <definedName name="qHd">--ISERROR(MATCH(t_Prd,Hd,0))</definedName>
    <definedName name="qHdHdxPre">--ISERROR(MATCH(t_Prd+1,Hd,0))*--ISERROR(MATCH(t_Prd+1,Hdx,0))</definedName>
    <definedName name="qHdw">--ISERROR(MATCH(t_Prd,Hdw,0))</definedName>
    <definedName name="qHdx">--ISERROR(MATCH(t_Prd,Hdx,0))</definedName>
    <definedName name="t_Dt">IF(MONTH(DATE(Yöriqnoma!zYear,zMnth,COLUMN()-6))=zMnth,DATE(Yöriqnoma!zYear,zMnth,COLUMN()-6),"")</definedName>
    <definedName name="t_Dt_1">IF(COLUMN()&lt;49,DATE(Yöriqnoma!zYear,zMnth,1),DATE(Yöriqnoma!zYear,1,1))</definedName>
    <definedName name="t_Dt_31">EOMONTH(DATE(Yöriqnoma!zYear,zMnth,1),0)</definedName>
    <definedName name="t_H">--MID(t_ShfAll,t_Wkd*2-1,2)</definedName>
    <definedName name="t_HHdw">--MID(t_ShfAll,t_WkdHdw*2-1,2)</definedName>
    <definedName name="t_Hs">IF(t_H&gt;0,t_H-(1-qHdHdxPre),IF(t_HHdw&gt;0,t_HHdw-(1-qHdHdxPre),0))*qEmp*qHd*qHdx</definedName>
    <definedName name="t_LvD">SUMIF(lv[FIŞ],txNm,lv[Kun])</definedName>
    <definedName name="t_LvH">SUMIF(lv[FIŞ],txNm,lv[Soat])</definedName>
    <definedName name="t_lvK">SUMIFS(lv[Kod],lv[FIŞ],txNm,lv[dan],"&lt;="&amp;t_Dt,lv[gaça],"&gt;="&amp;t_Dt)</definedName>
    <definedName name="t_No">MATCH(t[[#This Row],[2]],emp_No,0)</definedName>
    <definedName name="t_Prd">IF(COLUMN()&lt;38,t_Dt,ROW(INDEX(Tabel!$A:$A,t_Dt_1):INDEX(Tabel!$A:$A,t_Dt_31)))</definedName>
    <definedName name="t_Shf">INDEX(emp[Du],t_No)</definedName>
    <definedName name="t_ShfAll">IF(--t_ShfInd=0,t_ShfGen,t_ShfInd)</definedName>
    <definedName name="t_ShfGen">IF(Xodim!$I$4="Duşanba-Juma 40 soat","08080808080000",IF(Xodim!$I$4="Duşanba-Şanba 40 soat","07070707070500","06060606060600"))</definedName>
    <definedName name="t_ShfInd">IF(--t_Shf&gt;9,--t_Shf,"0"&amp;--t_Shf)&amp;IF(--OFFSET(t_Shf,,1)&gt;9,--OFFSET(t_Shf,,1),"0"&amp;--OFFSET(t_Shf,,1))&amp;IF(--OFFSET(t_Shf,,2)&gt;9,--OFFSET(t_Shf,,2),"0"&amp;--OFFSET(t_Shf,,2))&amp;IF(--OFFSET(t_Shf,,3)&gt;9,--OFFSET(t_Shf,,3),"0"&amp;--OFFSET(t_Shf,,3))&amp;IF(--OFFSET(t_Shf,,4)&gt;9,--OFFSET(t_Shf,,4),"0"&amp;--OFFSET(t_Shf,,4))&amp;IF(--OFFSET(t_Shf,,5)&gt;9,--OFFSET(t_Shf,,5),"0"&amp;--OFFSET(t_Shf,,5))&amp;IF(--OFFSET(t_Shf,,6)&gt;9,--OFFSET(t_Shf,,6),"0"&amp;--OFFSET(t_Shf,,6))</definedName>
    <definedName name="t_Wkd">WEEKDAY(t_Prd,2)</definedName>
    <definedName name="t_WkdHdw">qHdw*t_Wkd+IF(qHdw=0,IF(t_Wkd=3,4,IF(t_Wkd=7,IF(--ISERROR(MATCH(t_Prd-2,Hdx,0))=0,5,IF(--ISERROR(MATCH(t_Prd+3,Hdx,0))=0,3,1)),1)),0)</definedName>
    <definedName name="txAvgEmp">ROUND(txHsMY/SUM(IF(t_H&gt;0,t_H-(1-qHdHdxPre),IF(t_HHdw&gt;0,t_HHdw-(1-qHdHdxPre),0))*qHd*qHdx),1)</definedName>
    <definedName name="txCell">IF(qEmp,IF(qHd,IF(qHdx,IF(AND(t_H&gt;0,t_lvK=8),OFFSET(id,t_lvK,),IF(OR(t_lvK=1,t_lvK=2),IF(WEEKDAY(t_Dt,2)=7,"",OFFSET(id,t_lvK,)),IF(AND(t_lvK&gt;2,t_lvK&lt;8),OFFSET(id,t_lvK,),IF(t_H&gt;0,t_H-(1-qHdHdxPre),IF(t_HHdw&gt;0,t_HHdw-(1-qHdHdxPre),""))))),OFFSET(id,12,)),OFFSET(id,11,)),OFFSET(id,10,))</definedName>
    <definedName name="txDsM">COUNTIF(Tabel!$G1:$AK1,"&gt;=1")</definedName>
    <definedName name="txDsMY">SUM(IF(t_Hs&gt;0,1,0))</definedName>
    <definedName name="txHsM">SUM(Tabel!$G1:$AK1)</definedName>
    <definedName name="txHsMY">SUM(t_Hs)</definedName>
    <definedName name="txLvM">COUNTIF(Tabel!$G1:$AK1,Tabel!A$16)</definedName>
    <definedName name="txLvY">SUMIFS(lv[[ÖZ MK ]],lv[FIŞ],txNm,lv[Kod],COLUMN()-49)</definedName>
    <definedName name="txNm">INDEX(emp_Nm,t_No)</definedName>
    <definedName name="zMnth">Tabel!$C$13</definedName>
    <definedName name="zYear" localSheetId="0">Yöriqnoma!$M$4</definedName>
    <definedName name="_xlnm.Criteria" localSheetId="4">Tabel!$E$13</definedName>
    <definedName name="_xlnm.Print_Area" localSheetId="4">Tabel!$A$2:$AW$40</definedName>
    <definedName name="Срез_41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</x15:slicerCaches>
    </ext>
  </extLst>
</workbook>
</file>

<file path=xl/calcChain.xml><?xml version="1.0" encoding="utf-8"?>
<calcChain xmlns="http://schemas.openxmlformats.org/spreadsheetml/2006/main">
  <c r="AE11" i="27" l="1"/>
  <c r="AD11" i="27"/>
  <c r="BB13" i="27"/>
  <c r="B27" i="27" l="1"/>
  <c r="D27" i="27" s="1"/>
  <c r="C27" i="27" l="1"/>
  <c r="BE27" i="27"/>
  <c r="BC27" i="27"/>
  <c r="BA27" i="27"/>
  <c r="AY27" i="27"/>
  <c r="BF27" i="27"/>
  <c r="BD27" i="27"/>
  <c r="BB27" i="27"/>
  <c r="AZ27" i="27"/>
  <c r="E27" i="27"/>
  <c r="F27" i="27"/>
  <c r="F18" i="27" l="1"/>
  <c r="F19" i="27"/>
  <c r="F20" i="27"/>
  <c r="F21" i="27"/>
  <c r="F22" i="27"/>
  <c r="F23" i="27"/>
  <c r="F24" i="27"/>
  <c r="F25" i="27"/>
  <c r="F26" i="27"/>
  <c r="E18" i="27" l="1"/>
  <c r="E19" i="27"/>
  <c r="E20" i="27"/>
  <c r="E21" i="27"/>
  <c r="E22" i="27"/>
  <c r="E23" i="27"/>
  <c r="E24" i="27"/>
  <c r="E25" i="27"/>
  <c r="E26" i="27"/>
  <c r="M4" i="9" l="1"/>
  <c r="C11" i="27" l="1"/>
  <c r="BB12" i="27"/>
  <c r="AH16" i="27"/>
  <c r="AD16" i="27"/>
  <c r="Z16" i="27"/>
  <c r="V16" i="27"/>
  <c r="R16" i="27"/>
  <c r="N16" i="27"/>
  <c r="J16" i="27"/>
  <c r="AK16" i="27"/>
  <c r="AG16" i="27"/>
  <c r="AC16" i="27"/>
  <c r="Y16" i="27"/>
  <c r="U16" i="27"/>
  <c r="Q16" i="27"/>
  <c r="M16" i="27"/>
  <c r="I16" i="27"/>
  <c r="AJ16" i="27"/>
  <c r="AF16" i="27"/>
  <c r="AB16" i="27"/>
  <c r="X16" i="27"/>
  <c r="T16" i="27"/>
  <c r="P16" i="27"/>
  <c r="L16" i="27"/>
  <c r="H16" i="27"/>
  <c r="AI16" i="27"/>
  <c r="AE16" i="27"/>
  <c r="AA16" i="27"/>
  <c r="W16" i="27"/>
  <c r="S16" i="27"/>
  <c r="O16" i="27"/>
  <c r="K16" i="27"/>
  <c r="B6" i="24" l="1"/>
  <c r="B10" i="24"/>
  <c r="B7" i="24"/>
  <c r="B11" i="24"/>
  <c r="B8" i="24"/>
  <c r="B12" i="24"/>
  <c r="B9" i="24"/>
  <c r="B13" i="24"/>
  <c r="J2" i="25"/>
  <c r="L2" i="25"/>
  <c r="J4" i="24"/>
  <c r="L5" i="9"/>
  <c r="H13" i="25" l="1"/>
  <c r="G9" i="25"/>
  <c r="G13" i="25"/>
  <c r="G8" i="25"/>
  <c r="G7" i="25"/>
  <c r="G11" i="25"/>
  <c r="H14" i="25"/>
  <c r="G10" i="25"/>
  <c r="G14" i="25"/>
  <c r="G12" i="25"/>
  <c r="H15" i="25"/>
  <c r="AK26" i="27"/>
  <c r="AG26" i="27"/>
  <c r="AC26" i="27"/>
  <c r="Y26" i="27"/>
  <c r="U26" i="27"/>
  <c r="Q26" i="27"/>
  <c r="M26" i="27"/>
  <c r="I26" i="27"/>
  <c r="AJ25" i="27"/>
  <c r="AF25" i="27"/>
  <c r="AB25" i="27"/>
  <c r="X25" i="27"/>
  <c r="T25" i="27"/>
  <c r="P25" i="27"/>
  <c r="L25" i="27"/>
  <c r="H25" i="27"/>
  <c r="AI24" i="27"/>
  <c r="AE24" i="27"/>
  <c r="AA24" i="27"/>
  <c r="W24" i="27"/>
  <c r="S24" i="27"/>
  <c r="O24" i="27"/>
  <c r="K24" i="27"/>
  <c r="G24" i="27"/>
  <c r="AH23" i="27"/>
  <c r="AD23" i="27"/>
  <c r="Z23" i="27"/>
  <c r="V23" i="27"/>
  <c r="R23" i="27"/>
  <c r="N23" i="27"/>
  <c r="J23" i="27"/>
  <c r="H22" i="27"/>
  <c r="L22" i="27"/>
  <c r="P22" i="27"/>
  <c r="T22" i="27"/>
  <c r="X22" i="27"/>
  <c r="AB22" i="27"/>
  <c r="AF22" i="27"/>
  <c r="AJ22" i="27"/>
  <c r="AJ26" i="27"/>
  <c r="AF26" i="27"/>
  <c r="AB26" i="27"/>
  <c r="X26" i="27"/>
  <c r="R26" i="27"/>
  <c r="J26" i="27"/>
  <c r="AG25" i="27"/>
  <c r="Y25" i="27"/>
  <c r="Q25" i="27"/>
  <c r="I25" i="27"/>
  <c r="AF24" i="27"/>
  <c r="X24" i="27"/>
  <c r="P24" i="27"/>
  <c r="H24" i="27"/>
  <c r="AE23" i="27"/>
  <c r="W23" i="27"/>
  <c r="O23" i="27"/>
  <c r="G23" i="27"/>
  <c r="O22" i="27"/>
  <c r="W22" i="27"/>
  <c r="AE22" i="27"/>
  <c r="T26" i="27"/>
  <c r="L26" i="27"/>
  <c r="AI25" i="27"/>
  <c r="AA25" i="27"/>
  <c r="S25" i="27"/>
  <c r="K25" i="27"/>
  <c r="AH24" i="27"/>
  <c r="Z24" i="27"/>
  <c r="R24" i="27"/>
  <c r="J24" i="27"/>
  <c r="AG23" i="27"/>
  <c r="Y23" i="27"/>
  <c r="Q23" i="27"/>
  <c r="I23" i="27"/>
  <c r="M22" i="27"/>
  <c r="U22" i="27"/>
  <c r="AC22" i="27"/>
  <c r="AK22" i="27"/>
  <c r="AG22" i="27"/>
  <c r="AI26" i="27"/>
  <c r="AE26" i="27"/>
  <c r="AA26" i="27"/>
  <c r="W26" i="27"/>
  <c r="S26" i="27"/>
  <c r="O26" i="27"/>
  <c r="K26" i="27"/>
  <c r="G26" i="27"/>
  <c r="AH25" i="27"/>
  <c r="AD25" i="27"/>
  <c r="Z25" i="27"/>
  <c r="V25" i="27"/>
  <c r="R25" i="27"/>
  <c r="N25" i="27"/>
  <c r="J25" i="27"/>
  <c r="AK24" i="27"/>
  <c r="AG24" i="27"/>
  <c r="AC24" i="27"/>
  <c r="Y24" i="27"/>
  <c r="U24" i="27"/>
  <c r="Q24" i="27"/>
  <c r="M24" i="27"/>
  <c r="I24" i="27"/>
  <c r="AJ23" i="27"/>
  <c r="AF23" i="27"/>
  <c r="AB23" i="27"/>
  <c r="X23" i="27"/>
  <c r="T23" i="27"/>
  <c r="P23" i="27"/>
  <c r="L23" i="27"/>
  <c r="H23" i="27"/>
  <c r="J22" i="27"/>
  <c r="N22" i="27"/>
  <c r="R22" i="27"/>
  <c r="V22" i="27"/>
  <c r="Z22" i="27"/>
  <c r="AD22" i="27"/>
  <c r="AH22" i="27"/>
  <c r="G22" i="27"/>
  <c r="AH26" i="27"/>
  <c r="AD26" i="27"/>
  <c r="Z26" i="27"/>
  <c r="V26" i="27"/>
  <c r="N26" i="27"/>
  <c r="AK25" i="27"/>
  <c r="AC25" i="27"/>
  <c r="U25" i="27"/>
  <c r="M25" i="27"/>
  <c r="AJ24" i="27"/>
  <c r="AB24" i="27"/>
  <c r="T24" i="27"/>
  <c r="L24" i="27"/>
  <c r="AI23" i="27"/>
  <c r="AA23" i="27"/>
  <c r="S23" i="27"/>
  <c r="K23" i="27"/>
  <c r="K22" i="27"/>
  <c r="S22" i="27"/>
  <c r="AA22" i="27"/>
  <c r="AI22" i="27"/>
  <c r="P26" i="27"/>
  <c r="H26" i="27"/>
  <c r="AE25" i="27"/>
  <c r="W25" i="27"/>
  <c r="O25" i="27"/>
  <c r="G25" i="27"/>
  <c r="AD24" i="27"/>
  <c r="V24" i="27"/>
  <c r="N24" i="27"/>
  <c r="AK23" i="27"/>
  <c r="AC23" i="27"/>
  <c r="U23" i="27"/>
  <c r="M23" i="27"/>
  <c r="I22" i="27"/>
  <c r="Q22" i="27"/>
  <c r="Y22" i="27"/>
  <c r="H21" i="27"/>
  <c r="H20" i="27"/>
  <c r="H19" i="27"/>
  <c r="H18" i="27"/>
  <c r="H27" i="27"/>
  <c r="H10" i="25"/>
  <c r="H9" i="25"/>
  <c r="H11" i="25"/>
  <c r="H8" i="25"/>
  <c r="H12" i="25"/>
  <c r="H7" i="25"/>
  <c r="G27" i="27"/>
  <c r="K27" i="27"/>
  <c r="O27" i="27"/>
  <c r="S27" i="27"/>
  <c r="W27" i="27"/>
  <c r="AA27" i="27"/>
  <c r="AE27" i="27"/>
  <c r="AW27" i="27"/>
  <c r="BJ27" i="27"/>
  <c r="J27" i="27"/>
  <c r="N27" i="27"/>
  <c r="R27" i="27"/>
  <c r="V27" i="27"/>
  <c r="Z27" i="27"/>
  <c r="AD27" i="27"/>
  <c r="AH27" i="27"/>
  <c r="AV27" i="27"/>
  <c r="BI27" i="27"/>
  <c r="I27" i="27"/>
  <c r="M27" i="27"/>
  <c r="Q27" i="27"/>
  <c r="U27" i="27"/>
  <c r="Y27" i="27"/>
  <c r="AG27" i="27"/>
  <c r="BH27" i="27"/>
  <c r="T27" i="27"/>
  <c r="AB27" i="27"/>
  <c r="BL27" i="27"/>
  <c r="AC27" i="27"/>
  <c r="L27" i="27"/>
  <c r="P27" i="27"/>
  <c r="X27" i="27"/>
  <c r="AF27" i="27"/>
  <c r="BG27" i="27"/>
  <c r="C26" i="27"/>
  <c r="D26" i="27"/>
  <c r="BK27" i="27" l="1"/>
  <c r="C25" i="27"/>
  <c r="D25" i="27"/>
  <c r="G30" i="25" l="1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J30" i="25"/>
  <c r="J31" i="25"/>
  <c r="J32" i="25"/>
  <c r="J33" i="25"/>
  <c r="J34" i="25"/>
  <c r="J35" i="25"/>
  <c r="J36" i="25"/>
  <c r="J37" i="25"/>
  <c r="J38" i="25"/>
  <c r="J39" i="25"/>
  <c r="J40" i="25"/>
  <c r="J41" i="25"/>
  <c r="J42" i="25"/>
  <c r="J43" i="25"/>
  <c r="J44" i="25"/>
  <c r="J45" i="25"/>
  <c r="J46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D18" i="27" l="1"/>
  <c r="D19" i="27"/>
  <c r="D20" i="27"/>
  <c r="D21" i="27"/>
  <c r="D22" i="27"/>
  <c r="D23" i="27"/>
  <c r="D24" i="27"/>
  <c r="C18" i="27"/>
  <c r="C19" i="27"/>
  <c r="C20" i="27"/>
  <c r="C21" i="27"/>
  <c r="C22" i="27"/>
  <c r="C23" i="27"/>
  <c r="C24" i="27"/>
  <c r="H18" i="25" l="1"/>
  <c r="H22" i="25"/>
  <c r="H19" i="25"/>
  <c r="H23" i="25"/>
  <c r="H27" i="25"/>
  <c r="H16" i="25"/>
  <c r="H20" i="25"/>
  <c r="H24" i="25"/>
  <c r="H28" i="25"/>
  <c r="H17" i="25"/>
  <c r="H21" i="25"/>
  <c r="H25" i="25"/>
  <c r="H29" i="25"/>
  <c r="H26" i="25"/>
  <c r="X13" i="27" l="1"/>
  <c r="AD12" i="27"/>
  <c r="AE12" i="27"/>
  <c r="AE13" i="27"/>
  <c r="AD13" i="27"/>
  <c r="J6" i="25" l="1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AZ26" i="27" l="1"/>
  <c r="BD26" i="27"/>
  <c r="BA26" i="27"/>
  <c r="BE26" i="27"/>
  <c r="BA25" i="27"/>
  <c r="BE25" i="27"/>
  <c r="BF25" i="27"/>
  <c r="AY25" i="27"/>
  <c r="AZ25" i="27"/>
  <c r="AY21" i="27"/>
  <c r="AZ21" i="27"/>
  <c r="BA21" i="27"/>
  <c r="BB21" i="27"/>
  <c r="BC21" i="27"/>
  <c r="BD21" i="27"/>
  <c r="BE21" i="27"/>
  <c r="BF21" i="27"/>
  <c r="BC20" i="27"/>
  <c r="BA19" i="27"/>
  <c r="BB19" i="27"/>
  <c r="BC19" i="27"/>
  <c r="BE19" i="27"/>
  <c r="AZ22" i="27"/>
  <c r="BF22" i="27"/>
  <c r="BF23" i="27"/>
  <c r="AZ18" i="27"/>
  <c r="BC18" i="27"/>
  <c r="K29" i="25"/>
  <c r="G29" i="25"/>
  <c r="K25" i="25"/>
  <c r="G25" i="25"/>
  <c r="K21" i="25"/>
  <c r="G21" i="25"/>
  <c r="K17" i="25"/>
  <c r="G17" i="25"/>
  <c r="K26" i="25"/>
  <c r="G26" i="25"/>
  <c r="K20" i="25"/>
  <c r="G20" i="25"/>
  <c r="K16" i="25"/>
  <c r="G16" i="25"/>
  <c r="K22" i="25"/>
  <c r="G22" i="25"/>
  <c r="K18" i="25"/>
  <c r="G18" i="25"/>
  <c r="K28" i="25"/>
  <c r="G28" i="25"/>
  <c r="K24" i="25"/>
  <c r="G24" i="25"/>
  <c r="K27" i="25"/>
  <c r="G27" i="25"/>
  <c r="K23" i="25"/>
  <c r="G23" i="25"/>
  <c r="K19" i="25"/>
  <c r="G19" i="25"/>
  <c r="K15" i="25"/>
  <c r="G15" i="25"/>
  <c r="L26" i="25"/>
  <c r="M26" i="25"/>
  <c r="L29" i="25"/>
  <c r="M29" i="25"/>
  <c r="M25" i="25"/>
  <c r="L25" i="25"/>
  <c r="L21" i="25"/>
  <c r="M21" i="25"/>
  <c r="L17" i="25"/>
  <c r="M17" i="25"/>
  <c r="L24" i="25"/>
  <c r="M24" i="25"/>
  <c r="L20" i="25"/>
  <c r="M20" i="25"/>
  <c r="L16" i="25"/>
  <c r="M16" i="25"/>
  <c r="L28" i="25"/>
  <c r="M28" i="25"/>
  <c r="L27" i="25"/>
  <c r="M27" i="25"/>
  <c r="L23" i="25"/>
  <c r="M23" i="25"/>
  <c r="L19" i="25"/>
  <c r="M19" i="25"/>
  <c r="L15" i="25"/>
  <c r="M15" i="25"/>
  <c r="L22" i="25"/>
  <c r="M22" i="25"/>
  <c r="L18" i="25"/>
  <c r="M18" i="25"/>
  <c r="BF26" i="27" l="1"/>
  <c r="AY26" i="27"/>
  <c r="BC16" i="27"/>
  <c r="BF16" i="27" l="1"/>
  <c r="BE16" i="27"/>
  <c r="BD16" i="27"/>
  <c r="BB16" i="27"/>
  <c r="BA16" i="27"/>
  <c r="AZ16" i="27"/>
  <c r="AY16" i="27"/>
  <c r="AS16" i="27" l="1"/>
  <c r="AR16" i="27"/>
  <c r="AQ16" i="27"/>
  <c r="AP16" i="27"/>
  <c r="AO16" i="27"/>
  <c r="AN16" i="27"/>
  <c r="AM16" i="27"/>
  <c r="AL16" i="27"/>
  <c r="X12" i="27"/>
  <c r="X11" i="27"/>
  <c r="P13" i="27"/>
  <c r="P12" i="27"/>
  <c r="P11" i="27"/>
  <c r="H13" i="27"/>
  <c r="H12" i="27"/>
  <c r="H11" i="27"/>
  <c r="W12" i="27"/>
  <c r="W11" i="27"/>
  <c r="O13" i="27"/>
  <c r="O12" i="27"/>
  <c r="O11" i="27"/>
  <c r="G13" i="27"/>
  <c r="G12" i="27"/>
  <c r="G11" i="27"/>
  <c r="G16" i="27" l="1"/>
  <c r="AK15" i="27"/>
  <c r="AJ15" i="27"/>
  <c r="AI15" i="27"/>
  <c r="AH15" i="27"/>
  <c r="AG15" i="27"/>
  <c r="AF15" i="27"/>
  <c r="AE15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L27" i="24"/>
  <c r="W13" i="27" s="1"/>
  <c r="AJ27" i="27" l="1"/>
  <c r="AI27" i="27"/>
  <c r="AK27" i="27"/>
  <c r="Q12" i="24"/>
  <c r="U12" i="24"/>
  <c r="R12" i="24"/>
  <c r="N12" i="24"/>
  <c r="AB12" i="24"/>
  <c r="P12" i="24"/>
  <c r="M12" i="24"/>
  <c r="V12" i="24"/>
  <c r="L12" i="24"/>
  <c r="Z12" i="24"/>
  <c r="AA12" i="24"/>
  <c r="W12" i="24"/>
  <c r="W10" i="24"/>
  <c r="M9" i="24"/>
  <c r="W9" i="24"/>
  <c r="R9" i="24"/>
  <c r="P10" i="24"/>
  <c r="W8" i="24"/>
  <c r="Z8" i="24"/>
  <c r="Q9" i="24"/>
  <c r="N13" i="24"/>
  <c r="U9" i="24"/>
  <c r="R10" i="24"/>
  <c r="AB8" i="24"/>
  <c r="V9" i="24"/>
  <c r="P13" i="24"/>
  <c r="M10" i="24"/>
  <c r="R13" i="24"/>
  <c r="R8" i="24"/>
  <c r="N10" i="24"/>
  <c r="AA8" i="24"/>
  <c r="L9" i="24"/>
  <c r="Q8" i="24"/>
  <c r="AB13" i="24"/>
  <c r="L8" i="24"/>
  <c r="AB9" i="24"/>
  <c r="V10" i="24"/>
  <c r="N8" i="24"/>
  <c r="Z9" i="24"/>
  <c r="AA13" i="24"/>
  <c r="L10" i="24"/>
  <c r="Q10" i="24"/>
  <c r="P8" i="24"/>
  <c r="U8" i="24"/>
  <c r="M13" i="24"/>
  <c r="AA10" i="24"/>
  <c r="U10" i="24"/>
  <c r="U13" i="24"/>
  <c r="Q13" i="24"/>
  <c r="N9" i="24"/>
  <c r="Z10" i="24"/>
  <c r="W13" i="24"/>
  <c r="M8" i="24"/>
  <c r="V8" i="24"/>
  <c r="AA9" i="24"/>
  <c r="L13" i="24"/>
  <c r="Z13" i="24"/>
  <c r="V13" i="24"/>
  <c r="P9" i="24"/>
  <c r="AB10" i="24"/>
  <c r="AU27" i="27" l="1"/>
  <c r="AT27" i="27"/>
  <c r="AL27" i="27"/>
  <c r="AP27" i="27"/>
  <c r="AM27" i="27"/>
  <c r="AQ27" i="27"/>
  <c r="AN27" i="27"/>
  <c r="AR27" i="27"/>
  <c r="AO27" i="27"/>
  <c r="AS27" i="27"/>
  <c r="S12" i="24"/>
  <c r="X12" i="24"/>
  <c r="O12" i="24"/>
  <c r="AC12" i="24"/>
  <c r="X10" i="24"/>
  <c r="AC13" i="24"/>
  <c r="AC9" i="24"/>
  <c r="O13" i="24"/>
  <c r="X8" i="24"/>
  <c r="S10" i="24"/>
  <c r="X9" i="24"/>
  <c r="S8" i="24"/>
  <c r="O8" i="24"/>
  <c r="AC8" i="24"/>
  <c r="S13" i="24"/>
  <c r="X13" i="24"/>
  <c r="O9" i="24"/>
  <c r="S9" i="24"/>
  <c r="O10" i="24"/>
  <c r="AC10" i="24"/>
  <c r="AD12" i="24" l="1"/>
  <c r="T12" i="24"/>
  <c r="AD13" i="24"/>
  <c r="T10" i="24"/>
  <c r="Y10" i="24" s="1"/>
  <c r="AD10" i="24"/>
  <c r="T13" i="24"/>
  <c r="Y13" i="24" s="1"/>
  <c r="AD9" i="24"/>
  <c r="AD8" i="24"/>
  <c r="T8" i="24"/>
  <c r="Y8" i="24" s="1"/>
  <c r="T9" i="24"/>
  <c r="AE12" i="24" l="1"/>
  <c r="Y12" i="24"/>
  <c r="AE13" i="24"/>
  <c r="AE9" i="24"/>
  <c r="AE10" i="24"/>
  <c r="AE8" i="24"/>
  <c r="Y9" i="24"/>
  <c r="BI21" i="27"/>
  <c r="BI22" i="27"/>
  <c r="BJ19" i="27"/>
  <c r="K9" i="25"/>
  <c r="K10" i="25"/>
  <c r="BD25" i="27" s="1"/>
  <c r="BI18" i="27"/>
  <c r="BH21" i="27"/>
  <c r="K7" i="25"/>
  <c r="L11" i="25"/>
  <c r="M7" i="25"/>
  <c r="BI19" i="27"/>
  <c r="L13" i="25"/>
  <c r="L8" i="25"/>
  <c r="K11" i="25"/>
  <c r="BC22" i="27" s="1"/>
  <c r="K8" i="25"/>
  <c r="BE20" i="27" s="1"/>
  <c r="M8" i="25"/>
  <c r="BJ24" i="27"/>
  <c r="L7" i="25"/>
  <c r="L10" i="25"/>
  <c r="M13" i="25"/>
  <c r="BH23" i="27" s="1"/>
  <c r="BI24" i="27"/>
  <c r="M9" i="25"/>
  <c r="BI23" i="27"/>
  <c r="BJ23" i="27"/>
  <c r="M11" i="25"/>
  <c r="L9" i="25"/>
  <c r="BJ22" i="27"/>
  <c r="M10" i="25"/>
  <c r="BI20" i="27"/>
  <c r="BG21" i="27"/>
  <c r="K13" i="25"/>
  <c r="BD23" i="27" s="1"/>
  <c r="BJ18" i="27"/>
  <c r="BJ21" i="27"/>
  <c r="BJ20" i="27"/>
  <c r="BB23" i="27" l="1"/>
  <c r="BC23" i="27"/>
  <c r="AZ23" i="27"/>
  <c r="BA23" i="27"/>
  <c r="AY23" i="27"/>
  <c r="AY20" i="27"/>
  <c r="BG23" i="27"/>
  <c r="BD24" i="27"/>
  <c r="BE23" i="27"/>
  <c r="BB25" i="27"/>
  <c r="BB20" i="27"/>
  <c r="BA18" i="27"/>
  <c r="BA24" i="27"/>
  <c r="AZ24" i="27"/>
  <c r="BC24" i="27"/>
  <c r="BF24" i="27"/>
  <c r="AY24" i="27"/>
  <c r="BA20" i="27"/>
  <c r="AZ20" i="27"/>
  <c r="AY19" i="27"/>
  <c r="AZ19" i="27"/>
  <c r="BC25" i="27"/>
  <c r="BE24" i="27"/>
  <c r="BA22" i="27"/>
  <c r="BD20" i="27"/>
  <c r="BF20" i="27"/>
  <c r="BF19" i="27"/>
  <c r="G6" i="25"/>
  <c r="M12" i="25"/>
  <c r="BH25" i="27"/>
  <c r="BG20" i="27"/>
  <c r="M6" i="25"/>
  <c r="K6" i="25"/>
  <c r="BE18" i="27" s="1"/>
  <c r="BH20" i="27"/>
  <c r="K12" i="25"/>
  <c r="AY22" i="27" s="1"/>
  <c r="BG25" i="27"/>
  <c r="BE22" i="27" l="1"/>
  <c r="BD18" i="27"/>
  <c r="BB22" i="27"/>
  <c r="BD19" i="27"/>
  <c r="BD22" i="27"/>
  <c r="AY18" i="27"/>
  <c r="BF18" i="27"/>
  <c r="BL19" i="27"/>
  <c r="L12" i="25"/>
  <c r="BL24" i="27"/>
  <c r="BL18" i="27"/>
  <c r="BL23" i="27"/>
  <c r="BL22" i="27"/>
  <c r="BL21" i="27"/>
  <c r="BH22" i="27"/>
  <c r="BG19" i="27"/>
  <c r="BL20" i="27"/>
  <c r="L6" i="25"/>
  <c r="BH19" i="27"/>
  <c r="H6" i="25"/>
  <c r="BK19" i="27" l="1"/>
  <c r="BK21" i="27"/>
  <c r="BK20" i="27"/>
  <c r="BK23" i="27"/>
  <c r="BG22" i="27"/>
  <c r="BK22" i="27" l="1"/>
  <c r="AW22" i="27"/>
  <c r="AW19" i="27"/>
  <c r="J19" i="27"/>
  <c r="P19" i="27"/>
  <c r="AI20" i="27"/>
  <c r="AA18" i="27"/>
  <c r="L19" i="27"/>
  <c r="T19" i="27"/>
  <c r="R18" i="27"/>
  <c r="AV20" i="27"/>
  <c r="G21" i="27"/>
  <c r="I18" i="27"/>
  <c r="M18" i="27"/>
  <c r="Y18" i="27"/>
  <c r="AG18" i="27"/>
  <c r="AF19" i="27"/>
  <c r="AW21" i="27"/>
  <c r="AG19" i="27"/>
  <c r="AH20" i="27"/>
  <c r="K18" i="27"/>
  <c r="S21" i="27"/>
  <c r="P21" i="27"/>
  <c r="U19" i="27"/>
  <c r="R20" i="27"/>
  <c r="Q18" i="27"/>
  <c r="K20" i="27"/>
  <c r="U18" i="27"/>
  <c r="AW23" i="27"/>
  <c r="AW20" i="27"/>
  <c r="AW18" i="27"/>
  <c r="AG21" i="27"/>
  <c r="AB18" i="27"/>
  <c r="W18" i="27"/>
  <c r="I21" i="27"/>
  <c r="W20" i="27"/>
  <c r="G20" i="27"/>
  <c r="AW24" i="27"/>
  <c r="AK19" i="27"/>
  <c r="AD21" i="27"/>
  <c r="AA19" i="27"/>
  <c r="W21" i="27"/>
  <c r="V19" i="27"/>
  <c r="J21" i="27"/>
  <c r="AC19" i="27"/>
  <c r="AF18" i="27"/>
  <c r="S18" i="27"/>
  <c r="AE18" i="27"/>
  <c r="R21" i="27"/>
  <c r="AC20" i="27"/>
  <c r="AH19" i="27"/>
  <c r="T21" i="27"/>
  <c r="L20" i="27"/>
  <c r="O18" i="27"/>
  <c r="T20" i="27"/>
  <c r="Y19" i="27"/>
  <c r="AV19" i="27"/>
  <c r="K21" i="27"/>
  <c r="AV23" i="27"/>
  <c r="L18" i="27"/>
  <c r="S19" i="27"/>
  <c r="Y21" i="27"/>
  <c r="AD18" i="27"/>
  <c r="AD20" i="27"/>
  <c r="V20" i="27"/>
  <c r="O20" i="27"/>
  <c r="AE21" i="27"/>
  <c r="AB20" i="27"/>
  <c r="R19" i="27"/>
  <c r="L21" i="27"/>
  <c r="AI19" i="27"/>
  <c r="AH18" i="27"/>
  <c r="AB19" i="27"/>
  <c r="U20" i="27"/>
  <c r="V18" i="27"/>
  <c r="AD19" i="27"/>
  <c r="Z21" i="27"/>
  <c r="N19" i="27"/>
  <c r="I19" i="27"/>
  <c r="Q19" i="27"/>
  <c r="AV24" i="27"/>
  <c r="X19" i="27"/>
  <c r="N21" i="27"/>
  <c r="AJ21" i="27"/>
  <c r="AG20" i="27"/>
  <c r="Q20" i="27"/>
  <c r="AA20" i="27"/>
  <c r="Z20" i="27"/>
  <c r="AJ18" i="27"/>
  <c r="AC21" i="27"/>
  <c r="AI21" i="27"/>
  <c r="K19" i="27"/>
  <c r="Z19" i="27"/>
  <c r="N20" i="27"/>
  <c r="S20" i="27"/>
  <c r="AK20" i="27"/>
  <c r="AC18" i="27"/>
  <c r="P18" i="27"/>
  <c r="AE19" i="27"/>
  <c r="Y20" i="27"/>
  <c r="AK18" i="27"/>
  <c r="W19" i="27"/>
  <c r="X20" i="27"/>
  <c r="X21" i="27"/>
  <c r="AJ19" i="27"/>
  <c r="V21" i="27"/>
  <c r="AF20" i="27"/>
  <c r="I20" i="27"/>
  <c r="T18" i="27"/>
  <c r="G18" i="27"/>
  <c r="G19" i="27"/>
  <c r="Q21" i="27"/>
  <c r="M19" i="27"/>
  <c r="AE20" i="27"/>
  <c r="AF21" i="27"/>
  <c r="N18" i="27"/>
  <c r="O19" i="27"/>
  <c r="J20" i="27"/>
  <c r="J18" i="27"/>
  <c r="AK21" i="27"/>
  <c r="AA21" i="27"/>
  <c r="M20" i="27"/>
  <c r="AB21" i="27"/>
  <c r="AV21" i="27"/>
  <c r="X18" i="27"/>
  <c r="M21" i="27"/>
  <c r="O21" i="27"/>
  <c r="AI18" i="27"/>
  <c r="U21" i="27"/>
  <c r="P20" i="27"/>
  <c r="AV22" i="27"/>
  <c r="Z18" i="27"/>
  <c r="AH21" i="27"/>
  <c r="AJ20" i="27"/>
  <c r="AV18" i="27"/>
  <c r="AO23" i="27" l="1"/>
  <c r="AQ23" i="27"/>
  <c r="AP23" i="27"/>
  <c r="AU23" i="27"/>
  <c r="AL23" i="27"/>
  <c r="AR23" i="27"/>
  <c r="AT23" i="27"/>
  <c r="AN23" i="27"/>
  <c r="AS23" i="27"/>
  <c r="AM23" i="27"/>
  <c r="AU19" i="27"/>
  <c r="AL19" i="27"/>
  <c r="AR19" i="27"/>
  <c r="AM19" i="27"/>
  <c r="AT19" i="27"/>
  <c r="AS19" i="27"/>
  <c r="AP19" i="27"/>
  <c r="AO19" i="27"/>
  <c r="AQ19" i="27"/>
  <c r="AN19" i="27"/>
  <c r="AU21" i="27"/>
  <c r="AQ21" i="27"/>
  <c r="AT21" i="27"/>
  <c r="AR21" i="27"/>
  <c r="AO21" i="27"/>
  <c r="AP21" i="27"/>
  <c r="AS21" i="27"/>
  <c r="AN21" i="27"/>
  <c r="AM21" i="27"/>
  <c r="AL21" i="27"/>
  <c r="AR22" i="27"/>
  <c r="AP22" i="27"/>
  <c r="AO22" i="27"/>
  <c r="AL22" i="27"/>
  <c r="AT22" i="27"/>
  <c r="AN22" i="27"/>
  <c r="AM22" i="27"/>
  <c r="AS22" i="27"/>
  <c r="AU22" i="27"/>
  <c r="AQ22" i="27"/>
  <c r="AO20" i="27"/>
  <c r="AN20" i="27"/>
  <c r="AP20" i="27"/>
  <c r="AU20" i="27"/>
  <c r="AT20" i="27"/>
  <c r="AR20" i="27"/>
  <c r="AM20" i="27"/>
  <c r="AL20" i="27"/>
  <c r="AS20" i="27"/>
  <c r="AQ20" i="27"/>
  <c r="AU18" i="27"/>
  <c r="AP18" i="27"/>
  <c r="AM18" i="27"/>
  <c r="AS18" i="27"/>
  <c r="AL18" i="27"/>
  <c r="AT18" i="27"/>
  <c r="AR18" i="27"/>
  <c r="AN18" i="27"/>
  <c r="AO18" i="27"/>
  <c r="AQ18" i="27"/>
  <c r="AU24" i="27"/>
  <c r="AQ24" i="27"/>
  <c r="AN24" i="27"/>
  <c r="AO24" i="27"/>
  <c r="AL24" i="27"/>
  <c r="AM24" i="27"/>
  <c r="AT24" i="27"/>
  <c r="AS24" i="27"/>
  <c r="AR24" i="27"/>
  <c r="AP24" i="27"/>
  <c r="BI25" i="27"/>
  <c r="AV25" i="27"/>
  <c r="AW25" i="27"/>
  <c r="BL25" i="27"/>
  <c r="BJ25" i="27"/>
  <c r="AS25" i="27" l="1"/>
  <c r="AQ25" i="27"/>
  <c r="AO25" i="27"/>
  <c r="AM25" i="27"/>
  <c r="AR25" i="27"/>
  <c r="AP25" i="27"/>
  <c r="AN25" i="27"/>
  <c r="AL25" i="27"/>
  <c r="AT25" i="27"/>
  <c r="AU25" i="27"/>
  <c r="BK25" i="27"/>
  <c r="BL26" i="27"/>
  <c r="BI26" i="27"/>
  <c r="BJ26" i="27"/>
  <c r="AW26" i="27"/>
  <c r="AV26" i="27"/>
  <c r="BJ13" i="27" l="1"/>
  <c r="AT26" i="27"/>
  <c r="AM26" i="27"/>
  <c r="AQ26" i="27"/>
  <c r="AP26" i="27"/>
  <c r="AL26" i="27"/>
  <c r="AS26" i="27"/>
  <c r="AR26" i="27"/>
  <c r="AU26" i="27"/>
  <c r="AO26" i="27"/>
  <c r="AN26" i="27"/>
  <c r="BL13" i="27"/>
  <c r="BI13" i="27"/>
  <c r="M14" i="25"/>
  <c r="L14" i="25"/>
  <c r="K14" i="25"/>
  <c r="BB24" i="27" s="1"/>
  <c r="BH18" i="27" l="1"/>
  <c r="BH24" i="27"/>
  <c r="BG18" i="27"/>
  <c r="BK18" i="27" s="1"/>
  <c r="BG24" i="27"/>
  <c r="BK24" i="27" s="1"/>
  <c r="BB26" i="27"/>
  <c r="BB18" i="27"/>
  <c r="BG26" i="27"/>
  <c r="BC26" i="27"/>
  <c r="BH26" i="27"/>
  <c r="BG13" i="27" l="1"/>
  <c r="BK26" i="27"/>
  <c r="BH13" i="27"/>
</calcChain>
</file>

<file path=xl/sharedStrings.xml><?xml version="1.0" encoding="utf-8"?>
<sst xmlns="http://schemas.openxmlformats.org/spreadsheetml/2006/main" count="314" uniqueCount="247">
  <si>
    <t>1.</t>
  </si>
  <si>
    <t>2.</t>
  </si>
  <si>
    <t>3.</t>
  </si>
  <si>
    <t xml:space="preserve">● </t>
  </si>
  <si>
    <t>4.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</si>
  <si>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</si>
  <si>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</si>
  <si>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</si>
  <si>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</si>
  <si>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</si>
  <si>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</si>
  <si>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</si>
  <si>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</si>
  <si>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</si>
  <si>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</si>
  <si>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</si>
  <si>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</si>
  <si>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</si>
  <si>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</si>
  <si>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</si>
  <si>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</si>
  <si>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</si>
  <si>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</si>
  <si>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</si>
  <si>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</si>
  <si>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</si>
  <si>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</si>
  <si>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</si>
  <si>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</si>
  <si>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</si>
  <si>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</si>
  <si>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</si>
  <si>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</si>
  <si>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</si>
  <si>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</si>
  <si>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51</t>
  </si>
  <si>
    <t>52</t>
  </si>
  <si>
    <t>53</t>
  </si>
  <si>
    <t>54</t>
  </si>
  <si>
    <t>55</t>
  </si>
  <si>
    <t>42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</si>
  <si>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</si>
  <si>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</si>
  <si>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</si>
  <si>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</si>
  <si>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</si>
  <si>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</si>
  <si>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</si>
  <si>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</si>
  <si>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</si>
  <si>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</si>
  <si>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</si>
  <si>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45</t>
  </si>
  <si>
    <t>46</t>
  </si>
  <si>
    <t>47</t>
  </si>
  <si>
    <t>48</t>
  </si>
  <si>
    <t>49</t>
  </si>
  <si>
    <t>50</t>
  </si>
  <si>
    <t>56</t>
  </si>
  <si>
    <t>57</t>
  </si>
  <si>
    <t>58</t>
  </si>
  <si>
    <t>59</t>
  </si>
  <si>
    <t>60</t>
  </si>
  <si>
    <t>61</t>
  </si>
  <si>
    <t>0</t>
  </si>
  <si>
    <t>62</t>
  </si>
  <si>
    <t>44</t>
  </si>
  <si>
    <t>№</t>
  </si>
  <si>
    <t>%</t>
  </si>
  <si>
    <t>63</t>
  </si>
  <si>
    <t>Yil</t>
  </si>
  <si>
    <t>Oy</t>
  </si>
  <si>
    <t>Jami</t>
  </si>
  <si>
    <t>Kun</t>
  </si>
  <si>
    <t>Soat</t>
  </si>
  <si>
    <t>Qurbon Hayit</t>
  </si>
  <si>
    <t>Ramazon va</t>
  </si>
  <si>
    <t>6-kunlik iş haftasi</t>
  </si>
  <si>
    <t>5-kunlik iş haftasi</t>
  </si>
  <si>
    <t>Iş kuni</t>
  </si>
  <si>
    <t xml:space="preserve"> HAR YILLIK DAM OLIŞ KUNLARI</t>
  </si>
  <si>
    <t>SOZLAŞ</t>
  </si>
  <si>
    <t>Yangi Yil</t>
  </si>
  <si>
    <t>Navröz</t>
  </si>
  <si>
    <t>Yangi Yil (keyingi yil)</t>
  </si>
  <si>
    <t>md133-md148</t>
  </si>
  <si>
    <t>md233</t>
  </si>
  <si>
    <t>md285</t>
  </si>
  <si>
    <t>md131</t>
  </si>
  <si>
    <t>qöşimça tatil</t>
  </si>
  <si>
    <t>homiladorlik va tuğiş</t>
  </si>
  <si>
    <t>Dam oliş kuni</t>
  </si>
  <si>
    <t>bola parvarişlaş</t>
  </si>
  <si>
    <t>tölovsiz tatil</t>
  </si>
  <si>
    <t>talim/ijodiy tatil</t>
  </si>
  <si>
    <t>bayram</t>
  </si>
  <si>
    <t>qöşimça dam oliş kuni</t>
  </si>
  <si>
    <t>Mamuriyat</t>
  </si>
  <si>
    <t>Işlab çiqariş</t>
  </si>
  <si>
    <t>Sotiş</t>
  </si>
  <si>
    <t>KN</t>
  </si>
  <si>
    <t>ST</t>
  </si>
  <si>
    <t>I</t>
  </si>
  <si>
    <t>YÖQLIK</t>
  </si>
  <si>
    <t>Aliev Ali</t>
  </si>
  <si>
    <t>Böriev Böri</t>
  </si>
  <si>
    <t>Valiev Vali</t>
  </si>
  <si>
    <t>Ğaniev Ğani</t>
  </si>
  <si>
    <t>Donoeva Dono</t>
  </si>
  <si>
    <t>Soliev Soli</t>
  </si>
  <si>
    <t>Borşev Afanasiy</t>
  </si>
  <si>
    <t>Velyurov Arkadiy</t>
  </si>
  <si>
    <t>Soatvoev Soatvoy</t>
  </si>
  <si>
    <t>FIŞ</t>
  </si>
  <si>
    <t>Tab №</t>
  </si>
  <si>
    <t>Lavozim</t>
  </si>
  <si>
    <t>Du</t>
  </si>
  <si>
    <t>Se</t>
  </si>
  <si>
    <t>Ço</t>
  </si>
  <si>
    <t>Pa</t>
  </si>
  <si>
    <t>Ju</t>
  </si>
  <si>
    <t>Şa</t>
  </si>
  <si>
    <t>Ya</t>
  </si>
  <si>
    <t>dan</t>
  </si>
  <si>
    <t>gaça</t>
  </si>
  <si>
    <t>Yöqlık</t>
  </si>
  <si>
    <t>Jami Kun</t>
  </si>
  <si>
    <t>Kod</t>
  </si>
  <si>
    <t>Işga çiqiş</t>
  </si>
  <si>
    <t>XODIMLAR VA IŞ GRAFIGI</t>
  </si>
  <si>
    <t>dam oliş kuni</t>
  </si>
  <si>
    <t>BÖLIM (XARAJAT MARKAZI)</t>
  </si>
  <si>
    <t>III</t>
  </si>
  <si>
    <t>II</t>
  </si>
  <si>
    <t>IV</t>
  </si>
  <si>
    <t>1 yy</t>
  </si>
  <si>
    <t>9 oy</t>
  </si>
  <si>
    <t>2 yy</t>
  </si>
  <si>
    <t>ik6</t>
  </si>
  <si>
    <t>ik</t>
  </si>
  <si>
    <t>kk</t>
  </si>
  <si>
    <t>közda tutilmagan</t>
  </si>
  <si>
    <t>Belgi</t>
  </si>
  <si>
    <t>Qisqa Izoh</t>
  </si>
  <si>
    <t>ÖZ MK moddaları</t>
  </si>
  <si>
    <t xml:space="preserve">ÖZ MK </t>
  </si>
  <si>
    <t>ÖZ MK</t>
  </si>
  <si>
    <t>YÖQLIK KUN BELGILARI</t>
  </si>
  <si>
    <t>Yöqlik turi</t>
  </si>
  <si>
    <t>kuni</t>
  </si>
  <si>
    <t>Muddat (içida)</t>
  </si>
  <si>
    <t>Işga qabul</t>
  </si>
  <si>
    <t>Böşatilış</t>
  </si>
  <si>
    <t xml:space="preserve">kuni </t>
  </si>
  <si>
    <t>YIL IŞ VAQTI HISOBI</t>
  </si>
  <si>
    <t>Xotin-qizlar kuni</t>
  </si>
  <si>
    <t>Xotira va qadrlaş kuni</t>
  </si>
  <si>
    <t>Mustaqillik kuni</t>
  </si>
  <si>
    <t>Öqituvçi va murabbiylar kuni</t>
  </si>
  <si>
    <t>Kontstitusiya kuni</t>
  </si>
  <si>
    <t>İşladi</t>
  </si>
  <si>
    <t>Yöqlık jami, ÖZ MK hısobida</t>
  </si>
  <si>
    <t>STATISTIKA</t>
  </si>
  <si>
    <t>yil</t>
  </si>
  <si>
    <t>oylik</t>
  </si>
  <si>
    <t xml:space="preserve"> Jami iş vaqti</t>
  </si>
  <si>
    <t xml:space="preserve"> Jami vaqt</t>
  </si>
  <si>
    <t>Birlik</t>
  </si>
  <si>
    <t>işçi soni</t>
  </si>
  <si>
    <t>Örtaça</t>
  </si>
  <si>
    <t xml:space="preserve">Aktivlaştirmoqçi bölgan yil: </t>
  </si>
  <si>
    <t xml:space="preserve">Fayldagi aktiv yil: </t>
  </si>
  <si>
    <t>Boşlanğiç yil 2012.</t>
  </si>
  <si>
    <t>Tabel yilini özgartiriş uçun quyidagilarni bajaring:</t>
  </si>
  <si>
    <t xml:space="preserve">1- Bizning feysbukdagi sahifamızga kirib yöqti (like/нравиться) tugmasini bosing, yoki uz sahifangizda publikasiyalarimiz bilan bölişing (share/поделиться), yöki  5 yulduz bilan baholang: </t>
  </si>
  <si>
    <t>2- Sahifamizfa "timex pass" matnli saxsiy habar (личное сообщение) jönating. Yuqorida sizga berilgan aktivlaştiriş kodini kiriting.</t>
  </si>
  <si>
    <t>3- Siz aktivlaştirmoqçi bölgan yilnı ikkinçi sariq katakçaga kiriting.</t>
  </si>
  <si>
    <t>Aktivlaştiriş kodini kiriting:</t>
  </si>
  <si>
    <t>SAHIFALAR</t>
  </si>
  <si>
    <t>JADVALLAR</t>
  </si>
  <si>
    <t>Jadval oxirgi qatorida  «JAMI» körsatilmagan bölsa, oxirgidan keyingi qatorga malumot kiritişni boşlang, jadval avtomatik ravişda uzayadi (ENTER yoki TAB ham qöl keladı).</t>
  </si>
  <si>
    <t>Jadvalni öng past burçagidagi markerni pastga tortib qatorlar sonini köpaytiriş mumkin.</t>
  </si>
  <si>
    <t>Maus(siçqon)ning öng tugmasiga bosib çiqadigan menyuda 'Вставить', keyin — "Строки таблицы выше/Строки таблицы ниже" ni bosib jadval orasiga qator qöşiş mumkin.</t>
  </si>
  <si>
    <t>FORMATLAŞ, FORMULALAR</t>
  </si>
  <si>
    <t>Yöriqnoma sahifasi parol bilan muhofaza qilingan. Sahifa paroli berilmaydı.</t>
  </si>
  <si>
    <t>Jadvallardagi va boşqa kataklardagı matnlarni, ustunlar sarlavhalarini özgartirişingiz mumkin. Formulalarga ehtiyot bölıng.</t>
  </si>
  <si>
    <t>Mehnat Kodeksi talablariga muvofiq iş vaqti hisobi. Bayramlar, özgargan dam oliş kunları, bayram oldi soatlar kamaytirilişi, iş tatillari va boşqa yöqlıklarning maoş kunida va kalendar kunida hisoblanişi formulalar bilan avtomatlaştirilgan.</t>
  </si>
  <si>
    <t>Tabel teskarisiga töldiriladi. Yani yoqliklar bölsa kiritiladi, xodim işga çiqgan kunlar avtomatık ravişda töladi. Şu bilan tabel tuzilişi tez va oson böladi.</t>
  </si>
  <si>
    <r>
      <rPr>
        <b/>
        <sz val="11"/>
        <color theme="4" tint="-0.499984740745262"/>
        <rFont val="Times New Roman"/>
        <family val="1"/>
        <charset val="204"/>
      </rPr>
      <t>XODIM.</t>
    </r>
    <r>
      <rPr>
        <sz val="11"/>
        <color theme="4" tint="-0.499984740745262"/>
        <rFont val="Times New Roman"/>
        <family val="1"/>
        <charset val="204"/>
      </rPr>
      <t xml:space="preserve"> Xodımlar ismi şarifi va boşqa maşumotlar kiritilsin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Tabel raqamı</t>
    </r>
    <r>
      <rPr>
        <sz val="11"/>
        <color theme="1"/>
        <rFont val="Times New Roman"/>
        <family val="1"/>
        <charset val="204"/>
      </rPr>
      <t xml:space="preserve"> muhim, çunki şu raqamlar orqali formular va boşqa jadvallar  boğlangan.</t>
    </r>
  </si>
  <si>
    <r>
      <rPr>
        <b/>
        <sz val="11"/>
        <color theme="1"/>
        <rFont val="Times New Roman"/>
        <family val="1"/>
        <charset val="204"/>
      </rPr>
      <t>Işga qabul/böşaş</t>
    </r>
    <r>
      <rPr>
        <sz val="11"/>
        <color theme="1"/>
        <rFont val="Times New Roman"/>
        <family val="1"/>
        <charset val="204"/>
      </rPr>
      <t xml:space="preserve"> tarihlarini körsatilmaganda tabel jadvalida doimo amaldagi xodim sifatida körinadi</t>
    </r>
    <r>
      <rPr>
        <i/>
        <sz val="11"/>
        <color theme="1"/>
        <rFont val="Times New Roman"/>
        <family val="1"/>
        <charset val="204"/>
      </rPr>
      <t>.</t>
    </r>
    <r>
      <rPr>
        <sz val="11"/>
        <color theme="1"/>
        <rFont val="Times New Roman"/>
        <family val="1"/>
        <charset val="204"/>
      </rPr>
      <t xml:space="preserve"> Korxonadagi</t>
    </r>
    <r>
      <rPr>
        <b/>
        <sz val="11"/>
        <color theme="1"/>
        <rFont val="Times New Roman"/>
        <family val="1"/>
        <charset val="204"/>
      </rPr>
      <t xml:space="preserve"> umumbegilangan iş grafiginı tanlang</t>
    </r>
    <r>
      <rPr>
        <sz val="11"/>
        <color theme="1"/>
        <rFont val="Times New Roman"/>
        <family val="1"/>
        <charset val="204"/>
      </rPr>
      <t xml:space="preserve">. Agarda qaysidir xodim uçun </t>
    </r>
    <r>
      <rPr>
        <b/>
        <sz val="11"/>
        <color theme="1"/>
        <rFont val="Times New Roman"/>
        <family val="1"/>
        <charset val="204"/>
      </rPr>
      <t>xususiy(individual) grafik</t>
    </r>
    <r>
      <rPr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 xml:space="preserve">(tula bölmagan iş haftas, töla bölmagan iş kuni) </t>
    </r>
    <r>
      <rPr>
        <sz val="11"/>
        <color theme="1"/>
        <rFont val="Times New Roman"/>
        <family val="1"/>
        <charset val="204"/>
      </rPr>
      <t>közda tutilgan bölsa taaluqli hafta kunlari uçun soat miqdorinı kiriting.</t>
    </r>
  </si>
  <si>
    <r>
      <rPr>
        <b/>
        <sz val="11"/>
        <color theme="4" tint="-0.499984740745262"/>
        <rFont val="Times New Roman"/>
        <family val="1"/>
        <charset val="204"/>
      </rPr>
      <t xml:space="preserve">SOZLAŞ. </t>
    </r>
    <r>
      <rPr>
        <b/>
        <sz val="11"/>
        <rFont val="Times New Roman"/>
        <family val="1"/>
        <charset val="204"/>
      </rPr>
      <t>Joriy yil iş vaqti hisobi</t>
    </r>
    <r>
      <rPr>
        <sz val="11"/>
        <rFont val="Times New Roman"/>
        <family val="1"/>
        <charset val="204"/>
      </rPr>
      <t xml:space="preserve">ni Mehnat Vazirligi tarafidan çiqaraladigan şakl bilan soliştirib töğriligini tekşiring. </t>
    </r>
    <r>
      <rPr>
        <b/>
        <sz val="11"/>
        <rFont val="Times New Roman"/>
        <family val="1"/>
        <charset val="204"/>
      </rPr>
      <t>Bayram</t>
    </r>
    <r>
      <rPr>
        <sz val="11"/>
        <rFont val="Times New Roman"/>
        <family val="1"/>
        <charset val="204"/>
      </rPr>
      <t xml:space="preserve"> kunlari va </t>
    </r>
    <r>
      <rPr>
        <b/>
        <sz val="11"/>
        <rFont val="Times New Roman"/>
        <family val="1"/>
        <charset val="204"/>
      </rPr>
      <t>qöşimça dam oliş kunlari</t>
    </r>
    <r>
      <rPr>
        <sz val="11"/>
        <rFont val="Times New Roman"/>
        <family val="1"/>
        <charset val="204"/>
      </rPr>
      <t xml:space="preserve">da özgarişlarni kiriting. </t>
    </r>
    <r>
      <rPr>
        <b/>
        <sz val="11"/>
        <rFont val="Times New Roman"/>
        <family val="1"/>
        <charset val="204"/>
      </rPr>
      <t>Bölim</t>
    </r>
    <r>
      <rPr>
        <sz val="11"/>
        <rFont val="Times New Roman"/>
        <family val="1"/>
        <charset val="204"/>
      </rPr>
      <t xml:space="preserve"> nomlarinı kiriting.</t>
    </r>
  </si>
  <si>
    <r>
      <rPr>
        <b/>
        <sz val="11"/>
        <color theme="4" tint="-0.499984740745262"/>
        <rFont val="Times New Roman"/>
        <family val="1"/>
        <charset val="204"/>
      </rPr>
      <t>YÖQLIK.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FIŞ</t>
    </r>
    <r>
      <rPr>
        <sz val="11"/>
        <color theme="1"/>
        <rFont val="Times New Roman"/>
        <family val="1"/>
        <charset val="204"/>
      </rPr>
      <t xml:space="preserve"> tanlang. </t>
    </r>
    <r>
      <rPr>
        <b/>
        <sz val="11"/>
        <color theme="1"/>
        <rFont val="Times New Roman"/>
        <family val="1"/>
        <charset val="204"/>
      </rPr>
      <t>Yöqlik turi</t>
    </r>
    <r>
      <rPr>
        <sz val="11"/>
        <color theme="1"/>
        <rFont val="Times New Roman"/>
        <family val="1"/>
        <charset val="204"/>
      </rPr>
      <t xml:space="preserve">ni tanlang. </t>
    </r>
    <r>
      <rPr>
        <b/>
        <sz val="11"/>
        <color theme="1"/>
        <rFont val="Times New Roman"/>
        <family val="1"/>
        <charset val="204"/>
      </rPr>
      <t>Muddat</t>
    </r>
    <r>
      <rPr>
        <sz val="11"/>
        <color theme="1"/>
        <rFont val="Times New Roman"/>
        <family val="1"/>
        <charset val="204"/>
      </rPr>
      <t xml:space="preserve">larni kiriting. </t>
    </r>
  </si>
  <si>
    <r>
      <rPr>
        <b/>
        <sz val="11"/>
        <color theme="4" tint="-0.499984740745262"/>
        <rFont val="Times New Roman"/>
        <family val="1"/>
        <charset val="204"/>
      </rPr>
      <t>TABEL.</t>
    </r>
    <r>
      <rPr>
        <sz val="11"/>
        <color theme="4" tint="-0.499984740745262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Korxona nomi</t>
    </r>
    <r>
      <rPr>
        <sz val="11"/>
        <rFont val="Times New Roman"/>
        <family val="1"/>
        <charset val="204"/>
      </rPr>
      <t>ni kiriting</t>
    </r>
    <r>
      <rPr>
        <b/>
        <sz val="11"/>
        <rFont val="Times New Roman"/>
        <family val="1"/>
        <charset val="204"/>
      </rPr>
      <t>. Oy</t>
    </r>
    <r>
      <rPr>
        <sz val="11"/>
        <rFont val="Times New Roman"/>
        <family val="1"/>
        <charset val="204"/>
      </rPr>
      <t xml:space="preserve"> tanlang</t>
    </r>
    <r>
      <rPr>
        <b/>
        <sz val="11"/>
        <rFont val="Times New Roman"/>
        <family val="1"/>
        <charset val="204"/>
      </rPr>
      <t>. Qatorlar</t>
    </r>
    <r>
      <rPr>
        <sz val="11"/>
        <rFont val="Times New Roman"/>
        <family val="1"/>
        <charset val="204"/>
      </rPr>
      <t xml:space="preserve">da xodimlarning </t>
    </r>
    <r>
      <rPr>
        <b/>
        <sz val="11"/>
        <rFont val="Times New Roman"/>
        <family val="1"/>
        <charset val="204"/>
      </rPr>
      <t>tabel nomer</t>
    </r>
    <r>
      <rPr>
        <sz val="11"/>
        <rFont val="Times New Roman"/>
        <family val="1"/>
        <charset val="204"/>
      </rPr>
      <t>ini tuşar ruyxatdan tanlab kiriting.</t>
    </r>
  </si>
  <si>
    <r>
      <t xml:space="preserve">Bexosdan uzgartiriş oldini oliş uçun sahifalarga muhofaza quyilgan. Muhozafani olib taşlaş uçun </t>
    </r>
    <r>
      <rPr>
        <b/>
        <sz val="11"/>
        <color theme="1"/>
        <rFont val="Times New Roman"/>
        <family val="1"/>
        <charset val="204"/>
      </rPr>
      <t>"СНЯТЬ ЗАЩИТУ ЛИСТА" ni bosib, parol kiritmasdan</t>
    </r>
    <r>
      <rPr>
        <sz val="11"/>
        <color theme="1"/>
        <rFont val="Times New Roman"/>
        <family val="1"/>
        <charset val="204"/>
      </rPr>
      <t xml:space="preserve"> muhofazani yeching.</t>
    </r>
  </si>
  <si>
    <t xml:space="preserve"> q HAYIT VA KÖÇIRILGAN DAM OLIŞ KUNLARINI KIRITING</t>
  </si>
  <si>
    <t>md136, md230, md232 1qism</t>
  </si>
  <si>
    <t>md234, md235</t>
  </si>
  <si>
    <t>md256, md258</t>
  </si>
  <si>
    <t>md150, md232 2qism, md234, md254</t>
  </si>
  <si>
    <t>at</t>
  </si>
  <si>
    <t>asosiy mehnat tatili</t>
  </si>
  <si>
    <t>qt</t>
  </si>
  <si>
    <t>ht</t>
  </si>
  <si>
    <t>bp</t>
  </si>
  <si>
    <t>it</t>
  </si>
  <si>
    <t>tt</t>
  </si>
  <si>
    <t>s</t>
  </si>
  <si>
    <t>b</t>
  </si>
  <si>
    <t>o'qituvchi</t>
  </si>
  <si>
    <t>katta o'qituvchi</t>
  </si>
  <si>
    <t>i.f.n. katta o'qituvchi</t>
  </si>
  <si>
    <t>kafedra mudiri</t>
  </si>
  <si>
    <t>Umumiy grafik</t>
  </si>
  <si>
    <t xml:space="preserve">Xususiy grafik </t>
  </si>
  <si>
    <t>Stavka</t>
  </si>
  <si>
    <t xml:space="preserve">  manbasi</t>
  </si>
  <si>
    <t>To'lov</t>
  </si>
  <si>
    <t>KONTRAKT</t>
  </si>
  <si>
    <t>BUDJET</t>
  </si>
  <si>
    <t>410</t>
  </si>
  <si>
    <t>411</t>
  </si>
  <si>
    <t>manbasi</t>
  </si>
  <si>
    <t>"TASDIQLAYMAN"</t>
  </si>
  <si>
    <t>Termiz davlat universiteti</t>
  </si>
  <si>
    <t>O'quv ishlari prorektori_________ O'.Axmedov</t>
  </si>
  <si>
    <t>Termiz davlat universiteti Iqtisodiyot va turizm fakulteti Moliya kafedrasi professor-o'qituvchilarining</t>
  </si>
  <si>
    <t>ish vaqtini hisobga olish tabeli</t>
  </si>
  <si>
    <t>Gadayshayev M.</t>
  </si>
  <si>
    <t>Iqtisodiyot va turizm fakulteti dekani:</t>
  </si>
  <si>
    <t>Moliya reja bo'limi boshlig'i:</t>
  </si>
  <si>
    <t>Xursandov N.</t>
  </si>
  <si>
    <t>O'quv metodik boshqarma boshlig'i:</t>
  </si>
  <si>
    <t>Mustafoyev U.</t>
  </si>
  <si>
    <t>Kadrlar bo'limi boshlig'i:</t>
  </si>
  <si>
    <t>Haqqulov Yu.</t>
  </si>
  <si>
    <t>Moliya kafedrasi mudiri:</t>
  </si>
  <si>
    <t>Avazov E.</t>
  </si>
  <si>
    <t>Boltayev Botir</t>
  </si>
  <si>
    <t>2019 yil "___" ____________</t>
  </si>
  <si>
    <t>k</t>
  </si>
  <si>
    <t>kasal</t>
  </si>
  <si>
    <t>d</t>
  </si>
  <si>
    <t>qd</t>
  </si>
  <si>
    <t>Duşanba-Şanba 36 soat</t>
  </si>
  <si>
    <t>1. Пусть будет написана буква d в ​​воскресенье.
2. Работающие 0,25, 0,75 ставках, рабочих часов как 1,5 и 4,5 часа в полной пропорции к полной ставке.
3. Месяцы должны быть пронумерованы в виде января, февраля, марта и т. д., а не 1, 2, 3.</t>
  </si>
  <si>
    <t xml:space="preserve">sababsiz </t>
  </si>
  <si>
    <t xml:space="preserve">YÖRIQNOMA   -  IŞ VAQTI TABELI - ÖZBEKISTON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</si>
</sst>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_-* #,##0.00\ _₽_-;\-* #,##0.00\ _₽_-;_-* &quot;-&quot;??\ _₽_-;_-@_-"/>
    <numFmt numFmtId="165" formatCode="0;0;"/>
    <numFmt numFmtId="166" formatCode="mm/dd/yy;@"/>
    <numFmt numFmtId="167" formatCode="[&lt;=9999999]###\-####;\(###\)\ ###\-####"/>
    <numFmt numFmtId="168" formatCode="_-* #,##0\ _₽_-;\-* #,##0\ _₽_-;_-* &quot;-&quot;??\ _₽_-;_-@_-"/>
    <numFmt numFmtId="169" formatCode="[$-419]d\ mmm;@"/>
    <numFmt numFmtId="170" formatCode="dd/mm/yyyy\ ddd"/>
    <numFmt numFmtId="171" formatCode="[$-419]d\ mmm\ ddd"/>
    <numFmt numFmtId="172" formatCode="dd"/>
    <numFmt numFmtId="173" formatCode="dd/mm/yy;@"/>
    <numFmt numFmtId="174" formatCode="0.0;0.0;"/>
    <numFmt numFmtId="175" formatCode="[$-443]ddd;@"/>
    <numFmt numFmtId="176" formatCode="[$-443]dd/mm/yyyy\ ddd"/>
    <numFmt numFmtId="177" formatCode="[$-443]d\ mmm\ ddd"/>
    <numFmt numFmtId="178" formatCode="0.0"/>
    <numFmt numFmtId="179" formatCode="#,##0.0_ ;\-#,##0.0\ "/>
  </numFmts>
  <fonts count="53" x14ac:knownFonts="1">
    <font>
      <sz val="10"/>
      <color theme="1"/>
      <name val="Century Gothic"/>
      <family val="2"/>
      <scheme val="minor"/>
    </font>
    <font>
      <b/>
      <sz val="8"/>
      <color theme="1" tint="0.14996795556505021"/>
      <name val="Century Gothic"/>
      <family val="1"/>
      <scheme val="minor"/>
    </font>
    <font>
      <sz val="8"/>
      <name val="Century Gothic"/>
      <family val="1"/>
      <scheme val="minor"/>
    </font>
    <font>
      <b/>
      <sz val="8"/>
      <color theme="1" tint="0.14996795556505021"/>
      <name val="Century Gothic"/>
      <family val="2"/>
      <scheme val="minor"/>
    </font>
    <font>
      <sz val="8"/>
      <name val="Century Gothic"/>
      <family val="2"/>
      <scheme val="minor"/>
    </font>
    <font>
      <b/>
      <sz val="22"/>
      <color theme="0"/>
      <name val="Century Gothic"/>
      <family val="2"/>
      <scheme val="major"/>
    </font>
    <font>
      <b/>
      <sz val="16"/>
      <color theme="0"/>
      <name val="Century Gothic"/>
      <family val="2"/>
      <scheme val="minor"/>
    </font>
    <font>
      <sz val="12"/>
      <color theme="3"/>
      <name val="Century Gothic"/>
      <family val="2"/>
      <scheme val="minor"/>
    </font>
    <font>
      <u/>
      <sz val="10"/>
      <color theme="10"/>
      <name val="Arial"/>
      <family val="2"/>
    </font>
    <font>
      <sz val="10"/>
      <color theme="1"/>
      <name val="Century Gothic"/>
      <family val="2"/>
      <scheme val="minor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1"/>
      <color theme="4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9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u/>
      <sz val="11"/>
      <color theme="10"/>
      <name val="Times New Roman"/>
      <family val="1"/>
      <charset val="204"/>
    </font>
    <font>
      <sz val="11"/>
      <color theme="4" tint="-0.49998474074526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 tint="0.14996795556505021"/>
      <name val="Times New Roman"/>
      <family val="1"/>
      <charset val="204"/>
    </font>
    <font>
      <b/>
      <i/>
      <sz val="10"/>
      <color theme="1" tint="0.14999847407452621"/>
      <name val="Times New Roman"/>
      <family val="1"/>
      <charset val="204"/>
    </font>
    <font>
      <sz val="10"/>
      <color theme="9"/>
      <name val="Times New Roman"/>
      <family val="1"/>
      <charset val="204"/>
    </font>
    <font>
      <i/>
      <sz val="10"/>
      <color theme="9"/>
      <name val="Times New Roman"/>
      <family val="1"/>
      <charset val="204"/>
    </font>
    <font>
      <b/>
      <sz val="10"/>
      <color rgb="FF800000"/>
      <name val="Times New Roman"/>
      <family val="1"/>
      <charset val="204"/>
    </font>
    <font>
      <i/>
      <sz val="10"/>
      <color theme="1" tint="0.14999847407452621"/>
      <name val="Times New Roman"/>
      <family val="1"/>
      <charset val="204"/>
    </font>
    <font>
      <b/>
      <sz val="11"/>
      <color rgb="FF0033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8FF"/>
        <bgColor indexed="64"/>
      </patternFill>
    </fill>
    <fill>
      <patternFill patternType="solid">
        <fgColor rgb="FFDCDCFF"/>
        <bgColor indexed="64"/>
      </patternFill>
    </fill>
    <fill>
      <patternFill patternType="solid">
        <fgColor rgb="FFCDEBFF"/>
        <bgColor indexed="64"/>
      </patternFill>
    </fill>
    <fill>
      <patternFill patternType="solid">
        <fgColor rgb="FFE1C8E1"/>
        <bgColor indexed="64"/>
      </patternFill>
    </fill>
    <fill>
      <patternFill patternType="solid">
        <fgColor rgb="FFFFC864"/>
        <bgColor indexed="64"/>
      </patternFill>
    </fill>
    <fill>
      <patternFill patternType="solid">
        <fgColor rgb="FFFFE164"/>
        <bgColor indexed="64"/>
      </patternFill>
    </fill>
    <fill>
      <patternFill patternType="solid">
        <fgColor rgb="FFFFFF64"/>
        <bgColor indexed="64"/>
      </patternFill>
    </fill>
    <fill>
      <patternFill patternType="solid">
        <fgColor rgb="FFAFAFE1"/>
        <bgColor indexed="64"/>
      </patternFill>
    </fill>
    <fill>
      <patternFill patternType="lightUp">
        <fgColor rgb="FFFFC8B4"/>
      </patternFill>
    </fill>
    <fill>
      <patternFill patternType="lightUp">
        <fgColor rgb="FFE1EAAF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 tint="-0.34998626667073579"/>
      </top>
      <bottom/>
      <diagonal/>
    </border>
    <border>
      <left style="thick">
        <color theme="0"/>
      </left>
      <right/>
      <top style="thin">
        <color theme="0" tint="-0.34998626667073579"/>
      </top>
      <bottom/>
      <diagonal/>
    </border>
    <border>
      <left/>
      <right style="thick">
        <color theme="0"/>
      </right>
      <top style="thin">
        <color theme="0" tint="-0.34998626667073579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theme="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medium">
        <color theme="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1" fillId="2" borderId="1">
      <alignment vertical="center"/>
    </xf>
    <xf numFmtId="0" fontId="2" fillId="0" borderId="1">
      <alignment horizontal="left" vertical="center" wrapText="1"/>
      <protection locked="0"/>
    </xf>
    <xf numFmtId="166" fontId="2" fillId="0" borderId="1">
      <alignment horizontal="left" vertical="center" wrapText="1"/>
      <protection locked="0"/>
    </xf>
    <xf numFmtId="167" fontId="2" fillId="0" borderId="1">
      <alignment horizontal="left" vertical="center" wrapText="1"/>
      <protection locked="0"/>
    </xf>
    <xf numFmtId="0" fontId="3" fillId="3" borderId="2" applyBorder="0">
      <alignment horizontal="center" vertical="center"/>
    </xf>
    <xf numFmtId="1" fontId="3" fillId="3" borderId="1">
      <alignment horizontal="center" vertical="center"/>
    </xf>
    <xf numFmtId="0" fontId="4" fillId="4" borderId="1">
      <alignment horizontal="center" vertical="center"/>
      <protection locked="0"/>
    </xf>
    <xf numFmtId="0" fontId="4" fillId="5" borderId="1">
      <alignment horizontal="center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58">
    <xf numFmtId="0" fontId="0" fillId="0" borderId="0" xfId="0"/>
    <xf numFmtId="0" fontId="10" fillId="11" borderId="0" xfId="0" applyFont="1" applyFill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17" fillId="0" borderId="0" xfId="11" applyFont="1" applyFill="1" applyProtection="1">
      <protection hidden="1"/>
    </xf>
    <xf numFmtId="0" fontId="17" fillId="0" borderId="0" xfId="0" applyFont="1" applyProtection="1">
      <protection hidden="1"/>
    </xf>
    <xf numFmtId="0" fontId="12" fillId="0" borderId="0" xfId="0" applyFont="1" applyAlignment="1" applyProtection="1">
      <alignment vertical="center"/>
      <protection hidden="1"/>
    </xf>
    <xf numFmtId="0" fontId="19" fillId="11" borderId="0" xfId="0" applyFont="1" applyFill="1" applyProtection="1">
      <protection hidden="1"/>
    </xf>
    <xf numFmtId="0" fontId="19" fillId="0" borderId="0" xfId="0" applyFont="1" applyProtection="1">
      <protection hidden="1"/>
    </xf>
    <xf numFmtId="0" fontId="20" fillId="0" borderId="0" xfId="11" applyFont="1" applyFill="1" applyProtection="1">
      <protection hidden="1"/>
    </xf>
    <xf numFmtId="0" fontId="20" fillId="0" borderId="0" xfId="0" applyFont="1" applyFill="1" applyProtection="1">
      <protection hidden="1"/>
    </xf>
    <xf numFmtId="0" fontId="19" fillId="0" borderId="0" xfId="0" applyFont="1" applyAlignment="1" applyProtection="1">
      <alignment vertical="top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2" fillId="22" borderId="29" xfId="0" applyFont="1" applyFill="1" applyBorder="1" applyAlignment="1" applyProtection="1">
      <alignment horizontal="center" vertical="top"/>
      <protection locked="0" hidden="1"/>
    </xf>
    <xf numFmtId="0" fontId="19" fillId="0" borderId="0" xfId="0" applyFont="1" applyAlignment="1" applyProtection="1">
      <alignment horizontal="left" vertical="top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23" fillId="0" borderId="0" xfId="0" applyFont="1" applyAlignment="1" applyProtection="1">
      <alignment vertical="top"/>
      <protection hidden="1"/>
    </xf>
    <xf numFmtId="0" fontId="21" fillId="0" borderId="29" xfId="0" applyFont="1" applyBorder="1" applyAlignment="1" applyProtection="1">
      <alignment horizontal="center"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24" fillId="0" borderId="0" xfId="0" applyFont="1" applyAlignment="1" applyProtection="1">
      <alignment vertical="top"/>
      <protection hidden="1"/>
    </xf>
    <xf numFmtId="0" fontId="25" fillId="0" borderId="0" xfId="12" applyFont="1" applyAlignment="1" applyProtection="1">
      <alignment vertical="top"/>
      <protection hidden="1"/>
    </xf>
    <xf numFmtId="0" fontId="26" fillId="0" borderId="0" xfId="0" applyFont="1" applyAlignment="1" applyProtection="1">
      <alignment vertical="top"/>
      <protection hidden="1"/>
    </xf>
    <xf numFmtId="0" fontId="11" fillId="0" borderId="0" xfId="0" applyFont="1" applyProtection="1">
      <protection hidden="1"/>
    </xf>
    <xf numFmtId="0" fontId="25" fillId="0" borderId="0" xfId="12" applyFont="1" applyProtection="1">
      <protection hidden="1"/>
    </xf>
    <xf numFmtId="0" fontId="19" fillId="0" borderId="0" xfId="0" quotePrefix="1" applyFont="1" applyAlignment="1" applyProtection="1">
      <alignment vertical="top"/>
      <protection hidden="1"/>
    </xf>
    <xf numFmtId="0" fontId="19" fillId="0" borderId="0" xfId="0" applyFont="1" applyAlignment="1" applyProtection="1">
      <alignment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14" fontId="12" fillId="0" borderId="0" xfId="0" applyNumberFormat="1" applyFont="1" applyFill="1" applyBorder="1" applyAlignment="1" applyProtection="1">
      <alignment horizontal="left" vertical="center"/>
      <protection hidden="1"/>
    </xf>
    <xf numFmtId="177" fontId="13" fillId="0" borderId="0" xfId="0" applyNumberFormat="1" applyFont="1" applyFill="1" applyBorder="1" applyAlignment="1" applyProtection="1">
      <alignment horizontal="left" vertical="center"/>
      <protection hidden="1"/>
    </xf>
    <xf numFmtId="169" fontId="13" fillId="0" borderId="0" xfId="0" applyNumberFormat="1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15" fillId="10" borderId="0" xfId="0" applyFont="1" applyFill="1" applyBorder="1" applyAlignment="1" applyProtection="1">
      <alignment horizontal="center" vertical="center"/>
      <protection hidden="1"/>
    </xf>
    <xf numFmtId="0" fontId="15" fillId="10" borderId="23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10" borderId="21" xfId="0" applyFont="1" applyFill="1" applyBorder="1" applyAlignment="1" applyProtection="1">
      <alignment horizontal="center" vertical="center"/>
      <protection hidden="1"/>
    </xf>
    <xf numFmtId="0" fontId="15" fillId="10" borderId="22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177" fontId="13" fillId="0" borderId="20" xfId="0" applyNumberFormat="1" applyFont="1" applyFill="1" applyBorder="1" applyAlignment="1" applyProtection="1">
      <alignment horizontal="left" vertical="center"/>
      <protection hidden="1"/>
    </xf>
    <xf numFmtId="171" fontId="13" fillId="0" borderId="20" xfId="0" applyNumberFormat="1" applyFont="1" applyFill="1" applyBorder="1" applyAlignment="1" applyProtection="1">
      <alignment horizontal="left" vertical="center"/>
      <protection hidden="1"/>
    </xf>
    <xf numFmtId="169" fontId="13" fillId="0" borderId="20" xfId="0" applyNumberFormat="1" applyFont="1" applyFill="1" applyBorder="1" applyAlignment="1" applyProtection="1">
      <alignment horizontal="left" vertical="center"/>
      <protection hidden="1"/>
    </xf>
    <xf numFmtId="0" fontId="33" fillId="0" borderId="0" xfId="0" applyFont="1" applyFill="1" applyBorder="1" applyAlignment="1" applyProtection="1">
      <alignment horizontal="left" vertical="center"/>
      <protection hidden="1"/>
    </xf>
    <xf numFmtId="1" fontId="34" fillId="0" borderId="0" xfId="13" applyNumberFormat="1" applyFont="1" applyFill="1" applyBorder="1" applyAlignment="1" applyProtection="1">
      <alignment horizontal="left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18" fillId="0" borderId="0" xfId="0" applyFont="1" applyFill="1" applyBorder="1" applyAlignment="1" applyProtection="1">
      <alignment horizontal="left" vertical="center" wrapText="1"/>
      <protection hidden="1"/>
    </xf>
    <xf numFmtId="0" fontId="35" fillId="0" borderId="20" xfId="0" applyFont="1" applyFill="1" applyBorder="1" applyAlignment="1" applyProtection="1">
      <alignment horizontal="left" vertical="center"/>
      <protection hidden="1"/>
    </xf>
    <xf numFmtId="0" fontId="35" fillId="0" borderId="20" xfId="0" applyFont="1" applyFill="1" applyBorder="1" applyAlignment="1" applyProtection="1">
      <alignment horizontal="left" vertical="center" wrapText="1"/>
      <protection hidden="1"/>
    </xf>
    <xf numFmtId="1" fontId="36" fillId="0" borderId="0" xfId="13" applyNumberFormat="1" applyFont="1" applyFill="1" applyBorder="1" applyAlignment="1" applyProtection="1">
      <alignment horizontal="left" vertical="center"/>
      <protection hidden="1"/>
    </xf>
    <xf numFmtId="0" fontId="35" fillId="0" borderId="0" xfId="0" applyFont="1" applyFill="1" applyBorder="1" applyAlignment="1" applyProtection="1">
      <alignment horizontal="left" vertical="center" wrapText="1"/>
      <protection hidden="1"/>
    </xf>
    <xf numFmtId="176" fontId="37" fillId="0" borderId="0" xfId="0" applyNumberFormat="1" applyFont="1" applyFill="1" applyBorder="1" applyAlignment="1" applyProtection="1">
      <alignment horizontal="left" vertical="center"/>
      <protection locked="0"/>
    </xf>
    <xf numFmtId="1" fontId="38" fillId="0" borderId="0" xfId="13" applyNumberFormat="1" applyFont="1" applyFill="1" applyBorder="1" applyAlignment="1" applyProtection="1">
      <alignment horizontal="left" vertical="center"/>
      <protection locked="0"/>
    </xf>
    <xf numFmtId="170" fontId="37" fillId="0" borderId="0" xfId="0" applyNumberFormat="1" applyFont="1" applyFill="1" applyBorder="1" applyAlignment="1" applyProtection="1">
      <alignment horizontal="left" vertical="center"/>
      <protection locked="0"/>
    </xf>
    <xf numFmtId="16" fontId="12" fillId="0" borderId="0" xfId="0" applyNumberFormat="1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20" xfId="0" applyFont="1" applyFill="1" applyBorder="1" applyAlignment="1" applyProtection="1">
      <alignment horizontal="left" vertical="center"/>
      <protection hidden="1"/>
    </xf>
    <xf numFmtId="0" fontId="37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170" fontId="39" fillId="0" borderId="0" xfId="0" applyNumberFormat="1" applyFont="1" applyFill="1" applyBorder="1" applyAlignment="1" applyProtection="1">
      <alignment horizontal="left" vertical="center"/>
      <protection hidden="1"/>
    </xf>
    <xf numFmtId="1" fontId="40" fillId="0" borderId="0" xfId="13" applyNumberFormat="1" applyFont="1" applyFill="1" applyBorder="1" applyAlignment="1" applyProtection="1">
      <alignment horizontal="left" vertical="center"/>
      <protection hidden="1"/>
    </xf>
    <xf numFmtId="0" fontId="30" fillId="8" borderId="12" xfId="0" applyFont="1" applyFill="1" applyBorder="1" applyAlignment="1" applyProtection="1">
      <alignment horizontal="left" vertical="center"/>
      <protection hidden="1"/>
    </xf>
    <xf numFmtId="14" fontId="30" fillId="8" borderId="12" xfId="0" applyNumberFormat="1" applyFont="1" applyFill="1" applyBorder="1" applyAlignment="1" applyProtection="1">
      <alignment horizontal="left" vertical="center"/>
      <protection hidden="1"/>
    </xf>
    <xf numFmtId="0" fontId="30" fillId="8" borderId="12" xfId="0" applyNumberFormat="1" applyFont="1" applyFill="1" applyBorder="1" applyAlignment="1" applyProtection="1">
      <alignment horizontal="center" vertical="center"/>
      <protection hidden="1"/>
    </xf>
    <xf numFmtId="0" fontId="30" fillId="8" borderId="12" xfId="0" applyNumberFormat="1" applyFont="1" applyFill="1" applyBorder="1" applyAlignment="1" applyProtection="1">
      <alignment horizontal="left" vertical="center"/>
      <protection hidden="1"/>
    </xf>
    <xf numFmtId="0" fontId="15" fillId="10" borderId="19" xfId="0" applyFont="1" applyFill="1" applyBorder="1" applyAlignment="1" applyProtection="1">
      <alignment horizontal="left" vertical="center"/>
      <protection hidden="1"/>
    </xf>
    <xf numFmtId="0" fontId="15" fillId="10" borderId="19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39" fillId="0" borderId="0" xfId="0" applyFont="1" applyFill="1" applyBorder="1" applyAlignment="1" applyProtection="1">
      <alignment horizontal="left" vertical="center"/>
      <protection hidden="1"/>
    </xf>
    <xf numFmtId="0" fontId="10" fillId="7" borderId="0" xfId="0" applyFont="1" applyFill="1" applyBorder="1" applyAlignment="1" applyProtection="1">
      <alignment vertical="center"/>
      <protection locked="0"/>
    </xf>
    <xf numFmtId="0" fontId="13" fillId="7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Protection="1">
      <protection locked="0"/>
    </xf>
    <xf numFmtId="49" fontId="35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vertical="center"/>
      <protection locked="0"/>
    </xf>
    <xf numFmtId="14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protection locked="0"/>
    </xf>
    <xf numFmtId="0" fontId="37" fillId="0" borderId="0" xfId="0" applyFont="1" applyFill="1" applyAlignment="1" applyProtection="1">
      <alignment vertical="center"/>
      <protection locked="0"/>
    </xf>
    <xf numFmtId="14" fontId="37" fillId="0" borderId="0" xfId="0" applyNumberFormat="1" applyFont="1" applyFill="1" applyAlignment="1" applyProtection="1">
      <alignment horizontal="center" vertical="center"/>
      <protection locked="0"/>
    </xf>
    <xf numFmtId="0" fontId="37" fillId="0" borderId="0" xfId="0" applyFont="1" applyProtection="1">
      <protection locked="0"/>
    </xf>
    <xf numFmtId="168" fontId="37" fillId="0" borderId="0" xfId="13" applyNumberFormat="1" applyFont="1" applyProtection="1">
      <protection locked="0"/>
    </xf>
    <xf numFmtId="14" fontId="37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6" borderId="13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30" fillId="6" borderId="13" xfId="0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0" fillId="9" borderId="0" xfId="0" applyFont="1" applyFill="1" applyAlignment="1" applyProtection="1">
      <alignment horizontal="left"/>
      <protection hidden="1"/>
    </xf>
    <xf numFmtId="0" fontId="12" fillId="9" borderId="0" xfId="0" applyFont="1" applyFill="1" applyAlignment="1" applyProtection="1">
      <alignment horizontal="left" vertical="center"/>
      <protection hidden="1"/>
    </xf>
    <xf numFmtId="0" fontId="12" fillId="9" borderId="0" xfId="0" applyFont="1" applyFill="1" applyAlignment="1" applyProtection="1">
      <alignment horizontal="center"/>
      <protection hidden="1"/>
    </xf>
    <xf numFmtId="173" fontId="15" fillId="10" borderId="19" xfId="0" applyNumberFormat="1" applyFont="1" applyFill="1" applyBorder="1" applyAlignment="1" applyProtection="1">
      <alignment horizontal="center" vertical="center"/>
      <protection hidden="1"/>
    </xf>
    <xf numFmtId="0" fontId="12" fillId="0" borderId="24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8" fillId="0" borderId="24" xfId="0" applyFont="1" applyFill="1" applyBorder="1" applyAlignment="1" applyProtection="1">
      <alignment horizontal="center"/>
      <protection hidden="1"/>
    </xf>
    <xf numFmtId="0" fontId="15" fillId="0" borderId="24" xfId="0" applyFont="1" applyFill="1" applyBorder="1" applyAlignment="1" applyProtection="1">
      <alignment horizontal="center"/>
      <protection hidden="1"/>
    </xf>
    <xf numFmtId="0" fontId="12" fillId="0" borderId="2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4" fillId="6" borderId="13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37" fillId="0" borderId="0" xfId="0" applyFont="1" applyFill="1" applyBorder="1" applyAlignment="1" applyProtection="1">
      <alignment horizontal="left"/>
      <protection locked="0"/>
    </xf>
    <xf numFmtId="176" fontId="37" fillId="0" borderId="0" xfId="0" applyNumberFormat="1" applyFont="1" applyFill="1" applyBorder="1" applyAlignment="1" applyProtection="1">
      <alignment horizontal="center"/>
      <protection locked="0"/>
    </xf>
    <xf numFmtId="14" fontId="14" fillId="6" borderId="13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176" fontId="13" fillId="0" borderId="0" xfId="0" applyNumberFormat="1" applyFont="1" applyFill="1" applyBorder="1" applyAlignment="1" applyProtection="1">
      <alignment horizontal="center"/>
      <protection hidden="1"/>
    </xf>
    <xf numFmtId="14" fontId="13" fillId="6" borderId="13" xfId="0" applyNumberFormat="1" applyFont="1" applyFill="1" applyBorder="1" applyAlignment="1" applyProtection="1">
      <alignment horizontal="center"/>
      <protection hidden="1"/>
    </xf>
    <xf numFmtId="1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NumberFormat="1" applyFont="1" applyAlignment="1" applyProtection="1">
      <alignment horizontal="center" vertical="center"/>
      <protection hidden="1"/>
    </xf>
    <xf numFmtId="14" fontId="12" fillId="0" borderId="0" xfId="0" applyNumberFormat="1" applyFont="1" applyProtection="1">
      <protection hidden="1"/>
    </xf>
    <xf numFmtId="0" fontId="37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hidden="1"/>
    </xf>
    <xf numFmtId="1" fontId="13" fillId="0" borderId="0" xfId="0" applyNumberFormat="1" applyFont="1" applyAlignment="1" applyProtection="1">
      <alignment horizontal="center" vertical="center"/>
      <protection hidden="1"/>
    </xf>
    <xf numFmtId="176" fontId="37" fillId="0" borderId="0" xfId="0" applyNumberFormat="1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176" fontId="37" fillId="0" borderId="0" xfId="0" applyNumberFormat="1" applyFont="1" applyFill="1" applyAlignment="1" applyProtection="1">
      <alignment horizontal="center"/>
      <protection locked="0"/>
    </xf>
    <xf numFmtId="14" fontId="14" fillId="0" borderId="13" xfId="0" applyNumberFormat="1" applyFont="1" applyFill="1" applyBorder="1" applyAlignment="1" applyProtection="1">
      <alignment horizontal="center"/>
      <protection hidden="1"/>
    </xf>
    <xf numFmtId="176" fontId="13" fillId="0" borderId="0" xfId="13" applyNumberFormat="1" applyFont="1" applyFill="1" applyAlignment="1" applyProtection="1">
      <alignment horizontal="center"/>
      <protection hidden="1"/>
    </xf>
    <xf numFmtId="0" fontId="13" fillId="0" borderId="0" xfId="0" applyNumberFormat="1" applyFont="1" applyFill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left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176" fontId="37" fillId="0" borderId="0" xfId="0" applyNumberFormat="1" applyFont="1" applyBorder="1" applyAlignment="1" applyProtection="1">
      <alignment horizontal="center"/>
      <protection locked="0"/>
    </xf>
    <xf numFmtId="14" fontId="14" fillId="0" borderId="18" xfId="0" applyNumberFormat="1" applyFont="1" applyFill="1" applyBorder="1" applyAlignment="1" applyProtection="1">
      <alignment horizontal="center"/>
      <protection hidden="1"/>
    </xf>
    <xf numFmtId="0" fontId="13" fillId="0" borderId="0" xfId="0" applyNumberFormat="1" applyFont="1" applyBorder="1" applyAlignment="1" applyProtection="1">
      <alignment horizontal="center" vertical="center"/>
      <protection hidden="1"/>
    </xf>
    <xf numFmtId="176" fontId="13" fillId="0" borderId="0" xfId="13" applyNumberFormat="1" applyFont="1" applyFill="1" applyBorder="1" applyAlignment="1" applyProtection="1">
      <alignment horizontal="center"/>
      <protection hidden="1"/>
    </xf>
    <xf numFmtId="14" fontId="13" fillId="6" borderId="18" xfId="0" applyNumberFormat="1" applyFont="1" applyFill="1" applyBorder="1" applyAlignment="1" applyProtection="1">
      <alignment horizontal="center"/>
      <protection hidden="1"/>
    </xf>
    <xf numFmtId="1" fontId="13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31" fillId="0" borderId="28" xfId="0" applyNumberFormat="1" applyFont="1" applyFill="1" applyBorder="1" applyAlignment="1" applyProtection="1">
      <alignment horizontal="center" vertical="center"/>
      <protection hidden="1"/>
    </xf>
    <xf numFmtId="0" fontId="42" fillId="18" borderId="7" xfId="0" applyFont="1" applyFill="1" applyBorder="1" applyAlignment="1" applyProtection="1">
      <alignment horizontal="center" vertical="center"/>
      <protection hidden="1"/>
    </xf>
    <xf numFmtId="0" fontId="32" fillId="0" borderId="7" xfId="0" applyFont="1" applyFill="1" applyBorder="1" applyAlignment="1" applyProtection="1">
      <alignment horizontal="left" vertical="center"/>
      <protection hidden="1"/>
    </xf>
    <xf numFmtId="0" fontId="32" fillId="0" borderId="4" xfId="0" applyFont="1" applyFill="1" applyBorder="1" applyAlignment="1" applyProtection="1">
      <alignment horizontal="center" vertical="center"/>
      <protection hidden="1"/>
    </xf>
    <xf numFmtId="0" fontId="42" fillId="12" borderId="7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42" fillId="13" borderId="7" xfId="0" applyFont="1" applyFill="1" applyBorder="1" applyAlignment="1" applyProtection="1">
      <alignment horizontal="center" vertical="center"/>
      <protection hidden="1"/>
    </xf>
    <xf numFmtId="0" fontId="32" fillId="0" borderId="5" xfId="0" applyFont="1" applyFill="1" applyBorder="1" applyAlignment="1" applyProtection="1">
      <alignment horizontal="center" vertical="center"/>
      <protection hidden="1"/>
    </xf>
    <xf numFmtId="0" fontId="32" fillId="21" borderId="0" xfId="0" applyFont="1" applyFill="1" applyBorder="1" applyAlignment="1" applyProtection="1">
      <alignment horizontal="center" vertical="center"/>
      <protection hidden="1"/>
    </xf>
    <xf numFmtId="0" fontId="32" fillId="0" borderId="17" xfId="0" applyFont="1" applyFill="1" applyBorder="1" applyAlignment="1" applyProtection="1">
      <alignment horizontal="left" vertical="center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42" fillId="17" borderId="3" xfId="0" applyFont="1" applyFill="1" applyBorder="1" applyAlignment="1" applyProtection="1">
      <alignment horizontal="center" vertical="center"/>
      <protection hidden="1"/>
    </xf>
    <xf numFmtId="0" fontId="32" fillId="0" borderId="3" xfId="0" applyFont="1" applyFill="1" applyBorder="1" applyAlignment="1" applyProtection="1">
      <alignment horizontal="left" vertical="center"/>
      <protection hidden="1"/>
    </xf>
    <xf numFmtId="49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42" fillId="15" borderId="3" xfId="0" applyFont="1" applyFill="1" applyBorder="1" applyAlignment="1" applyProtection="1">
      <alignment horizontal="center" vertical="center"/>
      <protection hidden="1"/>
    </xf>
    <xf numFmtId="0" fontId="42" fillId="14" borderId="3" xfId="0" applyFont="1" applyFill="1" applyBorder="1" applyAlignment="1" applyProtection="1">
      <alignment horizontal="center" vertical="center"/>
      <protection hidden="1"/>
    </xf>
    <xf numFmtId="0" fontId="42" fillId="20" borderId="7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5" fillId="0" borderId="27" xfId="0" applyFont="1" applyFill="1" applyBorder="1" applyAlignment="1" applyProtection="1">
      <alignment horizontal="center" vertical="center"/>
      <protection hidden="1"/>
    </xf>
    <xf numFmtId="0" fontId="42" fillId="16" borderId="3" xfId="0" applyFont="1" applyFill="1" applyBorder="1" applyAlignment="1" applyProtection="1">
      <alignment horizontal="center" vertical="center"/>
      <protection hidden="1"/>
    </xf>
    <xf numFmtId="0" fontId="42" fillId="19" borderId="3" xfId="0" applyFont="1" applyFill="1" applyBorder="1" applyAlignment="1" applyProtection="1">
      <alignment horizontal="center" vertical="center"/>
      <protection hidden="1"/>
    </xf>
    <xf numFmtId="0" fontId="32" fillId="0" borderId="6" xfId="0" applyFont="1" applyFill="1" applyBorder="1" applyAlignment="1" applyProtection="1">
      <alignment horizontal="center" vertical="center"/>
      <protection hidden="1"/>
    </xf>
    <xf numFmtId="14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25" xfId="0" applyFont="1" applyFill="1" applyBorder="1" applyAlignment="1" applyProtection="1">
      <alignment horizontal="center" vertical="center"/>
      <protection hidden="1"/>
    </xf>
    <xf numFmtId="0" fontId="13" fillId="0" borderId="25" xfId="0" applyFont="1" applyFill="1" applyBorder="1" applyAlignment="1" applyProtection="1">
      <alignment vertical="center"/>
      <protection hidden="1"/>
    </xf>
    <xf numFmtId="172" fontId="15" fillId="0" borderId="25" xfId="0" applyNumberFormat="1" applyFont="1" applyFill="1" applyBorder="1" applyAlignment="1" applyProtection="1">
      <alignment horizontal="center" vertical="center"/>
      <protection hidden="1"/>
    </xf>
    <xf numFmtId="164" fontId="15" fillId="0" borderId="27" xfId="13" applyNumberFormat="1" applyFont="1" applyFill="1" applyBorder="1" applyAlignment="1" applyProtection="1">
      <alignment horizontal="center" vertical="center"/>
      <protection hidden="1"/>
    </xf>
    <xf numFmtId="0" fontId="15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27" xfId="0" applyFont="1" applyFill="1" applyBorder="1" applyAlignment="1" applyProtection="1">
      <alignment horizontal="center" vertical="center" wrapText="1"/>
      <protection hidden="1"/>
    </xf>
    <xf numFmtId="175" fontId="15" fillId="0" borderId="27" xfId="0" applyNumberFormat="1" applyFont="1" applyFill="1" applyBorder="1" applyAlignment="1" applyProtection="1">
      <alignment horizontal="center" vertical="center"/>
      <protection hidden="1"/>
    </xf>
    <xf numFmtId="0" fontId="15" fillId="18" borderId="27" xfId="0" applyFont="1" applyFill="1" applyBorder="1" applyAlignment="1" applyProtection="1">
      <alignment horizontal="center" vertical="center"/>
      <protection hidden="1"/>
    </xf>
    <xf numFmtId="0" fontId="15" fillId="17" borderId="27" xfId="0" applyFont="1" applyFill="1" applyBorder="1" applyAlignment="1" applyProtection="1">
      <alignment horizontal="center" vertical="center"/>
      <protection hidden="1"/>
    </xf>
    <xf numFmtId="0" fontId="15" fillId="16" borderId="27" xfId="0" applyFont="1" applyFill="1" applyBorder="1" applyAlignment="1" applyProtection="1">
      <alignment horizontal="center" vertical="center"/>
      <protection hidden="1"/>
    </xf>
    <xf numFmtId="0" fontId="15" fillId="12" borderId="27" xfId="0" applyFont="1" applyFill="1" applyBorder="1" applyAlignment="1" applyProtection="1">
      <alignment horizontal="center" vertical="center"/>
      <protection hidden="1"/>
    </xf>
    <xf numFmtId="0" fontId="15" fillId="15" borderId="27" xfId="0" applyFont="1" applyFill="1" applyBorder="1" applyAlignment="1" applyProtection="1">
      <alignment horizontal="center" vertical="center"/>
      <protection hidden="1"/>
    </xf>
    <xf numFmtId="0" fontId="15" fillId="19" borderId="27" xfId="0" applyFont="1" applyFill="1" applyBorder="1" applyAlignment="1" applyProtection="1">
      <alignment horizontal="center" vertical="center"/>
      <protection hidden="1"/>
    </xf>
    <xf numFmtId="0" fontId="15" fillId="13" borderId="27" xfId="0" applyFont="1" applyFill="1" applyBorder="1" applyAlignment="1" applyProtection="1">
      <alignment horizontal="center" vertical="center"/>
      <protection hidden="1"/>
    </xf>
    <xf numFmtId="0" fontId="15" fillId="14" borderId="27" xfId="0" applyFont="1" applyFill="1" applyBorder="1" applyAlignment="1" applyProtection="1">
      <alignment horizontal="center" vertical="center"/>
      <protection hidden="1"/>
    </xf>
    <xf numFmtId="0" fontId="15" fillId="0" borderId="26" xfId="0" applyFont="1" applyFill="1" applyBorder="1" applyAlignment="1" applyProtection="1">
      <alignment horizontal="center" vertical="center"/>
      <protection hidden="1"/>
    </xf>
    <xf numFmtId="0" fontId="15" fillId="0" borderId="5" xfId="0" applyFont="1" applyFill="1" applyBorder="1" applyAlignment="1" applyProtection="1">
      <alignment horizontal="center" vertical="center"/>
      <protection hidden="1"/>
    </xf>
    <xf numFmtId="178" fontId="15" fillId="0" borderId="26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2" fillId="0" borderId="0" xfId="13" applyNumberFormat="1" applyFont="1" applyFill="1" applyBorder="1" applyAlignment="1" applyProtection="1">
      <alignment horizontal="center" vertical="center"/>
      <protection hidden="1"/>
    </xf>
    <xf numFmtId="165" fontId="18" fillId="0" borderId="0" xfId="0" applyNumberFormat="1" applyFont="1" applyFill="1" applyBorder="1" applyAlignment="1" applyProtection="1">
      <alignment horizontal="center" vertical="center"/>
      <protection hidden="1"/>
    </xf>
    <xf numFmtId="165" fontId="15" fillId="0" borderId="0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Fill="1" applyBorder="1" applyAlignment="1" applyProtection="1">
      <alignment horizontal="center" vertical="center"/>
      <protection hidden="1"/>
    </xf>
    <xf numFmtId="165" fontId="14" fillId="0" borderId="13" xfId="0" applyNumberFormat="1" applyFont="1" applyFill="1" applyBorder="1" applyAlignment="1" applyProtection="1">
      <alignment horizontal="center" vertical="center"/>
      <protection hidden="1"/>
    </xf>
    <xf numFmtId="9" fontId="30" fillId="0" borderId="0" xfId="14" applyFont="1" applyFill="1" applyBorder="1" applyAlignment="1" applyProtection="1">
      <alignment horizontal="center" vertical="center"/>
      <protection hidden="1"/>
    </xf>
    <xf numFmtId="174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NumberFormat="1" applyFont="1" applyFill="1" applyBorder="1" applyAlignment="1" applyProtection="1">
      <alignment vertical="center"/>
      <protection hidden="1"/>
    </xf>
    <xf numFmtId="165" fontId="14" fillId="0" borderId="18" xfId="0" applyNumberFormat="1" applyFont="1" applyFill="1" applyBorder="1" applyAlignment="1" applyProtection="1">
      <alignment horizontal="center" vertical="center"/>
      <protection hidden="1"/>
    </xf>
    <xf numFmtId="9" fontId="30" fillId="0" borderId="0" xfId="14" applyNumberFormat="1" applyFont="1" applyFill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vertical="center"/>
      <protection hidden="1"/>
    </xf>
    <xf numFmtId="165" fontId="12" fillId="0" borderId="0" xfId="0" applyNumberFormat="1" applyFont="1" applyAlignment="1" applyProtection="1">
      <alignment vertical="center"/>
      <protection hidden="1"/>
    </xf>
    <xf numFmtId="165" fontId="14" fillId="0" borderId="13" xfId="0" applyNumberFormat="1" applyFont="1" applyFill="1" applyBorder="1" applyAlignment="1" applyProtection="1">
      <alignment vertical="center"/>
      <protection hidden="1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hidden="1"/>
    </xf>
    <xf numFmtId="49" fontId="15" fillId="0" borderId="0" xfId="0" applyNumberFormat="1" applyFont="1" applyFill="1" applyBorder="1" applyAlignment="1" applyProtection="1">
      <alignment horizontal="left" vertical="center"/>
      <protection hidden="1"/>
    </xf>
    <xf numFmtId="0" fontId="31" fillId="0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25" xfId="0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left" vertical="center"/>
      <protection hidden="1"/>
    </xf>
    <xf numFmtId="49" fontId="13" fillId="0" borderId="0" xfId="0" applyNumberFormat="1" applyFont="1" applyFill="1" applyBorder="1" applyAlignment="1" applyProtection="1">
      <alignment horizontal="left" vertical="center"/>
      <protection hidden="1"/>
    </xf>
    <xf numFmtId="0" fontId="43" fillId="0" borderId="0" xfId="0" applyFont="1" applyAlignment="1"/>
    <xf numFmtId="0" fontId="44" fillId="0" borderId="0" xfId="0" applyFont="1"/>
    <xf numFmtId="0" fontId="45" fillId="0" borderId="0" xfId="0" applyFont="1" applyFill="1" applyAlignment="1" applyProtection="1">
      <alignment horizontal="center" vertical="center"/>
      <protection locked="0"/>
    </xf>
    <xf numFmtId="0" fontId="45" fillId="0" borderId="0" xfId="0" applyFont="1" applyAlignment="1" applyProtection="1"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Protection="1">
      <protection locked="0"/>
    </xf>
    <xf numFmtId="0" fontId="46" fillId="0" borderId="0" xfId="0" applyFont="1" applyFill="1" applyBorder="1" applyAlignment="1" applyProtection="1">
      <alignment horizontal="center" vertical="center"/>
      <protection hidden="1"/>
    </xf>
    <xf numFmtId="0" fontId="46" fillId="0" borderId="0" xfId="0" applyNumberFormat="1" applyFont="1" applyFill="1" applyBorder="1" applyAlignment="1" applyProtection="1">
      <alignment vertical="center"/>
      <protection hidden="1"/>
    </xf>
    <xf numFmtId="0" fontId="47" fillId="0" borderId="0" xfId="0" applyNumberFormat="1" applyFont="1" applyFill="1" applyBorder="1" applyAlignment="1" applyProtection="1">
      <alignment horizontal="center" vertical="center"/>
      <protection hidden="1"/>
    </xf>
    <xf numFmtId="0" fontId="46" fillId="0" borderId="0" xfId="13" applyNumberFormat="1" applyFont="1" applyFill="1" applyBorder="1" applyAlignment="1" applyProtection="1">
      <alignment horizontal="center" vertical="center"/>
      <protection hidden="1"/>
    </xf>
    <xf numFmtId="165" fontId="48" fillId="0" borderId="0" xfId="0" applyNumberFormat="1" applyFont="1" applyFill="1" applyBorder="1" applyAlignment="1" applyProtection="1">
      <alignment horizontal="center" vertical="center"/>
      <protection hidden="1"/>
    </xf>
    <xf numFmtId="165" fontId="46" fillId="0" borderId="0" xfId="0" applyNumberFormat="1" applyFont="1" applyFill="1" applyBorder="1" applyAlignment="1" applyProtection="1">
      <alignment horizontal="center" vertical="center"/>
      <protection hidden="1"/>
    </xf>
    <xf numFmtId="165" fontId="49" fillId="0" borderId="13" xfId="0" applyNumberFormat="1" applyFont="1" applyFill="1" applyBorder="1" applyAlignment="1" applyProtection="1">
      <alignment horizontal="center" vertical="center"/>
      <protection hidden="1"/>
    </xf>
    <xf numFmtId="9" fontId="50" fillId="0" borderId="0" xfId="14" applyNumberFormat="1" applyFont="1" applyFill="1" applyBorder="1" applyAlignment="1" applyProtection="1">
      <alignment horizontal="center" vertical="center"/>
      <protection hidden="1"/>
    </xf>
    <xf numFmtId="174" fontId="48" fillId="0" borderId="0" xfId="0" applyNumberFormat="1" applyFont="1" applyFill="1" applyBorder="1" applyAlignment="1" applyProtection="1">
      <alignment horizontal="center" vertical="center"/>
      <protection hidden="1"/>
    </xf>
    <xf numFmtId="0" fontId="46" fillId="0" borderId="0" xfId="0" applyNumberFormat="1" applyFont="1" applyFill="1" applyBorder="1" applyAlignment="1" applyProtection="1">
      <alignment horizontal="center" vertical="center"/>
      <protection hidden="1"/>
    </xf>
    <xf numFmtId="49" fontId="15" fillId="0" borderId="0" xfId="0" applyNumberFormat="1" applyFont="1" applyFill="1" applyBorder="1" applyAlignment="1" applyProtection="1">
      <alignment vertical="center"/>
      <protection hidden="1"/>
    </xf>
    <xf numFmtId="49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51" fillId="0" borderId="0" xfId="0" applyFont="1" applyAlignment="1">
      <alignment horizontal="center"/>
    </xf>
    <xf numFmtId="0" fontId="15" fillId="0" borderId="27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179" fontId="37" fillId="0" borderId="0" xfId="13" applyNumberFormat="1" applyFont="1" applyFill="1" applyBorder="1" applyAlignment="1" applyProtection="1">
      <alignment horizontal="center" vertical="center"/>
      <protection locked="0"/>
    </xf>
    <xf numFmtId="179" fontId="37" fillId="0" borderId="0" xfId="13" applyNumberFormat="1" applyFont="1" applyFill="1" applyAlignment="1" applyProtection="1">
      <alignment horizontal="center" vertical="center"/>
      <protection locked="0"/>
    </xf>
    <xf numFmtId="179" fontId="37" fillId="0" borderId="0" xfId="13" applyNumberFormat="1" applyFont="1" applyProtection="1">
      <protection locked="0"/>
    </xf>
    <xf numFmtId="179" fontId="45" fillId="0" borderId="0" xfId="13" applyNumberFormat="1" applyFont="1" applyProtection="1">
      <protection locked="0"/>
    </xf>
    <xf numFmtId="49" fontId="15" fillId="0" borderId="30" xfId="0" applyNumberFormat="1" applyFont="1" applyFill="1" applyBorder="1" applyAlignment="1" applyProtection="1">
      <alignment vertical="center"/>
      <protection hidden="1"/>
    </xf>
    <xf numFmtId="0" fontId="13" fillId="0" borderId="30" xfId="0" applyFont="1" applyFill="1" applyBorder="1" applyAlignment="1" applyProtection="1">
      <alignment vertical="center"/>
      <protection hidden="1"/>
    </xf>
    <xf numFmtId="49" fontId="15" fillId="0" borderId="3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left" wrapText="1"/>
      <protection hidden="1"/>
    </xf>
    <xf numFmtId="0" fontId="27" fillId="0" borderId="0" xfId="12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19" fillId="0" borderId="0" xfId="0" applyFont="1" applyAlignment="1" applyProtection="1">
      <alignment vertical="top" wrapText="1"/>
      <protection hidden="1"/>
    </xf>
    <xf numFmtId="0" fontId="35" fillId="0" borderId="0" xfId="0" applyFont="1" applyFill="1" applyBorder="1" applyAlignment="1" applyProtection="1">
      <alignment horizontal="left" vertical="center" wrapText="1"/>
      <protection hidden="1"/>
    </xf>
    <xf numFmtId="0" fontId="18" fillId="0" borderId="15" xfId="0" applyFont="1" applyFill="1" applyBorder="1" applyAlignment="1" applyProtection="1">
      <alignment horizontal="center"/>
      <protection locked="0"/>
    </xf>
    <xf numFmtId="0" fontId="18" fillId="0" borderId="11" xfId="0" applyFont="1" applyFill="1" applyBorder="1" applyAlignment="1" applyProtection="1">
      <alignment horizontal="center"/>
      <protection locked="0"/>
    </xf>
    <xf numFmtId="0" fontId="18" fillId="0" borderId="16" xfId="0" applyFont="1" applyFill="1" applyBorder="1" applyAlignment="1" applyProtection="1">
      <alignment horizontal="center"/>
      <protection locked="0"/>
    </xf>
    <xf numFmtId="0" fontId="31" fillId="6" borderId="9" xfId="0" applyFont="1" applyFill="1" applyBorder="1" applyAlignment="1" applyProtection="1">
      <alignment horizontal="center"/>
      <protection locked="0"/>
    </xf>
    <xf numFmtId="0" fontId="31" fillId="6" borderId="8" xfId="0" applyFont="1" applyFill="1" applyBorder="1" applyAlignment="1" applyProtection="1">
      <alignment horizontal="center"/>
      <protection locked="0"/>
    </xf>
    <xf numFmtId="0" fontId="31" fillId="6" borderId="10" xfId="0" applyFont="1" applyFill="1" applyBorder="1" applyAlignment="1" applyProtection="1">
      <alignment horizontal="center"/>
      <protection locked="0"/>
    </xf>
    <xf numFmtId="0" fontId="18" fillId="10" borderId="9" xfId="0" applyFont="1" applyFill="1" applyBorder="1" applyAlignment="1" applyProtection="1">
      <alignment horizontal="center"/>
      <protection locked="0"/>
    </xf>
    <xf numFmtId="0" fontId="18" fillId="10" borderId="10" xfId="0" applyFont="1" applyFill="1" applyBorder="1" applyAlignment="1" applyProtection="1">
      <alignment horizontal="center"/>
      <protection locked="0"/>
    </xf>
    <xf numFmtId="0" fontId="18" fillId="0" borderId="24" xfId="0" applyFont="1" applyBorder="1" applyAlignment="1" applyProtection="1">
      <alignment horizontal="center"/>
      <protection locked="0"/>
    </xf>
    <xf numFmtId="0" fontId="18" fillId="0" borderId="24" xfId="0" applyFont="1" applyFill="1" applyBorder="1" applyAlignment="1" applyProtection="1">
      <alignment horizontal="center" vertical="center"/>
      <protection hidden="1"/>
    </xf>
    <xf numFmtId="49" fontId="52" fillId="0" borderId="0" xfId="0" applyNumberFormat="1" applyFont="1" applyFill="1" applyBorder="1" applyAlignment="1" applyProtection="1">
      <alignment horizontal="left" vertical="center" wrapText="1"/>
      <protection hidden="1"/>
    </xf>
    <xf numFmtId="49" fontId="52" fillId="0" borderId="0" xfId="0" applyNumberFormat="1" applyFont="1" applyFill="1" applyBorder="1" applyAlignment="1" applyProtection="1">
      <alignment horizontal="left" vertical="center"/>
      <protection hidden="1"/>
    </xf>
    <xf numFmtId="0" fontId="51" fillId="0" borderId="0" xfId="0" applyFont="1" applyAlignment="1">
      <alignment horizontal="center"/>
    </xf>
    <xf numFmtId="0" fontId="15" fillId="0" borderId="25" xfId="0" applyFont="1" applyFill="1" applyBorder="1" applyAlignment="1" applyProtection="1">
      <alignment horizontal="center" vertical="center"/>
      <protection hidden="1"/>
    </xf>
    <xf numFmtId="0" fontId="15" fillId="0" borderId="27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49" fontId="13" fillId="6" borderId="0" xfId="0" applyNumberFormat="1" applyFont="1" applyFill="1" applyBorder="1" applyAlignment="1" applyProtection="1">
      <alignment horizontal="left" vertical="center"/>
      <protection hidden="1"/>
    </xf>
    <xf numFmtId="49" fontId="13" fillId="6" borderId="0" xfId="0" applyNumberFormat="1" applyFont="1" applyFill="1" applyBorder="1" applyAlignment="1" applyProtection="1">
      <alignment horizontal="center" vertical="center"/>
      <protection hidden="1"/>
    </xf>
    <xf numFmtId="0" fontId="13" fillId="6" borderId="0" xfId="0" applyFont="1" applyFill="1" applyBorder="1" applyAlignment="1" applyProtection="1">
      <alignment horizontal="center" vertical="center"/>
      <protection hidden="1"/>
    </xf>
  </cellXfs>
  <cellStyles count="15">
    <cellStyle name="Attendance Totals" xfId="7" xr:uid="{00000000-0005-0000-0000-000000000000}"/>
    <cellStyle name="Birthdate" xfId="4" xr:uid="{00000000-0005-0000-0000-000001000000}"/>
    <cellStyle name="Month" xfId="6" xr:uid="{00000000-0005-0000-0000-000002000000}"/>
    <cellStyle name="Phone Number" xfId="5" xr:uid="{00000000-0005-0000-0000-000003000000}"/>
    <cellStyle name="Student Information" xfId="2" xr:uid="{00000000-0005-0000-0000-000004000000}"/>
    <cellStyle name="Student Information - user entered" xfId="3" xr:uid="{00000000-0005-0000-0000-000005000000}"/>
    <cellStyle name="Weekday" xfId="8" xr:uid="{00000000-0005-0000-0000-000006000000}"/>
    <cellStyle name="Weekend" xfId="9" xr:uid="{00000000-0005-0000-0000-000007000000}"/>
    <cellStyle name="Гиперссылка" xfId="12" builtinId="8"/>
    <cellStyle name="Заголовок 1" xfId="10" builtinId="16" customBuiltin="1"/>
    <cellStyle name="Заголовок 2" xfId="11" builtinId="17" customBuiltin="1"/>
    <cellStyle name="Название" xfId="1" builtinId="15" customBuiltin="1"/>
    <cellStyle name="Обычный" xfId="0" builtinId="0" customBuiltin="1"/>
    <cellStyle name="Процентный" xfId="14" builtinId="5"/>
    <cellStyle name="Финансовый" xfId="13" builtinId="3"/>
  </cellStyles>
  <dxfs count="127">
    <dxf>
      <font>
        <b/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74" formatCode="0.0;0.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color theme="0"/>
        <name val="Times New Roman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numFmt numFmtId="165" formatCode="0;0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165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165" formatCode="0;0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165" formatCode="0;0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165" formatCode="0;0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165" formatCode="0;0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165" formatCode="0;0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165" formatCode="0;0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/>
        <strike val="0"/>
        <outline val="0"/>
        <shadow val="0"/>
        <u val="none"/>
        <vertAlign val="baseline"/>
        <sz val="10"/>
        <name val="Times New Roman"/>
        <scheme val="none"/>
      </font>
      <numFmt numFmtId="165" formatCode="0;0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name val="Times New Roman"/>
        <scheme val="none"/>
      </font>
      <alignment vertical="center" textRotation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0"/>
        <name val="Times New Roman"/>
        <scheme val="none"/>
      </font>
      <alignment vertical="center" textRotation="0" indent="0" justifyLastLine="0" shrinkToFit="0" readingOrder="0"/>
      <protection locked="1" hidden="1"/>
    </dxf>
    <dxf>
      <fill>
        <patternFill patternType="lightUp">
          <fgColor theme="7" tint="0.59996337778862885"/>
          <bgColor auto="1"/>
        </patternFill>
      </fill>
    </dxf>
    <dxf>
      <fill>
        <patternFill patternType="lightUp">
          <fgColor rgb="FFFFC8B4"/>
        </patternFill>
      </fill>
    </dxf>
    <dxf>
      <fill>
        <patternFill>
          <bgColor rgb="FFFFFF64"/>
        </patternFill>
      </fill>
    </dxf>
    <dxf>
      <fill>
        <patternFill>
          <bgColor rgb="FFFFE164"/>
        </patternFill>
      </fill>
    </dxf>
    <dxf>
      <fill>
        <patternFill>
          <bgColor rgb="FFFFC864"/>
        </patternFill>
      </fill>
    </dxf>
    <dxf>
      <fill>
        <patternFill>
          <bgColor rgb="FFFFC8FF"/>
        </patternFill>
      </fill>
    </dxf>
    <dxf>
      <fill>
        <patternFill>
          <bgColor rgb="FFE1C8E1"/>
        </patternFill>
      </fill>
    </dxf>
    <dxf>
      <fill>
        <patternFill>
          <bgColor rgb="FFC8FF96"/>
        </patternFill>
      </fill>
    </dxf>
    <dxf>
      <font>
        <strike val="0"/>
      </font>
      <fill>
        <patternFill>
          <bgColor rgb="FFDCDCFF"/>
        </patternFill>
      </fill>
    </dxf>
    <dxf>
      <fill>
        <patternFill>
          <bgColor rgb="FFCDEBFF"/>
        </patternFill>
      </fill>
    </dxf>
    <dxf>
      <fill>
        <patternFill patternType="lightUp">
          <fgColor theme="7" tint="0.59996337778862885"/>
          <bgColor auto="1"/>
        </patternFill>
      </fill>
    </dxf>
    <dxf>
      <fill>
        <patternFill patternType="lightUp">
          <fgColor rgb="FFFFC8B4"/>
        </patternFill>
      </fill>
    </dxf>
    <dxf>
      <fill>
        <patternFill>
          <bgColor rgb="FFFFFF64"/>
        </patternFill>
      </fill>
    </dxf>
    <dxf>
      <fill>
        <patternFill>
          <bgColor rgb="FFFFE164"/>
        </patternFill>
      </fill>
    </dxf>
    <dxf>
      <fill>
        <patternFill>
          <bgColor rgb="FFFFC864"/>
        </patternFill>
      </fill>
    </dxf>
    <dxf>
      <fill>
        <patternFill>
          <bgColor rgb="FFFFC8FF"/>
        </patternFill>
      </fill>
    </dxf>
    <dxf>
      <fill>
        <patternFill>
          <bgColor rgb="FFE1C8E1"/>
        </patternFill>
      </fill>
    </dxf>
    <dxf>
      <fill>
        <patternFill>
          <bgColor rgb="FFC8FF96"/>
        </patternFill>
      </fill>
    </dxf>
    <dxf>
      <font>
        <strike val="0"/>
      </font>
      <fill>
        <patternFill>
          <bgColor rgb="FFDCDCFF"/>
        </patternFill>
      </fill>
    </dxf>
    <dxf>
      <fill>
        <patternFill>
          <bgColor rgb="FFCDEB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76" formatCode="[$-443]dd/mm/yyyy\ d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numFmt numFmtId="176" formatCode="[$-443]dd/mm/yyyy\ ddd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numFmt numFmtId="176" formatCode="[$-443]dd/mm/yyyy\ ddd"/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Times New Roman"/>
        <scheme val="none"/>
      </font>
      <protection locked="1" hidden="1"/>
    </dxf>
    <dxf>
      <font>
        <strike val="0"/>
        <outline val="0"/>
        <shadow val="0"/>
        <u val="none"/>
        <vertAlign val="baseline"/>
        <name val="Times New Roman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numFmt numFmtId="179" formatCode="#,##0.0_ ;\-#,##0.0\ 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numFmt numFmtId="179" formatCode="#,##0.0_ ;\-#,##0.0\ 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numFmt numFmtId="179" formatCode="#,##0.0_ ;\-#,##0.0\ 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numFmt numFmtId="179" formatCode="#,##0.0_ ;\-#,##0.0\ 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numFmt numFmtId="179" formatCode="#,##0.0_ ;\-#,##0.0\ 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numFmt numFmtId="179" formatCode="#,##0.0_ ;\-#,##0.0\ 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numFmt numFmtId="179" formatCode="#,##0.0_ ;\-#,##0.0\ 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Times New Roman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9"/>
        <name val="Times New Roman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ill>
        <patternFill>
          <bgColor theme="7"/>
        </patternFill>
      </fill>
    </dxf>
    <dxf>
      <border>
        <left/>
        <right/>
        <top/>
        <bottom/>
      </border>
    </dxf>
    <dxf>
      <border>
        <top/>
        <bottom/>
        <horizontal/>
      </border>
    </dxf>
    <dxf>
      <fill>
        <patternFill>
          <bgColor rgb="FFF8F8F8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</font>
      <border>
        <top style="double">
          <color theme="1"/>
        </top>
      </border>
    </dxf>
    <dxf>
      <font>
        <b/>
        <i val="0"/>
        <color theme="1" tint="0.14996795556505021"/>
      </font>
      <fill>
        <patternFill patternType="none">
          <bgColor auto="1"/>
        </patternFill>
      </fill>
      <border>
        <left/>
        <right/>
        <top/>
        <bottom style="thin">
          <color theme="0" tint="-0.34998626667073579"/>
        </bottom>
        <vertical/>
        <horizontal style="thick">
          <color theme="0"/>
        </horizontal>
      </border>
    </dxf>
    <dxf>
      <font>
        <color theme="1" tint="0.14996795556505021"/>
      </font>
      <border>
        <left/>
        <right/>
        <top style="thin">
          <color theme="0" tint="-0.24994659260841701"/>
        </top>
        <bottom style="thin">
          <color theme="0" tint="-0.24994659260841701"/>
        </bottom>
        <vertical style="medium">
          <color theme="0"/>
        </vertical>
        <horizontal style="thin">
          <color theme="0" tint="-0.24994659260841701"/>
        </horizontal>
      </border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</font>
      <border>
        <top style="double">
          <color theme="1"/>
        </top>
      </border>
    </dxf>
    <dxf>
      <font>
        <color theme="1"/>
      </font>
      <fill>
        <patternFill>
          <bgColor theme="4" tint="0.79998168889431442"/>
        </patternFill>
      </fill>
      <border>
        <left style="thin">
          <color theme="3"/>
        </left>
        <right style="thin">
          <color theme="3"/>
        </right>
        <top style="medium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3" defaultTableStyle="TableStyleMedium2" defaultPivotStyle="PivotStyleLight16">
    <tableStyle name="Employee Absence Table" pivot="0" count="5" xr9:uid="{00000000-0011-0000-FFFF-FFFF00000000}">
      <tableStyleElement type="wholeTable" dxfId="126"/>
      <tableStyleElement type="headerRow" dxfId="125"/>
      <tableStyleElement type="totalRow" dxfId="124"/>
      <tableStyleElement type="firstRowStripe" dxfId="123"/>
      <tableStyleElement type="secondRowStripe" dxfId="122"/>
    </tableStyle>
    <tableStyle name="FINEX_TimeSheetStyle" pivot="0" count="5" xr9:uid="{00000000-0011-0000-FFFF-FFFF01000000}">
      <tableStyleElement type="wholeTable" dxfId="121"/>
      <tableStyleElement type="headerRow" dxfId="120"/>
      <tableStyleElement type="totalRow" dxfId="119"/>
      <tableStyleElement type="secondRowStripe" dxfId="118"/>
      <tableStyleElement type="firstColumnStripe" dxfId="117"/>
    </tableStyle>
    <tableStyle name="Стиль среза 1" pivot="0" table="0" count="5" xr9:uid="{00000000-0011-0000-FFFF-FFFF02000000}">
      <tableStyleElement type="wholeTable" dxfId="116"/>
    </tableStyle>
  </tableStyles>
  <colors>
    <mruColors>
      <color rgb="FF969696"/>
      <color rgb="FFCCFFFF"/>
      <color rgb="FFFFFFCC"/>
      <color rgb="FFFFCC99"/>
      <color rgb="FF99FF99"/>
      <color rgb="FFFF9966"/>
      <color rgb="FFFF6600"/>
      <color rgb="FF66FF66"/>
      <color rgb="FFFFFF99"/>
      <color rgb="FFFF3300"/>
    </mruColors>
  </colors>
  <extLst>
    <ext xmlns:x14="http://schemas.microsoft.com/office/spreadsheetml/2009/9/main" uri="{46F421CA-312F-682f-3DD2-61675219B42D}">
      <x14:dxfs count="4">
        <dxf>
          <fill>
            <patternFill>
              <bgColor rgb="FFDDDDDD"/>
            </patternFill>
          </fill>
          <border>
            <left/>
            <right/>
            <top/>
            <bottom style="thin">
              <color auto="1"/>
            </bottom>
          </border>
        </dxf>
        <dxf>
          <border>
            <left style="thin">
              <color rgb="FF969696"/>
            </left>
            <right style="thin">
              <color rgb="FF969696"/>
            </right>
            <top style="thin">
              <color rgb="FF969696"/>
            </top>
            <bottom style="thin">
              <color rgb="FF969696"/>
            </bottom>
          </border>
        </dxf>
        <dxf>
          <font>
            <b/>
            <i val="0"/>
            <strike val="0"/>
          </font>
          <border>
            <left/>
            <right/>
            <top/>
            <bottom style="double">
              <color rgb="FF777777"/>
            </bottom>
          </border>
        </dxf>
        <dxf>
          <border>
            <left/>
            <right/>
            <top/>
            <bottom style="thin">
              <color rgb="FFEAEAEA"/>
            </bottom>
          </border>
        </dxf>
      </x14:dxfs>
    </ext>
    <ext xmlns:x14="http://schemas.microsoft.com/office/spreadsheetml/2009/9/main" uri="{EB79DEF2-80B8-43e5-95BD-54CBDDF9020C}">
      <x14:slicerStyles defaultSlicerStyle="Стиль среза 1">
        <x14:slicerStyle name="Стиль среза 1">
          <x14:slicerStyleElements>
            <x14:slicerStyleElement type="unselectedItemWithData" dxfId="3"/>
            <x14:slicerStyleElement type="selectedItemWith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342898</xdr:colOff>
      <xdr:row>11</xdr:row>
      <xdr:rowOff>28575</xdr:rowOff>
    </xdr:from>
    <xdr:to>
      <xdr:col>4</xdr:col>
      <xdr:colOff>748873</xdr:colOff>
      <xdr:row>13</xdr:row>
      <xdr:rowOff>91200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411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4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57398" y="2085975"/>
              <a:ext cx="1749000" cy="396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 fPrintsWithSheet="0"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411" xr10:uid="{00000000-0013-0000-FFFF-FFFF01000000}" sourceName="411">
  <extLst>
    <x:ext xmlns:x15="http://schemas.microsoft.com/office/spreadsheetml/2010/11/main" uri="{2F2917AC-EB37-4324-AD4E-5DD8C200BD13}">
      <x15:tableSlicerCache tableId="4" column="57" crossFilter="showItemsWithNoData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411" xr10:uid="{00000000-0014-0000-FFFF-FFFF01000000}" cache="Срез_411" caption="411" showCaption="0" rowHeight="216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mp" displayName="emp" ref="B7:O17" totalsRowShown="0" headerRowDxfId="114" dataDxfId="113">
  <tableColumns count="14">
    <tableColumn id="1" xr3:uid="{00000000-0010-0000-0000-000001000000}" name="Tab №" dataDxfId="112"/>
    <tableColumn id="2" xr3:uid="{00000000-0010-0000-0000-000002000000}" name="FIŞ" dataDxfId="111"/>
    <tableColumn id="3" xr3:uid="{00000000-0010-0000-0000-000003000000}" name="Lavozim" dataDxfId="110"/>
    <tableColumn id="6" xr3:uid="{00000000-0010-0000-0000-000006000000}" name="Stavka" dataDxfId="109"/>
    <tableColumn id="14" xr3:uid="{00000000-0010-0000-0000-00000E000000}" name="  manbasi" dataDxfId="108"/>
    <tableColumn id="4" xr3:uid="{00000000-0010-0000-0000-000004000000}" name="kuni" dataDxfId="107"/>
    <tableColumn id="5" xr3:uid="{00000000-0010-0000-0000-000005000000}" name="kuni " dataDxfId="106"/>
    <tableColumn id="7" xr3:uid="{00000000-0010-0000-0000-000007000000}" name="Du" dataDxfId="105" dataCellStyle="Финансовый"/>
    <tableColumn id="8" xr3:uid="{00000000-0010-0000-0000-000008000000}" name="Se" dataDxfId="104" dataCellStyle="Финансовый"/>
    <tableColumn id="9" xr3:uid="{00000000-0010-0000-0000-000009000000}" name="Ço" dataDxfId="103" dataCellStyle="Финансовый"/>
    <tableColumn id="10" xr3:uid="{00000000-0010-0000-0000-00000A000000}" name="Pa" dataDxfId="102" dataCellStyle="Финансовый"/>
    <tableColumn id="11" xr3:uid="{00000000-0010-0000-0000-00000B000000}" name="Ju" dataDxfId="101" dataCellStyle="Финансовый"/>
    <tableColumn id="12" xr3:uid="{00000000-0010-0000-0000-00000C000000}" name="Şa" dataDxfId="100" dataCellStyle="Финансовый"/>
    <tableColumn id="13" xr3:uid="{00000000-0010-0000-0000-00000D000000}" name="Ya" dataDxfId="99" dataCellStyle="Финансовый"/>
  </tableColumns>
  <tableStyleInfo name="FINEX_TimeSheetSty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lv" displayName="lv" ref="B5:M46" totalsRowShown="0" headerRowDxfId="98" dataDxfId="97">
  <tableColumns count="12">
    <tableColumn id="1" xr3:uid="{00000000-0010-0000-0100-000001000000}" name="FIŞ" dataDxfId="96"/>
    <tableColumn id="4" xr3:uid="{00000000-0010-0000-0100-000004000000}" name="Yöqlik turi" dataDxfId="95"/>
    <tableColumn id="2" xr3:uid="{00000000-0010-0000-0100-000002000000}" name="dan" dataDxfId="94"/>
    <tableColumn id="3" xr3:uid="{00000000-0010-0000-0100-000003000000}" name="gaça" dataDxfId="93"/>
    <tableColumn id="15" xr3:uid="{00000000-0010-0000-0100-00000F000000}" name="0" dataDxfId="92"/>
    <tableColumn id="11" xr3:uid="{00000000-0010-0000-0100-00000B000000}" name="ÖZ MK" dataDxfId="91">
      <calculatedColumnFormula>lvTxDsTk</calculatedColumnFormula>
    </tableColumn>
    <tableColumn id="10" xr3:uid="{00000000-0010-0000-0100-00000A000000}" name="kuni" dataDxfId="90" dataCellStyle="Финансовый">
      <calculatedColumnFormula>lvDtBack</calculatedColumnFormula>
    </tableColumn>
    <tableColumn id="16" xr3:uid="{00000000-0010-0000-0100-000010000000}" name="1" dataDxfId="89"/>
    <tableColumn id="13" xr3:uid="{00000000-0010-0000-0100-00000D000000}" name="Kod" dataDxfId="88">
      <calculatedColumnFormula>lvLvK</calculatedColumnFormula>
    </tableColumn>
    <tableColumn id="8" xr3:uid="{00000000-0010-0000-0100-000008000000}" name="ÖZ MK " dataDxfId="87">
      <calculatedColumnFormula>lvTxDsTk</calculatedColumnFormula>
    </tableColumn>
    <tableColumn id="5" xr3:uid="{00000000-0010-0000-0100-000005000000}" name="Kun" dataDxfId="86">
      <calculatedColumnFormula>lvTxDs</calculatedColumnFormula>
    </tableColumn>
    <tableColumn id="7" xr3:uid="{00000000-0010-0000-0100-000007000000}" name="Soat" dataDxfId="85">
      <calculatedColumnFormula>lvTxHs</calculatedColumnFormula>
    </tableColumn>
  </tableColumns>
  <tableStyleInfo name="FINEX_TimeSheetSty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" displayName="t" ref="B17:BL27" totalsRowShown="0" headerRowDxfId="64" dataDxfId="63">
  <autoFilter ref="B17:BL27" xr:uid="{00000000-0009-0000-0100-000004000000}">
    <filterColumn colId="4">
      <filters>
        <filter val="BUDJET"/>
      </filters>
    </filterColumn>
  </autoFilter>
  <tableColumns count="63">
    <tableColumn id="1" xr3:uid="{00000000-0010-0000-0200-000001000000}" name="2" dataDxfId="62">
      <calculatedColumnFormula>+Xodim!B8</calculatedColumnFormula>
    </tableColumn>
    <tableColumn id="2" xr3:uid="{00000000-0010-0000-0200-000002000000}" name="3" dataDxfId="61">
      <calculatedColumnFormula>txNm</calculatedColumnFormula>
    </tableColumn>
    <tableColumn id="3" xr3:uid="{00000000-0010-0000-0200-000003000000}" name="4" dataDxfId="60">
      <calculatedColumnFormula>OFFSET(txNm,,1)</calculatedColumnFormula>
    </tableColumn>
    <tableColumn id="58" xr3:uid="{00000000-0010-0000-0200-00003A000000}" name="410" dataDxfId="59">
      <calculatedColumnFormula>OFFSET(txNm,,2)</calculatedColumnFormula>
    </tableColumn>
    <tableColumn id="57" xr3:uid="{00000000-0010-0000-0200-000039000000}" name="411" dataDxfId="58">
      <calculatedColumnFormula>OFFSET(txNm,,3)</calculatedColumnFormula>
    </tableColumn>
    <tableColumn id="4" xr3:uid="{00000000-0010-0000-0200-000004000000}" name="6" dataDxfId="57" dataCellStyle="Финансовый">
      <calculatedColumnFormula>txCell</calculatedColumnFormula>
    </tableColumn>
    <tableColumn id="5" xr3:uid="{00000000-0010-0000-0200-000005000000}" name="7" dataDxfId="56" dataCellStyle="Финансовый">
      <calculatedColumnFormula>txCell</calculatedColumnFormula>
    </tableColumn>
    <tableColumn id="6" xr3:uid="{00000000-0010-0000-0200-000006000000}" name="8" dataDxfId="55" dataCellStyle="Финансовый">
      <calculatedColumnFormula>txCell</calculatedColumnFormula>
    </tableColumn>
    <tableColumn id="7" xr3:uid="{00000000-0010-0000-0200-000007000000}" name="9" dataDxfId="54" dataCellStyle="Финансовый">
      <calculatedColumnFormula>txCell</calculatedColumnFormula>
    </tableColumn>
    <tableColumn id="8" xr3:uid="{00000000-0010-0000-0200-000008000000}" name="10" dataDxfId="53" dataCellStyle="Финансовый">
      <calculatedColumnFormula>txCell</calculatedColumnFormula>
    </tableColumn>
    <tableColumn id="9" xr3:uid="{00000000-0010-0000-0200-000009000000}" name="11" dataDxfId="52" dataCellStyle="Финансовый">
      <calculatedColumnFormula>txCell</calculatedColumnFormula>
    </tableColumn>
    <tableColumn id="10" xr3:uid="{00000000-0010-0000-0200-00000A000000}" name="12" dataDxfId="51" dataCellStyle="Финансовый">
      <calculatedColumnFormula>txCell</calculatedColumnFormula>
    </tableColumn>
    <tableColumn id="11" xr3:uid="{00000000-0010-0000-0200-00000B000000}" name="13" dataDxfId="50" dataCellStyle="Финансовый">
      <calculatedColumnFormula>txCell</calculatedColumnFormula>
    </tableColumn>
    <tableColumn id="12" xr3:uid="{00000000-0010-0000-0200-00000C000000}" name="14" dataDxfId="49" dataCellStyle="Финансовый">
      <calculatedColumnFormula>txCell</calculatedColumnFormula>
    </tableColumn>
    <tableColumn id="13" xr3:uid="{00000000-0010-0000-0200-00000D000000}" name="15" dataDxfId="48" dataCellStyle="Финансовый">
      <calculatedColumnFormula>txCell</calculatedColumnFormula>
    </tableColumn>
    <tableColumn id="14" xr3:uid="{00000000-0010-0000-0200-00000E000000}" name="16" dataDxfId="47" dataCellStyle="Финансовый">
      <calculatedColumnFormula>txCell</calculatedColumnFormula>
    </tableColumn>
    <tableColumn id="15" xr3:uid="{00000000-0010-0000-0200-00000F000000}" name="17" dataDxfId="46" dataCellStyle="Финансовый">
      <calculatedColumnFormula>txCell</calculatedColumnFormula>
    </tableColumn>
    <tableColumn id="16" xr3:uid="{00000000-0010-0000-0200-000010000000}" name="18" dataDxfId="45" dataCellStyle="Финансовый">
      <calculatedColumnFormula>txCell</calculatedColumnFormula>
    </tableColumn>
    <tableColumn id="17" xr3:uid="{00000000-0010-0000-0200-000011000000}" name="19" dataDxfId="44" dataCellStyle="Финансовый">
      <calculatedColumnFormula>txCell</calculatedColumnFormula>
    </tableColumn>
    <tableColumn id="18" xr3:uid="{00000000-0010-0000-0200-000012000000}" name="20" dataDxfId="43" dataCellStyle="Финансовый">
      <calculatedColumnFormula>txCell</calculatedColumnFormula>
    </tableColumn>
    <tableColumn id="19" xr3:uid="{00000000-0010-0000-0200-000013000000}" name="21" dataDxfId="42" dataCellStyle="Финансовый">
      <calculatedColumnFormula>txCell</calculatedColumnFormula>
    </tableColumn>
    <tableColumn id="20" xr3:uid="{00000000-0010-0000-0200-000014000000}" name="22" dataDxfId="41" dataCellStyle="Финансовый">
      <calculatedColumnFormula>txCell</calculatedColumnFormula>
    </tableColumn>
    <tableColumn id="21" xr3:uid="{00000000-0010-0000-0200-000015000000}" name="23" dataDxfId="40" dataCellStyle="Финансовый">
      <calculatedColumnFormula>txCell</calculatedColumnFormula>
    </tableColumn>
    <tableColumn id="22" xr3:uid="{00000000-0010-0000-0200-000016000000}" name="24" dataDxfId="39" dataCellStyle="Финансовый">
      <calculatedColumnFormula>txCell</calculatedColumnFormula>
    </tableColumn>
    <tableColumn id="23" xr3:uid="{00000000-0010-0000-0200-000017000000}" name="25" dataDxfId="38" dataCellStyle="Финансовый">
      <calculatedColumnFormula>txCell</calculatedColumnFormula>
    </tableColumn>
    <tableColumn id="24" xr3:uid="{00000000-0010-0000-0200-000018000000}" name="26" dataDxfId="37" dataCellStyle="Финансовый">
      <calculatedColumnFormula>txCell</calculatedColumnFormula>
    </tableColumn>
    <tableColumn id="25" xr3:uid="{00000000-0010-0000-0200-000019000000}" name="27" dataDxfId="36" dataCellStyle="Финансовый">
      <calculatedColumnFormula>txCell</calculatedColumnFormula>
    </tableColumn>
    <tableColumn id="26" xr3:uid="{00000000-0010-0000-0200-00001A000000}" name="28" dataDxfId="35" dataCellStyle="Финансовый">
      <calculatedColumnFormula>txCell</calculatedColumnFormula>
    </tableColumn>
    <tableColumn id="27" xr3:uid="{00000000-0010-0000-0200-00001B000000}" name="29" dataDxfId="34" dataCellStyle="Финансовый">
      <calculatedColumnFormula>txCell</calculatedColumnFormula>
    </tableColumn>
    <tableColumn id="28" xr3:uid="{00000000-0010-0000-0200-00001C000000}" name="30" dataDxfId="33" dataCellStyle="Финансовый">
      <calculatedColumnFormula>txCell</calculatedColumnFormula>
    </tableColumn>
    <tableColumn id="29" xr3:uid="{00000000-0010-0000-0200-00001D000000}" name="31" dataDxfId="32" dataCellStyle="Финансовый">
      <calculatedColumnFormula>txCell</calculatedColumnFormula>
    </tableColumn>
    <tableColumn id="30" xr3:uid="{00000000-0010-0000-0200-00001E000000}" name="32" dataDxfId="31" dataCellStyle="Финансовый">
      <calculatedColumnFormula>txCell</calculatedColumnFormula>
    </tableColumn>
    <tableColumn id="31" xr3:uid="{00000000-0010-0000-0200-00001F000000}" name="33" dataDxfId="30" dataCellStyle="Финансовый">
      <calculatedColumnFormula>txCell</calculatedColumnFormula>
    </tableColumn>
    <tableColumn id="32" xr3:uid="{00000000-0010-0000-0200-000020000000}" name="34" dataDxfId="29" dataCellStyle="Финансовый">
      <calculatedColumnFormula>txCell</calculatedColumnFormula>
    </tableColumn>
    <tableColumn id="33" xr3:uid="{00000000-0010-0000-0200-000021000000}" name="35" dataDxfId="28" dataCellStyle="Финансовый">
      <calculatedColumnFormula>txCell</calculatedColumnFormula>
    </tableColumn>
    <tableColumn id="34" xr3:uid="{00000000-0010-0000-0200-000022000000}" name="36" dataDxfId="27" dataCellStyle="Финансовый">
      <calculatedColumnFormula>txCell</calculatedColumnFormula>
    </tableColumn>
    <tableColumn id="43" xr3:uid="{00000000-0010-0000-0200-00002B000000}" name="37" dataDxfId="26">
      <calculatedColumnFormula>txLvM</calculatedColumnFormula>
    </tableColumn>
    <tableColumn id="42" xr3:uid="{00000000-0010-0000-0200-00002A000000}" name="38" dataDxfId="25">
      <calculatedColumnFormula>txLvM</calculatedColumnFormula>
    </tableColumn>
    <tableColumn id="41" xr3:uid="{00000000-0010-0000-0200-000029000000}" name="39" dataDxfId="24">
      <calculatedColumnFormula>txLvM</calculatedColumnFormula>
    </tableColumn>
    <tableColumn id="39" xr3:uid="{00000000-0010-0000-0200-000027000000}" name="40" dataDxfId="23">
      <calculatedColumnFormula>txLvM</calculatedColumnFormula>
    </tableColumn>
    <tableColumn id="40" xr3:uid="{00000000-0010-0000-0200-000028000000}" name="41" dataDxfId="22">
      <calculatedColumnFormula>txLvM</calculatedColumnFormula>
    </tableColumn>
    <tableColumn id="53" xr3:uid="{00000000-0010-0000-0200-000035000000}" name="42" dataDxfId="21">
      <calculatedColumnFormula>txLvM</calculatedColumnFormula>
    </tableColumn>
    <tableColumn id="52" xr3:uid="{00000000-0010-0000-0200-000034000000}" name="43" dataDxfId="20">
      <calculatedColumnFormula>txLvM</calculatedColumnFormula>
    </tableColumn>
    <tableColumn id="51" xr3:uid="{00000000-0010-0000-0200-000033000000}" name="44" dataDxfId="19">
      <calculatedColumnFormula>txLvM</calculatedColumnFormula>
    </tableColumn>
    <tableColumn id="37" xr3:uid="{00000000-0010-0000-0200-000025000000}" name="45" dataDxfId="18">
      <calculatedColumnFormula>txDsM</calculatedColumnFormula>
    </tableColumn>
    <tableColumn id="38" xr3:uid="{00000000-0010-0000-0200-000026000000}" name="46" dataDxfId="17">
      <calculatedColumnFormula>txHsM</calculatedColumnFormula>
    </tableColumn>
    <tableColumn id="36" xr3:uid="{00000000-0010-0000-0200-000024000000}" name="47" dataDxfId="16">
      <calculatedColumnFormula>txDsMY</calculatedColumnFormula>
    </tableColumn>
    <tableColumn id="49" xr3:uid="{00000000-0010-0000-0200-000031000000}" name="48" dataDxfId="15">
      <calculatedColumnFormula>txHsMY</calculatedColumnFormula>
    </tableColumn>
    <tableColumn id="55" xr3:uid="{00000000-0010-0000-0200-000037000000}" name="49" dataDxfId="14"/>
    <tableColumn id="73" xr3:uid="{00000000-0010-0000-0200-000049000000}" name="50" dataDxfId="13">
      <calculatedColumnFormula>txLvY</calculatedColumnFormula>
    </tableColumn>
    <tableColumn id="35" xr3:uid="{00000000-0010-0000-0200-000023000000}" name="51" dataDxfId="12">
      <calculatedColumnFormula>txLvY</calculatedColumnFormula>
    </tableColumn>
    <tableColumn id="44" xr3:uid="{00000000-0010-0000-0200-00002C000000}" name="52" dataDxfId="11">
      <calculatedColumnFormula>txLvY</calculatedColumnFormula>
    </tableColumn>
    <tableColumn id="45" xr3:uid="{00000000-0010-0000-0200-00002D000000}" name="53" dataDxfId="10">
      <calculatedColumnFormula>txLvY</calculatedColumnFormula>
    </tableColumn>
    <tableColumn id="46" xr3:uid="{00000000-0010-0000-0200-00002E000000}" name="54" dataDxfId="9">
      <calculatedColumnFormula>txLvY</calculatedColumnFormula>
    </tableColumn>
    <tableColumn id="47" xr3:uid="{00000000-0010-0000-0200-00002F000000}" name="55" dataDxfId="8">
      <calculatedColumnFormula>txLvY</calculatedColumnFormula>
    </tableColumn>
    <tableColumn id="48" xr3:uid="{00000000-0010-0000-0200-000030000000}" name="56" dataDxfId="7">
      <calculatedColumnFormula>txLvY</calculatedColumnFormula>
    </tableColumn>
    <tableColumn id="50" xr3:uid="{00000000-0010-0000-0200-000032000000}" name="57" dataDxfId="6">
      <calculatedColumnFormula>txLvY</calculatedColumnFormula>
    </tableColumn>
    <tableColumn id="76" xr3:uid="{00000000-0010-0000-0200-00004C000000}" name="58" dataDxfId="5">
      <calculatedColumnFormula>txDsMY-t_LvD</calculatedColumnFormula>
    </tableColumn>
    <tableColumn id="72" xr3:uid="{00000000-0010-0000-0200-000048000000}" name="59" dataDxfId="4">
      <calculatedColumnFormula>txHsMY-t_LvH</calculatedColumnFormula>
    </tableColumn>
    <tableColumn id="75" xr3:uid="{00000000-0010-0000-0200-00004B000000}" name="60" dataDxfId="3">
      <calculatedColumnFormula>txDsMY</calculatedColumnFormula>
    </tableColumn>
    <tableColumn id="74" xr3:uid="{00000000-0010-0000-0200-00004A000000}" name="61" dataDxfId="2">
      <calculatedColumnFormula>txHsMY</calculatedColumnFormula>
    </tableColumn>
    <tableColumn id="54" xr3:uid="{00000000-0010-0000-0200-000036000000}" name="62" dataDxfId="1" dataCellStyle="Процентный">
      <calculatedColumnFormula>IFERROR(t[[#This Row],[58]]/t[[#This Row],[60]],"")</calculatedColumnFormula>
    </tableColumn>
    <tableColumn id="56" xr3:uid="{00000000-0010-0000-0200-000038000000}" name="63" dataDxfId="0">
      <calculatedColumnFormula>txAvgEmp</calculatedColumnFormula>
    </tableColumn>
  </tableColumns>
  <tableStyleInfo name="FINEX_TimeSheetStyl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Student Attendance Record">
      <a:dk1>
        <a:sysClr val="windowText" lastClr="000000"/>
      </a:dk1>
      <a:lt1>
        <a:sysClr val="window" lastClr="FFFFFF"/>
      </a:lt1>
      <a:dk2>
        <a:srgbClr val="645050"/>
      </a:dk2>
      <a:lt2>
        <a:srgbClr val="FAF0DC"/>
      </a:lt2>
      <a:accent1>
        <a:srgbClr val="4BACC6"/>
      </a:accent1>
      <a:accent2>
        <a:srgbClr val="FFD264"/>
      </a:accent2>
      <a:accent3>
        <a:srgbClr val="FF9354"/>
      </a:accent3>
      <a:accent4>
        <a:srgbClr val="B4D23C"/>
      </a:accent4>
      <a:accent5>
        <a:srgbClr val="AE701E"/>
      </a:accent5>
      <a:accent6>
        <a:srgbClr val="003CC9"/>
      </a:accent6>
      <a:hlink>
        <a:srgbClr val="457CFF"/>
      </a:hlink>
      <a:folHlink>
        <a:srgbClr val="EDC796"/>
      </a:folHlink>
    </a:clrScheme>
    <a:fontScheme name="Student Attendance Record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FF9900"/>
    <pageSetUpPr fitToPage="1"/>
  </sheetPr>
  <dimension ref="B2:M29"/>
  <sheetViews>
    <sheetView showGridLines="0" topLeftCell="A19" zoomScaleNormal="100" workbookViewId="0">
      <selection activeCell="E7" sqref="E7:M7"/>
    </sheetView>
  </sheetViews>
  <sheetFormatPr defaultRowHeight="15" x14ac:dyDescent="0.25"/>
  <cols>
    <col min="1" max="3" width="3.28515625" style="7" customWidth="1"/>
    <col min="4" max="4" width="3.85546875" style="7" customWidth="1"/>
    <col min="5" max="12" width="12.28515625" style="7" customWidth="1"/>
    <col min="13" max="13" width="20.42578125" style="7" customWidth="1"/>
    <col min="14" max="16384" width="9.140625" style="7"/>
  </cols>
  <sheetData>
    <row r="2" spans="2:13" x14ac:dyDescent="0.25">
      <c r="B2" s="1" t="s">
        <v>246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3" s="9" customFormat="1" ht="15.75" customHeight="1" thickBot="1" x14ac:dyDescent="0.3">
      <c r="B3" s="8"/>
      <c r="C3" s="8"/>
      <c r="D3" s="8"/>
      <c r="E3" s="8"/>
      <c r="F3" s="8"/>
    </row>
    <row r="4" spans="2:13" s="10" customFormat="1" ht="16.5" customHeight="1" thickBot="1" x14ac:dyDescent="0.3">
      <c r="E4" s="11" t="s">
        <v>177</v>
      </c>
      <c r="F4" s="11"/>
      <c r="H4" s="12">
        <v>2730030</v>
      </c>
      <c r="I4" s="13"/>
      <c r="J4" s="11"/>
      <c r="K4" s="14" t="s">
        <v>170</v>
      </c>
      <c r="L4" s="12">
        <v>2021</v>
      </c>
      <c r="M4" s="15">
        <f>IF(AND((COUNTBLANK($1:$1)+$H$4)=2746414,$E$12="https://www.facebook.com/FinexAccounting/"),$L$4,L4)</f>
        <v>2021</v>
      </c>
    </row>
    <row r="5" spans="2:13" s="10" customFormat="1" ht="16.5" customHeight="1" thickBot="1" x14ac:dyDescent="0.3">
      <c r="K5" s="14" t="s">
        <v>171</v>
      </c>
      <c r="L5" s="16">
        <f>zYear</f>
        <v>2021</v>
      </c>
    </row>
    <row r="6" spans="2:13" s="10" customFormat="1" x14ac:dyDescent="0.25">
      <c r="E6" s="17"/>
      <c r="F6" s="17"/>
      <c r="G6" s="17"/>
      <c r="H6" s="17"/>
      <c r="I6" s="17"/>
      <c r="J6" s="17"/>
      <c r="K6" s="17"/>
      <c r="L6" s="17"/>
      <c r="M6" s="17"/>
    </row>
    <row r="7" spans="2:13" s="10" customFormat="1" ht="27" customHeight="1" x14ac:dyDescent="0.25">
      <c r="E7" s="233" t="s">
        <v>186</v>
      </c>
      <c r="F7" s="233"/>
      <c r="G7" s="233"/>
      <c r="H7" s="233"/>
      <c r="I7" s="233"/>
      <c r="J7" s="233"/>
      <c r="K7" s="233"/>
      <c r="L7" s="233"/>
      <c r="M7" s="233"/>
    </row>
    <row r="8" spans="2:13" s="10" customFormat="1" ht="28.5" customHeight="1" x14ac:dyDescent="0.25">
      <c r="E8" s="233" t="s">
        <v>187</v>
      </c>
      <c r="F8" s="233"/>
      <c r="G8" s="233"/>
      <c r="H8" s="233"/>
      <c r="I8" s="233"/>
      <c r="J8" s="233"/>
      <c r="K8" s="233"/>
      <c r="L8" s="233"/>
      <c r="M8" s="233"/>
    </row>
    <row r="9" spans="2:13" s="10" customFormat="1" ht="14.25" customHeight="1" x14ac:dyDescent="0.25">
      <c r="E9" s="18" t="s">
        <v>172</v>
      </c>
      <c r="G9" s="19"/>
      <c r="K9" s="14"/>
      <c r="L9" s="14"/>
    </row>
    <row r="10" spans="2:13" s="10" customFormat="1" ht="16.5" customHeight="1" x14ac:dyDescent="0.25">
      <c r="D10" s="19"/>
      <c r="E10" s="18" t="s">
        <v>173</v>
      </c>
      <c r="F10" s="20"/>
      <c r="G10" s="20"/>
      <c r="H10" s="20"/>
      <c r="I10" s="20"/>
      <c r="J10" s="20"/>
      <c r="K10" s="20"/>
      <c r="L10" s="20"/>
      <c r="M10" s="20"/>
    </row>
    <row r="11" spans="2:13" ht="28.5" customHeight="1" x14ac:dyDescent="0.25">
      <c r="D11" s="21"/>
      <c r="E11" s="234" t="s">
        <v>174</v>
      </c>
      <c r="F11" s="234"/>
      <c r="G11" s="234"/>
      <c r="H11" s="234"/>
      <c r="I11" s="234"/>
      <c r="J11" s="234"/>
      <c r="K11" s="234"/>
      <c r="L11" s="234"/>
      <c r="M11" s="234"/>
    </row>
    <row r="12" spans="2:13" x14ac:dyDescent="0.25">
      <c r="E12" s="235"/>
      <c r="F12" s="235"/>
      <c r="G12" s="235"/>
      <c r="H12" s="235"/>
    </row>
    <row r="13" spans="2:13" x14ac:dyDescent="0.25">
      <c r="D13" s="22"/>
      <c r="E13" s="7" t="s">
        <v>175</v>
      </c>
    </row>
    <row r="14" spans="2:13" x14ac:dyDescent="0.25">
      <c r="E14" s="7" t="s">
        <v>176</v>
      </c>
    </row>
    <row r="15" spans="2:13" s="9" customFormat="1" x14ac:dyDescent="0.25">
      <c r="B15" s="8"/>
      <c r="C15" s="3" t="s">
        <v>178</v>
      </c>
      <c r="D15" s="8"/>
      <c r="E15" s="8"/>
      <c r="F15" s="8"/>
    </row>
    <row r="16" spans="2:13" ht="29.25" customHeight="1" x14ac:dyDescent="0.25">
      <c r="D16" s="23" t="s">
        <v>0</v>
      </c>
      <c r="E16" s="237" t="s">
        <v>188</v>
      </c>
      <c r="F16" s="237"/>
      <c r="G16" s="237"/>
      <c r="H16" s="237"/>
      <c r="I16" s="237"/>
      <c r="J16" s="237"/>
      <c r="K16" s="237"/>
      <c r="L16" s="237"/>
      <c r="M16" s="237"/>
    </row>
    <row r="17" spans="2:13" ht="48" customHeight="1" x14ac:dyDescent="0.25">
      <c r="D17" s="23"/>
      <c r="E17" s="237" t="s">
        <v>189</v>
      </c>
      <c r="F17" s="237"/>
      <c r="G17" s="237"/>
      <c r="H17" s="237"/>
      <c r="I17" s="237"/>
      <c r="J17" s="237"/>
      <c r="K17" s="237"/>
      <c r="L17" s="237"/>
      <c r="M17" s="237"/>
    </row>
    <row r="18" spans="2:13" ht="33" customHeight="1" x14ac:dyDescent="0.25">
      <c r="C18" s="24"/>
      <c r="D18" s="23" t="s">
        <v>1</v>
      </c>
      <c r="E18" s="237" t="s">
        <v>190</v>
      </c>
      <c r="F18" s="237"/>
      <c r="G18" s="237"/>
      <c r="H18" s="237"/>
      <c r="I18" s="237"/>
      <c r="J18" s="237"/>
      <c r="K18" s="237"/>
      <c r="L18" s="237"/>
      <c r="M18" s="237"/>
    </row>
    <row r="19" spans="2:13" ht="15.75" customHeight="1" x14ac:dyDescent="0.25">
      <c r="C19" s="24"/>
      <c r="D19" s="23" t="s">
        <v>2</v>
      </c>
      <c r="E19" s="237" t="s">
        <v>191</v>
      </c>
      <c r="F19" s="237"/>
      <c r="G19" s="237"/>
      <c r="H19" s="237"/>
      <c r="I19" s="237"/>
      <c r="J19" s="237"/>
      <c r="K19" s="237"/>
      <c r="L19" s="237"/>
      <c r="M19" s="237"/>
    </row>
    <row r="20" spans="2:13" x14ac:dyDescent="0.25">
      <c r="C20" s="24"/>
      <c r="D20" s="23" t="s">
        <v>4</v>
      </c>
      <c r="E20" s="237" t="s">
        <v>192</v>
      </c>
      <c r="F20" s="237"/>
      <c r="G20" s="237"/>
      <c r="H20" s="237"/>
      <c r="I20" s="237"/>
      <c r="J20" s="237"/>
      <c r="K20" s="237"/>
      <c r="L20" s="237"/>
      <c r="M20" s="237"/>
    </row>
    <row r="21" spans="2:13" ht="13.5" customHeight="1" x14ac:dyDescent="0.25">
      <c r="C21" s="4" t="s">
        <v>179</v>
      </c>
    </row>
    <row r="22" spans="2:13" ht="34.5" customHeight="1" x14ac:dyDescent="0.25">
      <c r="B22" s="25"/>
      <c r="C22" s="26"/>
      <c r="D22" s="10" t="s">
        <v>3</v>
      </c>
      <c r="E22" s="236" t="s">
        <v>180</v>
      </c>
      <c r="F22" s="236"/>
      <c r="G22" s="236"/>
      <c r="H22" s="236"/>
      <c r="I22" s="236"/>
      <c r="J22" s="236"/>
      <c r="K22" s="236"/>
      <c r="L22" s="236"/>
      <c r="M22" s="236"/>
    </row>
    <row r="23" spans="2:13" s="10" customFormat="1" ht="29.25" customHeight="1" x14ac:dyDescent="0.25">
      <c r="D23" s="10" t="s">
        <v>3</v>
      </c>
      <c r="E23" s="237" t="s">
        <v>182</v>
      </c>
      <c r="F23" s="237"/>
      <c r="G23" s="237"/>
      <c r="H23" s="237"/>
      <c r="I23" s="237"/>
      <c r="J23" s="237"/>
      <c r="K23" s="237"/>
      <c r="L23" s="237"/>
      <c r="M23" s="237"/>
    </row>
    <row r="24" spans="2:13" s="10" customFormat="1" x14ac:dyDescent="0.25">
      <c r="D24" s="10" t="s">
        <v>3</v>
      </c>
      <c r="E24" s="237" t="s">
        <v>181</v>
      </c>
      <c r="F24" s="237"/>
      <c r="G24" s="237"/>
      <c r="H24" s="237"/>
      <c r="I24" s="237"/>
      <c r="J24" s="237"/>
      <c r="K24" s="237"/>
      <c r="L24" s="237"/>
      <c r="M24" s="237"/>
    </row>
    <row r="25" spans="2:13" s="10" customFormat="1" ht="16.5" customHeight="1" x14ac:dyDescent="0.2">
      <c r="C25" s="4" t="s">
        <v>183</v>
      </c>
    </row>
    <row r="26" spans="2:13" s="10" customFormat="1" ht="28.5" customHeight="1" x14ac:dyDescent="0.25">
      <c r="D26" s="13" t="s">
        <v>3</v>
      </c>
      <c r="E26" s="236" t="s">
        <v>193</v>
      </c>
      <c r="F26" s="236"/>
      <c r="G26" s="236"/>
      <c r="H26" s="236"/>
      <c r="I26" s="236"/>
      <c r="J26" s="236"/>
      <c r="K26" s="236"/>
      <c r="L26" s="236"/>
      <c r="M26" s="236"/>
    </row>
    <row r="27" spans="2:13" s="10" customFormat="1" ht="16.5" customHeight="1" x14ac:dyDescent="0.2">
      <c r="C27" s="4"/>
      <c r="E27" s="10" t="s">
        <v>184</v>
      </c>
    </row>
    <row r="28" spans="2:13" x14ac:dyDescent="0.25">
      <c r="E28" s="10" t="s">
        <v>185</v>
      </c>
    </row>
    <row r="29" spans="2:13" x14ac:dyDescent="0.25">
      <c r="E29" s="22"/>
    </row>
  </sheetData>
  <mergeCells count="13">
    <mergeCell ref="E7:M7"/>
    <mergeCell ref="E8:M8"/>
    <mergeCell ref="E11:M11"/>
    <mergeCell ref="E12:H12"/>
    <mergeCell ref="E26:M26"/>
    <mergeCell ref="E16:M16"/>
    <mergeCell ref="E18:M18"/>
    <mergeCell ref="E19:M19"/>
    <mergeCell ref="E17:M17"/>
    <mergeCell ref="E20:M20"/>
    <mergeCell ref="E24:M24"/>
    <mergeCell ref="E22:M22"/>
    <mergeCell ref="E23:M23"/>
  </mergeCells>
  <conditionalFormatting sqref="L5">
    <cfRule type="expression" dxfId="115" priority="1">
      <formula>$L$4=zYear</formula>
    </cfRule>
  </conditionalFormatting>
  <printOptions horizontalCentered="1"/>
  <pageMargins left="0.25" right="0.25" top="0.75" bottom="0.75" header="0.3" footer="0.3"/>
  <pageSetup paperSize="9" scale="83" orientation="portrait" r:id="rId1"/>
  <ignoredErrors>
    <ignoredError sqref="D18:D20 D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800000"/>
  </sheetPr>
  <dimension ref="B1:AE102"/>
  <sheetViews>
    <sheetView showGridLines="0" topLeftCell="B10" zoomScaleNormal="100" workbookViewId="0">
      <selection activeCell="J24" sqref="J24"/>
    </sheetView>
  </sheetViews>
  <sheetFormatPr defaultRowHeight="12.75" x14ac:dyDescent="0.25"/>
  <cols>
    <col min="1" max="1" width="3.85546875" style="27" customWidth="1"/>
    <col min="2" max="2" width="14" style="27" customWidth="1"/>
    <col min="3" max="3" width="5.140625" style="28" customWidth="1"/>
    <col min="4" max="4" width="15.28515625" style="27" customWidth="1"/>
    <col min="5" max="5" width="15.5703125" style="27" bestFit="1" customWidth="1"/>
    <col min="6" max="6" width="4" style="27" customWidth="1"/>
    <col min="7" max="7" width="15" style="27" bestFit="1" customWidth="1"/>
    <col min="8" max="8" width="15.5703125" style="27" bestFit="1" customWidth="1"/>
    <col min="9" max="9" width="4.42578125" style="27" customWidth="1"/>
    <col min="10" max="10" width="5.28515625" style="27" customWidth="1"/>
    <col min="11" max="11" width="4.5703125" style="27" customWidth="1"/>
    <col min="12" max="14" width="4.140625" style="27" bestFit="1" customWidth="1"/>
    <col min="15" max="15" width="4.42578125" style="27" bestFit="1" customWidth="1"/>
    <col min="16" max="16" width="4" style="27" customWidth="1"/>
    <col min="17" max="18" width="4.140625" style="27" bestFit="1" customWidth="1"/>
    <col min="19" max="19" width="4.42578125" style="27" bestFit="1" customWidth="1"/>
    <col min="20" max="20" width="5" style="27" bestFit="1" customWidth="1"/>
    <col min="21" max="23" width="4.140625" style="27" bestFit="1" customWidth="1"/>
    <col min="24" max="24" width="4.85546875" style="27" bestFit="1" customWidth="1"/>
    <col min="25" max="25" width="5.5703125" style="27" bestFit="1" customWidth="1"/>
    <col min="26" max="28" width="4.140625" style="27" bestFit="1" customWidth="1"/>
    <col min="29" max="29" width="4.42578125" style="27" bestFit="1" customWidth="1"/>
    <col min="30" max="31" width="5.5703125" style="27" bestFit="1" customWidth="1"/>
    <col min="32" max="16384" width="9.140625" style="27"/>
  </cols>
  <sheetData>
    <row r="1" spans="2:31" ht="13.5" thickBot="1" x14ac:dyDescent="0.3"/>
    <row r="2" spans="2:31" ht="13.5" thickBot="1" x14ac:dyDescent="0.3">
      <c r="B2" s="59" t="s">
        <v>81</v>
      </c>
      <c r="C2" s="59"/>
      <c r="D2" s="59"/>
      <c r="E2" s="59"/>
      <c r="F2" s="59"/>
      <c r="G2" s="59"/>
      <c r="H2" s="59"/>
      <c r="I2" s="60"/>
      <c r="J2" s="60"/>
      <c r="K2" s="60"/>
      <c r="L2" s="60"/>
      <c r="M2" s="60"/>
      <c r="N2" s="60"/>
      <c r="O2" s="61"/>
      <c r="P2" s="62"/>
      <c r="Q2" s="60"/>
      <c r="R2" s="60"/>
      <c r="S2" s="60"/>
      <c r="T2" s="61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2:31" ht="9" customHeight="1" x14ac:dyDescent="0.25"/>
    <row r="4" spans="2:31" s="31" customFormat="1" ht="14.25" customHeight="1" x14ac:dyDescent="0.25">
      <c r="B4" s="63" t="s">
        <v>80</v>
      </c>
      <c r="C4" s="63"/>
      <c r="D4" s="63"/>
      <c r="E4" s="63"/>
      <c r="F4" s="63"/>
      <c r="G4" s="63"/>
      <c r="H4" s="63"/>
      <c r="J4" s="64">
        <f>Yöriqnoma!zYear</f>
        <v>2021</v>
      </c>
      <c r="K4" s="63" t="s">
        <v>154</v>
      </c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5" spans="2:31" s="31" customFormat="1" ht="6" customHeight="1" x14ac:dyDescent="0.25">
      <c r="B5" s="65"/>
      <c r="C5" s="65"/>
      <c r="D5" s="65"/>
      <c r="E5" s="65"/>
      <c r="F5" s="65"/>
      <c r="G5" s="65"/>
      <c r="H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</row>
    <row r="6" spans="2:31" s="31" customFormat="1" x14ac:dyDescent="0.25">
      <c r="B6" s="29">
        <f>IF(ISERROR(MATCH(DATE(Yöriqnoma!zYear,1,1),Hdw_5,0)),DATE(Yöriqnoma!zYear,1,1),INDEX(Hdx_5,MATCH(DATE(Yöriqnoma!zYear,1,1),Hdw_5,0)))</f>
        <v>44197</v>
      </c>
      <c r="C6" s="30"/>
      <c r="D6" s="30" t="s">
        <v>82</v>
      </c>
      <c r="E6" s="30"/>
      <c r="F6" s="30"/>
      <c r="G6" s="30"/>
      <c r="H6" s="30"/>
      <c r="J6" s="32" t="s">
        <v>100</v>
      </c>
      <c r="K6" s="33" t="s">
        <v>101</v>
      </c>
      <c r="L6" s="34">
        <v>1</v>
      </c>
      <c r="M6" s="34">
        <v>2</v>
      </c>
      <c r="N6" s="34">
        <v>3</v>
      </c>
      <c r="O6" s="35" t="s">
        <v>102</v>
      </c>
      <c r="P6" s="34">
        <v>4</v>
      </c>
      <c r="Q6" s="34">
        <v>5</v>
      </c>
      <c r="R6" s="34">
        <v>6</v>
      </c>
      <c r="S6" s="35" t="s">
        <v>133</v>
      </c>
      <c r="T6" s="35" t="s">
        <v>135</v>
      </c>
      <c r="U6" s="34">
        <v>7</v>
      </c>
      <c r="V6" s="34">
        <v>8</v>
      </c>
      <c r="W6" s="34">
        <v>9</v>
      </c>
      <c r="X6" s="35" t="s">
        <v>132</v>
      </c>
      <c r="Y6" s="35" t="s">
        <v>136</v>
      </c>
      <c r="Z6" s="34">
        <v>10</v>
      </c>
      <c r="AA6" s="34">
        <v>11</v>
      </c>
      <c r="AB6" s="34">
        <v>12</v>
      </c>
      <c r="AC6" s="35" t="s">
        <v>134</v>
      </c>
      <c r="AD6" s="35" t="s">
        <v>137</v>
      </c>
      <c r="AE6" s="36" t="s">
        <v>70</v>
      </c>
    </row>
    <row r="7" spans="2:31" s="31" customFormat="1" x14ac:dyDescent="0.25">
      <c r="B7" s="29">
        <f>IF(ISERROR(MATCH(DATE(Yöriqnoma!zYear,3,8),Hdw_5,0)),DATE(Yöriqnoma!zYear,3,8),INDEX(Hdx_5,MATCH(DATE(Yöriqnoma!zYear,3,8),Hdw_5,0)))</f>
        <v>44263</v>
      </c>
      <c r="C7" s="30"/>
      <c r="D7" s="30" t="s">
        <v>155</v>
      </c>
      <c r="E7" s="30"/>
      <c r="F7" s="30"/>
      <c r="G7" s="30"/>
      <c r="H7" s="30"/>
    </row>
    <row r="8" spans="2:31" s="31" customFormat="1" x14ac:dyDescent="0.25">
      <c r="B8" s="29">
        <f>IF(ISERROR(MATCH(DATE(Yöriqnoma!zYear,3,21),Hdw_5,0)),DATE(Yöriqnoma!zYear,3,21),INDEX(Hdx_5,MATCH(DATE(Yöriqnoma!zYear,3,21),Hdw_5,0)))</f>
        <v>44276</v>
      </c>
      <c r="C8" s="30"/>
      <c r="D8" s="30" t="s">
        <v>83</v>
      </c>
      <c r="E8" s="30"/>
      <c r="F8" s="30"/>
      <c r="G8" s="30"/>
      <c r="H8" s="30"/>
      <c r="J8" s="32">
        <v>5</v>
      </c>
      <c r="K8" s="33">
        <v>40</v>
      </c>
      <c r="L8" s="37">
        <f>aTimex</f>
        <v>160</v>
      </c>
      <c r="M8" s="37">
        <f>aTimex</f>
        <v>160</v>
      </c>
      <c r="N8" s="37">
        <f>aTimex</f>
        <v>176</v>
      </c>
      <c r="O8" s="35">
        <f>SUM(L8:N8)</f>
        <v>496</v>
      </c>
      <c r="P8" s="37">
        <f>aTimex</f>
        <v>176</v>
      </c>
      <c r="Q8" s="37">
        <f>aTimex</f>
        <v>168</v>
      </c>
      <c r="R8" s="37">
        <f>aTimex</f>
        <v>176</v>
      </c>
      <c r="S8" s="35">
        <f>SUM(P8:R8)</f>
        <v>520</v>
      </c>
      <c r="T8" s="35">
        <f>+O8+S8</f>
        <v>1016</v>
      </c>
      <c r="U8" s="37">
        <f>aTimex</f>
        <v>176</v>
      </c>
      <c r="V8" s="37">
        <f>aTimex</f>
        <v>175</v>
      </c>
      <c r="W8" s="37">
        <f>aTimex</f>
        <v>167</v>
      </c>
      <c r="X8" s="35">
        <f>SUM(U8:W8)</f>
        <v>518</v>
      </c>
      <c r="Y8" s="35">
        <f>+T8+X8</f>
        <v>1534</v>
      </c>
      <c r="Z8" s="37">
        <f>aTimex</f>
        <v>160</v>
      </c>
      <c r="AA8" s="37">
        <f>aTimex</f>
        <v>176</v>
      </c>
      <c r="AB8" s="37">
        <f>aTimex</f>
        <v>174</v>
      </c>
      <c r="AC8" s="35">
        <f>SUM(Z8:AB8)</f>
        <v>510</v>
      </c>
      <c r="AD8" s="35">
        <f>+X8+AC8</f>
        <v>1028</v>
      </c>
      <c r="AE8" s="36">
        <f>+T8+AD8</f>
        <v>2044</v>
      </c>
    </row>
    <row r="9" spans="2:31" s="31" customFormat="1" x14ac:dyDescent="0.25">
      <c r="B9" s="29">
        <f>IF(ISERROR(MATCH(DATE(Yöriqnoma!zYear,5,9),Hdw_5,0)),DATE(Yöriqnoma!zYear,5,9),INDEX(Hdx_5,MATCH(DATE(Yöriqnoma!zYear,5,9),Hdw_5,0)))</f>
        <v>44325</v>
      </c>
      <c r="C9" s="30"/>
      <c r="D9" s="30" t="s">
        <v>156</v>
      </c>
      <c r="E9" s="30"/>
      <c r="F9" s="30"/>
      <c r="G9" s="30"/>
      <c r="H9" s="30"/>
      <c r="J9" s="32">
        <v>6</v>
      </c>
      <c r="K9" s="33">
        <v>40</v>
      </c>
      <c r="L9" s="37">
        <f>aTimex</f>
        <v>165</v>
      </c>
      <c r="M9" s="37">
        <f>aTimex</f>
        <v>160</v>
      </c>
      <c r="N9" s="37">
        <f>aTimex</f>
        <v>173</v>
      </c>
      <c r="O9" s="35">
        <f>SUM(L9:N9)</f>
        <v>498</v>
      </c>
      <c r="P9" s="37">
        <f>aTimex</f>
        <v>174</v>
      </c>
      <c r="Q9" s="37">
        <f>aTimex</f>
        <v>171</v>
      </c>
      <c r="R9" s="37">
        <f>aTimex</f>
        <v>174</v>
      </c>
      <c r="S9" s="35">
        <f>SUM(P9:R9)</f>
        <v>519</v>
      </c>
      <c r="T9" s="35">
        <f>+O9+S9</f>
        <v>1017</v>
      </c>
      <c r="U9" s="37">
        <f>aTimex</f>
        <v>179</v>
      </c>
      <c r="V9" s="37">
        <f>aTimex</f>
        <v>173</v>
      </c>
      <c r="W9" s="37">
        <f>aTimex</f>
        <v>166</v>
      </c>
      <c r="X9" s="35">
        <f>SUM(U9:W9)</f>
        <v>518</v>
      </c>
      <c r="Y9" s="35">
        <f>+T9+X9</f>
        <v>1535</v>
      </c>
      <c r="Z9" s="37">
        <f>aTimex</f>
        <v>165</v>
      </c>
      <c r="AA9" s="37">
        <f>aTimex</f>
        <v>174</v>
      </c>
      <c r="AB9" s="37">
        <f>aTimex</f>
        <v>172</v>
      </c>
      <c r="AC9" s="35">
        <f>SUM(Z9:AB9)</f>
        <v>511</v>
      </c>
      <c r="AD9" s="35">
        <f>+X9+AC9</f>
        <v>1029</v>
      </c>
      <c r="AE9" s="36">
        <f>+T9+AD9</f>
        <v>2046</v>
      </c>
    </row>
    <row r="10" spans="2:31" s="31" customFormat="1" x14ac:dyDescent="0.25">
      <c r="B10" s="29">
        <f>IF(ISERROR(MATCH(DATE(Yöriqnoma!zYear,9,1),Hdw_5,0)),DATE(Yöriqnoma!zYear,9,1),INDEX(Hdx_5,MATCH(DATE(Yöriqnoma!zYear,9,1),Hdw_5,0)))</f>
        <v>44440</v>
      </c>
      <c r="C10" s="30"/>
      <c r="D10" s="30" t="s">
        <v>157</v>
      </c>
      <c r="E10" s="30"/>
      <c r="F10" s="30"/>
      <c r="G10" s="30"/>
      <c r="H10" s="30"/>
      <c r="J10" s="32">
        <v>6</v>
      </c>
      <c r="K10" s="33">
        <v>36</v>
      </c>
      <c r="L10" s="37">
        <f>aTimex</f>
        <v>165</v>
      </c>
      <c r="M10" s="37">
        <f>aTimex</f>
        <v>160</v>
      </c>
      <c r="N10" s="37">
        <f>aTimex</f>
        <v>173</v>
      </c>
      <c r="O10" s="35">
        <f>SUM(L10:N10)</f>
        <v>498</v>
      </c>
      <c r="P10" s="37">
        <f>aTimex</f>
        <v>174</v>
      </c>
      <c r="Q10" s="37">
        <f>aTimex</f>
        <v>171</v>
      </c>
      <c r="R10" s="37">
        <f>aTimex</f>
        <v>174</v>
      </c>
      <c r="S10" s="35">
        <f>SUM(P10:R10)</f>
        <v>519</v>
      </c>
      <c r="T10" s="35">
        <f>+O10+S10</f>
        <v>1017</v>
      </c>
      <c r="U10" s="37">
        <f>aTimex</f>
        <v>179</v>
      </c>
      <c r="V10" s="37">
        <f>aTimex</f>
        <v>173</v>
      </c>
      <c r="W10" s="37">
        <f>aTimex</f>
        <v>166</v>
      </c>
      <c r="X10" s="35">
        <f>SUM(U10:W10)</f>
        <v>518</v>
      </c>
      <c r="Y10" s="35">
        <f>+T10+X10</f>
        <v>1535</v>
      </c>
      <c r="Z10" s="37">
        <f>aTimex</f>
        <v>165</v>
      </c>
      <c r="AA10" s="37">
        <f>aTimex</f>
        <v>174</v>
      </c>
      <c r="AB10" s="37">
        <f>aTimex</f>
        <v>172</v>
      </c>
      <c r="AC10" s="35">
        <f>SUM(Z10:AB10)</f>
        <v>511</v>
      </c>
      <c r="AD10" s="35">
        <f>+X10+AC10</f>
        <v>1029</v>
      </c>
      <c r="AE10" s="36">
        <f>+T10+AD10</f>
        <v>2046</v>
      </c>
    </row>
    <row r="11" spans="2:31" s="31" customFormat="1" x14ac:dyDescent="0.25">
      <c r="B11" s="29">
        <f>IF(ISERROR(MATCH(DATE(Yöriqnoma!zYear,10,1),Hdw_5,0)),DATE(Yöriqnoma!zYear,10,1),INDEX(Hdx_5,MATCH(DATE(Yöriqnoma!zYear,10,1),Hdw_5,0)))</f>
        <v>44470</v>
      </c>
      <c r="C11" s="30"/>
      <c r="D11" s="30" t="s">
        <v>158</v>
      </c>
      <c r="E11" s="30"/>
      <c r="F11" s="30"/>
      <c r="G11" s="30"/>
      <c r="H11" s="30"/>
    </row>
    <row r="12" spans="2:31" s="31" customFormat="1" x14ac:dyDescent="0.25">
      <c r="B12" s="29">
        <f>IF(ISERROR(MATCH(DATE(Yöriqnoma!zYear,12,8),Hdw_5,0)),DATE(Yöriqnoma!zYear,12,8),INDEX(Hdx_5,MATCH(DATE(Yöriqnoma!zYear,12,8),Hdw_5,0)))</f>
        <v>44538</v>
      </c>
      <c r="C12" s="30"/>
      <c r="D12" s="30" t="s">
        <v>159</v>
      </c>
      <c r="E12" s="30"/>
      <c r="F12" s="30"/>
      <c r="G12" s="30"/>
      <c r="H12" s="30"/>
      <c r="J12" s="32">
        <v>5</v>
      </c>
      <c r="K12" s="33"/>
      <c r="L12" s="37">
        <f>aTimex</f>
        <v>20</v>
      </c>
      <c r="M12" s="37">
        <f>aTimex</f>
        <v>20</v>
      </c>
      <c r="N12" s="37">
        <f>aTimex</f>
        <v>22</v>
      </c>
      <c r="O12" s="35">
        <f>SUM(L12:N12)</f>
        <v>62</v>
      </c>
      <c r="P12" s="37">
        <f>aTimex</f>
        <v>22</v>
      </c>
      <c r="Q12" s="37">
        <f>aTimex</f>
        <v>21</v>
      </c>
      <c r="R12" s="37">
        <f>aTimex</f>
        <v>22</v>
      </c>
      <c r="S12" s="35">
        <f>SUM(P12:R12)</f>
        <v>65</v>
      </c>
      <c r="T12" s="35">
        <f>+O12+S12</f>
        <v>127</v>
      </c>
      <c r="U12" s="37">
        <f>aTimex</f>
        <v>22</v>
      </c>
      <c r="V12" s="37">
        <f>aTimex</f>
        <v>22</v>
      </c>
      <c r="W12" s="37">
        <f>aTimex</f>
        <v>21</v>
      </c>
      <c r="X12" s="35">
        <f>SUM(U12:W12)</f>
        <v>65</v>
      </c>
      <c r="Y12" s="35">
        <f>+T12+X12</f>
        <v>192</v>
      </c>
      <c r="Z12" s="37">
        <f>aTimex</f>
        <v>20</v>
      </c>
      <c r="AA12" s="37">
        <f>aTimex</f>
        <v>22</v>
      </c>
      <c r="AB12" s="37">
        <f>aTimex</f>
        <v>22</v>
      </c>
      <c r="AC12" s="35">
        <f>SUM(Z12:AB12)</f>
        <v>64</v>
      </c>
      <c r="AD12" s="35">
        <f>+X12+AC12</f>
        <v>129</v>
      </c>
      <c r="AE12" s="36">
        <f>+T12+AD12</f>
        <v>256</v>
      </c>
    </row>
    <row r="13" spans="2:31" s="31" customFormat="1" x14ac:dyDescent="0.25">
      <c r="B13" s="38">
        <f>IF(ISERROR(MATCH(DATE(Yöriqnoma!zYear+1,1,1),Hdw_5,0)),DATE(Yöriqnoma!zYear+1,1,1),INDEX(Hdx_5,MATCH(DATE(Yöriqnoma!zYear+1,1,1),Hdw_5,0)))</f>
        <v>44562</v>
      </c>
      <c r="C13" s="39"/>
      <c r="D13" s="39" t="s">
        <v>84</v>
      </c>
      <c r="E13" s="39"/>
      <c r="F13" s="39"/>
      <c r="G13" s="40"/>
      <c r="H13" s="40"/>
      <c r="J13" s="32">
        <v>6</v>
      </c>
      <c r="K13" s="33"/>
      <c r="L13" s="37">
        <f>aTimex</f>
        <v>25</v>
      </c>
      <c r="M13" s="37">
        <f>aTimex</f>
        <v>24</v>
      </c>
      <c r="N13" s="37">
        <f>aTimex</f>
        <v>26</v>
      </c>
      <c r="O13" s="35">
        <f>SUM(L13:N13)</f>
        <v>75</v>
      </c>
      <c r="P13" s="37">
        <f>aTimex</f>
        <v>26</v>
      </c>
      <c r="Q13" s="37">
        <f>aTimex</f>
        <v>26</v>
      </c>
      <c r="R13" s="37">
        <f>aTimex</f>
        <v>26</v>
      </c>
      <c r="S13" s="35">
        <f>SUM(P13:R13)</f>
        <v>78</v>
      </c>
      <c r="T13" s="35">
        <f>+O13+S13</f>
        <v>153</v>
      </c>
      <c r="U13" s="37">
        <f>aTimex</f>
        <v>27</v>
      </c>
      <c r="V13" s="37">
        <f>aTimex</f>
        <v>26</v>
      </c>
      <c r="W13" s="37">
        <f>aTimex</f>
        <v>25</v>
      </c>
      <c r="X13" s="35">
        <f>SUM(U13:W13)</f>
        <v>78</v>
      </c>
      <c r="Y13" s="35">
        <f>+T13+X13</f>
        <v>231</v>
      </c>
      <c r="Z13" s="37">
        <f>aTimex</f>
        <v>25</v>
      </c>
      <c r="AA13" s="37">
        <f>aTimex</f>
        <v>26</v>
      </c>
      <c r="AB13" s="37">
        <f>aTimex</f>
        <v>26</v>
      </c>
      <c r="AC13" s="35">
        <f>SUM(Z13:AB13)</f>
        <v>77</v>
      </c>
      <c r="AD13" s="35">
        <f>+X13+AC13</f>
        <v>155</v>
      </c>
      <c r="AE13" s="36">
        <f>+T13+AD13</f>
        <v>308</v>
      </c>
    </row>
    <row r="14" spans="2:31" s="31" customFormat="1" ht="13.5" x14ac:dyDescent="0.25">
      <c r="B14" s="41"/>
      <c r="C14" s="42"/>
      <c r="D14" s="41"/>
      <c r="E14" s="41"/>
      <c r="F14" s="41"/>
      <c r="G14" s="41"/>
      <c r="H14" s="41"/>
    </row>
    <row r="15" spans="2:31" s="31" customFormat="1" x14ac:dyDescent="0.25">
      <c r="B15" s="63" t="s">
        <v>194</v>
      </c>
      <c r="C15" s="63"/>
      <c r="D15" s="63"/>
      <c r="E15" s="63"/>
      <c r="F15" s="63"/>
      <c r="G15" s="63"/>
      <c r="H15" s="63"/>
      <c r="J15" s="63" t="s">
        <v>147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2:31" ht="7.5" customHeight="1" x14ac:dyDescent="0.25">
      <c r="B16" s="66"/>
      <c r="C16" s="66"/>
      <c r="D16" s="66"/>
      <c r="E16" s="66"/>
      <c r="F16" s="66"/>
      <c r="G16" s="66"/>
      <c r="H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</row>
    <row r="17" spans="2:31" ht="13.5" customHeight="1" x14ac:dyDescent="0.25">
      <c r="B17" s="43" t="s">
        <v>76</v>
      </c>
      <c r="C17" s="43"/>
      <c r="D17" s="238" t="s">
        <v>78</v>
      </c>
      <c r="E17" s="238"/>
      <c r="F17" s="44"/>
      <c r="G17" s="238" t="s">
        <v>77</v>
      </c>
      <c r="H17" s="238"/>
      <c r="J17" s="45" t="s">
        <v>127</v>
      </c>
      <c r="K17" s="45"/>
      <c r="L17" s="45" t="s">
        <v>142</v>
      </c>
      <c r="M17" s="45"/>
      <c r="N17" s="45" t="s">
        <v>143</v>
      </c>
      <c r="O17" s="45"/>
      <c r="P17" s="45"/>
      <c r="Q17" s="45"/>
      <c r="R17" s="45"/>
      <c r="S17" s="45"/>
      <c r="T17" s="45"/>
      <c r="U17" s="45"/>
      <c r="V17" s="45"/>
      <c r="W17" s="45"/>
      <c r="X17" s="45" t="s">
        <v>144</v>
      </c>
      <c r="Y17" s="45"/>
      <c r="Z17" s="45"/>
      <c r="AA17" s="45"/>
      <c r="AB17" s="45"/>
      <c r="AC17" s="45"/>
      <c r="AD17" s="45"/>
      <c r="AE17" s="45" t="s">
        <v>73</v>
      </c>
    </row>
    <row r="18" spans="2:31" ht="13.5" x14ac:dyDescent="0.25">
      <c r="B18" s="46" t="s">
        <v>75</v>
      </c>
      <c r="C18" s="47"/>
      <c r="D18" s="46" t="s">
        <v>79</v>
      </c>
      <c r="E18" s="46" t="s">
        <v>91</v>
      </c>
      <c r="F18" s="48"/>
      <c r="G18" s="46" t="s">
        <v>79</v>
      </c>
      <c r="H18" s="46" t="s">
        <v>91</v>
      </c>
      <c r="J18" s="27">
        <v>1</v>
      </c>
      <c r="L18" s="27" t="s">
        <v>199</v>
      </c>
      <c r="N18" s="27" t="s">
        <v>200</v>
      </c>
      <c r="X18" s="27" t="s">
        <v>85</v>
      </c>
      <c r="AE18" s="27" t="s">
        <v>138</v>
      </c>
    </row>
    <row r="19" spans="2:31" x14ac:dyDescent="0.25">
      <c r="B19" s="49">
        <v>41140</v>
      </c>
      <c r="C19" s="50"/>
      <c r="D19" s="49">
        <v>40908</v>
      </c>
      <c r="E19" s="49">
        <v>40910</v>
      </c>
      <c r="F19" s="51"/>
      <c r="G19" s="49"/>
      <c r="H19" s="49"/>
      <c r="J19" s="27">
        <v>2</v>
      </c>
      <c r="L19" s="27" t="s">
        <v>201</v>
      </c>
      <c r="N19" s="27" t="s">
        <v>89</v>
      </c>
      <c r="X19" s="27" t="s">
        <v>195</v>
      </c>
      <c r="AE19" s="27" t="s">
        <v>138</v>
      </c>
    </row>
    <row r="20" spans="2:31" x14ac:dyDescent="0.25">
      <c r="B20" s="49">
        <v>41141</v>
      </c>
      <c r="C20" s="50"/>
      <c r="D20" s="49">
        <v>40989</v>
      </c>
      <c r="E20" s="49">
        <v>40990</v>
      </c>
      <c r="F20" s="51"/>
      <c r="G20" s="49">
        <v>40989</v>
      </c>
      <c r="H20" s="49">
        <v>40990</v>
      </c>
      <c r="I20" s="52"/>
      <c r="J20" s="27">
        <v>3</v>
      </c>
      <c r="L20" s="27" t="s">
        <v>202</v>
      </c>
      <c r="N20" s="27" t="s">
        <v>90</v>
      </c>
      <c r="X20" s="27" t="s">
        <v>86</v>
      </c>
      <c r="AE20" s="27" t="s">
        <v>140</v>
      </c>
    </row>
    <row r="21" spans="2:31" x14ac:dyDescent="0.25">
      <c r="B21" s="49">
        <v>41208</v>
      </c>
      <c r="C21" s="50"/>
      <c r="D21" s="49">
        <v>40993</v>
      </c>
      <c r="E21" s="49">
        <v>40991</v>
      </c>
      <c r="F21" s="51"/>
      <c r="G21" s="49">
        <v>40993</v>
      </c>
      <c r="H21" s="49">
        <v>40991</v>
      </c>
      <c r="J21" s="27">
        <v>4</v>
      </c>
      <c r="L21" s="27" t="s">
        <v>203</v>
      </c>
      <c r="N21" s="27" t="s">
        <v>92</v>
      </c>
      <c r="X21" s="27" t="s">
        <v>196</v>
      </c>
      <c r="AE21" s="27" t="s">
        <v>140</v>
      </c>
    </row>
    <row r="22" spans="2:31" x14ac:dyDescent="0.25">
      <c r="B22" s="49">
        <v>41495</v>
      </c>
      <c r="C22" s="50"/>
      <c r="D22" s="49">
        <v>41272</v>
      </c>
      <c r="E22" s="49">
        <v>41274</v>
      </c>
      <c r="F22" s="51"/>
      <c r="G22" s="49"/>
      <c r="H22" s="49"/>
      <c r="J22" s="27">
        <v>5</v>
      </c>
      <c r="L22" s="27" t="s">
        <v>204</v>
      </c>
      <c r="N22" s="27" t="s">
        <v>94</v>
      </c>
      <c r="X22" s="27" t="s">
        <v>197</v>
      </c>
      <c r="AE22" s="27" t="s">
        <v>140</v>
      </c>
    </row>
    <row r="23" spans="2:31" s="53" customFormat="1" x14ac:dyDescent="0.25">
      <c r="B23" s="49">
        <v>41562</v>
      </c>
      <c r="C23" s="50"/>
      <c r="D23" s="49">
        <v>41273</v>
      </c>
      <c r="E23" s="49">
        <v>41276</v>
      </c>
      <c r="F23" s="51"/>
      <c r="G23" s="49">
        <v>41273</v>
      </c>
      <c r="H23" s="49">
        <v>41276</v>
      </c>
      <c r="J23" s="27">
        <v>6</v>
      </c>
      <c r="K23" s="27"/>
      <c r="L23" s="27" t="s">
        <v>205</v>
      </c>
      <c r="M23" s="27"/>
      <c r="N23" s="27" t="s">
        <v>93</v>
      </c>
      <c r="O23" s="27"/>
      <c r="P23" s="27"/>
      <c r="Q23" s="27"/>
      <c r="R23" s="27"/>
      <c r="S23" s="27"/>
      <c r="T23" s="27"/>
      <c r="U23" s="27"/>
      <c r="V23" s="27"/>
      <c r="W23" s="27"/>
      <c r="X23" s="27" t="s">
        <v>198</v>
      </c>
      <c r="Y23" s="27"/>
      <c r="Z23" s="27"/>
      <c r="AA23" s="27"/>
      <c r="AB23" s="27"/>
      <c r="AC23" s="27"/>
      <c r="AD23" s="27"/>
      <c r="AE23" s="27" t="s">
        <v>140</v>
      </c>
    </row>
    <row r="24" spans="2:31" x14ac:dyDescent="0.25">
      <c r="B24" s="49">
        <v>41848</v>
      </c>
      <c r="C24" s="50"/>
      <c r="D24" s="49"/>
      <c r="E24" s="49">
        <v>42006</v>
      </c>
      <c r="F24" s="51"/>
      <c r="G24" s="49"/>
      <c r="H24" s="49">
        <v>42006</v>
      </c>
      <c r="J24" s="27">
        <v>7</v>
      </c>
      <c r="L24" s="27" t="s">
        <v>206</v>
      </c>
      <c r="N24" s="27" t="s">
        <v>245</v>
      </c>
      <c r="AE24" s="27" t="s">
        <v>140</v>
      </c>
    </row>
    <row r="25" spans="2:31" x14ac:dyDescent="0.25">
      <c r="B25" s="49">
        <v>41916</v>
      </c>
      <c r="C25" s="50"/>
      <c r="D25" s="49">
        <v>42245</v>
      </c>
      <c r="E25" s="49">
        <v>42247</v>
      </c>
      <c r="F25" s="51"/>
      <c r="G25" s="49">
        <v>42246</v>
      </c>
      <c r="H25" s="49">
        <v>42247</v>
      </c>
      <c r="J25" s="27">
        <v>8</v>
      </c>
      <c r="L25" s="27" t="s">
        <v>239</v>
      </c>
      <c r="N25" s="27" t="s">
        <v>240</v>
      </c>
      <c r="X25" s="27" t="s">
        <v>87</v>
      </c>
      <c r="AE25" s="27" t="s">
        <v>139</v>
      </c>
    </row>
    <row r="26" spans="2:31" x14ac:dyDescent="0.25">
      <c r="B26" s="49">
        <v>42203</v>
      </c>
      <c r="C26" s="50"/>
      <c r="D26" s="49">
        <v>42343</v>
      </c>
      <c r="E26" s="49">
        <v>42345</v>
      </c>
      <c r="F26" s="51"/>
      <c r="G26" s="49">
        <v>42344</v>
      </c>
      <c r="H26" s="49">
        <v>42345</v>
      </c>
      <c r="J26" s="27">
        <v>9</v>
      </c>
      <c r="L26" s="27" t="s">
        <v>241</v>
      </c>
      <c r="N26" s="27" t="s">
        <v>130</v>
      </c>
    </row>
    <row r="27" spans="2:31" x14ac:dyDescent="0.25">
      <c r="B27" s="49">
        <v>42271</v>
      </c>
      <c r="C27" s="50"/>
      <c r="D27" s="49">
        <v>42434</v>
      </c>
      <c r="E27" s="49">
        <v>42436</v>
      </c>
      <c r="F27" s="51"/>
      <c r="G27" s="49">
        <v>42435</v>
      </c>
      <c r="H27" s="49">
        <v>42436</v>
      </c>
      <c r="J27" s="27">
        <v>10</v>
      </c>
      <c r="L27" s="27" t="str">
        <f>CHAR(151)</f>
        <v>—</v>
      </c>
      <c r="N27" s="27" t="s">
        <v>141</v>
      </c>
    </row>
    <row r="28" spans="2:31" x14ac:dyDescent="0.25">
      <c r="B28" s="49">
        <v>42557</v>
      </c>
      <c r="C28" s="50"/>
      <c r="D28" s="49">
        <v>42617</v>
      </c>
      <c r="E28" s="49">
        <v>42615</v>
      </c>
      <c r="F28" s="51"/>
      <c r="G28" s="49">
        <v>42617</v>
      </c>
      <c r="H28" s="49">
        <v>42615</v>
      </c>
      <c r="J28" s="27">
        <v>11</v>
      </c>
      <c r="L28" s="27" t="s">
        <v>207</v>
      </c>
      <c r="N28" s="27" t="s">
        <v>95</v>
      </c>
      <c r="X28" s="27" t="s">
        <v>88</v>
      </c>
    </row>
    <row r="29" spans="2:31" x14ac:dyDescent="0.25">
      <c r="B29" s="49">
        <v>42625</v>
      </c>
      <c r="C29" s="50"/>
      <c r="D29" s="49"/>
      <c r="E29" s="49">
        <v>42737</v>
      </c>
      <c r="F29" s="51"/>
      <c r="G29" s="49"/>
      <c r="H29" s="49">
        <v>42737</v>
      </c>
      <c r="J29" s="54">
        <v>12</v>
      </c>
      <c r="K29" s="54"/>
      <c r="L29" s="54" t="s">
        <v>242</v>
      </c>
      <c r="M29" s="54"/>
      <c r="N29" s="54" t="s">
        <v>96</v>
      </c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</row>
    <row r="30" spans="2:31" x14ac:dyDescent="0.25">
      <c r="B30" s="49">
        <v>42912</v>
      </c>
      <c r="C30" s="50"/>
      <c r="D30" s="49">
        <v>42812</v>
      </c>
      <c r="E30" s="49">
        <v>42814</v>
      </c>
      <c r="F30" s="51"/>
      <c r="G30" s="49">
        <v>42813</v>
      </c>
      <c r="H30" s="49">
        <v>42814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2:31" x14ac:dyDescent="0.25">
      <c r="B31" s="49">
        <v>42979</v>
      </c>
      <c r="C31" s="50"/>
      <c r="D31" s="49">
        <v>42861</v>
      </c>
      <c r="E31" s="49">
        <v>42863</v>
      </c>
      <c r="F31" s="51"/>
      <c r="G31" s="49">
        <v>42862</v>
      </c>
      <c r="H31" s="49">
        <v>42863</v>
      </c>
      <c r="J31" s="63" t="s">
        <v>131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</row>
    <row r="32" spans="2:31" x14ac:dyDescent="0.25">
      <c r="B32" s="49">
        <v>43266</v>
      </c>
      <c r="C32" s="50"/>
      <c r="D32" s="49"/>
      <c r="E32" s="49">
        <v>42980</v>
      </c>
      <c r="F32" s="51"/>
      <c r="G32" s="49"/>
      <c r="H32" s="49">
        <v>42980</v>
      </c>
    </row>
    <row r="33" spans="2:15" x14ac:dyDescent="0.25">
      <c r="B33" s="49">
        <v>43334</v>
      </c>
      <c r="C33" s="50"/>
      <c r="D33" s="49"/>
      <c r="E33" s="49">
        <v>43102</v>
      </c>
      <c r="F33" s="51"/>
      <c r="G33" s="49"/>
      <c r="H33" s="49">
        <v>43102</v>
      </c>
      <c r="J33" s="27">
        <v>1</v>
      </c>
      <c r="L33" s="55" t="s">
        <v>97</v>
      </c>
      <c r="M33" s="56"/>
      <c r="N33" s="56"/>
      <c r="O33" s="56"/>
    </row>
    <row r="34" spans="2:15" x14ac:dyDescent="0.25">
      <c r="B34" s="49">
        <v>43621</v>
      </c>
      <c r="C34" s="50"/>
      <c r="D34" s="49">
        <v>43106</v>
      </c>
      <c r="E34" s="49">
        <v>43103</v>
      </c>
      <c r="F34" s="51"/>
      <c r="G34" s="49"/>
      <c r="H34" s="49"/>
      <c r="J34" s="27">
        <v>2</v>
      </c>
      <c r="L34" s="55" t="s">
        <v>98</v>
      </c>
      <c r="M34" s="56"/>
      <c r="N34" s="56"/>
      <c r="O34" s="56"/>
    </row>
    <row r="35" spans="2:15" x14ac:dyDescent="0.25">
      <c r="B35" s="49">
        <v>43689</v>
      </c>
      <c r="C35" s="50"/>
      <c r="D35" s="49">
        <v>43176</v>
      </c>
      <c r="E35" s="49">
        <v>43178</v>
      </c>
      <c r="F35" s="51"/>
      <c r="G35" s="49"/>
      <c r="H35" s="49"/>
      <c r="J35" s="27">
        <v>3</v>
      </c>
      <c r="L35" s="55" t="s">
        <v>99</v>
      </c>
      <c r="M35" s="56"/>
      <c r="N35" s="56"/>
      <c r="O35" s="56"/>
    </row>
    <row r="36" spans="2:15" x14ac:dyDescent="0.25">
      <c r="B36" s="49"/>
      <c r="C36" s="50"/>
      <c r="D36" s="49"/>
      <c r="E36" s="49">
        <v>43179</v>
      </c>
      <c r="F36" s="51"/>
      <c r="G36" s="49"/>
      <c r="H36" s="49">
        <v>43179</v>
      </c>
    </row>
    <row r="37" spans="2:15" x14ac:dyDescent="0.25">
      <c r="B37" s="49"/>
      <c r="C37" s="50"/>
      <c r="D37" s="49">
        <v>43183</v>
      </c>
      <c r="E37" s="49">
        <v>43181</v>
      </c>
      <c r="F37" s="51"/>
      <c r="G37" s="49"/>
      <c r="H37" s="49"/>
    </row>
    <row r="38" spans="2:15" x14ac:dyDescent="0.25">
      <c r="B38" s="49"/>
      <c r="C38" s="50"/>
      <c r="D38" s="49">
        <v>43337</v>
      </c>
      <c r="E38" s="49">
        <v>43335</v>
      </c>
      <c r="F38" s="51"/>
      <c r="G38" s="49"/>
      <c r="H38" s="49"/>
    </row>
    <row r="39" spans="2:15" x14ac:dyDescent="0.25">
      <c r="B39" s="49"/>
      <c r="C39" s="50"/>
      <c r="D39" s="49">
        <v>43338</v>
      </c>
      <c r="E39" s="49">
        <v>43336</v>
      </c>
      <c r="F39" s="51"/>
      <c r="G39" s="49">
        <v>43338</v>
      </c>
      <c r="H39" s="49">
        <v>43336</v>
      </c>
    </row>
    <row r="40" spans="2:15" x14ac:dyDescent="0.25">
      <c r="B40" s="49"/>
      <c r="C40" s="50"/>
      <c r="D40" s="49"/>
      <c r="E40" s="49">
        <v>43343</v>
      </c>
      <c r="F40" s="51"/>
      <c r="G40" s="49"/>
      <c r="H40" s="49">
        <v>43343</v>
      </c>
    </row>
    <row r="41" spans="2:15" x14ac:dyDescent="0.25">
      <c r="B41" s="49"/>
      <c r="C41" s="50"/>
      <c r="D41" s="49">
        <v>43351</v>
      </c>
      <c r="E41" s="49">
        <v>43346</v>
      </c>
      <c r="F41" s="51"/>
      <c r="G41" s="49"/>
      <c r="H41" s="49"/>
    </row>
    <row r="42" spans="2:15" x14ac:dyDescent="0.25">
      <c r="B42" s="49"/>
      <c r="C42" s="50"/>
      <c r="D42" s="49">
        <v>43358</v>
      </c>
      <c r="E42" s="49">
        <v>43347</v>
      </c>
      <c r="F42" s="51"/>
      <c r="G42" s="49"/>
      <c r="H42" s="49"/>
    </row>
    <row r="43" spans="2:15" x14ac:dyDescent="0.25">
      <c r="B43" s="49"/>
      <c r="C43" s="50"/>
      <c r="D43" s="49">
        <v>43463</v>
      </c>
      <c r="E43" s="49">
        <v>43465</v>
      </c>
      <c r="F43" s="51"/>
      <c r="G43" s="49"/>
      <c r="H43" s="49"/>
    </row>
    <row r="44" spans="2:15" x14ac:dyDescent="0.25">
      <c r="B44" s="49"/>
      <c r="C44" s="50"/>
      <c r="D44" s="49"/>
      <c r="E44" s="49">
        <v>43467</v>
      </c>
      <c r="F44" s="51"/>
      <c r="G44" s="49"/>
      <c r="H44" s="49">
        <v>43467</v>
      </c>
    </row>
    <row r="45" spans="2:15" x14ac:dyDescent="0.25">
      <c r="B45" s="49"/>
      <c r="C45" s="50"/>
      <c r="D45" s="49">
        <v>43470</v>
      </c>
      <c r="E45" s="49">
        <v>43468</v>
      </c>
      <c r="F45" s="51"/>
      <c r="G45" s="49"/>
      <c r="H45" s="49"/>
    </row>
    <row r="46" spans="2:15" x14ac:dyDescent="0.25">
      <c r="B46" s="49"/>
      <c r="C46" s="50"/>
      <c r="D46" s="49"/>
      <c r="E46" s="49">
        <v>43546</v>
      </c>
      <c r="F46" s="51"/>
      <c r="G46" s="49"/>
      <c r="H46" s="49">
        <v>43546</v>
      </c>
    </row>
    <row r="47" spans="2:15" x14ac:dyDescent="0.25">
      <c r="B47" s="49"/>
      <c r="C47" s="50"/>
      <c r="D47" s="49"/>
      <c r="E47" s="49">
        <v>43710</v>
      </c>
      <c r="F47" s="51"/>
      <c r="G47" s="49"/>
      <c r="H47" s="49">
        <v>43710</v>
      </c>
    </row>
    <row r="48" spans="2:15" x14ac:dyDescent="0.25">
      <c r="B48" s="49"/>
      <c r="C48" s="50"/>
      <c r="D48" s="49">
        <v>43715</v>
      </c>
      <c r="E48" s="49">
        <v>43711</v>
      </c>
      <c r="F48" s="51"/>
      <c r="G48" s="49"/>
      <c r="H48" s="49"/>
    </row>
    <row r="49" spans="2:8" x14ac:dyDescent="0.25">
      <c r="B49" s="49"/>
      <c r="C49" s="50"/>
      <c r="D49" s="49">
        <v>43827</v>
      </c>
      <c r="E49" s="49">
        <v>43830</v>
      </c>
      <c r="F49" s="51"/>
      <c r="G49" s="49"/>
      <c r="H49" s="49"/>
    </row>
    <row r="50" spans="2:8" x14ac:dyDescent="0.25">
      <c r="B50" s="51"/>
      <c r="C50" s="50"/>
      <c r="D50" s="51"/>
      <c r="E50" s="51"/>
      <c r="F50" s="51"/>
      <c r="G50" s="51"/>
      <c r="H50" s="51"/>
    </row>
    <row r="51" spans="2:8" x14ac:dyDescent="0.25">
      <c r="B51" s="51"/>
      <c r="C51" s="50"/>
      <c r="D51" s="51"/>
      <c r="E51" s="51"/>
      <c r="F51" s="51"/>
      <c r="G51" s="51"/>
      <c r="H51" s="51"/>
    </row>
    <row r="52" spans="2:8" x14ac:dyDescent="0.25">
      <c r="B52" s="51"/>
      <c r="C52" s="50"/>
      <c r="D52" s="51"/>
      <c r="E52" s="51"/>
      <c r="F52" s="51"/>
      <c r="G52" s="51"/>
      <c r="H52" s="51"/>
    </row>
    <row r="53" spans="2:8" x14ac:dyDescent="0.25">
      <c r="B53" s="51"/>
      <c r="C53" s="50"/>
      <c r="D53" s="51"/>
      <c r="E53" s="51"/>
      <c r="F53" s="51"/>
      <c r="G53" s="51"/>
      <c r="H53" s="51"/>
    </row>
    <row r="54" spans="2:8" x14ac:dyDescent="0.25">
      <c r="B54" s="51"/>
      <c r="C54" s="50"/>
      <c r="D54" s="51"/>
      <c r="E54" s="51"/>
      <c r="F54" s="51"/>
      <c r="G54" s="51"/>
      <c r="H54" s="51"/>
    </row>
    <row r="55" spans="2:8" x14ac:dyDescent="0.25">
      <c r="B55" s="51"/>
      <c r="C55" s="50"/>
      <c r="D55" s="51"/>
      <c r="E55" s="51"/>
      <c r="F55" s="51"/>
      <c r="G55" s="51"/>
      <c r="H55" s="51"/>
    </row>
    <row r="56" spans="2:8" x14ac:dyDescent="0.25">
      <c r="B56" s="51"/>
      <c r="C56" s="50"/>
      <c r="D56" s="51"/>
      <c r="E56" s="51"/>
      <c r="F56" s="51"/>
      <c r="G56" s="51"/>
      <c r="H56" s="51"/>
    </row>
    <row r="57" spans="2:8" x14ac:dyDescent="0.25">
      <c r="B57" s="51"/>
      <c r="C57" s="50"/>
      <c r="D57" s="51"/>
      <c r="E57" s="51"/>
      <c r="F57" s="51"/>
      <c r="G57" s="51"/>
      <c r="H57" s="51"/>
    </row>
    <row r="58" spans="2:8" x14ac:dyDescent="0.25">
      <c r="B58" s="51"/>
      <c r="C58" s="50"/>
      <c r="D58" s="51"/>
      <c r="E58" s="51"/>
      <c r="F58" s="51"/>
      <c r="G58" s="51"/>
      <c r="H58" s="51"/>
    </row>
    <row r="59" spans="2:8" x14ac:dyDescent="0.25">
      <c r="B59" s="51"/>
      <c r="C59" s="50"/>
      <c r="D59" s="51"/>
      <c r="E59" s="51"/>
      <c r="F59" s="51"/>
      <c r="G59" s="51"/>
      <c r="H59" s="51"/>
    </row>
    <row r="60" spans="2:8" x14ac:dyDescent="0.25">
      <c r="B60" s="51"/>
      <c r="C60" s="50"/>
      <c r="D60" s="51"/>
      <c r="E60" s="51"/>
      <c r="F60" s="51"/>
      <c r="G60" s="51"/>
      <c r="H60" s="51"/>
    </row>
    <row r="61" spans="2:8" x14ac:dyDescent="0.25">
      <c r="B61" s="51"/>
      <c r="C61" s="50"/>
      <c r="D61" s="51"/>
      <c r="E61" s="51"/>
      <c r="F61" s="51"/>
      <c r="G61" s="51"/>
      <c r="H61" s="51"/>
    </row>
    <row r="62" spans="2:8" x14ac:dyDescent="0.25">
      <c r="B62" s="51"/>
      <c r="C62" s="50"/>
      <c r="D62" s="51"/>
      <c r="E62" s="51"/>
      <c r="F62" s="51"/>
      <c r="G62" s="51"/>
      <c r="H62" s="51"/>
    </row>
    <row r="63" spans="2:8" x14ac:dyDescent="0.25">
      <c r="B63" s="51"/>
      <c r="C63" s="50"/>
      <c r="D63" s="51"/>
      <c r="E63" s="51"/>
      <c r="F63" s="51"/>
      <c r="G63" s="51"/>
      <c r="H63" s="51"/>
    </row>
    <row r="64" spans="2:8" x14ac:dyDescent="0.25">
      <c r="B64" s="51"/>
      <c r="C64" s="50"/>
      <c r="D64" s="51"/>
      <c r="E64" s="51"/>
      <c r="F64" s="51"/>
      <c r="G64" s="51"/>
      <c r="H64" s="51"/>
    </row>
    <row r="65" spans="2:8" x14ac:dyDescent="0.25">
      <c r="B65" s="51"/>
      <c r="C65" s="50"/>
      <c r="D65" s="51"/>
      <c r="E65" s="51"/>
      <c r="F65" s="51"/>
      <c r="G65" s="51"/>
      <c r="H65" s="51"/>
    </row>
    <row r="66" spans="2:8" x14ac:dyDescent="0.25">
      <c r="B66" s="51"/>
      <c r="C66" s="50"/>
      <c r="D66" s="51"/>
      <c r="E66" s="51"/>
      <c r="F66" s="51"/>
      <c r="G66" s="51"/>
      <c r="H66" s="51"/>
    </row>
    <row r="67" spans="2:8" x14ac:dyDescent="0.25">
      <c r="B67" s="51"/>
      <c r="C67" s="50"/>
      <c r="D67" s="51"/>
      <c r="E67" s="51"/>
      <c r="F67" s="51"/>
      <c r="G67" s="51"/>
      <c r="H67" s="51"/>
    </row>
    <row r="68" spans="2:8" x14ac:dyDescent="0.25">
      <c r="B68" s="51"/>
      <c r="C68" s="50"/>
      <c r="D68" s="51"/>
      <c r="E68" s="51"/>
      <c r="F68" s="51"/>
      <c r="G68" s="51"/>
      <c r="H68" s="51"/>
    </row>
    <row r="69" spans="2:8" x14ac:dyDescent="0.25">
      <c r="B69" s="51"/>
      <c r="C69" s="50"/>
      <c r="D69" s="51"/>
      <c r="E69" s="51"/>
      <c r="F69" s="51"/>
      <c r="G69" s="51"/>
      <c r="H69" s="51"/>
    </row>
    <row r="70" spans="2:8" x14ac:dyDescent="0.25">
      <c r="B70" s="51"/>
      <c r="C70" s="50"/>
      <c r="D70" s="51"/>
      <c r="E70" s="51"/>
      <c r="F70" s="51"/>
      <c r="G70" s="51"/>
      <c r="H70" s="51"/>
    </row>
    <row r="71" spans="2:8" x14ac:dyDescent="0.25">
      <c r="B71" s="51"/>
      <c r="C71" s="50"/>
      <c r="D71" s="51"/>
      <c r="E71" s="51"/>
      <c r="F71" s="51"/>
      <c r="G71" s="51"/>
      <c r="H71" s="51"/>
    </row>
    <row r="72" spans="2:8" x14ac:dyDescent="0.25">
      <c r="B72" s="51"/>
      <c r="C72" s="50"/>
      <c r="D72" s="51"/>
      <c r="E72" s="51"/>
      <c r="F72" s="51"/>
      <c r="G72" s="51"/>
      <c r="H72" s="51"/>
    </row>
    <row r="73" spans="2:8" x14ac:dyDescent="0.25">
      <c r="B73" s="51"/>
      <c r="C73" s="50"/>
      <c r="D73" s="51"/>
      <c r="E73" s="51"/>
      <c r="F73" s="51"/>
      <c r="G73" s="51"/>
      <c r="H73" s="51"/>
    </row>
    <row r="74" spans="2:8" x14ac:dyDescent="0.25">
      <c r="B74" s="51"/>
      <c r="C74" s="50"/>
      <c r="D74" s="51"/>
      <c r="E74" s="51"/>
      <c r="F74" s="51"/>
      <c r="G74" s="51"/>
      <c r="H74" s="51"/>
    </row>
    <row r="75" spans="2:8" x14ac:dyDescent="0.25">
      <c r="B75" s="51"/>
      <c r="C75" s="50"/>
      <c r="D75" s="51"/>
      <c r="E75" s="51"/>
      <c r="F75" s="51"/>
      <c r="G75" s="51"/>
      <c r="H75" s="51"/>
    </row>
    <row r="76" spans="2:8" x14ac:dyDescent="0.25">
      <c r="B76" s="51"/>
      <c r="C76" s="50"/>
      <c r="D76" s="51"/>
      <c r="E76" s="51"/>
      <c r="F76" s="51"/>
      <c r="G76" s="51"/>
      <c r="H76" s="51"/>
    </row>
    <row r="77" spans="2:8" x14ac:dyDescent="0.25">
      <c r="B77" s="51"/>
      <c r="C77" s="50"/>
      <c r="D77" s="51"/>
      <c r="E77" s="51"/>
      <c r="F77" s="51"/>
      <c r="G77" s="51"/>
      <c r="H77" s="51"/>
    </row>
    <row r="78" spans="2:8" x14ac:dyDescent="0.25">
      <c r="B78" s="51"/>
      <c r="C78" s="50"/>
      <c r="D78" s="51"/>
      <c r="E78" s="51"/>
      <c r="F78" s="51"/>
      <c r="G78" s="51"/>
      <c r="H78" s="51"/>
    </row>
    <row r="79" spans="2:8" x14ac:dyDescent="0.25">
      <c r="B79" s="51"/>
      <c r="C79" s="50"/>
      <c r="D79" s="51"/>
      <c r="E79" s="51"/>
      <c r="F79" s="51"/>
      <c r="G79" s="51"/>
      <c r="H79" s="51"/>
    </row>
    <row r="80" spans="2:8" x14ac:dyDescent="0.25">
      <c r="B80" s="51"/>
      <c r="C80" s="50"/>
      <c r="D80" s="51"/>
      <c r="E80" s="51"/>
      <c r="F80" s="51"/>
      <c r="G80" s="51"/>
      <c r="H80" s="51"/>
    </row>
    <row r="81" spans="2:8" x14ac:dyDescent="0.25">
      <c r="B81" s="51"/>
      <c r="C81" s="50"/>
      <c r="D81" s="51"/>
      <c r="E81" s="51"/>
      <c r="F81" s="51"/>
      <c r="G81" s="51"/>
      <c r="H81" s="51"/>
    </row>
    <row r="82" spans="2:8" x14ac:dyDescent="0.25">
      <c r="B82" s="51"/>
      <c r="C82" s="50"/>
      <c r="D82" s="51"/>
      <c r="E82" s="51"/>
      <c r="F82" s="51"/>
      <c r="G82" s="51"/>
      <c r="H82" s="51"/>
    </row>
    <row r="83" spans="2:8" x14ac:dyDescent="0.25">
      <c r="B83" s="51"/>
      <c r="C83" s="50"/>
      <c r="D83" s="51"/>
      <c r="E83" s="51"/>
      <c r="F83" s="51"/>
      <c r="G83" s="51"/>
      <c r="H83" s="51"/>
    </row>
    <row r="84" spans="2:8" x14ac:dyDescent="0.25">
      <c r="B84" s="51"/>
      <c r="C84" s="50"/>
      <c r="D84" s="51"/>
      <c r="E84" s="51"/>
      <c r="F84" s="51"/>
      <c r="G84" s="51"/>
      <c r="H84" s="51"/>
    </row>
    <row r="85" spans="2:8" x14ac:dyDescent="0.25">
      <c r="B85" s="51"/>
      <c r="C85" s="50"/>
      <c r="D85" s="51"/>
      <c r="E85" s="51"/>
      <c r="F85" s="51"/>
      <c r="G85" s="51"/>
      <c r="H85" s="51"/>
    </row>
    <row r="86" spans="2:8" x14ac:dyDescent="0.25">
      <c r="B86" s="51"/>
      <c r="C86" s="50"/>
      <c r="D86" s="51"/>
      <c r="E86" s="51"/>
      <c r="F86" s="51"/>
      <c r="G86" s="51"/>
      <c r="H86" s="51"/>
    </row>
    <row r="87" spans="2:8" x14ac:dyDescent="0.25">
      <c r="B87" s="51"/>
      <c r="C87" s="50"/>
      <c r="D87" s="51"/>
      <c r="E87" s="51"/>
      <c r="F87" s="51"/>
      <c r="G87" s="51"/>
      <c r="H87" s="51"/>
    </row>
    <row r="88" spans="2:8" x14ac:dyDescent="0.25">
      <c r="B88" s="51"/>
      <c r="C88" s="50"/>
      <c r="D88" s="51"/>
      <c r="E88" s="51"/>
      <c r="F88" s="51"/>
      <c r="G88" s="51"/>
      <c r="H88" s="51"/>
    </row>
    <row r="89" spans="2:8" x14ac:dyDescent="0.25">
      <c r="B89" s="51"/>
      <c r="C89" s="50"/>
      <c r="D89" s="51"/>
      <c r="E89" s="51"/>
      <c r="F89" s="51"/>
      <c r="G89" s="51"/>
      <c r="H89" s="51"/>
    </row>
    <row r="90" spans="2:8" x14ac:dyDescent="0.25">
      <c r="B90" s="51"/>
      <c r="C90" s="50"/>
      <c r="D90" s="51"/>
      <c r="E90" s="51"/>
      <c r="F90" s="51"/>
      <c r="G90" s="51"/>
      <c r="H90" s="51"/>
    </row>
    <row r="91" spans="2:8" x14ac:dyDescent="0.25">
      <c r="B91" s="51"/>
      <c r="C91" s="50"/>
      <c r="D91" s="51"/>
      <c r="E91" s="51"/>
      <c r="F91" s="51"/>
      <c r="G91" s="51"/>
      <c r="H91" s="51"/>
    </row>
    <row r="92" spans="2:8" x14ac:dyDescent="0.25">
      <c r="B92" s="51"/>
      <c r="C92" s="50"/>
      <c r="D92" s="51"/>
      <c r="E92" s="51"/>
      <c r="F92" s="51"/>
      <c r="G92" s="51"/>
      <c r="H92" s="51"/>
    </row>
    <row r="93" spans="2:8" x14ac:dyDescent="0.25">
      <c r="B93" s="51"/>
      <c r="C93" s="50"/>
      <c r="D93" s="51"/>
      <c r="E93" s="51"/>
      <c r="F93" s="51"/>
      <c r="G93" s="51"/>
      <c r="H93" s="51"/>
    </row>
    <row r="94" spans="2:8" x14ac:dyDescent="0.25">
      <c r="B94" s="51"/>
      <c r="C94" s="50"/>
      <c r="D94" s="51"/>
      <c r="E94" s="51"/>
      <c r="F94" s="51"/>
      <c r="G94" s="51"/>
      <c r="H94" s="51"/>
    </row>
    <row r="95" spans="2:8" x14ac:dyDescent="0.25">
      <c r="B95" s="51"/>
      <c r="C95" s="50"/>
      <c r="D95" s="51"/>
      <c r="E95" s="51"/>
      <c r="F95" s="51"/>
      <c r="G95" s="51"/>
      <c r="H95" s="51"/>
    </row>
    <row r="96" spans="2:8" x14ac:dyDescent="0.25">
      <c r="B96" s="51"/>
      <c r="C96" s="50"/>
      <c r="D96" s="51"/>
      <c r="E96" s="51"/>
      <c r="F96" s="51"/>
      <c r="G96" s="51"/>
      <c r="H96" s="51"/>
    </row>
    <row r="97" spans="2:8" x14ac:dyDescent="0.25">
      <c r="B97" s="51"/>
      <c r="C97" s="50"/>
      <c r="D97" s="51"/>
      <c r="E97" s="51"/>
      <c r="F97" s="51"/>
      <c r="G97" s="51"/>
      <c r="H97" s="51"/>
    </row>
    <row r="98" spans="2:8" x14ac:dyDescent="0.25">
      <c r="B98" s="51"/>
      <c r="C98" s="50"/>
      <c r="D98" s="51"/>
      <c r="E98" s="51"/>
      <c r="F98" s="51"/>
      <c r="G98" s="51"/>
      <c r="H98" s="51"/>
    </row>
    <row r="99" spans="2:8" x14ac:dyDescent="0.25">
      <c r="B99" s="51"/>
      <c r="C99" s="50"/>
      <c r="D99" s="51"/>
      <c r="E99" s="51"/>
      <c r="F99" s="51"/>
      <c r="G99" s="51"/>
      <c r="H99" s="51"/>
    </row>
    <row r="100" spans="2:8" x14ac:dyDescent="0.25">
      <c r="B100" s="51"/>
      <c r="C100" s="50"/>
      <c r="D100" s="51"/>
      <c r="E100" s="51"/>
      <c r="F100" s="51"/>
      <c r="G100" s="51"/>
      <c r="H100" s="51"/>
    </row>
    <row r="101" spans="2:8" x14ac:dyDescent="0.25">
      <c r="B101" s="57"/>
      <c r="C101" s="58"/>
      <c r="D101" s="57"/>
      <c r="E101" s="57"/>
      <c r="F101" s="57"/>
      <c r="G101" s="57"/>
      <c r="H101" s="57"/>
    </row>
    <row r="102" spans="2:8" x14ac:dyDescent="0.25">
      <c r="B102" s="57"/>
      <c r="C102" s="58"/>
      <c r="D102" s="57"/>
      <c r="E102" s="57"/>
      <c r="F102" s="57"/>
      <c r="G102" s="57"/>
      <c r="H102" s="57"/>
    </row>
  </sheetData>
  <dataConsolidate function="countNums" link="1">
    <dataRefs count="3">
      <dataRef ref="D5:J5" sheet="Sozlaş"/>
      <dataRef ref="B12:B40" sheet="Sozlaş"/>
      <dataRef ref="G12:G40" sheet="Sozlaş"/>
    </dataRefs>
  </dataConsolidate>
  <mergeCells count="2">
    <mergeCell ref="G17:H17"/>
    <mergeCell ref="D17:E17"/>
  </mergeCells>
  <dataValidations count="1">
    <dataValidation type="custom" allowBlank="1" showInputMessage="1" showErrorMessage="1" errorTitle="Ошибочка" error="Пропустите дату если она дублируется с другим установленным праздником!" sqref="B19:B27 B30:B33" xr:uid="{00000000-0002-0000-0100-000000000000}">
      <formula1>IF(ISERROR(MATCH(B19,Hd,0)),TRUE,FALSE)</formula1>
    </dataValidation>
  </dataValidations>
  <pageMargins left="0.7" right="0.7" top="0.75" bottom="0.75" header="0.3" footer="0.3"/>
  <pageSetup paperSize="9" orientation="portrait" r:id="rId1"/>
  <ignoredErrors>
    <ignoredError sqref="O8:O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tabColor rgb="FF003300"/>
  </sheetPr>
  <dimension ref="B2:O31"/>
  <sheetViews>
    <sheetView showGridLines="0" zoomScaleNormal="100" workbookViewId="0">
      <selection activeCell="F11" sqref="F11"/>
    </sheetView>
  </sheetViews>
  <sheetFormatPr defaultRowHeight="12.75" x14ac:dyDescent="0.2"/>
  <cols>
    <col min="1" max="1" width="2.85546875" style="69" customWidth="1"/>
    <col min="2" max="2" width="9.140625" style="69"/>
    <col min="3" max="3" width="20.85546875" style="69" customWidth="1"/>
    <col min="4" max="4" width="17.140625" style="69" customWidth="1"/>
    <col min="5" max="6" width="10.5703125" style="69" customWidth="1"/>
    <col min="7" max="7" width="12.42578125" style="69" customWidth="1"/>
    <col min="8" max="8" width="11.85546875" style="69" customWidth="1"/>
    <col min="9" max="9" width="5.85546875" style="69" customWidth="1"/>
    <col min="10" max="10" width="6" style="69" customWidth="1"/>
    <col min="11" max="11" width="6.42578125" style="69" customWidth="1"/>
    <col min="12" max="12" width="5.7109375" style="69" bestFit="1" customWidth="1"/>
    <col min="13" max="13" width="6" style="69" customWidth="1"/>
    <col min="14" max="14" width="5.7109375" style="69" bestFit="1" customWidth="1"/>
    <col min="15" max="15" width="6" style="69" customWidth="1"/>
    <col min="16" max="16384" width="9.140625" style="69"/>
  </cols>
  <sheetData>
    <row r="2" spans="2:15" ht="14.25" x14ac:dyDescent="0.2">
      <c r="B2" s="67" t="s">
        <v>129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2:15" ht="14.25" x14ac:dyDescent="0.2">
      <c r="B3" s="70"/>
    </row>
    <row r="4" spans="2:15" x14ac:dyDescent="0.2">
      <c r="B4" s="71"/>
      <c r="C4" s="71"/>
      <c r="G4" s="245" t="s">
        <v>212</v>
      </c>
      <c r="H4" s="246"/>
      <c r="I4" s="242" t="s">
        <v>243</v>
      </c>
      <c r="J4" s="243"/>
      <c r="K4" s="243"/>
      <c r="L4" s="243"/>
      <c r="M4" s="243"/>
      <c r="N4" s="243"/>
      <c r="O4" s="244"/>
    </row>
    <row r="6" spans="2:15" x14ac:dyDescent="0.2">
      <c r="B6" s="72"/>
      <c r="C6" s="72"/>
      <c r="D6" s="72"/>
      <c r="E6" s="72"/>
      <c r="F6" s="72" t="s">
        <v>216</v>
      </c>
      <c r="G6" s="72" t="s">
        <v>151</v>
      </c>
      <c r="H6" s="72" t="s">
        <v>152</v>
      </c>
      <c r="I6" s="239" t="s">
        <v>213</v>
      </c>
      <c r="J6" s="240"/>
      <c r="K6" s="240"/>
      <c r="L6" s="240"/>
      <c r="M6" s="240"/>
      <c r="N6" s="240"/>
      <c r="O6" s="241"/>
    </row>
    <row r="7" spans="2:15" x14ac:dyDescent="0.2">
      <c r="B7" s="73" t="s">
        <v>114</v>
      </c>
      <c r="C7" s="74" t="s">
        <v>113</v>
      </c>
      <c r="D7" s="75" t="s">
        <v>115</v>
      </c>
      <c r="E7" s="75" t="s">
        <v>214</v>
      </c>
      <c r="F7" s="102" t="s">
        <v>215</v>
      </c>
      <c r="G7" s="74" t="s">
        <v>149</v>
      </c>
      <c r="H7" s="74" t="s">
        <v>153</v>
      </c>
      <c r="I7" s="76" t="s">
        <v>116</v>
      </c>
      <c r="J7" s="76" t="s">
        <v>117</v>
      </c>
      <c r="K7" s="76" t="s">
        <v>118</v>
      </c>
      <c r="L7" s="76" t="s">
        <v>119</v>
      </c>
      <c r="M7" s="76" t="s">
        <v>120</v>
      </c>
      <c r="N7" s="76" t="s">
        <v>121</v>
      </c>
      <c r="O7" s="76" t="s">
        <v>122</v>
      </c>
    </row>
    <row r="8" spans="2:15" x14ac:dyDescent="0.2">
      <c r="B8" s="77">
        <v>1</v>
      </c>
      <c r="C8" s="78" t="s">
        <v>104</v>
      </c>
      <c r="D8" s="78" t="s">
        <v>208</v>
      </c>
      <c r="E8" s="198">
        <v>1</v>
      </c>
      <c r="F8" s="198" t="s">
        <v>217</v>
      </c>
      <c r="G8" s="79"/>
      <c r="H8" s="79"/>
      <c r="I8" s="226"/>
      <c r="J8" s="226"/>
      <c r="K8" s="226"/>
      <c r="L8" s="226"/>
      <c r="M8" s="226"/>
      <c r="N8" s="226"/>
      <c r="O8" s="226"/>
    </row>
    <row r="9" spans="2:15" x14ac:dyDescent="0.2">
      <c r="B9" s="77">
        <v>2</v>
      </c>
      <c r="C9" s="78" t="s">
        <v>105</v>
      </c>
      <c r="D9" s="80" t="s">
        <v>209</v>
      </c>
      <c r="E9" s="198">
        <v>1</v>
      </c>
      <c r="F9" s="198" t="s">
        <v>217</v>
      </c>
      <c r="G9" s="79"/>
      <c r="H9" s="79"/>
      <c r="I9" s="226"/>
      <c r="J9" s="226"/>
      <c r="K9" s="226"/>
      <c r="L9" s="226"/>
      <c r="M9" s="226"/>
      <c r="N9" s="226"/>
      <c r="O9" s="226"/>
    </row>
    <row r="10" spans="2:15" x14ac:dyDescent="0.2">
      <c r="B10" s="77">
        <v>3</v>
      </c>
      <c r="C10" s="78" t="s">
        <v>106</v>
      </c>
      <c r="D10" s="78" t="s">
        <v>210</v>
      </c>
      <c r="E10" s="198">
        <v>0.5</v>
      </c>
      <c r="F10" s="198" t="s">
        <v>217</v>
      </c>
      <c r="G10" s="79"/>
      <c r="H10" s="79"/>
      <c r="I10" s="226">
        <v>3</v>
      </c>
      <c r="J10" s="226">
        <v>3</v>
      </c>
      <c r="K10" s="226">
        <v>3</v>
      </c>
      <c r="L10" s="226">
        <v>3</v>
      </c>
      <c r="M10" s="226">
        <v>3</v>
      </c>
      <c r="N10" s="226">
        <v>3</v>
      </c>
      <c r="O10" s="226"/>
    </row>
    <row r="11" spans="2:15" x14ac:dyDescent="0.2">
      <c r="B11" s="77">
        <v>4</v>
      </c>
      <c r="C11" s="78" t="s">
        <v>107</v>
      </c>
      <c r="D11" s="78" t="s">
        <v>211</v>
      </c>
      <c r="E11" s="198">
        <v>1</v>
      </c>
      <c r="F11" s="198" t="s">
        <v>217</v>
      </c>
      <c r="G11" s="79"/>
      <c r="H11" s="79"/>
      <c r="I11" s="226"/>
      <c r="J11" s="226"/>
      <c r="K11" s="226"/>
      <c r="L11" s="226"/>
      <c r="M11" s="226"/>
      <c r="N11" s="226"/>
      <c r="O11" s="226"/>
    </row>
    <row r="12" spans="2:15" x14ac:dyDescent="0.2">
      <c r="B12" s="77">
        <v>5</v>
      </c>
      <c r="C12" s="78" t="s">
        <v>108</v>
      </c>
      <c r="D12" s="78" t="s">
        <v>208</v>
      </c>
      <c r="E12" s="198">
        <v>1</v>
      </c>
      <c r="F12" s="198" t="s">
        <v>218</v>
      </c>
      <c r="G12" s="79"/>
      <c r="H12" s="79"/>
      <c r="I12" s="226"/>
      <c r="J12" s="226"/>
      <c r="K12" s="226"/>
      <c r="L12" s="226"/>
      <c r="M12" s="226"/>
      <c r="N12" s="226"/>
      <c r="O12" s="226"/>
    </row>
    <row r="13" spans="2:15" x14ac:dyDescent="0.2">
      <c r="B13" s="77">
        <v>6</v>
      </c>
      <c r="C13" s="78" t="s">
        <v>109</v>
      </c>
      <c r="D13" s="78" t="s">
        <v>208</v>
      </c>
      <c r="E13" s="198">
        <v>0.25</v>
      </c>
      <c r="F13" s="198" t="s">
        <v>218</v>
      </c>
      <c r="G13" s="79"/>
      <c r="H13" s="79"/>
      <c r="I13" s="226">
        <v>1.5</v>
      </c>
      <c r="J13" s="226">
        <v>1.5</v>
      </c>
      <c r="K13" s="226">
        <v>1.5</v>
      </c>
      <c r="L13" s="226">
        <v>1.5</v>
      </c>
      <c r="M13" s="226">
        <v>1.5</v>
      </c>
      <c r="N13" s="226">
        <v>1.5</v>
      </c>
      <c r="O13" s="226"/>
    </row>
    <row r="14" spans="2:15" x14ac:dyDescent="0.2">
      <c r="B14" s="77">
        <v>7</v>
      </c>
      <c r="C14" s="81" t="s">
        <v>110</v>
      </c>
      <c r="D14" s="78" t="s">
        <v>208</v>
      </c>
      <c r="E14" s="198">
        <v>0.75</v>
      </c>
      <c r="F14" s="198" t="s">
        <v>218</v>
      </c>
      <c r="G14" s="82"/>
      <c r="H14" s="82"/>
      <c r="I14" s="227">
        <v>4.5</v>
      </c>
      <c r="J14" s="227">
        <v>4.5</v>
      </c>
      <c r="K14" s="227">
        <v>4.5</v>
      </c>
      <c r="L14" s="227">
        <v>4.5</v>
      </c>
      <c r="M14" s="227">
        <v>4.5</v>
      </c>
      <c r="N14" s="227">
        <v>4.5</v>
      </c>
      <c r="O14" s="227"/>
    </row>
    <row r="15" spans="2:15" x14ac:dyDescent="0.2">
      <c r="B15" s="77">
        <v>8</v>
      </c>
      <c r="C15" s="80" t="s">
        <v>111</v>
      </c>
      <c r="D15" s="78" t="s">
        <v>208</v>
      </c>
      <c r="E15" s="198">
        <v>1</v>
      </c>
      <c r="F15" s="198" t="s">
        <v>218</v>
      </c>
      <c r="G15" s="83"/>
      <c r="H15" s="83"/>
      <c r="I15" s="228"/>
      <c r="J15" s="228"/>
      <c r="K15" s="228"/>
      <c r="L15" s="228"/>
      <c r="M15" s="228"/>
      <c r="N15" s="228"/>
      <c r="O15" s="228"/>
    </row>
    <row r="16" spans="2:15" x14ac:dyDescent="0.2">
      <c r="B16" s="77">
        <v>9</v>
      </c>
      <c r="C16" s="80" t="s">
        <v>112</v>
      </c>
      <c r="D16" s="78" t="s">
        <v>208</v>
      </c>
      <c r="E16" s="198">
        <v>1</v>
      </c>
      <c r="F16" s="198" t="s">
        <v>218</v>
      </c>
      <c r="G16" s="85"/>
      <c r="H16" s="85"/>
      <c r="I16" s="228"/>
      <c r="J16" s="228"/>
      <c r="K16" s="228"/>
      <c r="L16" s="228"/>
      <c r="M16" s="228"/>
      <c r="N16" s="228"/>
      <c r="O16" s="228"/>
    </row>
    <row r="17" spans="2:15" x14ac:dyDescent="0.2">
      <c r="B17" s="207">
        <v>10</v>
      </c>
      <c r="C17" s="208" t="s">
        <v>237</v>
      </c>
      <c r="D17" s="208" t="s">
        <v>208</v>
      </c>
      <c r="E17" s="209">
        <v>1</v>
      </c>
      <c r="F17" s="209" t="s">
        <v>217</v>
      </c>
      <c r="G17" s="210"/>
      <c r="H17" s="210"/>
      <c r="I17" s="229"/>
      <c r="J17" s="229"/>
      <c r="K17" s="229"/>
      <c r="L17" s="229"/>
      <c r="M17" s="229"/>
      <c r="N17" s="229"/>
      <c r="O17" s="229"/>
    </row>
    <row r="18" spans="2:15" x14ac:dyDescent="0.2">
      <c r="B18" s="77"/>
      <c r="C18" s="80"/>
      <c r="D18" s="80"/>
      <c r="E18" s="78"/>
      <c r="F18" s="78"/>
      <c r="G18" s="83"/>
      <c r="H18" s="83"/>
      <c r="I18" s="84"/>
      <c r="J18" s="84"/>
      <c r="K18" s="84"/>
      <c r="L18" s="84"/>
      <c r="M18" s="84"/>
      <c r="N18" s="84"/>
      <c r="O18" s="84"/>
    </row>
    <row r="19" spans="2:15" x14ac:dyDescent="0.2">
      <c r="B19" s="77"/>
      <c r="C19" s="80"/>
      <c r="D19" s="80"/>
      <c r="E19" s="78"/>
      <c r="F19" s="78"/>
      <c r="G19" s="83"/>
      <c r="H19" s="83"/>
      <c r="I19" s="84"/>
      <c r="J19" s="84"/>
      <c r="K19" s="84"/>
      <c r="L19" s="84"/>
      <c r="M19" s="84"/>
      <c r="N19" s="84"/>
      <c r="O19" s="84"/>
    </row>
    <row r="20" spans="2:15" x14ac:dyDescent="0.2">
      <c r="B20" s="77"/>
      <c r="C20" s="80"/>
      <c r="D20" s="80"/>
      <c r="E20" s="78"/>
      <c r="F20" s="78"/>
      <c r="G20" s="83"/>
      <c r="H20" s="83"/>
      <c r="I20" s="84"/>
      <c r="J20" s="84"/>
      <c r="K20" s="84"/>
      <c r="L20" s="84"/>
      <c r="M20" s="84"/>
      <c r="N20" s="84"/>
      <c r="O20" s="84"/>
    </row>
    <row r="21" spans="2:15" x14ac:dyDescent="0.2">
      <c r="B21" s="77"/>
      <c r="C21" s="80"/>
      <c r="D21" s="80"/>
      <c r="E21" s="78"/>
      <c r="F21" s="78"/>
      <c r="G21" s="83"/>
      <c r="H21" s="83"/>
      <c r="I21" s="84"/>
      <c r="J21" s="84"/>
      <c r="K21" s="84"/>
      <c r="L21" s="84"/>
      <c r="M21" s="84"/>
      <c r="N21" s="84"/>
      <c r="O21" s="84"/>
    </row>
    <row r="22" spans="2:15" x14ac:dyDescent="0.2">
      <c r="B22" s="77"/>
      <c r="C22" s="80"/>
      <c r="D22" s="80"/>
      <c r="E22" s="78"/>
      <c r="F22" s="78"/>
      <c r="G22" s="83"/>
      <c r="H22" s="83"/>
      <c r="I22" s="84"/>
      <c r="J22" s="84"/>
      <c r="K22" s="84"/>
      <c r="L22" s="84"/>
      <c r="M22" s="84"/>
      <c r="N22" s="84"/>
      <c r="O22" s="84"/>
    </row>
    <row r="23" spans="2:15" x14ac:dyDescent="0.2">
      <c r="B23" s="77"/>
      <c r="C23" s="80"/>
      <c r="D23" s="80"/>
      <c r="E23" s="80"/>
      <c r="F23" s="80"/>
      <c r="G23" s="83"/>
      <c r="H23" s="83"/>
      <c r="I23" s="84"/>
      <c r="J23" s="84"/>
      <c r="K23" s="84"/>
      <c r="L23" s="84"/>
      <c r="M23" s="84"/>
      <c r="N23" s="84"/>
      <c r="O23" s="84"/>
    </row>
    <row r="24" spans="2:15" x14ac:dyDescent="0.2">
      <c r="B24" s="77"/>
      <c r="C24" s="80"/>
      <c r="D24" s="80"/>
      <c r="E24" s="80"/>
      <c r="F24" s="80"/>
      <c r="G24" s="83"/>
      <c r="H24" s="83"/>
      <c r="I24" s="84"/>
      <c r="J24" s="84"/>
      <c r="K24" s="84"/>
      <c r="L24" s="84"/>
      <c r="M24" s="84"/>
      <c r="N24" s="84"/>
      <c r="O24" s="84"/>
    </row>
    <row r="25" spans="2:15" x14ac:dyDescent="0.2">
      <c r="B25" s="77"/>
      <c r="C25" s="80"/>
      <c r="D25" s="80"/>
      <c r="E25" s="80"/>
      <c r="F25" s="80"/>
      <c r="G25" s="83"/>
      <c r="H25" s="83"/>
      <c r="I25" s="84"/>
      <c r="J25" s="84"/>
      <c r="K25" s="84"/>
      <c r="L25" s="84"/>
      <c r="M25" s="84"/>
      <c r="N25" s="84"/>
      <c r="O25" s="84"/>
    </row>
    <row r="26" spans="2:15" x14ac:dyDescent="0.2">
      <c r="B26" s="77"/>
      <c r="C26" s="80"/>
      <c r="D26" s="80"/>
      <c r="E26" s="80"/>
      <c r="F26" s="80"/>
      <c r="G26" s="83"/>
      <c r="H26" s="83"/>
      <c r="I26" s="84"/>
      <c r="J26" s="84"/>
      <c r="K26" s="84"/>
      <c r="L26" s="84"/>
      <c r="M26" s="84"/>
      <c r="N26" s="84"/>
      <c r="O26" s="84"/>
    </row>
    <row r="27" spans="2:15" x14ac:dyDescent="0.2">
      <c r="B27" s="77"/>
      <c r="C27" s="80"/>
      <c r="D27" s="80"/>
      <c r="E27" s="80"/>
      <c r="F27" s="80"/>
      <c r="G27" s="83"/>
      <c r="H27" s="83"/>
      <c r="I27" s="84"/>
      <c r="J27" s="84"/>
      <c r="K27" s="84"/>
      <c r="L27" s="84"/>
      <c r="M27" s="84"/>
      <c r="N27" s="84"/>
      <c r="O27" s="84"/>
    </row>
    <row r="28" spans="2:15" x14ac:dyDescent="0.2">
      <c r="B28" s="77"/>
      <c r="C28" s="80"/>
      <c r="D28" s="80"/>
      <c r="E28" s="80"/>
      <c r="F28" s="80"/>
      <c r="G28" s="83"/>
      <c r="H28" s="83"/>
      <c r="I28" s="84"/>
      <c r="J28" s="84"/>
      <c r="K28" s="84"/>
      <c r="L28" s="84"/>
      <c r="M28" s="84"/>
      <c r="N28" s="84"/>
      <c r="O28" s="84"/>
    </row>
    <row r="29" spans="2:15" x14ac:dyDescent="0.2">
      <c r="B29" s="77"/>
      <c r="C29" s="80"/>
      <c r="D29" s="80"/>
      <c r="E29" s="80"/>
      <c r="F29" s="80"/>
      <c r="G29" s="83"/>
      <c r="H29" s="83"/>
      <c r="I29" s="84"/>
      <c r="J29" s="84"/>
      <c r="K29" s="84"/>
      <c r="L29" s="84"/>
      <c r="M29" s="84"/>
      <c r="N29" s="84"/>
      <c r="O29" s="84"/>
    </row>
    <row r="30" spans="2:15" x14ac:dyDescent="0.2">
      <c r="B30" s="77"/>
      <c r="C30" s="80"/>
      <c r="D30" s="80"/>
      <c r="E30" s="80"/>
      <c r="F30" s="80"/>
      <c r="G30" s="83"/>
      <c r="H30" s="83"/>
      <c r="I30" s="84"/>
      <c r="J30" s="84"/>
      <c r="K30" s="84"/>
      <c r="L30" s="84"/>
      <c r="M30" s="84"/>
      <c r="N30" s="84"/>
      <c r="O30" s="84"/>
    </row>
    <row r="31" spans="2:15" x14ac:dyDescent="0.2">
      <c r="B31" s="77"/>
      <c r="C31" s="80"/>
      <c r="D31" s="80"/>
      <c r="E31" s="80"/>
      <c r="F31" s="80"/>
      <c r="G31" s="83"/>
      <c r="H31" s="83"/>
      <c r="I31" s="84"/>
      <c r="J31" s="84"/>
      <c r="K31" s="84"/>
      <c r="L31" s="84"/>
      <c r="M31" s="84"/>
      <c r="N31" s="84"/>
      <c r="O31" s="84"/>
    </row>
  </sheetData>
  <mergeCells count="3">
    <mergeCell ref="I6:O6"/>
    <mergeCell ref="I4:O4"/>
    <mergeCell ref="G4:H4"/>
  </mergeCells>
  <dataValidations xWindow="651" yWindow="493" count="3">
    <dataValidation errorStyle="warning" allowBlank="1" showInputMessage="1" showErrorMessage="1" errorTitle="Ой!" error="Введенный идентификатор студента отсутствует в списке студентов. Вы можете нажать кнопку «Да», чтобы использовалось введенное значение, но этот идентификатор студента будет недоступен в отчете о посещаемости." sqref="D8:D17" xr:uid="{00000000-0002-0000-0200-000000000000}"/>
    <dataValidation allowBlank="1" showInputMessage="1" showErrorMessage="1" error="Введите рабочее время- от 1 го 12 часов в день" promptTitle="Индивидуальный график" prompt="Если для работника установлены иные рабочие дни/часы, введите рабочее время- от 1 го 12 часов в соответвующий день недели." sqref="I8:O17" xr:uid="{00000000-0002-0000-0200-000001000000}"/>
    <dataValidation type="list" allowBlank="1" showInputMessage="1" showErrorMessage="1" prompt="Выберите из списка вид графика установленный на предприятии" sqref="I4:O4" xr:uid="{00000000-0002-0000-0200-000002000000}">
      <formula1>"Duşanba-Juma 40 soat,Duşanba-Şanba 40 soat,Duşanba-Şanba 36 soat"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rgb="FF003366"/>
  </sheetPr>
  <dimension ref="B1:T46"/>
  <sheetViews>
    <sheetView showGridLines="0" zoomScaleNormal="100" workbookViewId="0">
      <selection activeCell="E17" sqref="E17"/>
    </sheetView>
  </sheetViews>
  <sheetFormatPr defaultRowHeight="12.75" x14ac:dyDescent="0.2"/>
  <cols>
    <col min="1" max="1" width="3.140625" style="2" customWidth="1"/>
    <col min="2" max="2" width="22.5703125" style="136" bestFit="1" customWidth="1"/>
    <col min="3" max="3" width="28.42578125" style="137" bestFit="1" customWidth="1"/>
    <col min="4" max="4" width="15" style="138" customWidth="1"/>
    <col min="5" max="5" width="16.42578125" style="138" customWidth="1"/>
    <col min="6" max="6" width="4.140625" style="89" customWidth="1"/>
    <col min="7" max="7" width="12.28515625" style="88" customWidth="1"/>
    <col min="8" max="8" width="14.140625" style="88" customWidth="1"/>
    <col min="9" max="9" width="4.85546875" style="89" customWidth="1"/>
    <col min="10" max="10" width="8.140625" style="88" bestFit="1" customWidth="1"/>
    <col min="11" max="11" width="9.42578125" style="2" bestFit="1" customWidth="1"/>
    <col min="12" max="12" width="8.140625" style="2" bestFit="1" customWidth="1"/>
    <col min="13" max="13" width="6.5703125" style="2" customWidth="1"/>
    <col min="14" max="14" width="9.140625" style="2"/>
    <col min="15" max="16" width="10.140625" style="2" bestFit="1" customWidth="1"/>
    <col min="17" max="17" width="10.140625" style="2" customWidth="1"/>
    <col min="18" max="19" width="9.140625" style="2"/>
    <col min="20" max="20" width="12" style="2" customWidth="1"/>
    <col min="21" max="16384" width="9.140625" style="2"/>
  </cols>
  <sheetData>
    <row r="1" spans="2:20" x14ac:dyDescent="0.2">
      <c r="B1" s="86"/>
      <c r="C1" s="87"/>
      <c r="D1" s="88"/>
      <c r="E1" s="88"/>
      <c r="G1" s="90"/>
      <c r="H1" s="90"/>
      <c r="I1" s="91"/>
      <c r="J1" s="92"/>
    </row>
    <row r="2" spans="2:20" ht="14.25" x14ac:dyDescent="0.2">
      <c r="B2" s="93" t="s">
        <v>103</v>
      </c>
      <c r="C2" s="94"/>
      <c r="D2" s="95"/>
      <c r="E2" s="95"/>
      <c r="G2" s="90"/>
      <c r="H2" s="90"/>
      <c r="I2" s="91"/>
      <c r="J2" s="96">
        <f>DATE(Yöriqnoma!zYear,1,1)</f>
        <v>44197</v>
      </c>
      <c r="K2" s="96" t="s">
        <v>123</v>
      </c>
      <c r="L2" s="96">
        <f>EOMONTH(DATE(Yöriqnoma!zYear,zMnth,1),0)</f>
        <v>44286</v>
      </c>
      <c r="M2" s="96" t="s">
        <v>124</v>
      </c>
    </row>
    <row r="3" spans="2:20" x14ac:dyDescent="0.2">
      <c r="B3" s="86"/>
      <c r="C3" s="87"/>
      <c r="D3" s="88"/>
      <c r="E3" s="88"/>
      <c r="G3" s="90"/>
      <c r="H3" s="90"/>
      <c r="I3" s="91"/>
    </row>
    <row r="4" spans="2:20" x14ac:dyDescent="0.2">
      <c r="B4" s="97"/>
      <c r="C4" s="98"/>
      <c r="D4" s="247" t="s">
        <v>150</v>
      </c>
      <c r="E4" s="247"/>
      <c r="F4" s="91"/>
      <c r="G4" s="99" t="s">
        <v>126</v>
      </c>
      <c r="H4" s="100" t="s">
        <v>128</v>
      </c>
      <c r="I4" s="91"/>
      <c r="J4" s="101"/>
      <c r="K4" s="99" t="s">
        <v>126</v>
      </c>
      <c r="L4" s="248" t="s">
        <v>125</v>
      </c>
      <c r="M4" s="248"/>
    </row>
    <row r="5" spans="2:20" x14ac:dyDescent="0.2">
      <c r="B5" s="102" t="s">
        <v>113</v>
      </c>
      <c r="C5" s="75" t="s">
        <v>148</v>
      </c>
      <c r="D5" s="102" t="s">
        <v>123</v>
      </c>
      <c r="E5" s="102" t="s">
        <v>124</v>
      </c>
      <c r="F5" s="103" t="s">
        <v>64</v>
      </c>
      <c r="G5" s="104" t="s">
        <v>146</v>
      </c>
      <c r="H5" s="105" t="s">
        <v>149</v>
      </c>
      <c r="I5" s="103" t="s">
        <v>5</v>
      </c>
      <c r="J5" s="106" t="s">
        <v>127</v>
      </c>
      <c r="K5" s="107" t="s">
        <v>145</v>
      </c>
      <c r="L5" s="107" t="s">
        <v>73</v>
      </c>
      <c r="M5" s="107" t="s">
        <v>74</v>
      </c>
    </row>
    <row r="6" spans="2:20" x14ac:dyDescent="0.2">
      <c r="B6" s="108" t="s">
        <v>104</v>
      </c>
      <c r="C6" s="108" t="s">
        <v>240</v>
      </c>
      <c r="D6" s="109">
        <v>40892</v>
      </c>
      <c r="E6" s="109">
        <v>40923</v>
      </c>
      <c r="F6" s="110"/>
      <c r="G6" s="111">
        <f ca="1">lvTxDsTk</f>
        <v>27</v>
      </c>
      <c r="H6" s="112">
        <f ca="1">lvDtBack</f>
        <v>40924</v>
      </c>
      <c r="I6" s="113"/>
      <c r="J6" s="114">
        <f t="shared" ref="J6:J29" ca="1" si="0">lvLvK</f>
        <v>8</v>
      </c>
      <c r="K6" s="115" t="str">
        <f ca="1">lvTxDsTk</f>
        <v/>
      </c>
      <c r="L6" s="115" t="str">
        <f ca="1">lvTxDs</f>
        <v/>
      </c>
      <c r="M6" s="116" t="str">
        <f ca="1">lvTxHs</f>
        <v/>
      </c>
      <c r="O6" s="117"/>
      <c r="P6" s="117"/>
      <c r="Q6" s="117"/>
      <c r="T6" s="117"/>
    </row>
    <row r="7" spans="2:20" x14ac:dyDescent="0.2">
      <c r="B7" s="108" t="s">
        <v>106</v>
      </c>
      <c r="C7" s="108" t="s">
        <v>89</v>
      </c>
      <c r="D7" s="109">
        <v>40909</v>
      </c>
      <c r="E7" s="109">
        <v>40923</v>
      </c>
      <c r="F7" s="110"/>
      <c r="G7" s="111">
        <f ca="1">lvTxDsTk</f>
        <v>12</v>
      </c>
      <c r="H7" s="112">
        <f ca="1">lvDtBack</f>
        <v>40924</v>
      </c>
      <c r="I7" s="113"/>
      <c r="J7" s="114">
        <f t="shared" ca="1" si="0"/>
        <v>2</v>
      </c>
      <c r="K7" s="115" t="str">
        <f ca="1">lvTxDsTk</f>
        <v/>
      </c>
      <c r="L7" s="115" t="str">
        <f ca="1">lvTxDs</f>
        <v/>
      </c>
      <c r="M7" s="116" t="str">
        <f ca="1">lvTxHs</f>
        <v/>
      </c>
      <c r="O7" s="117"/>
      <c r="P7" s="117"/>
      <c r="Q7" s="117"/>
      <c r="T7" s="117"/>
    </row>
    <row r="8" spans="2:20" x14ac:dyDescent="0.2">
      <c r="B8" s="108" t="s">
        <v>106</v>
      </c>
      <c r="C8" s="108" t="s">
        <v>240</v>
      </c>
      <c r="D8" s="109">
        <v>43466</v>
      </c>
      <c r="E8" s="109">
        <v>43476</v>
      </c>
      <c r="F8" s="110"/>
      <c r="G8" s="111">
        <f ca="1">lvTxDsTk</f>
        <v>9</v>
      </c>
      <c r="H8" s="112">
        <f ca="1">lvDtBack</f>
        <v>43477</v>
      </c>
      <c r="I8" s="113"/>
      <c r="J8" s="114">
        <f t="shared" ca="1" si="0"/>
        <v>8</v>
      </c>
      <c r="K8" s="115" t="str">
        <f ca="1">lvTxDsTk</f>
        <v/>
      </c>
      <c r="L8" s="115" t="str">
        <f ca="1">lvTxDs</f>
        <v/>
      </c>
      <c r="M8" s="116" t="str">
        <f ca="1">lvTxHs</f>
        <v/>
      </c>
      <c r="O8" s="117"/>
      <c r="P8" s="117"/>
      <c r="Q8" s="117"/>
      <c r="T8" s="117"/>
    </row>
    <row r="9" spans="2:20" x14ac:dyDescent="0.2">
      <c r="B9" s="108" t="s">
        <v>106</v>
      </c>
      <c r="C9" s="108" t="s">
        <v>92</v>
      </c>
      <c r="D9" s="109">
        <v>40923</v>
      </c>
      <c r="E9" s="109">
        <v>40933</v>
      </c>
      <c r="F9" s="110"/>
      <c r="G9" s="111">
        <f ca="1">lvTxDsTk</f>
        <v>11</v>
      </c>
      <c r="H9" s="112">
        <f ca="1">lvDtBack</f>
        <v>40934</v>
      </c>
      <c r="I9" s="113"/>
      <c r="J9" s="114">
        <f t="shared" ca="1" si="0"/>
        <v>4</v>
      </c>
      <c r="K9" s="115" t="str">
        <f ca="1">lvTxDsTk</f>
        <v/>
      </c>
      <c r="L9" s="115" t="str">
        <f ca="1">lvTxDs</f>
        <v/>
      </c>
      <c r="M9" s="116" t="str">
        <f ca="1">lvTxHs</f>
        <v/>
      </c>
      <c r="O9" s="117"/>
      <c r="P9" s="117"/>
      <c r="Q9" s="117"/>
      <c r="T9" s="117"/>
    </row>
    <row r="10" spans="2:20" x14ac:dyDescent="0.2">
      <c r="B10" s="108" t="s">
        <v>111</v>
      </c>
      <c r="C10" s="108" t="s">
        <v>245</v>
      </c>
      <c r="D10" s="109">
        <v>40892</v>
      </c>
      <c r="E10" s="109">
        <v>40923</v>
      </c>
      <c r="F10" s="110"/>
      <c r="G10" s="111">
        <f ca="1">lvTxDsTk</f>
        <v>32</v>
      </c>
      <c r="H10" s="112">
        <f ca="1">lvDtBack</f>
        <v>40924</v>
      </c>
      <c r="I10" s="113"/>
      <c r="J10" s="114">
        <f t="shared" ca="1" si="0"/>
        <v>7</v>
      </c>
      <c r="K10" s="115" t="str">
        <f ca="1">lvTxDsTk</f>
        <v/>
      </c>
      <c r="L10" s="115" t="str">
        <f ca="1">lvTxDs</f>
        <v/>
      </c>
      <c r="M10" s="116" t="str">
        <f ca="1">lvTxHs</f>
        <v/>
      </c>
      <c r="O10" s="117"/>
      <c r="P10" s="117"/>
      <c r="Q10" s="117"/>
      <c r="T10" s="117"/>
    </row>
    <row r="11" spans="2:20" x14ac:dyDescent="0.2">
      <c r="B11" s="108" t="s">
        <v>108</v>
      </c>
      <c r="C11" s="108" t="s">
        <v>200</v>
      </c>
      <c r="D11" s="109">
        <v>40909</v>
      </c>
      <c r="E11" s="109">
        <v>40923</v>
      </c>
      <c r="F11" s="110"/>
      <c r="G11" s="111">
        <f ca="1">lvTxDsTk</f>
        <v>12</v>
      </c>
      <c r="H11" s="112">
        <f ca="1">lvDtBack</f>
        <v>40924</v>
      </c>
      <c r="I11" s="113"/>
      <c r="J11" s="114">
        <f t="shared" ca="1" si="0"/>
        <v>1</v>
      </c>
      <c r="K11" s="115" t="str">
        <f ca="1">lvTxDsTk</f>
        <v/>
      </c>
      <c r="L11" s="115" t="str">
        <f ca="1">lvTxDs</f>
        <v/>
      </c>
      <c r="M11" s="116" t="str">
        <f ca="1">lvTxHs</f>
        <v/>
      </c>
      <c r="O11" s="117"/>
      <c r="P11" s="117"/>
      <c r="Q11" s="117"/>
      <c r="T11" s="117"/>
    </row>
    <row r="12" spans="2:20" x14ac:dyDescent="0.2">
      <c r="B12" s="118" t="s">
        <v>108</v>
      </c>
      <c r="C12" s="118" t="s">
        <v>89</v>
      </c>
      <c r="D12" s="109">
        <v>40924</v>
      </c>
      <c r="E12" s="109">
        <v>40933</v>
      </c>
      <c r="F12" s="110"/>
      <c r="G12" s="111">
        <f ca="1">lvTxDsTk</f>
        <v>9</v>
      </c>
      <c r="H12" s="112">
        <f ca="1">lvDtBack</f>
        <v>40934</v>
      </c>
      <c r="I12" s="113"/>
      <c r="J12" s="120">
        <f t="shared" ca="1" si="0"/>
        <v>2</v>
      </c>
      <c r="K12" s="115" t="str">
        <f ca="1">lvTxDsTk</f>
        <v/>
      </c>
      <c r="L12" s="115" t="str">
        <f ca="1">lvTxDs</f>
        <v/>
      </c>
      <c r="M12" s="116" t="str">
        <f ca="1">lvTxHs</f>
        <v/>
      </c>
      <c r="O12" s="117"/>
      <c r="P12" s="117"/>
      <c r="Q12" s="117"/>
      <c r="T12" s="117"/>
    </row>
    <row r="13" spans="2:20" x14ac:dyDescent="0.2">
      <c r="B13" s="118" t="s">
        <v>109</v>
      </c>
      <c r="C13" s="118" t="s">
        <v>240</v>
      </c>
      <c r="D13" s="121">
        <v>44216</v>
      </c>
      <c r="E13" s="109">
        <v>44242</v>
      </c>
      <c r="F13" s="110"/>
      <c r="G13" s="111" t="str">
        <f ca="1">lvTxDsTk</f>
        <v/>
      </c>
      <c r="H13" s="112" t="e">
        <f ca="1">lvDtBack</f>
        <v>#N/A</v>
      </c>
      <c r="I13" s="113"/>
      <c r="J13" s="120">
        <f t="shared" ca="1" si="0"/>
        <v>8</v>
      </c>
      <c r="K13" s="115" t="str">
        <f ca="1">lvTxDsTk</f>
        <v/>
      </c>
      <c r="L13" s="115" t="str">
        <f ca="1">lvTxDs</f>
        <v/>
      </c>
      <c r="M13" s="116" t="str">
        <f ca="1">lvTxHs</f>
        <v/>
      </c>
      <c r="O13" s="117"/>
      <c r="P13" s="117"/>
      <c r="Q13" s="117"/>
      <c r="T13" s="117"/>
    </row>
    <row r="14" spans="2:20" x14ac:dyDescent="0.2">
      <c r="B14" s="118" t="s">
        <v>110</v>
      </c>
      <c r="C14" s="118" t="s">
        <v>94</v>
      </c>
      <c r="D14" s="121">
        <v>44216</v>
      </c>
      <c r="E14" s="109">
        <v>44242</v>
      </c>
      <c r="F14" s="110"/>
      <c r="G14" s="111">
        <f ca="1">lvTxDsTk</f>
        <v>27</v>
      </c>
      <c r="H14" s="112" t="e">
        <f ca="1">lvDtBack</f>
        <v>#N/A</v>
      </c>
      <c r="I14" s="113"/>
      <c r="J14" s="120">
        <f t="shared" ca="1" si="0"/>
        <v>5</v>
      </c>
      <c r="K14" s="115">
        <f ca="1">lvTxDsTk</f>
        <v>27</v>
      </c>
      <c r="L14" s="115" t="str">
        <f ca="1">lvTxDs</f>
        <v/>
      </c>
      <c r="M14" s="116" t="str">
        <f ca="1">lvTxHs</f>
        <v/>
      </c>
      <c r="O14" s="117"/>
      <c r="P14" s="117"/>
      <c r="Q14" s="117"/>
      <c r="T14" s="117"/>
    </row>
    <row r="15" spans="2:20" x14ac:dyDescent="0.2">
      <c r="B15" s="118" t="s">
        <v>105</v>
      </c>
      <c r="C15" s="118" t="s">
        <v>89</v>
      </c>
      <c r="D15" s="109">
        <v>40892</v>
      </c>
      <c r="E15" s="109">
        <v>40923</v>
      </c>
      <c r="F15" s="110"/>
      <c r="G15" s="119">
        <f ca="1">lvTxDsTk</f>
        <v>27</v>
      </c>
      <c r="H15" s="112">
        <f ca="1">lvDtBack</f>
        <v>40924</v>
      </c>
      <c r="I15" s="113"/>
      <c r="J15" s="120">
        <f t="shared" ca="1" si="0"/>
        <v>2</v>
      </c>
      <c r="K15" s="115" t="str">
        <f ca="1">lvTxDsTk</f>
        <v/>
      </c>
      <c r="L15" s="115" t="str">
        <f ca="1">lvTxDs</f>
        <v/>
      </c>
      <c r="M15" s="116" t="str">
        <f ca="1">lvTxHs</f>
        <v/>
      </c>
      <c r="O15" s="117"/>
      <c r="P15" s="117"/>
      <c r="Q15" s="117"/>
      <c r="T15" s="117"/>
    </row>
    <row r="16" spans="2:20" x14ac:dyDescent="0.2">
      <c r="B16" s="118"/>
      <c r="C16" s="118"/>
      <c r="D16" s="121"/>
      <c r="E16" s="109"/>
      <c r="F16" s="110"/>
      <c r="G16" s="119" t="str">
        <f ca="1">lvTxDsTk</f>
        <v/>
      </c>
      <c r="H16" s="112" t="str">
        <f>lvDtBack</f>
        <v/>
      </c>
      <c r="I16" s="113"/>
      <c r="J16" s="120" t="str">
        <f t="shared" ca="1" si="0"/>
        <v/>
      </c>
      <c r="K16" s="115" t="str">
        <f ca="1">lvTxDsTk</f>
        <v/>
      </c>
      <c r="L16" s="115" t="str">
        <f ca="1">lvTxDs</f>
        <v/>
      </c>
      <c r="M16" s="116" t="str">
        <f ca="1">lvTxHs</f>
        <v/>
      </c>
      <c r="O16" s="117"/>
      <c r="P16" s="117"/>
      <c r="Q16" s="117"/>
      <c r="T16" s="117"/>
    </row>
    <row r="17" spans="2:20" x14ac:dyDescent="0.2">
      <c r="B17" s="118"/>
      <c r="C17" s="118"/>
      <c r="D17" s="121"/>
      <c r="E17" s="109"/>
      <c r="F17" s="110"/>
      <c r="G17" s="119" t="str">
        <f ca="1">lvTxDsTk</f>
        <v/>
      </c>
      <c r="H17" s="112" t="str">
        <f>lvDtBack</f>
        <v/>
      </c>
      <c r="I17" s="113"/>
      <c r="J17" s="120" t="str">
        <f t="shared" ca="1" si="0"/>
        <v/>
      </c>
      <c r="K17" s="115" t="str">
        <f ca="1">lvTxDsTk</f>
        <v/>
      </c>
      <c r="L17" s="115" t="str">
        <f ca="1">lvTxDs</f>
        <v/>
      </c>
      <c r="M17" s="116" t="str">
        <f ca="1">lvTxHs</f>
        <v/>
      </c>
      <c r="O17" s="117"/>
      <c r="P17" s="117"/>
      <c r="Q17" s="117"/>
      <c r="T17" s="117"/>
    </row>
    <row r="18" spans="2:20" x14ac:dyDescent="0.2">
      <c r="B18" s="118"/>
      <c r="C18" s="118"/>
      <c r="D18" s="121"/>
      <c r="E18" s="109"/>
      <c r="F18" s="110"/>
      <c r="G18" s="119" t="str">
        <f ca="1">lvTxDsTk</f>
        <v/>
      </c>
      <c r="H18" s="112" t="str">
        <f>lvDtBack</f>
        <v/>
      </c>
      <c r="I18" s="113"/>
      <c r="J18" s="120" t="str">
        <f t="shared" ca="1" si="0"/>
        <v/>
      </c>
      <c r="K18" s="115" t="str">
        <f ca="1">lvTxDsTk</f>
        <v/>
      </c>
      <c r="L18" s="115" t="str">
        <f ca="1">lvTxDs</f>
        <v/>
      </c>
      <c r="M18" s="116" t="str">
        <f ca="1">lvTxHs</f>
        <v/>
      </c>
      <c r="O18" s="117"/>
      <c r="P18" s="117"/>
      <c r="Q18" s="117"/>
      <c r="T18" s="117"/>
    </row>
    <row r="19" spans="2:20" x14ac:dyDescent="0.2">
      <c r="B19" s="118"/>
      <c r="C19" s="122"/>
      <c r="D19" s="121"/>
      <c r="E19" s="109"/>
      <c r="F19" s="110"/>
      <c r="G19" s="116" t="str">
        <f ca="1">lvTxDsTk</f>
        <v/>
      </c>
      <c r="H19" s="112" t="str">
        <f>lvDtBack</f>
        <v/>
      </c>
      <c r="I19" s="113"/>
      <c r="J19" s="120" t="str">
        <f t="shared" ca="1" si="0"/>
        <v/>
      </c>
      <c r="K19" s="115" t="str">
        <f ca="1">lvTxDsTk</f>
        <v/>
      </c>
      <c r="L19" s="115" t="str">
        <f ca="1">lvTxDs</f>
        <v/>
      </c>
      <c r="M19" s="116" t="str">
        <f ca="1">lvTxHs</f>
        <v/>
      </c>
      <c r="O19" s="117"/>
      <c r="P19" s="117"/>
      <c r="Q19" s="117"/>
      <c r="T19" s="117"/>
    </row>
    <row r="20" spans="2:20" x14ac:dyDescent="0.2">
      <c r="B20" s="118"/>
      <c r="C20" s="122"/>
      <c r="D20" s="121"/>
      <c r="E20" s="109"/>
      <c r="F20" s="110"/>
      <c r="G20" s="116" t="str">
        <f ca="1">lvTxDsTk</f>
        <v/>
      </c>
      <c r="H20" s="112" t="str">
        <f>lvDtBack</f>
        <v/>
      </c>
      <c r="I20" s="113"/>
      <c r="J20" s="120" t="str">
        <f t="shared" ca="1" si="0"/>
        <v/>
      </c>
      <c r="K20" s="115" t="str">
        <f ca="1">lvTxDsTk</f>
        <v/>
      </c>
      <c r="L20" s="115" t="str">
        <f ca="1">lvTxDs</f>
        <v/>
      </c>
      <c r="M20" s="116" t="str">
        <f ca="1">lvTxHs</f>
        <v/>
      </c>
      <c r="O20" s="117"/>
      <c r="P20" s="117"/>
      <c r="Q20" s="117"/>
      <c r="T20" s="117"/>
    </row>
    <row r="21" spans="2:20" x14ac:dyDescent="0.2">
      <c r="B21" s="118"/>
      <c r="C21" s="122"/>
      <c r="D21" s="121"/>
      <c r="E21" s="109"/>
      <c r="F21" s="110"/>
      <c r="G21" s="116" t="str">
        <f ca="1">lvTxDsTk</f>
        <v/>
      </c>
      <c r="H21" s="112" t="str">
        <f>lvDtBack</f>
        <v/>
      </c>
      <c r="I21" s="113"/>
      <c r="J21" s="120" t="str">
        <f t="shared" ca="1" si="0"/>
        <v/>
      </c>
      <c r="K21" s="115" t="str">
        <f ca="1">lvTxDsTk</f>
        <v/>
      </c>
      <c r="L21" s="115" t="str">
        <f ca="1">lvTxDs</f>
        <v/>
      </c>
      <c r="M21" s="116" t="str">
        <f ca="1">lvTxHs</f>
        <v/>
      </c>
      <c r="O21" s="117"/>
      <c r="P21" s="117"/>
      <c r="Q21" s="117"/>
      <c r="T21" s="117"/>
    </row>
    <row r="22" spans="2:20" x14ac:dyDescent="0.2">
      <c r="B22" s="118"/>
      <c r="C22" s="122"/>
      <c r="D22" s="121"/>
      <c r="E22" s="109"/>
      <c r="F22" s="110"/>
      <c r="G22" s="116" t="str">
        <f ca="1">lvTxDsTk</f>
        <v/>
      </c>
      <c r="H22" s="112" t="str">
        <f>lvDtBack</f>
        <v/>
      </c>
      <c r="I22" s="113"/>
      <c r="J22" s="120" t="str">
        <f t="shared" ca="1" si="0"/>
        <v/>
      </c>
      <c r="K22" s="115" t="str">
        <f ca="1">lvTxDsTk</f>
        <v/>
      </c>
      <c r="L22" s="115" t="str">
        <f ca="1">lvTxDs</f>
        <v/>
      </c>
      <c r="M22" s="116" t="str">
        <f ca="1">lvTxHs</f>
        <v/>
      </c>
      <c r="O22" s="117"/>
      <c r="P22" s="117"/>
      <c r="Q22" s="117"/>
      <c r="T22" s="117"/>
    </row>
    <row r="23" spans="2:20" x14ac:dyDescent="0.2">
      <c r="B23" s="118"/>
      <c r="C23" s="122"/>
      <c r="D23" s="121"/>
      <c r="E23" s="109"/>
      <c r="F23" s="110"/>
      <c r="G23" s="116" t="str">
        <f ca="1">lvTxDsTk</f>
        <v/>
      </c>
      <c r="H23" s="112" t="str">
        <f>lvDtBack</f>
        <v/>
      </c>
      <c r="I23" s="113"/>
      <c r="J23" s="120" t="str">
        <f t="shared" ca="1" si="0"/>
        <v/>
      </c>
      <c r="K23" s="115" t="str">
        <f ca="1">lvTxDsTk</f>
        <v/>
      </c>
      <c r="L23" s="115" t="str">
        <f ca="1">lvTxDs</f>
        <v/>
      </c>
      <c r="M23" s="116" t="str">
        <f ca="1">lvTxHs</f>
        <v/>
      </c>
      <c r="O23" s="117"/>
      <c r="P23" s="117"/>
      <c r="Q23" s="117"/>
      <c r="T23" s="117"/>
    </row>
    <row r="24" spans="2:20" x14ac:dyDescent="0.2">
      <c r="B24" s="118"/>
      <c r="C24" s="122"/>
      <c r="D24" s="121"/>
      <c r="E24" s="109"/>
      <c r="F24" s="110"/>
      <c r="G24" s="116" t="str">
        <f ca="1">lvTxDsTk</f>
        <v/>
      </c>
      <c r="H24" s="112" t="str">
        <f>lvDtBack</f>
        <v/>
      </c>
      <c r="I24" s="113"/>
      <c r="J24" s="120" t="str">
        <f t="shared" ca="1" si="0"/>
        <v/>
      </c>
      <c r="K24" s="115" t="str">
        <f ca="1">lvTxDsTk</f>
        <v/>
      </c>
      <c r="L24" s="115" t="str">
        <f ca="1">lvTxDs</f>
        <v/>
      </c>
      <c r="M24" s="116" t="str">
        <f ca="1">lvTxHs</f>
        <v/>
      </c>
      <c r="O24" s="117"/>
      <c r="P24" s="117"/>
      <c r="Q24" s="117"/>
      <c r="T24" s="117"/>
    </row>
    <row r="25" spans="2:20" x14ac:dyDescent="0.2">
      <c r="B25" s="118"/>
      <c r="C25" s="122"/>
      <c r="D25" s="121"/>
      <c r="E25" s="109"/>
      <c r="F25" s="110"/>
      <c r="G25" s="116" t="str">
        <f ca="1">lvTxDsTk</f>
        <v/>
      </c>
      <c r="H25" s="112" t="str">
        <f>lvDtBack</f>
        <v/>
      </c>
      <c r="I25" s="113"/>
      <c r="J25" s="120" t="str">
        <f t="shared" ca="1" si="0"/>
        <v/>
      </c>
      <c r="K25" s="115" t="str">
        <f ca="1">lvTxDsTk</f>
        <v/>
      </c>
      <c r="L25" s="115" t="str">
        <f ca="1">lvTxDs</f>
        <v/>
      </c>
      <c r="M25" s="116" t="str">
        <f ca="1">lvTxHs</f>
        <v/>
      </c>
      <c r="O25" s="117"/>
      <c r="P25" s="117"/>
      <c r="Q25" s="117"/>
      <c r="T25" s="117"/>
    </row>
    <row r="26" spans="2:20" x14ac:dyDescent="0.2">
      <c r="B26" s="118"/>
      <c r="C26" s="122"/>
      <c r="D26" s="121"/>
      <c r="E26" s="109"/>
      <c r="F26" s="110"/>
      <c r="G26" s="116" t="str">
        <f ca="1">lvTxDsTk</f>
        <v/>
      </c>
      <c r="H26" s="112" t="str">
        <f>lvDtBack</f>
        <v/>
      </c>
      <c r="I26" s="113"/>
      <c r="J26" s="120" t="str">
        <f t="shared" ca="1" si="0"/>
        <v/>
      </c>
      <c r="K26" s="115" t="str">
        <f ca="1">lvTxDsTk</f>
        <v/>
      </c>
      <c r="L26" s="115" t="str">
        <f ca="1">lvTxDs</f>
        <v/>
      </c>
      <c r="M26" s="116" t="str">
        <f ca="1">lvTxHs</f>
        <v/>
      </c>
      <c r="O26" s="117"/>
      <c r="P26" s="117"/>
      <c r="Q26" s="117"/>
      <c r="T26" s="117"/>
    </row>
    <row r="27" spans="2:20" x14ac:dyDescent="0.2">
      <c r="B27" s="118"/>
      <c r="C27" s="122"/>
      <c r="D27" s="121"/>
      <c r="E27" s="109"/>
      <c r="F27" s="110"/>
      <c r="G27" s="116" t="str">
        <f ca="1">lvTxDsTk</f>
        <v/>
      </c>
      <c r="H27" s="112" t="str">
        <f>lvDtBack</f>
        <v/>
      </c>
      <c r="I27" s="113"/>
      <c r="J27" s="120" t="str">
        <f t="shared" ca="1" si="0"/>
        <v/>
      </c>
      <c r="K27" s="115" t="str">
        <f ca="1">lvTxDsTk</f>
        <v/>
      </c>
      <c r="L27" s="115" t="str">
        <f ca="1">lvTxDs</f>
        <v/>
      </c>
      <c r="M27" s="116" t="str">
        <f ca="1">lvTxHs</f>
        <v/>
      </c>
      <c r="O27" s="117"/>
      <c r="P27" s="117"/>
      <c r="Q27" s="117"/>
      <c r="T27" s="117"/>
    </row>
    <row r="28" spans="2:20" x14ac:dyDescent="0.2">
      <c r="B28" s="118"/>
      <c r="C28" s="122"/>
      <c r="D28" s="121"/>
      <c r="E28" s="109"/>
      <c r="F28" s="110"/>
      <c r="G28" s="116" t="str">
        <f ca="1">lvTxDsTk</f>
        <v/>
      </c>
      <c r="H28" s="112" t="str">
        <f>lvDtBack</f>
        <v/>
      </c>
      <c r="I28" s="113"/>
      <c r="J28" s="120" t="str">
        <f t="shared" ca="1" si="0"/>
        <v/>
      </c>
      <c r="K28" s="115" t="str">
        <f ca="1">lvTxDsTk</f>
        <v/>
      </c>
      <c r="L28" s="115" t="str">
        <f ca="1">lvTxDs</f>
        <v/>
      </c>
      <c r="M28" s="116" t="str">
        <f ca="1">lvTxHs</f>
        <v/>
      </c>
      <c r="O28" s="117"/>
      <c r="P28" s="117"/>
      <c r="Q28" s="117"/>
      <c r="T28" s="117"/>
    </row>
    <row r="29" spans="2:20" x14ac:dyDescent="0.2">
      <c r="B29" s="118"/>
      <c r="C29" s="122"/>
      <c r="D29" s="121"/>
      <c r="E29" s="109"/>
      <c r="F29" s="110"/>
      <c r="G29" s="116" t="str">
        <f ca="1">lvTxDsTk</f>
        <v/>
      </c>
      <c r="H29" s="112" t="str">
        <f>lvDtBack</f>
        <v/>
      </c>
      <c r="I29" s="113"/>
      <c r="J29" s="120" t="str">
        <f t="shared" ca="1" si="0"/>
        <v/>
      </c>
      <c r="K29" s="115" t="str">
        <f ca="1">lvTxDsTk</f>
        <v/>
      </c>
      <c r="L29" s="115" t="str">
        <f ca="1">lvTxDs</f>
        <v/>
      </c>
      <c r="M29" s="116" t="str">
        <f ca="1">lvTxHs</f>
        <v/>
      </c>
      <c r="O29" s="117"/>
      <c r="P29" s="117"/>
      <c r="Q29" s="117"/>
      <c r="T29" s="117"/>
    </row>
    <row r="30" spans="2:20" x14ac:dyDescent="0.2">
      <c r="B30" s="118"/>
      <c r="C30" s="122"/>
      <c r="D30" s="121"/>
      <c r="E30" s="123"/>
      <c r="F30" s="124"/>
      <c r="G30" s="116" t="str">
        <f ca="1">lvTxDsTk</f>
        <v/>
      </c>
      <c r="H30" s="125" t="str">
        <f>lvDtBack</f>
        <v/>
      </c>
      <c r="I30" s="113"/>
      <c r="J30" s="120" t="str">
        <f ca="1">lvLvK</f>
        <v/>
      </c>
      <c r="K30" s="120" t="str">
        <f ca="1">lvTxDsTk</f>
        <v/>
      </c>
      <c r="L30" s="126" t="str">
        <f ca="1">lvTxDs</f>
        <v/>
      </c>
      <c r="M30" s="126" t="str">
        <f ca="1">lvTxHs</f>
        <v/>
      </c>
      <c r="O30" s="117"/>
      <c r="P30" s="117"/>
      <c r="Q30" s="117"/>
      <c r="T30" s="117"/>
    </row>
    <row r="31" spans="2:20" x14ac:dyDescent="0.2">
      <c r="B31" s="118"/>
      <c r="C31" s="122"/>
      <c r="D31" s="121"/>
      <c r="E31" s="123"/>
      <c r="F31" s="124"/>
      <c r="G31" s="116" t="str">
        <f ca="1">lvTxDsTk</f>
        <v/>
      </c>
      <c r="H31" s="125" t="str">
        <f>lvDtBack</f>
        <v/>
      </c>
      <c r="I31" s="113"/>
      <c r="J31" s="120" t="str">
        <f ca="1">lvLvK</f>
        <v/>
      </c>
      <c r="K31" s="120" t="str">
        <f ca="1">lvTxDsTk</f>
        <v/>
      </c>
      <c r="L31" s="126" t="str">
        <f ca="1">lvTxDs</f>
        <v/>
      </c>
      <c r="M31" s="126" t="str">
        <f ca="1">lvTxHs</f>
        <v/>
      </c>
      <c r="O31" s="117"/>
      <c r="P31" s="117"/>
      <c r="Q31" s="117"/>
      <c r="T31" s="117"/>
    </row>
    <row r="32" spans="2:20" x14ac:dyDescent="0.2">
      <c r="B32" s="118"/>
      <c r="C32" s="122"/>
      <c r="D32" s="121"/>
      <c r="E32" s="123"/>
      <c r="F32" s="124"/>
      <c r="G32" s="116" t="str">
        <f ca="1">lvTxDsTk</f>
        <v/>
      </c>
      <c r="H32" s="125" t="str">
        <f>lvDtBack</f>
        <v/>
      </c>
      <c r="I32" s="113"/>
      <c r="J32" s="120" t="str">
        <f ca="1">lvLvK</f>
        <v/>
      </c>
      <c r="K32" s="120" t="str">
        <f ca="1">lvTxDsTk</f>
        <v/>
      </c>
      <c r="L32" s="126" t="str">
        <f ca="1">lvTxDs</f>
        <v/>
      </c>
      <c r="M32" s="126" t="str">
        <f ca="1">lvTxHs</f>
        <v/>
      </c>
      <c r="O32" s="117"/>
      <c r="P32" s="117"/>
      <c r="Q32" s="117"/>
      <c r="T32" s="117"/>
    </row>
    <row r="33" spans="2:20" x14ac:dyDescent="0.2">
      <c r="B33" s="118"/>
      <c r="C33" s="122"/>
      <c r="D33" s="121"/>
      <c r="E33" s="123"/>
      <c r="F33" s="124"/>
      <c r="G33" s="116" t="str">
        <f ca="1">lvTxDsTk</f>
        <v/>
      </c>
      <c r="H33" s="125" t="str">
        <f>lvDtBack</f>
        <v/>
      </c>
      <c r="I33" s="113"/>
      <c r="J33" s="120" t="str">
        <f ca="1">lvLvK</f>
        <v/>
      </c>
      <c r="K33" s="120" t="str">
        <f ca="1">lvTxDsTk</f>
        <v/>
      </c>
      <c r="L33" s="126" t="str">
        <f ca="1">lvTxDs</f>
        <v/>
      </c>
      <c r="M33" s="126" t="str">
        <f ca="1">lvTxHs</f>
        <v/>
      </c>
      <c r="O33" s="117"/>
      <c r="P33" s="117"/>
      <c r="Q33" s="117"/>
      <c r="T33" s="117"/>
    </row>
    <row r="34" spans="2:20" x14ac:dyDescent="0.2">
      <c r="B34" s="118"/>
      <c r="C34" s="122"/>
      <c r="D34" s="121"/>
      <c r="E34" s="123"/>
      <c r="F34" s="124"/>
      <c r="G34" s="116" t="str">
        <f ca="1">lvTxDsTk</f>
        <v/>
      </c>
      <c r="H34" s="125" t="str">
        <f>lvDtBack</f>
        <v/>
      </c>
      <c r="I34" s="113"/>
      <c r="J34" s="120" t="str">
        <f ca="1">lvLvK</f>
        <v/>
      </c>
      <c r="K34" s="120" t="str">
        <f ca="1">lvTxDsTk</f>
        <v/>
      </c>
      <c r="L34" s="126" t="str">
        <f ca="1">lvTxDs</f>
        <v/>
      </c>
      <c r="M34" s="126" t="str">
        <f ca="1">lvTxHs</f>
        <v/>
      </c>
      <c r="O34" s="117"/>
      <c r="P34" s="117"/>
      <c r="Q34" s="117"/>
      <c r="T34" s="117"/>
    </row>
    <row r="35" spans="2:20" x14ac:dyDescent="0.2">
      <c r="B35" s="118"/>
      <c r="C35" s="122"/>
      <c r="D35" s="121"/>
      <c r="E35" s="123"/>
      <c r="F35" s="124"/>
      <c r="G35" s="116" t="str">
        <f ca="1">lvTxDsTk</f>
        <v/>
      </c>
      <c r="H35" s="125" t="str">
        <f>lvDtBack</f>
        <v/>
      </c>
      <c r="I35" s="113"/>
      <c r="J35" s="120" t="str">
        <f ca="1">lvLvK</f>
        <v/>
      </c>
      <c r="K35" s="120" t="str">
        <f ca="1">lvTxDsTk</f>
        <v/>
      </c>
      <c r="L35" s="126" t="str">
        <f ca="1">lvTxDs</f>
        <v/>
      </c>
      <c r="M35" s="126" t="str">
        <f ca="1">lvTxHs</f>
        <v/>
      </c>
      <c r="O35" s="117"/>
      <c r="P35" s="117"/>
      <c r="Q35" s="117"/>
      <c r="T35" s="117"/>
    </row>
    <row r="36" spans="2:20" x14ac:dyDescent="0.2">
      <c r="B36" s="118"/>
      <c r="C36" s="122"/>
      <c r="D36" s="121"/>
      <c r="E36" s="123"/>
      <c r="F36" s="124"/>
      <c r="G36" s="116" t="str">
        <f ca="1">lvTxDsTk</f>
        <v/>
      </c>
      <c r="H36" s="125" t="str">
        <f>lvDtBack</f>
        <v/>
      </c>
      <c r="I36" s="113"/>
      <c r="J36" s="120" t="str">
        <f ca="1">lvLvK</f>
        <v/>
      </c>
      <c r="K36" s="120" t="str">
        <f ca="1">lvTxDsTk</f>
        <v/>
      </c>
      <c r="L36" s="126" t="str">
        <f ca="1">lvTxDs</f>
        <v/>
      </c>
      <c r="M36" s="126" t="str">
        <f ca="1">lvTxHs</f>
        <v/>
      </c>
      <c r="O36" s="117"/>
      <c r="P36" s="117"/>
      <c r="Q36" s="117"/>
      <c r="T36" s="117"/>
    </row>
    <row r="37" spans="2:20" x14ac:dyDescent="0.2">
      <c r="B37" s="118"/>
      <c r="C37" s="122"/>
      <c r="D37" s="121"/>
      <c r="E37" s="123"/>
      <c r="F37" s="124"/>
      <c r="G37" s="116" t="str">
        <f ca="1">lvTxDsTk</f>
        <v/>
      </c>
      <c r="H37" s="125" t="str">
        <f>lvDtBack</f>
        <v/>
      </c>
      <c r="I37" s="113"/>
      <c r="J37" s="120" t="str">
        <f ca="1">lvLvK</f>
        <v/>
      </c>
      <c r="K37" s="120" t="str">
        <f ca="1">lvTxDsTk</f>
        <v/>
      </c>
      <c r="L37" s="126" t="str">
        <f ca="1">lvTxDs</f>
        <v/>
      </c>
      <c r="M37" s="126" t="str">
        <f ca="1">lvTxHs</f>
        <v/>
      </c>
      <c r="O37" s="117"/>
      <c r="P37" s="117"/>
      <c r="Q37" s="117"/>
      <c r="T37" s="117"/>
    </row>
    <row r="38" spans="2:20" x14ac:dyDescent="0.2">
      <c r="B38" s="118"/>
      <c r="C38" s="122"/>
      <c r="D38" s="121"/>
      <c r="E38" s="123"/>
      <c r="F38" s="124"/>
      <c r="G38" s="116" t="str">
        <f ca="1">lvTxDsTk</f>
        <v/>
      </c>
      <c r="H38" s="125" t="str">
        <f>lvDtBack</f>
        <v/>
      </c>
      <c r="I38" s="113"/>
      <c r="J38" s="120" t="str">
        <f ca="1">lvLvK</f>
        <v/>
      </c>
      <c r="K38" s="120" t="str">
        <f ca="1">lvTxDsTk</f>
        <v/>
      </c>
      <c r="L38" s="126" t="str">
        <f ca="1">lvTxDs</f>
        <v/>
      </c>
      <c r="M38" s="126" t="str">
        <f ca="1">lvTxHs</f>
        <v/>
      </c>
      <c r="O38" s="117"/>
      <c r="P38" s="117"/>
      <c r="Q38" s="117"/>
      <c r="T38" s="117"/>
    </row>
    <row r="39" spans="2:20" x14ac:dyDescent="0.2">
      <c r="B39" s="118"/>
      <c r="C39" s="122"/>
      <c r="D39" s="121"/>
      <c r="E39" s="123"/>
      <c r="F39" s="124"/>
      <c r="G39" s="116" t="str">
        <f ca="1">lvTxDsTk</f>
        <v/>
      </c>
      <c r="H39" s="125" t="str">
        <f>lvDtBack</f>
        <v/>
      </c>
      <c r="I39" s="113"/>
      <c r="J39" s="120" t="str">
        <f ca="1">lvLvK</f>
        <v/>
      </c>
      <c r="K39" s="120" t="str">
        <f ca="1">lvTxDsTk</f>
        <v/>
      </c>
      <c r="L39" s="126" t="str">
        <f ca="1">lvTxDs</f>
        <v/>
      </c>
      <c r="M39" s="126" t="str">
        <f ca="1">lvTxHs</f>
        <v/>
      </c>
      <c r="O39" s="117"/>
      <c r="P39" s="117"/>
      <c r="Q39" s="117"/>
      <c r="T39" s="117"/>
    </row>
    <row r="40" spans="2:20" x14ac:dyDescent="0.2">
      <c r="B40" s="118"/>
      <c r="C40" s="122"/>
      <c r="D40" s="121"/>
      <c r="E40" s="123"/>
      <c r="F40" s="124"/>
      <c r="G40" s="116" t="str">
        <f ca="1">lvTxDsTk</f>
        <v/>
      </c>
      <c r="H40" s="125" t="str">
        <f>lvDtBack</f>
        <v/>
      </c>
      <c r="I40" s="113"/>
      <c r="J40" s="120" t="str">
        <f ca="1">lvLvK</f>
        <v/>
      </c>
      <c r="K40" s="120" t="str">
        <f ca="1">lvTxDsTk</f>
        <v/>
      </c>
      <c r="L40" s="126" t="str">
        <f ca="1">lvTxDs</f>
        <v/>
      </c>
      <c r="M40" s="126" t="str">
        <f ca="1">lvTxHs</f>
        <v/>
      </c>
      <c r="O40" s="117"/>
      <c r="P40" s="117"/>
      <c r="Q40" s="117"/>
      <c r="T40" s="117"/>
    </row>
    <row r="41" spans="2:20" x14ac:dyDescent="0.2">
      <c r="B41" s="118"/>
      <c r="C41" s="122"/>
      <c r="D41" s="121"/>
      <c r="E41" s="123"/>
      <c r="F41" s="124"/>
      <c r="G41" s="116" t="str">
        <f ca="1">lvTxDsTk</f>
        <v/>
      </c>
      <c r="H41" s="125" t="str">
        <f>lvDtBack</f>
        <v/>
      </c>
      <c r="I41" s="113"/>
      <c r="J41" s="120" t="str">
        <f ca="1">lvLvK</f>
        <v/>
      </c>
      <c r="K41" s="120" t="str">
        <f ca="1">lvTxDsTk</f>
        <v/>
      </c>
      <c r="L41" s="126" t="str">
        <f ca="1">lvTxDs</f>
        <v/>
      </c>
      <c r="M41" s="126" t="str">
        <f ca="1">lvTxHs</f>
        <v/>
      </c>
      <c r="O41" s="117"/>
      <c r="P41" s="117"/>
      <c r="Q41" s="117"/>
      <c r="T41" s="117"/>
    </row>
    <row r="42" spans="2:20" x14ac:dyDescent="0.2">
      <c r="B42" s="118"/>
      <c r="C42" s="122"/>
      <c r="D42" s="121"/>
      <c r="E42" s="123"/>
      <c r="F42" s="124"/>
      <c r="G42" s="116" t="str">
        <f ca="1">lvTxDsTk</f>
        <v/>
      </c>
      <c r="H42" s="125" t="str">
        <f>lvDtBack</f>
        <v/>
      </c>
      <c r="I42" s="113"/>
      <c r="J42" s="120" t="str">
        <f ca="1">lvLvK</f>
        <v/>
      </c>
      <c r="K42" s="120" t="str">
        <f ca="1">lvTxDsTk</f>
        <v/>
      </c>
      <c r="L42" s="126" t="str">
        <f ca="1">lvTxDs</f>
        <v/>
      </c>
      <c r="M42" s="126" t="str">
        <f ca="1">lvTxHs</f>
        <v/>
      </c>
      <c r="O42" s="117"/>
      <c r="P42" s="117"/>
      <c r="Q42" s="117"/>
      <c r="T42" s="117"/>
    </row>
    <row r="43" spans="2:20" x14ac:dyDescent="0.2">
      <c r="B43" s="118"/>
      <c r="C43" s="122"/>
      <c r="D43" s="121"/>
      <c r="E43" s="123"/>
      <c r="F43" s="124"/>
      <c r="G43" s="116" t="str">
        <f ca="1">lvTxDsTk</f>
        <v/>
      </c>
      <c r="H43" s="125" t="str">
        <f>lvDtBack</f>
        <v/>
      </c>
      <c r="I43" s="113"/>
      <c r="J43" s="120" t="str">
        <f ca="1">lvLvK</f>
        <v/>
      </c>
      <c r="K43" s="120" t="str">
        <f ca="1">lvTxDsTk</f>
        <v/>
      </c>
      <c r="L43" s="126" t="str">
        <f ca="1">lvTxDs</f>
        <v/>
      </c>
      <c r="M43" s="126" t="str">
        <f ca="1">lvTxHs</f>
        <v/>
      </c>
      <c r="O43" s="117"/>
      <c r="P43" s="117"/>
      <c r="Q43" s="117"/>
      <c r="T43" s="117"/>
    </row>
    <row r="44" spans="2:20" x14ac:dyDescent="0.2">
      <c r="B44" s="118"/>
      <c r="C44" s="122"/>
      <c r="D44" s="121"/>
      <c r="E44" s="123"/>
      <c r="F44" s="124"/>
      <c r="G44" s="116" t="str">
        <f ca="1">lvTxDsTk</f>
        <v/>
      </c>
      <c r="H44" s="125" t="str">
        <f>lvDtBack</f>
        <v/>
      </c>
      <c r="I44" s="113"/>
      <c r="J44" s="120" t="str">
        <f ca="1">lvLvK</f>
        <v/>
      </c>
      <c r="K44" s="120" t="str">
        <f ca="1">lvTxDsTk</f>
        <v/>
      </c>
      <c r="L44" s="126" t="str">
        <f ca="1">lvTxDs</f>
        <v/>
      </c>
      <c r="M44" s="126" t="str">
        <f ca="1">lvTxHs</f>
        <v/>
      </c>
      <c r="O44" s="117"/>
      <c r="P44" s="117"/>
      <c r="Q44" s="117"/>
      <c r="T44" s="117"/>
    </row>
    <row r="45" spans="2:20" x14ac:dyDescent="0.2">
      <c r="B45" s="118"/>
      <c r="C45" s="122"/>
      <c r="D45" s="121"/>
      <c r="E45" s="123"/>
      <c r="F45" s="124"/>
      <c r="G45" s="116" t="str">
        <f ca="1">lvTxDsTk</f>
        <v/>
      </c>
      <c r="H45" s="125" t="str">
        <f>lvDtBack</f>
        <v/>
      </c>
      <c r="I45" s="113"/>
      <c r="J45" s="120" t="str">
        <f ca="1">lvLvK</f>
        <v/>
      </c>
      <c r="K45" s="120" t="str">
        <f ca="1">lvTxDsTk</f>
        <v/>
      </c>
      <c r="L45" s="126" t="str">
        <f ca="1">lvTxDs</f>
        <v/>
      </c>
      <c r="M45" s="126" t="str">
        <f ca="1">lvTxHs</f>
        <v/>
      </c>
      <c r="O45" s="117"/>
      <c r="P45" s="117"/>
      <c r="Q45" s="117"/>
      <c r="T45" s="117"/>
    </row>
    <row r="46" spans="2:20" x14ac:dyDescent="0.2">
      <c r="B46" s="127"/>
      <c r="C46" s="128"/>
      <c r="D46" s="129"/>
      <c r="E46" s="109"/>
      <c r="F46" s="130"/>
      <c r="G46" s="131" t="str">
        <f ca="1">lvTxDsTk</f>
        <v/>
      </c>
      <c r="H46" s="132" t="str">
        <f>lvDtBack</f>
        <v/>
      </c>
      <c r="I46" s="133"/>
      <c r="J46" s="134" t="str">
        <f ca="1">lvLvK</f>
        <v/>
      </c>
      <c r="K46" s="134" t="str">
        <f ca="1">lvTxDsTk</f>
        <v/>
      </c>
      <c r="L46" s="135" t="str">
        <f ca="1">lvTxDs</f>
        <v/>
      </c>
      <c r="M46" s="135" t="str">
        <f ca="1">lvTxHs</f>
        <v/>
      </c>
      <c r="O46" s="117"/>
      <c r="P46" s="117"/>
      <c r="Q46" s="117"/>
      <c r="T46" s="117"/>
    </row>
  </sheetData>
  <mergeCells count="2">
    <mergeCell ref="D4:E4"/>
    <mergeCell ref="L4:M4"/>
  </mergeCells>
  <dataValidations count="4">
    <dataValidation type="list" allowBlank="1" showInputMessage="1" showErrorMessage="1" sqref="B19:B35" xr:uid="{00000000-0002-0000-0300-000000000000}">
      <formula1>SSSSSSSSSSSSSSSSSlstHrName</formula1>
    </dataValidation>
    <dataValidation type="list" allowBlank="1" showInputMessage="1" showErrorMessage="1" sqref="B36:B96" xr:uid="{00000000-0002-0000-0300-000001000000}">
      <formula1>lstРаботники</formula1>
    </dataValidation>
    <dataValidation type="list" allowBlank="1" showInputMessage="1" showErrorMessage="1" sqref="B6:B18" xr:uid="{00000000-0002-0000-0300-000002000000}">
      <formula1>emp_Nm</formula1>
    </dataValidation>
    <dataValidation type="date" operator="greaterThanOrEqual" allowBlank="1" showInputMessage="1" showErrorMessage="1" errorTitle="Товарищ Бухгалтер!" error="Дата не можеть быть меньше даты начала!" sqref="E6:F46" xr:uid="{00000000-0002-0000-0300-000003000000}">
      <formula1>$D6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Sozlaş!$N$18:$N$25</xm:f>
          </x14:formula1>
          <xm:sqref>C6:C46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tabColor theme="0"/>
  </sheetPr>
  <dimension ref="B2:BL54"/>
  <sheetViews>
    <sheetView showGridLines="0" tabSelected="1" topLeftCell="A17" zoomScaleNormal="100" workbookViewId="0">
      <pane xSplit="6" topLeftCell="G1" activePane="topRight" state="frozen"/>
      <selection pane="topRight" activeCell="O29" sqref="O29"/>
    </sheetView>
  </sheetViews>
  <sheetFormatPr defaultRowHeight="15" customHeight="1" x14ac:dyDescent="0.25"/>
  <cols>
    <col min="1" max="1" width="1.28515625" style="140" customWidth="1"/>
    <col min="2" max="2" width="4.5703125" style="140" customWidth="1"/>
    <col min="3" max="3" width="19.85546875" style="140" customWidth="1"/>
    <col min="4" max="4" width="20.140625" style="195" customWidth="1"/>
    <col min="5" max="5" width="14.42578125" style="195" customWidth="1"/>
    <col min="6" max="6" width="14.42578125" style="195" hidden="1" customWidth="1"/>
    <col min="7" max="7" width="5.140625" style="37" customWidth="1"/>
    <col min="8" max="18" width="5.140625" style="139" customWidth="1"/>
    <col min="19" max="37" width="5.140625" style="37" customWidth="1"/>
    <col min="38" max="45" width="3.42578125" style="37" customWidth="1"/>
    <col min="46" max="46" width="5.5703125" style="5" customWidth="1"/>
    <col min="47" max="48" width="5.5703125" style="37" customWidth="1"/>
    <col min="49" max="49" width="5.5703125" style="5" customWidth="1"/>
    <col min="50" max="50" width="11.28515625" style="5" customWidth="1"/>
    <col min="51" max="53" width="4.5703125" style="5" customWidth="1"/>
    <col min="54" max="54" width="5" style="5" customWidth="1"/>
    <col min="55" max="58" width="4.5703125" style="5" customWidth="1"/>
    <col min="59" max="59" width="8.85546875" style="5" customWidth="1"/>
    <col min="60" max="62" width="9" style="5" customWidth="1"/>
    <col min="63" max="63" width="9" style="92" customWidth="1"/>
    <col min="64" max="64" width="12.140625" style="5" customWidth="1"/>
    <col min="65" max="16384" width="9.140625" style="140"/>
  </cols>
  <sheetData>
    <row r="2" spans="2:64" ht="15" customHeight="1" x14ac:dyDescent="0.2">
      <c r="AL2" s="251" t="s">
        <v>222</v>
      </c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</row>
    <row r="3" spans="2:64" ht="15" customHeight="1" x14ac:dyDescent="0.2">
      <c r="AL3" s="251" t="s">
        <v>223</v>
      </c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</row>
    <row r="4" spans="2:64" ht="15" customHeight="1" x14ac:dyDescent="0.2">
      <c r="AL4" s="251" t="s">
        <v>224</v>
      </c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</row>
    <row r="5" spans="2:64" ht="15" customHeight="1" x14ac:dyDescent="0.2">
      <c r="AL5" s="251" t="s">
        <v>238</v>
      </c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</row>
    <row r="6" spans="2:64" ht="15" customHeight="1" x14ac:dyDescent="0.25"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206"/>
    </row>
    <row r="7" spans="2:64" x14ac:dyDescent="0.25">
      <c r="B7" s="65"/>
      <c r="C7" s="31"/>
      <c r="D7" s="31"/>
      <c r="E7" s="205"/>
      <c r="F7" s="205"/>
      <c r="G7" s="251" t="s">
        <v>225</v>
      </c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206"/>
      <c r="AY7" s="37"/>
      <c r="AZ7" s="140"/>
      <c r="BA7" s="140"/>
      <c r="BB7" s="140"/>
      <c r="BC7" s="140"/>
      <c r="BD7" s="140"/>
      <c r="BE7" s="140"/>
      <c r="BF7" s="140"/>
      <c r="BG7" s="37"/>
      <c r="BH7" s="37"/>
      <c r="BI7" s="37"/>
      <c r="BJ7" s="37"/>
      <c r="BK7" s="37"/>
      <c r="BL7" s="140"/>
    </row>
    <row r="8" spans="2:64" ht="14.25" x14ac:dyDescent="0.2">
      <c r="B8" s="203"/>
      <c r="C8" s="200"/>
      <c r="D8" s="200"/>
      <c r="E8" s="205"/>
      <c r="F8" s="205"/>
      <c r="G8" s="251" t="s">
        <v>226</v>
      </c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205"/>
      <c r="AY8" s="253" t="s">
        <v>162</v>
      </c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</row>
    <row r="9" spans="2:64" ht="14.25" x14ac:dyDescent="0.2">
      <c r="B9" s="203"/>
      <c r="C9" s="200"/>
      <c r="D9" s="200"/>
      <c r="E9" s="205"/>
      <c r="F9" s="205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205"/>
      <c r="AY9" s="225"/>
      <c r="AZ9" s="225"/>
      <c r="BA9" s="225"/>
      <c r="BB9" s="225"/>
      <c r="BC9" s="225"/>
      <c r="BD9" s="225"/>
      <c r="BE9" s="225"/>
      <c r="BF9" s="225"/>
      <c r="BG9" s="225"/>
      <c r="BH9" s="225"/>
      <c r="BI9" s="225"/>
      <c r="BJ9" s="225"/>
      <c r="BK9" s="225"/>
      <c r="BL9" s="225"/>
    </row>
    <row r="10" spans="2:64" ht="15.75" customHeight="1" thickBot="1" x14ac:dyDescent="0.25">
      <c r="D10" s="140"/>
      <c r="E10" s="140"/>
      <c r="F10" s="140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205"/>
      <c r="AY10" s="31"/>
      <c r="AZ10" s="140"/>
      <c r="BA10" s="140"/>
      <c r="BB10" s="140"/>
      <c r="BC10" s="140"/>
      <c r="BD10" s="140"/>
      <c r="BE10" s="140"/>
      <c r="BF10" s="140"/>
      <c r="BG10" s="254"/>
      <c r="BH10" s="254"/>
      <c r="BI10" s="254"/>
      <c r="BJ10" s="254"/>
      <c r="BK10" s="37"/>
      <c r="BL10" s="34"/>
    </row>
    <row r="11" spans="2:64" ht="12.75" x14ac:dyDescent="0.25">
      <c r="B11" s="65" t="s">
        <v>70</v>
      </c>
      <c r="C11" s="141">
        <f>Yöriqnoma!zYear</f>
        <v>2021</v>
      </c>
      <c r="D11" s="201"/>
      <c r="E11" s="201"/>
      <c r="F11" s="201"/>
      <c r="G11" s="142" t="str">
        <f ca="1">OFFSET(id,1,)</f>
        <v>at</v>
      </c>
      <c r="H11" s="143" t="str">
        <f ca="1">OFFSET(id,1,2)</f>
        <v>asosiy mehnat tatili</v>
      </c>
      <c r="I11" s="144"/>
      <c r="J11" s="144"/>
      <c r="K11" s="144"/>
      <c r="L11" s="144"/>
      <c r="M11" s="144"/>
      <c r="N11" s="144"/>
      <c r="O11" s="145" t="str">
        <f ca="1">OFFSET(id,4,)</f>
        <v>bp</v>
      </c>
      <c r="P11" s="143" t="str">
        <f ca="1">OFFSET(id,4,2)</f>
        <v>bola parvarişlaş</v>
      </c>
      <c r="Q11" s="146"/>
      <c r="R11" s="146"/>
      <c r="S11" s="144"/>
      <c r="T11" s="144"/>
      <c r="U11" s="144"/>
      <c r="V11" s="144"/>
      <c r="W11" s="147" t="str">
        <f ca="1">OFFSET(id,7,)</f>
        <v>s</v>
      </c>
      <c r="X11" s="143" t="str">
        <f ca="1">OFFSET(id,7,2)</f>
        <v xml:space="preserve">sababsiz </v>
      </c>
      <c r="Y11" s="146"/>
      <c r="Z11" s="146"/>
      <c r="AA11" s="144"/>
      <c r="AB11" s="144"/>
      <c r="AC11" s="148"/>
      <c r="AD11" s="149" t="str">
        <f ca="1">OFFSET(id,9,)</f>
        <v>d</v>
      </c>
      <c r="AE11" s="153" t="str">
        <f ca="1">OFFSET(id,9,2)</f>
        <v>dam oliş kuni</v>
      </c>
      <c r="AF11" s="146"/>
      <c r="AG11" s="151"/>
      <c r="AH11" s="146"/>
      <c r="AI11" s="146"/>
      <c r="AJ11" s="144"/>
      <c r="AK11" s="144"/>
      <c r="AL11" s="140"/>
      <c r="AM11" s="140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37"/>
      <c r="AY11" s="254"/>
      <c r="AZ11" s="254"/>
      <c r="BA11" s="254"/>
      <c r="BB11" s="254"/>
      <c r="BC11" s="254"/>
      <c r="BD11" s="254"/>
      <c r="BE11" s="254"/>
      <c r="BF11" s="140"/>
      <c r="BG11" s="254"/>
      <c r="BH11" s="254"/>
      <c r="BI11" s="254"/>
      <c r="BJ11" s="254"/>
      <c r="BK11" s="37"/>
      <c r="BL11" s="34" t="s">
        <v>169</v>
      </c>
    </row>
    <row r="12" spans="2:64" ht="13.5" thickBot="1" x14ac:dyDescent="0.3">
      <c r="D12" s="140"/>
      <c r="E12" s="140"/>
      <c r="F12" s="140"/>
      <c r="G12" s="152" t="str">
        <f ca="1">OFFSET(id,2,)</f>
        <v>qt</v>
      </c>
      <c r="H12" s="153" t="str">
        <f ca="1">OFFSET(id,2,2)</f>
        <v>qöşimça tatil</v>
      </c>
      <c r="I12" s="144"/>
      <c r="J12" s="154"/>
      <c r="K12" s="144"/>
      <c r="L12" s="144"/>
      <c r="M12" s="144"/>
      <c r="N12" s="144"/>
      <c r="O12" s="155" t="str">
        <f ca="1">OFFSET(id,5,)</f>
        <v>it</v>
      </c>
      <c r="P12" s="153" t="str">
        <f ca="1">OFFSET(id,5,2)</f>
        <v>talim/ijodiy tatil</v>
      </c>
      <c r="Q12" s="146"/>
      <c r="R12" s="146"/>
      <c r="S12" s="144"/>
      <c r="T12" s="144"/>
      <c r="U12" s="144"/>
      <c r="V12" s="144"/>
      <c r="W12" s="156" t="str">
        <f ca="1">OFFSET(id,8,)</f>
        <v>k</v>
      </c>
      <c r="X12" s="153" t="str">
        <f ca="1">OFFSET(id,8,2)</f>
        <v>kasal</v>
      </c>
      <c r="Y12" s="146"/>
      <c r="Z12" s="146"/>
      <c r="AA12" s="144"/>
      <c r="AB12" s="144"/>
      <c r="AC12" s="144"/>
      <c r="AD12" s="157" t="str">
        <f ca="1">OFFSET(id,11,)</f>
        <v>b</v>
      </c>
      <c r="AE12" s="153" t="str">
        <f ca="1">OFFSET(id,11,2)</f>
        <v>bayram</v>
      </c>
      <c r="AF12" s="146"/>
      <c r="AG12" s="151"/>
      <c r="AH12" s="146"/>
      <c r="AI12" s="146"/>
      <c r="AJ12" s="144"/>
      <c r="AK12" s="144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58"/>
      <c r="AY12" s="159"/>
      <c r="AZ12" s="224"/>
      <c r="BA12" s="224"/>
      <c r="BB12" s="224">
        <f>Yöriqnoma!zYear</f>
        <v>2021</v>
      </c>
      <c r="BC12" s="224" t="s">
        <v>163</v>
      </c>
      <c r="BD12" s="224"/>
      <c r="BE12" s="224"/>
      <c r="BF12" s="140"/>
      <c r="BG12" s="253" t="s">
        <v>72</v>
      </c>
      <c r="BH12" s="253"/>
      <c r="BI12" s="253"/>
      <c r="BJ12" s="253"/>
      <c r="BK12" s="37"/>
      <c r="BL12" s="159" t="s">
        <v>168</v>
      </c>
    </row>
    <row r="13" spans="2:64" ht="12.75" x14ac:dyDescent="0.25">
      <c r="B13" s="65" t="s">
        <v>71</v>
      </c>
      <c r="C13" s="141">
        <v>3</v>
      </c>
      <c r="D13" s="201"/>
      <c r="E13" s="201"/>
      <c r="F13" s="201"/>
      <c r="G13" s="160" t="str">
        <f ca="1">OFFSET(id,3,)</f>
        <v>ht</v>
      </c>
      <c r="H13" s="153" t="str">
        <f ca="1">OFFSET(id,3,2)</f>
        <v>homiladorlik va tuğiş</v>
      </c>
      <c r="I13" s="144"/>
      <c r="J13" s="154"/>
      <c r="K13" s="144"/>
      <c r="L13" s="144"/>
      <c r="M13" s="144"/>
      <c r="N13" s="144"/>
      <c r="O13" s="161" t="str">
        <f ca="1">OFFSET(id,6,)</f>
        <v>tt</v>
      </c>
      <c r="P13" s="153" t="str">
        <f ca="1">OFFSET(id,6,2)</f>
        <v>tölovsiz tatil</v>
      </c>
      <c r="Q13" s="146"/>
      <c r="R13" s="146"/>
      <c r="S13" s="144"/>
      <c r="T13" s="144"/>
      <c r="U13" s="144"/>
      <c r="V13" s="144"/>
      <c r="W13" s="151" t="str">
        <f ca="1">OFFSET(id,10,)</f>
        <v>—</v>
      </c>
      <c r="X13" s="150" t="str">
        <f ca="1">OFFSET(id,10,2)</f>
        <v>közda tutilmagan</v>
      </c>
      <c r="Y13" s="146"/>
      <c r="Z13" s="146"/>
      <c r="AA13" s="144"/>
      <c r="AB13" s="144"/>
      <c r="AC13" s="144"/>
      <c r="AD13" s="157" t="str">
        <f ca="1">OFFSET(id,12,)</f>
        <v>qd</v>
      </c>
      <c r="AE13" s="153" t="str">
        <f ca="1">OFFSET(id,12,2)</f>
        <v>qöşimça dam oliş kuni</v>
      </c>
      <c r="AF13" s="146"/>
      <c r="AG13" s="144"/>
      <c r="AH13" s="144"/>
      <c r="AI13" s="144"/>
      <c r="AJ13" s="148"/>
      <c r="AK13" s="162"/>
      <c r="AL13" s="140"/>
      <c r="AM13" s="140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37"/>
      <c r="AY13" s="31"/>
      <c r="AZ13" s="225"/>
      <c r="BB13" s="225">
        <f>zMnth</f>
        <v>3</v>
      </c>
      <c r="BC13" s="225" t="s">
        <v>164</v>
      </c>
      <c r="BD13" s="140"/>
      <c r="BE13" s="140"/>
      <c r="BF13" s="140"/>
      <c r="BG13" s="34" t="e">
        <f ca="1">SUBTOTAL(9,t[58])</f>
        <v>#VALUE!</v>
      </c>
      <c r="BH13" s="37" t="e">
        <f ca="1">SUBTOTAL(9,t[59])</f>
        <v>#VALUE!</v>
      </c>
      <c r="BI13" s="34" t="e">
        <f ca="1">SUBTOTAL(9,t[60])</f>
        <v>#VALUE!</v>
      </c>
      <c r="BJ13" s="37" t="e">
        <f ca="1">SUBTOTAL(9,t[61])</f>
        <v>#VALUE!</v>
      </c>
      <c r="BK13" s="37"/>
      <c r="BL13" s="34" t="e">
        <f ca="1">ROUND(SUBTOTAL(9,t[63]),0)</f>
        <v>#VALUE!</v>
      </c>
    </row>
    <row r="14" spans="2:64" ht="12.75" x14ac:dyDescent="0.25">
      <c r="D14" s="31"/>
      <c r="E14" s="31"/>
      <c r="F14" s="31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AT14" s="37"/>
      <c r="AV14" s="163"/>
      <c r="AW14" s="163"/>
      <c r="AX14" s="163"/>
      <c r="AY14" s="140"/>
      <c r="AZ14" s="140"/>
      <c r="BA14" s="140"/>
      <c r="BB14" s="140"/>
      <c r="BC14" s="140"/>
      <c r="BD14" s="140"/>
      <c r="BE14" s="140"/>
      <c r="BF14" s="140"/>
      <c r="BG14" s="140"/>
      <c r="BH14" s="163"/>
      <c r="BI14" s="163"/>
      <c r="BJ14" s="163"/>
      <c r="BK14" s="37"/>
      <c r="BL14" s="140"/>
    </row>
    <row r="15" spans="2:64" ht="12.75" x14ac:dyDescent="0.25">
      <c r="B15" s="164"/>
      <c r="C15" s="165"/>
      <c r="D15" s="164"/>
      <c r="E15" s="164"/>
      <c r="F15" s="202" t="s">
        <v>216</v>
      </c>
      <c r="G15" s="166">
        <f t="shared" ref="G15:V16" si="0">t_Dt</f>
        <v>44256</v>
      </c>
      <c r="H15" s="166">
        <f t="shared" si="0"/>
        <v>44257</v>
      </c>
      <c r="I15" s="166">
        <f t="shared" si="0"/>
        <v>44258</v>
      </c>
      <c r="J15" s="166">
        <f t="shared" si="0"/>
        <v>44259</v>
      </c>
      <c r="K15" s="166">
        <f t="shared" si="0"/>
        <v>44260</v>
      </c>
      <c r="L15" s="166">
        <f t="shared" si="0"/>
        <v>44261</v>
      </c>
      <c r="M15" s="166">
        <f t="shared" si="0"/>
        <v>44262</v>
      </c>
      <c r="N15" s="166">
        <f t="shared" si="0"/>
        <v>44263</v>
      </c>
      <c r="O15" s="166">
        <f t="shared" si="0"/>
        <v>44264</v>
      </c>
      <c r="P15" s="166">
        <f t="shared" si="0"/>
        <v>44265</v>
      </c>
      <c r="Q15" s="166">
        <f t="shared" ref="Q15:AF16" si="1">t_Dt</f>
        <v>44266</v>
      </c>
      <c r="R15" s="166">
        <f t="shared" si="1"/>
        <v>44267</v>
      </c>
      <c r="S15" s="166">
        <f t="shared" si="1"/>
        <v>44268</v>
      </c>
      <c r="T15" s="166">
        <f t="shared" si="1"/>
        <v>44269</v>
      </c>
      <c r="U15" s="166">
        <f t="shared" si="1"/>
        <v>44270</v>
      </c>
      <c r="V15" s="166">
        <f t="shared" si="1"/>
        <v>44271</v>
      </c>
      <c r="W15" s="166">
        <f t="shared" si="1"/>
        <v>44272</v>
      </c>
      <c r="X15" s="166">
        <f t="shared" si="1"/>
        <v>44273</v>
      </c>
      <c r="Y15" s="166">
        <f t="shared" si="1"/>
        <v>44274</v>
      </c>
      <c r="Z15" s="166">
        <f t="shared" si="1"/>
        <v>44275</v>
      </c>
      <c r="AA15" s="166">
        <f t="shared" ref="AA15:AK16" si="2">t_Dt</f>
        <v>44276</v>
      </c>
      <c r="AB15" s="166">
        <f t="shared" si="2"/>
        <v>44277</v>
      </c>
      <c r="AC15" s="166">
        <f t="shared" si="2"/>
        <v>44278</v>
      </c>
      <c r="AD15" s="166">
        <f t="shared" si="2"/>
        <v>44279</v>
      </c>
      <c r="AE15" s="166">
        <f t="shared" si="2"/>
        <v>44280</v>
      </c>
      <c r="AF15" s="166">
        <f t="shared" si="2"/>
        <v>44281</v>
      </c>
      <c r="AG15" s="166">
        <f t="shared" si="2"/>
        <v>44282</v>
      </c>
      <c r="AH15" s="166">
        <f t="shared" si="2"/>
        <v>44283</v>
      </c>
      <c r="AI15" s="166">
        <f t="shared" si="2"/>
        <v>44284</v>
      </c>
      <c r="AJ15" s="166">
        <f t="shared" si="2"/>
        <v>44285</v>
      </c>
      <c r="AK15" s="166">
        <f t="shared" si="2"/>
        <v>44286</v>
      </c>
      <c r="AL15" s="252" t="s">
        <v>161</v>
      </c>
      <c r="AM15" s="252"/>
      <c r="AN15" s="252"/>
      <c r="AO15" s="252"/>
      <c r="AP15" s="252"/>
      <c r="AQ15" s="252"/>
      <c r="AR15" s="252"/>
      <c r="AS15" s="252"/>
      <c r="AT15" s="252" t="s">
        <v>160</v>
      </c>
      <c r="AU15" s="252"/>
      <c r="AV15" s="252" t="s">
        <v>166</v>
      </c>
      <c r="AW15" s="252"/>
      <c r="AX15" s="34"/>
      <c r="AY15" s="252" t="s">
        <v>161</v>
      </c>
      <c r="AZ15" s="252"/>
      <c r="BA15" s="252"/>
      <c r="BB15" s="252"/>
      <c r="BC15" s="252"/>
      <c r="BD15" s="252"/>
      <c r="BE15" s="252"/>
      <c r="BF15" s="252"/>
      <c r="BG15" s="252" t="s">
        <v>160</v>
      </c>
      <c r="BH15" s="252"/>
      <c r="BI15" s="252" t="s">
        <v>165</v>
      </c>
      <c r="BJ15" s="252"/>
      <c r="BK15" s="166" t="s">
        <v>160</v>
      </c>
      <c r="BL15" s="164" t="s">
        <v>167</v>
      </c>
    </row>
    <row r="16" spans="2:64" s="182" customFormat="1" ht="15" customHeight="1" x14ac:dyDescent="0.25">
      <c r="B16" s="167" t="s">
        <v>67</v>
      </c>
      <c r="C16" s="168" t="s">
        <v>113</v>
      </c>
      <c r="D16" s="159" t="s">
        <v>115</v>
      </c>
      <c r="E16" s="169" t="s">
        <v>214</v>
      </c>
      <c r="F16" s="169" t="s">
        <v>221</v>
      </c>
      <c r="G16" s="170">
        <f t="shared" si="0"/>
        <v>44256</v>
      </c>
      <c r="H16" s="170">
        <f t="shared" si="0"/>
        <v>44257</v>
      </c>
      <c r="I16" s="170">
        <f t="shared" si="0"/>
        <v>44258</v>
      </c>
      <c r="J16" s="170">
        <f t="shared" si="0"/>
        <v>44259</v>
      </c>
      <c r="K16" s="170">
        <f t="shared" si="0"/>
        <v>44260</v>
      </c>
      <c r="L16" s="170">
        <f t="shared" si="0"/>
        <v>44261</v>
      </c>
      <c r="M16" s="170">
        <f t="shared" si="0"/>
        <v>44262</v>
      </c>
      <c r="N16" s="170">
        <f t="shared" si="0"/>
        <v>44263</v>
      </c>
      <c r="O16" s="170">
        <f t="shared" si="0"/>
        <v>44264</v>
      </c>
      <c r="P16" s="170">
        <f t="shared" si="0"/>
        <v>44265</v>
      </c>
      <c r="Q16" s="170">
        <f t="shared" si="0"/>
        <v>44266</v>
      </c>
      <c r="R16" s="170">
        <f t="shared" si="0"/>
        <v>44267</v>
      </c>
      <c r="S16" s="170">
        <f t="shared" si="0"/>
        <v>44268</v>
      </c>
      <c r="T16" s="170">
        <f t="shared" si="0"/>
        <v>44269</v>
      </c>
      <c r="U16" s="170">
        <f t="shared" si="0"/>
        <v>44270</v>
      </c>
      <c r="V16" s="170">
        <f t="shared" si="0"/>
        <v>44271</v>
      </c>
      <c r="W16" s="170">
        <f t="shared" si="1"/>
        <v>44272</v>
      </c>
      <c r="X16" s="170">
        <f t="shared" si="1"/>
        <v>44273</v>
      </c>
      <c r="Y16" s="170">
        <f t="shared" si="1"/>
        <v>44274</v>
      </c>
      <c r="Z16" s="170">
        <f t="shared" si="1"/>
        <v>44275</v>
      </c>
      <c r="AA16" s="170">
        <f t="shared" si="1"/>
        <v>44276</v>
      </c>
      <c r="AB16" s="170">
        <f t="shared" si="1"/>
        <v>44277</v>
      </c>
      <c r="AC16" s="170">
        <f t="shared" si="1"/>
        <v>44278</v>
      </c>
      <c r="AD16" s="170">
        <f t="shared" si="1"/>
        <v>44279</v>
      </c>
      <c r="AE16" s="170">
        <f t="shared" si="1"/>
        <v>44280</v>
      </c>
      <c r="AF16" s="170">
        <f t="shared" si="1"/>
        <v>44281</v>
      </c>
      <c r="AG16" s="170">
        <f t="shared" si="2"/>
        <v>44282</v>
      </c>
      <c r="AH16" s="170">
        <f t="shared" si="2"/>
        <v>44283</v>
      </c>
      <c r="AI16" s="170">
        <f t="shared" si="2"/>
        <v>44284</v>
      </c>
      <c r="AJ16" s="170">
        <f t="shared" si="2"/>
        <v>44285</v>
      </c>
      <c r="AK16" s="170">
        <f t="shared" si="2"/>
        <v>44286</v>
      </c>
      <c r="AL16" s="171" t="str">
        <f ca="1">OFFSET(id,1,)</f>
        <v>at</v>
      </c>
      <c r="AM16" s="172" t="str">
        <f ca="1">OFFSET(id,2,)</f>
        <v>qt</v>
      </c>
      <c r="AN16" s="173" t="str">
        <f ca="1">OFFSET(id,3,)</f>
        <v>ht</v>
      </c>
      <c r="AO16" s="174" t="str">
        <f ca="1">OFFSET(id,4,)</f>
        <v>bp</v>
      </c>
      <c r="AP16" s="175" t="str">
        <f ca="1">OFFSET(id,5,)</f>
        <v>it</v>
      </c>
      <c r="AQ16" s="176" t="str">
        <f ca="1">OFFSET(id,6,)</f>
        <v>tt</v>
      </c>
      <c r="AR16" s="177" t="str">
        <f ca="1">OFFSET(id,7,)</f>
        <v>s</v>
      </c>
      <c r="AS16" s="178" t="str">
        <f ca="1">OFFSET(id,8,)</f>
        <v>k</v>
      </c>
      <c r="AT16" s="159" t="s">
        <v>100</v>
      </c>
      <c r="AU16" s="159" t="s">
        <v>101</v>
      </c>
      <c r="AV16" s="159" t="s">
        <v>100</v>
      </c>
      <c r="AW16" s="179" t="s">
        <v>101</v>
      </c>
      <c r="AX16" s="180"/>
      <c r="AY16" s="171" t="str">
        <f ca="1">OFFSET(id,1,)</f>
        <v>at</v>
      </c>
      <c r="AZ16" s="172" t="str">
        <f ca="1">OFFSET(id,2,)</f>
        <v>qt</v>
      </c>
      <c r="BA16" s="173" t="str">
        <f ca="1">OFFSET(id,3,)</f>
        <v>ht</v>
      </c>
      <c r="BB16" s="174" t="str">
        <f ca="1">OFFSET(id,4,)</f>
        <v>bp</v>
      </c>
      <c r="BC16" s="175" t="str">
        <f ca="1">OFFSET(id,5,)</f>
        <v>it</v>
      </c>
      <c r="BD16" s="176" t="str">
        <f ca="1">OFFSET(id,6,)</f>
        <v>tt</v>
      </c>
      <c r="BE16" s="177" t="str">
        <f ca="1">OFFSET(id,7,)</f>
        <v>s</v>
      </c>
      <c r="BF16" s="178" t="str">
        <f ca="1">OFFSET(id,8,)</f>
        <v>k</v>
      </c>
      <c r="BG16" s="159" t="s">
        <v>100</v>
      </c>
      <c r="BH16" s="159" t="s">
        <v>101</v>
      </c>
      <c r="BI16" s="159" t="s">
        <v>100</v>
      </c>
      <c r="BJ16" s="179" t="s">
        <v>101</v>
      </c>
      <c r="BK16" s="179" t="s">
        <v>68</v>
      </c>
      <c r="BL16" s="181"/>
    </row>
    <row r="17" spans="2:64" ht="12.75" x14ac:dyDescent="0.25">
      <c r="B17" s="183" t="s">
        <v>6</v>
      </c>
      <c r="C17" s="183" t="s">
        <v>7</v>
      </c>
      <c r="D17" s="183" t="s">
        <v>8</v>
      </c>
      <c r="E17" s="183" t="s">
        <v>219</v>
      </c>
      <c r="F17" s="183" t="s">
        <v>220</v>
      </c>
      <c r="G17" s="183" t="s">
        <v>9</v>
      </c>
      <c r="H17" s="183" t="s">
        <v>10</v>
      </c>
      <c r="I17" s="183" t="s">
        <v>11</v>
      </c>
      <c r="J17" s="183" t="s">
        <v>12</v>
      </c>
      <c r="K17" s="183" t="s">
        <v>13</v>
      </c>
      <c r="L17" s="183" t="s">
        <v>14</v>
      </c>
      <c r="M17" s="183" t="s">
        <v>15</v>
      </c>
      <c r="N17" s="183" t="s">
        <v>16</v>
      </c>
      <c r="O17" s="183" t="s">
        <v>17</v>
      </c>
      <c r="P17" s="183" t="s">
        <v>18</v>
      </c>
      <c r="Q17" s="183" t="s">
        <v>19</v>
      </c>
      <c r="R17" s="183" t="s">
        <v>20</v>
      </c>
      <c r="S17" s="183" t="s">
        <v>21</v>
      </c>
      <c r="T17" s="183" t="s">
        <v>22</v>
      </c>
      <c r="U17" s="183" t="s">
        <v>23</v>
      </c>
      <c r="V17" s="183" t="s">
        <v>24</v>
      </c>
      <c r="W17" s="183" t="s">
        <v>25</v>
      </c>
      <c r="X17" s="183" t="s">
        <v>26</v>
      </c>
      <c r="Y17" s="183" t="s">
        <v>27</v>
      </c>
      <c r="Z17" s="183" t="s">
        <v>28</v>
      </c>
      <c r="AA17" s="183" t="s">
        <v>29</v>
      </c>
      <c r="AB17" s="183" t="s">
        <v>30</v>
      </c>
      <c r="AC17" s="183" t="s">
        <v>31</v>
      </c>
      <c r="AD17" s="183" t="s">
        <v>32</v>
      </c>
      <c r="AE17" s="183" t="s">
        <v>33</v>
      </c>
      <c r="AF17" s="183" t="s">
        <v>34</v>
      </c>
      <c r="AG17" s="183" t="s">
        <v>41</v>
      </c>
      <c r="AH17" s="183" t="s">
        <v>42</v>
      </c>
      <c r="AI17" s="183" t="s">
        <v>43</v>
      </c>
      <c r="AJ17" s="183" t="s">
        <v>44</v>
      </c>
      <c r="AK17" s="183" t="s">
        <v>45</v>
      </c>
      <c r="AL17" s="183" t="s">
        <v>46</v>
      </c>
      <c r="AM17" s="183" t="s">
        <v>47</v>
      </c>
      <c r="AN17" s="183" t="s">
        <v>48</v>
      </c>
      <c r="AO17" s="183" t="s">
        <v>49</v>
      </c>
      <c r="AP17" s="183" t="s">
        <v>50</v>
      </c>
      <c r="AQ17" s="183" t="s">
        <v>40</v>
      </c>
      <c r="AR17" s="183" t="s">
        <v>51</v>
      </c>
      <c r="AS17" s="183" t="s">
        <v>66</v>
      </c>
      <c r="AT17" s="183" t="s">
        <v>52</v>
      </c>
      <c r="AU17" s="183" t="s">
        <v>53</v>
      </c>
      <c r="AV17" s="183" t="s">
        <v>54</v>
      </c>
      <c r="AW17" s="183" t="s">
        <v>55</v>
      </c>
      <c r="AX17" s="183" t="s">
        <v>56</v>
      </c>
      <c r="AY17" s="183" t="s">
        <v>57</v>
      </c>
      <c r="AZ17" s="183" t="s">
        <v>35</v>
      </c>
      <c r="BA17" s="183" t="s">
        <v>36</v>
      </c>
      <c r="BB17" s="183" t="s">
        <v>37</v>
      </c>
      <c r="BC17" s="183" t="s">
        <v>38</v>
      </c>
      <c r="BD17" s="183" t="s">
        <v>39</v>
      </c>
      <c r="BE17" s="183" t="s">
        <v>58</v>
      </c>
      <c r="BF17" s="183" t="s">
        <v>59</v>
      </c>
      <c r="BG17" s="183" t="s">
        <v>60</v>
      </c>
      <c r="BH17" s="183" t="s">
        <v>61</v>
      </c>
      <c r="BI17" s="183" t="s">
        <v>62</v>
      </c>
      <c r="BJ17" s="183" t="s">
        <v>63</v>
      </c>
      <c r="BK17" s="183" t="s">
        <v>65</v>
      </c>
      <c r="BL17" s="184" t="s">
        <v>69</v>
      </c>
    </row>
    <row r="18" spans="2:64" ht="12.75" hidden="1" x14ac:dyDescent="0.25">
      <c r="B18" s="106">
        <v>1</v>
      </c>
      <c r="C18" s="27" t="str">
        <f t="shared" ref="C18:C24" si="3">txNm</f>
        <v>Aliev Ali</v>
      </c>
      <c r="D18" s="27" t="str">
        <f t="shared" ref="D18:D24" ca="1" si="4">OFFSET(txNm,,1)</f>
        <v>o'qituvchi</v>
      </c>
      <c r="E18" s="106">
        <f t="shared" ref="E18:E24" ca="1" si="5">OFFSET(txNm,,2)</f>
        <v>1</v>
      </c>
      <c r="F18" s="106" t="str">
        <f t="shared" ref="F18:F27" ca="1" si="6">OFFSET(txNm,,3)</f>
        <v>KONTRAKT</v>
      </c>
      <c r="G18" s="185">
        <f ca="1">txCell</f>
        <v>6</v>
      </c>
      <c r="H18" s="185">
        <f ca="1">txCell</f>
        <v>6</v>
      </c>
      <c r="I18" s="185">
        <f ca="1">txCell</f>
        <v>6</v>
      </c>
      <c r="J18" s="185">
        <f ca="1">txCell</f>
        <v>6</v>
      </c>
      <c r="K18" s="185">
        <f ca="1">txCell</f>
        <v>6</v>
      </c>
      <c r="L18" s="185">
        <f ca="1">txCell</f>
        <v>6</v>
      </c>
      <c r="M18" s="185" t="str">
        <f ca="1">txCell</f>
        <v/>
      </c>
      <c r="N18" s="185" t="str">
        <f ca="1">txCell</f>
        <v>b</v>
      </c>
      <c r="O18" s="185">
        <f ca="1">txCell</f>
        <v>6</v>
      </c>
      <c r="P18" s="185">
        <f ca="1">txCell</f>
        <v>6</v>
      </c>
      <c r="Q18" s="185">
        <f ca="1">txCell</f>
        <v>6</v>
      </c>
      <c r="R18" s="185">
        <f ca="1">txCell</f>
        <v>6</v>
      </c>
      <c r="S18" s="185">
        <f ca="1">txCell</f>
        <v>6</v>
      </c>
      <c r="T18" s="185" t="str">
        <f ca="1">txCell</f>
        <v/>
      </c>
      <c r="U18" s="185">
        <f ca="1">txCell</f>
        <v>6</v>
      </c>
      <c r="V18" s="185">
        <f ca="1">txCell</f>
        <v>6</v>
      </c>
      <c r="W18" s="185">
        <f ca="1">txCell</f>
        <v>6</v>
      </c>
      <c r="X18" s="185">
        <f ca="1">txCell</f>
        <v>6</v>
      </c>
      <c r="Y18" s="185">
        <f ca="1">txCell</f>
        <v>6</v>
      </c>
      <c r="Z18" s="185">
        <f ca="1">txCell</f>
        <v>5</v>
      </c>
      <c r="AA18" s="185" t="str">
        <f ca="1">txCell</f>
        <v>b</v>
      </c>
      <c r="AB18" s="185">
        <f ca="1">txCell</f>
        <v>6</v>
      </c>
      <c r="AC18" s="185">
        <f ca="1">txCell</f>
        <v>6</v>
      </c>
      <c r="AD18" s="185">
        <f ca="1">txCell</f>
        <v>6</v>
      </c>
      <c r="AE18" s="185">
        <f ca="1">txCell</f>
        <v>6</v>
      </c>
      <c r="AF18" s="185">
        <f ca="1">txCell</f>
        <v>6</v>
      </c>
      <c r="AG18" s="185">
        <f ca="1">txCell</f>
        <v>6</v>
      </c>
      <c r="AH18" s="185" t="str">
        <f ca="1">txCell</f>
        <v/>
      </c>
      <c r="AI18" s="185">
        <f ca="1">txCell</f>
        <v>6</v>
      </c>
      <c r="AJ18" s="185">
        <f ca="1">txCell</f>
        <v>6</v>
      </c>
      <c r="AK18" s="185">
        <f ca="1">txCell</f>
        <v>6</v>
      </c>
      <c r="AL18" s="186">
        <f t="shared" ref="AL18:AS25" ca="1" si="7">txLvM</f>
        <v>0</v>
      </c>
      <c r="AM18" s="186">
        <f t="shared" ca="1" si="7"/>
        <v>0</v>
      </c>
      <c r="AN18" s="186">
        <f t="shared" ca="1" si="7"/>
        <v>0</v>
      </c>
      <c r="AO18" s="186">
        <f t="shared" ca="1" si="7"/>
        <v>0</v>
      </c>
      <c r="AP18" s="186">
        <f t="shared" ca="1" si="7"/>
        <v>0</v>
      </c>
      <c r="AQ18" s="186">
        <f t="shared" ca="1" si="7"/>
        <v>0</v>
      </c>
      <c r="AR18" s="186">
        <f t="shared" ca="1" si="7"/>
        <v>0</v>
      </c>
      <c r="AS18" s="186">
        <f t="shared" ca="1" si="7"/>
        <v>0</v>
      </c>
      <c r="AT18" s="187">
        <f t="shared" ref="AT18:AT25" ca="1" si="8">txDsM</f>
        <v>26</v>
      </c>
      <c r="AU18" s="188">
        <f t="shared" ref="AU18:AU25" ca="1" si="9">txHsM</f>
        <v>155</v>
      </c>
      <c r="AV18" s="187">
        <f ca="1">txDsMY</f>
        <v>26</v>
      </c>
      <c r="AW18" s="188">
        <f t="shared" ref="AW18:AW26" ca="1" si="10">txHsMY</f>
        <v>449</v>
      </c>
      <c r="AX18" s="189"/>
      <c r="AY18" s="188">
        <f t="shared" ref="AY18:BF25" ca="1" si="11">txLvY</f>
        <v>0</v>
      </c>
      <c r="AZ18" s="188">
        <f t="shared" ca="1" si="11"/>
        <v>0</v>
      </c>
      <c r="BA18" s="188">
        <f t="shared" ca="1" si="11"/>
        <v>0</v>
      </c>
      <c r="BB18" s="188">
        <f t="shared" ca="1" si="11"/>
        <v>0</v>
      </c>
      <c r="BC18" s="188">
        <f t="shared" ca="1" si="11"/>
        <v>0</v>
      </c>
      <c r="BD18" s="188">
        <f t="shared" ca="1" si="11"/>
        <v>0</v>
      </c>
      <c r="BE18" s="188">
        <f t="shared" ca="1" si="11"/>
        <v>0</v>
      </c>
      <c r="BF18" s="188">
        <f t="shared" ca="1" si="11"/>
        <v>0</v>
      </c>
      <c r="BG18" s="187">
        <f ca="1">txDsMY-t_LvD</f>
        <v>75</v>
      </c>
      <c r="BH18" s="188">
        <f t="shared" ref="BH18:BH26" ca="1" si="12">txHsMY-t_LvH</f>
        <v>449</v>
      </c>
      <c r="BI18" s="187">
        <f ca="1">txDsMY</f>
        <v>75</v>
      </c>
      <c r="BJ18" s="188">
        <f t="shared" ref="BJ18:BJ26" ca="1" si="13">txHsMY</f>
        <v>449</v>
      </c>
      <c r="BK18" s="190">
        <f ca="1">IFERROR(t[[#This Row],[58]]/t[[#This Row],[60]],"")</f>
        <v>1</v>
      </c>
      <c r="BL18" s="191">
        <f ca="1">txAvgEmp</f>
        <v>1</v>
      </c>
    </row>
    <row r="19" spans="2:64" ht="12.75" hidden="1" x14ac:dyDescent="0.25">
      <c r="B19" s="106">
        <v>2</v>
      </c>
      <c r="C19" s="27" t="str">
        <f t="shared" si="3"/>
        <v>Böriev Böri</v>
      </c>
      <c r="D19" s="27" t="str">
        <f t="shared" ca="1" si="4"/>
        <v>katta o'qituvchi</v>
      </c>
      <c r="E19" s="106">
        <f t="shared" ca="1" si="5"/>
        <v>1</v>
      </c>
      <c r="F19" s="106" t="str">
        <f t="shared" ca="1" si="6"/>
        <v>KONTRAKT</v>
      </c>
      <c r="G19" s="185">
        <f ca="1">txCell</f>
        <v>6</v>
      </c>
      <c r="H19" s="185">
        <f ca="1">txCell</f>
        <v>6</v>
      </c>
      <c r="I19" s="185">
        <f ca="1">txCell</f>
        <v>6</v>
      </c>
      <c r="J19" s="185">
        <f ca="1">txCell</f>
        <v>6</v>
      </c>
      <c r="K19" s="185">
        <f ca="1">txCell</f>
        <v>6</v>
      </c>
      <c r="L19" s="185">
        <f ca="1">txCell</f>
        <v>6</v>
      </c>
      <c r="M19" s="185" t="str">
        <f ca="1">txCell</f>
        <v/>
      </c>
      <c r="N19" s="185" t="str">
        <f ca="1">txCell</f>
        <v>b</v>
      </c>
      <c r="O19" s="185">
        <f ca="1">txCell</f>
        <v>6</v>
      </c>
      <c r="P19" s="185">
        <f ca="1">txCell</f>
        <v>6</v>
      </c>
      <c r="Q19" s="185">
        <f ca="1">txCell</f>
        <v>6</v>
      </c>
      <c r="R19" s="185">
        <f ca="1">txCell</f>
        <v>6</v>
      </c>
      <c r="S19" s="185">
        <f ca="1">txCell</f>
        <v>6</v>
      </c>
      <c r="T19" s="185" t="str">
        <f ca="1">txCell</f>
        <v/>
      </c>
      <c r="U19" s="185">
        <f ca="1">txCell</f>
        <v>6</v>
      </c>
      <c r="V19" s="185">
        <f ca="1">txCell</f>
        <v>6</v>
      </c>
      <c r="W19" s="185">
        <f ca="1">txCell</f>
        <v>6</v>
      </c>
      <c r="X19" s="185">
        <f ca="1">txCell</f>
        <v>6</v>
      </c>
      <c r="Y19" s="185">
        <f ca="1">txCell</f>
        <v>6</v>
      </c>
      <c r="Z19" s="185">
        <f ca="1">txCell</f>
        <v>5</v>
      </c>
      <c r="AA19" s="185" t="str">
        <f ca="1">txCell</f>
        <v>b</v>
      </c>
      <c r="AB19" s="185">
        <f ca="1">txCell</f>
        <v>6</v>
      </c>
      <c r="AC19" s="185">
        <f ca="1">txCell</f>
        <v>6</v>
      </c>
      <c r="AD19" s="185">
        <f ca="1">txCell</f>
        <v>6</v>
      </c>
      <c r="AE19" s="185">
        <f ca="1">txCell</f>
        <v>6</v>
      </c>
      <c r="AF19" s="185">
        <f ca="1">txCell</f>
        <v>6</v>
      </c>
      <c r="AG19" s="185">
        <f ca="1">txCell</f>
        <v>6</v>
      </c>
      <c r="AH19" s="185" t="str">
        <f ca="1">txCell</f>
        <v/>
      </c>
      <c r="AI19" s="185">
        <f ca="1">txCell</f>
        <v>6</v>
      </c>
      <c r="AJ19" s="185">
        <f ca="1">txCell</f>
        <v>6</v>
      </c>
      <c r="AK19" s="185">
        <f ca="1">txCell</f>
        <v>6</v>
      </c>
      <c r="AL19" s="186">
        <f t="shared" ca="1" si="7"/>
        <v>0</v>
      </c>
      <c r="AM19" s="186">
        <f t="shared" ca="1" si="7"/>
        <v>0</v>
      </c>
      <c r="AN19" s="186">
        <f t="shared" ca="1" si="7"/>
        <v>0</v>
      </c>
      <c r="AO19" s="186">
        <f t="shared" ca="1" si="7"/>
        <v>0</v>
      </c>
      <c r="AP19" s="186">
        <f t="shared" ca="1" si="7"/>
        <v>0</v>
      </c>
      <c r="AQ19" s="186">
        <f t="shared" ca="1" si="7"/>
        <v>0</v>
      </c>
      <c r="AR19" s="186">
        <f t="shared" ca="1" si="7"/>
        <v>0</v>
      </c>
      <c r="AS19" s="186">
        <f t="shared" ca="1" si="7"/>
        <v>0</v>
      </c>
      <c r="AT19" s="187">
        <f t="shared" ca="1" si="8"/>
        <v>26</v>
      </c>
      <c r="AU19" s="188">
        <f t="shared" ca="1" si="9"/>
        <v>155</v>
      </c>
      <c r="AV19" s="187">
        <f ca="1">txDsMY</f>
        <v>26</v>
      </c>
      <c r="AW19" s="188">
        <f t="shared" ca="1" si="10"/>
        <v>449</v>
      </c>
      <c r="AX19" s="189"/>
      <c r="AY19" s="188">
        <f t="shared" ca="1" si="11"/>
        <v>0</v>
      </c>
      <c r="AZ19" s="188">
        <f t="shared" ca="1" si="11"/>
        <v>0</v>
      </c>
      <c r="BA19" s="188">
        <f t="shared" ca="1" si="11"/>
        <v>0</v>
      </c>
      <c r="BB19" s="188">
        <f t="shared" ca="1" si="11"/>
        <v>0</v>
      </c>
      <c r="BC19" s="188">
        <f t="shared" ca="1" si="11"/>
        <v>0</v>
      </c>
      <c r="BD19" s="188">
        <f t="shared" ca="1" si="11"/>
        <v>0</v>
      </c>
      <c r="BE19" s="188">
        <f t="shared" ca="1" si="11"/>
        <v>0</v>
      </c>
      <c r="BF19" s="188">
        <f t="shared" ca="1" si="11"/>
        <v>0</v>
      </c>
      <c r="BG19" s="187">
        <f ca="1">txDsMY-t_LvD</f>
        <v>75</v>
      </c>
      <c r="BH19" s="188">
        <f t="shared" ca="1" si="12"/>
        <v>449</v>
      </c>
      <c r="BI19" s="187">
        <f ca="1">txDsMY</f>
        <v>75</v>
      </c>
      <c r="BJ19" s="188">
        <f t="shared" ca="1" si="13"/>
        <v>449</v>
      </c>
      <c r="BK19" s="190">
        <f ca="1">IFERROR(t[[#This Row],[58]]/t[[#This Row],[60]],"")</f>
        <v>1</v>
      </c>
      <c r="BL19" s="191">
        <f ca="1">txAvgEmp</f>
        <v>1</v>
      </c>
    </row>
    <row r="20" spans="2:64" ht="12.75" hidden="1" x14ac:dyDescent="0.25">
      <c r="B20" s="106">
        <v>3</v>
      </c>
      <c r="C20" s="27" t="str">
        <f t="shared" si="3"/>
        <v>Valiev Vali</v>
      </c>
      <c r="D20" s="27" t="str">
        <f t="shared" ca="1" si="4"/>
        <v>i.f.n. katta o'qituvchi</v>
      </c>
      <c r="E20" s="106">
        <f t="shared" ca="1" si="5"/>
        <v>0.5</v>
      </c>
      <c r="F20" s="106" t="str">
        <f t="shared" ca="1" si="6"/>
        <v>KONTRAKT</v>
      </c>
      <c r="G20" s="185">
        <f ca="1">txCell</f>
        <v>3</v>
      </c>
      <c r="H20" s="185">
        <f ca="1">txCell</f>
        <v>3</v>
      </c>
      <c r="I20" s="185">
        <f ca="1">txCell</f>
        <v>3</v>
      </c>
      <c r="J20" s="185">
        <f ca="1">txCell</f>
        <v>3</v>
      </c>
      <c r="K20" s="185">
        <f ca="1">txCell</f>
        <v>3</v>
      </c>
      <c r="L20" s="185">
        <f ca="1">txCell</f>
        <v>3</v>
      </c>
      <c r="M20" s="185" t="str">
        <f ca="1">txCell</f>
        <v/>
      </c>
      <c r="N20" s="185" t="str">
        <f ca="1">txCell</f>
        <v>b</v>
      </c>
      <c r="O20" s="185">
        <f ca="1">txCell</f>
        <v>3</v>
      </c>
      <c r="P20" s="185">
        <f ca="1">txCell</f>
        <v>3</v>
      </c>
      <c r="Q20" s="185">
        <f ca="1">txCell</f>
        <v>3</v>
      </c>
      <c r="R20" s="185">
        <f ca="1">txCell</f>
        <v>3</v>
      </c>
      <c r="S20" s="185">
        <f ca="1">txCell</f>
        <v>3</v>
      </c>
      <c r="T20" s="185" t="str">
        <f ca="1">txCell</f>
        <v/>
      </c>
      <c r="U20" s="185">
        <f ca="1">txCell</f>
        <v>3</v>
      </c>
      <c r="V20" s="185">
        <f ca="1">txCell</f>
        <v>3</v>
      </c>
      <c r="W20" s="185">
        <f ca="1">txCell</f>
        <v>3</v>
      </c>
      <c r="X20" s="185">
        <f ca="1">txCell</f>
        <v>3</v>
      </c>
      <c r="Y20" s="185">
        <f ca="1">txCell</f>
        <v>3</v>
      </c>
      <c r="Z20" s="185">
        <f ca="1">txCell</f>
        <v>2</v>
      </c>
      <c r="AA20" s="185" t="str">
        <f ca="1">txCell</f>
        <v>b</v>
      </c>
      <c r="AB20" s="185">
        <f ca="1">txCell</f>
        <v>3</v>
      </c>
      <c r="AC20" s="185">
        <f ca="1">txCell</f>
        <v>3</v>
      </c>
      <c r="AD20" s="185">
        <f ca="1">txCell</f>
        <v>3</v>
      </c>
      <c r="AE20" s="185">
        <f ca="1">txCell</f>
        <v>3</v>
      </c>
      <c r="AF20" s="185">
        <f ca="1">txCell</f>
        <v>3</v>
      </c>
      <c r="AG20" s="185">
        <f ca="1">txCell</f>
        <v>3</v>
      </c>
      <c r="AH20" s="185" t="str">
        <f ca="1">txCell</f>
        <v/>
      </c>
      <c r="AI20" s="185">
        <f ca="1">txCell</f>
        <v>3</v>
      </c>
      <c r="AJ20" s="185">
        <f ca="1">txCell</f>
        <v>3</v>
      </c>
      <c r="AK20" s="185">
        <f ca="1">txCell</f>
        <v>3</v>
      </c>
      <c r="AL20" s="186">
        <f t="shared" ca="1" si="7"/>
        <v>0</v>
      </c>
      <c r="AM20" s="186">
        <f t="shared" ca="1" si="7"/>
        <v>0</v>
      </c>
      <c r="AN20" s="186">
        <f t="shared" ca="1" si="7"/>
        <v>0</v>
      </c>
      <c r="AO20" s="186">
        <f t="shared" ca="1" si="7"/>
        <v>0</v>
      </c>
      <c r="AP20" s="186">
        <f t="shared" ca="1" si="7"/>
        <v>0</v>
      </c>
      <c r="AQ20" s="186">
        <f t="shared" ca="1" si="7"/>
        <v>0</v>
      </c>
      <c r="AR20" s="186">
        <f t="shared" ca="1" si="7"/>
        <v>0</v>
      </c>
      <c r="AS20" s="186">
        <f t="shared" ca="1" si="7"/>
        <v>0</v>
      </c>
      <c r="AT20" s="187">
        <f t="shared" ca="1" si="8"/>
        <v>26</v>
      </c>
      <c r="AU20" s="188">
        <f t="shared" ca="1" si="9"/>
        <v>77</v>
      </c>
      <c r="AV20" s="187">
        <f ca="1">txDsMY</f>
        <v>26</v>
      </c>
      <c r="AW20" s="188">
        <f t="shared" ca="1" si="10"/>
        <v>224</v>
      </c>
      <c r="AX20" s="189"/>
      <c r="AY20" s="188">
        <f t="shared" ca="1" si="11"/>
        <v>0</v>
      </c>
      <c r="AZ20" s="188">
        <f t="shared" ca="1" si="11"/>
        <v>0</v>
      </c>
      <c r="BA20" s="188">
        <f t="shared" ca="1" si="11"/>
        <v>0</v>
      </c>
      <c r="BB20" s="188">
        <f t="shared" ca="1" si="11"/>
        <v>0</v>
      </c>
      <c r="BC20" s="188">
        <f t="shared" ca="1" si="11"/>
        <v>0</v>
      </c>
      <c r="BD20" s="188">
        <f t="shared" ca="1" si="11"/>
        <v>0</v>
      </c>
      <c r="BE20" s="188">
        <f t="shared" ca="1" si="11"/>
        <v>0</v>
      </c>
      <c r="BF20" s="188">
        <f t="shared" ca="1" si="11"/>
        <v>0</v>
      </c>
      <c r="BG20" s="187">
        <f ca="1">txDsMY-t_LvD</f>
        <v>75</v>
      </c>
      <c r="BH20" s="188">
        <f t="shared" ca="1" si="12"/>
        <v>224</v>
      </c>
      <c r="BI20" s="187">
        <f ca="1">txDsMY</f>
        <v>75</v>
      </c>
      <c r="BJ20" s="188">
        <f t="shared" ca="1" si="13"/>
        <v>224</v>
      </c>
      <c r="BK20" s="190">
        <f ca="1">IFERROR(t[[#This Row],[58]]/t[[#This Row],[60]],"")</f>
        <v>1</v>
      </c>
      <c r="BL20" s="191">
        <f ca="1">txAvgEmp</f>
        <v>1</v>
      </c>
    </row>
    <row r="21" spans="2:64" ht="12.75" hidden="1" x14ac:dyDescent="0.25">
      <c r="B21" s="106">
        <v>4</v>
      </c>
      <c r="C21" s="27" t="str">
        <f t="shared" si="3"/>
        <v>Ğaniev Ğani</v>
      </c>
      <c r="D21" s="27" t="str">
        <f t="shared" ca="1" si="4"/>
        <v>kafedra mudiri</v>
      </c>
      <c r="E21" s="106">
        <f t="shared" ca="1" si="5"/>
        <v>1</v>
      </c>
      <c r="F21" s="106" t="str">
        <f t="shared" ca="1" si="6"/>
        <v>KONTRAKT</v>
      </c>
      <c r="G21" s="185">
        <f ca="1">txCell</f>
        <v>6</v>
      </c>
      <c r="H21" s="185">
        <f ca="1">txCell</f>
        <v>6</v>
      </c>
      <c r="I21" s="185">
        <f ca="1">txCell</f>
        <v>6</v>
      </c>
      <c r="J21" s="185">
        <f ca="1">txCell</f>
        <v>6</v>
      </c>
      <c r="K21" s="185">
        <f ca="1">txCell</f>
        <v>6</v>
      </c>
      <c r="L21" s="185">
        <f ca="1">txCell</f>
        <v>6</v>
      </c>
      <c r="M21" s="185" t="str">
        <f ca="1">txCell</f>
        <v/>
      </c>
      <c r="N21" s="185" t="str">
        <f ca="1">txCell</f>
        <v>b</v>
      </c>
      <c r="O21" s="185">
        <f ca="1">txCell</f>
        <v>6</v>
      </c>
      <c r="P21" s="185">
        <f ca="1">txCell</f>
        <v>6</v>
      </c>
      <c r="Q21" s="185">
        <f ca="1">txCell</f>
        <v>6</v>
      </c>
      <c r="R21" s="185">
        <f ca="1">txCell</f>
        <v>6</v>
      </c>
      <c r="S21" s="185">
        <f ca="1">txCell</f>
        <v>6</v>
      </c>
      <c r="T21" s="185" t="str">
        <f ca="1">txCell</f>
        <v/>
      </c>
      <c r="U21" s="185">
        <f ca="1">txCell</f>
        <v>6</v>
      </c>
      <c r="V21" s="185">
        <f ca="1">txCell</f>
        <v>6</v>
      </c>
      <c r="W21" s="185">
        <f ca="1">txCell</f>
        <v>6</v>
      </c>
      <c r="X21" s="185">
        <f ca="1">txCell</f>
        <v>6</v>
      </c>
      <c r="Y21" s="185">
        <f ca="1">txCell</f>
        <v>6</v>
      </c>
      <c r="Z21" s="185">
        <f ca="1">txCell</f>
        <v>5</v>
      </c>
      <c r="AA21" s="185" t="str">
        <f ca="1">txCell</f>
        <v>b</v>
      </c>
      <c r="AB21" s="185">
        <f ca="1">txCell</f>
        <v>6</v>
      </c>
      <c r="AC21" s="185">
        <f ca="1">txCell</f>
        <v>6</v>
      </c>
      <c r="AD21" s="185">
        <f ca="1">txCell</f>
        <v>6</v>
      </c>
      <c r="AE21" s="185">
        <f ca="1">txCell</f>
        <v>6</v>
      </c>
      <c r="AF21" s="185">
        <f ca="1">txCell</f>
        <v>6</v>
      </c>
      <c r="AG21" s="185">
        <f ca="1">txCell</f>
        <v>6</v>
      </c>
      <c r="AH21" s="185" t="str">
        <f ca="1">txCell</f>
        <v/>
      </c>
      <c r="AI21" s="185">
        <f ca="1">txCell</f>
        <v>6</v>
      </c>
      <c r="AJ21" s="185">
        <f ca="1">txCell</f>
        <v>6</v>
      </c>
      <c r="AK21" s="185">
        <f ca="1">txCell</f>
        <v>6</v>
      </c>
      <c r="AL21" s="186">
        <f t="shared" ca="1" si="7"/>
        <v>0</v>
      </c>
      <c r="AM21" s="186">
        <f t="shared" ca="1" si="7"/>
        <v>0</v>
      </c>
      <c r="AN21" s="186">
        <f t="shared" ca="1" si="7"/>
        <v>0</v>
      </c>
      <c r="AO21" s="186">
        <f t="shared" ca="1" si="7"/>
        <v>0</v>
      </c>
      <c r="AP21" s="186">
        <f t="shared" ca="1" si="7"/>
        <v>0</v>
      </c>
      <c r="AQ21" s="186">
        <f t="shared" ca="1" si="7"/>
        <v>0</v>
      </c>
      <c r="AR21" s="186">
        <f t="shared" ca="1" si="7"/>
        <v>0</v>
      </c>
      <c r="AS21" s="186">
        <f t="shared" ca="1" si="7"/>
        <v>0</v>
      </c>
      <c r="AT21" s="187">
        <f t="shared" ca="1" si="8"/>
        <v>26</v>
      </c>
      <c r="AU21" s="188">
        <f t="shared" ca="1" si="9"/>
        <v>155</v>
      </c>
      <c r="AV21" s="187">
        <f ca="1">txDsMY</f>
        <v>26</v>
      </c>
      <c r="AW21" s="188">
        <f t="shared" ca="1" si="10"/>
        <v>449</v>
      </c>
      <c r="AX21" s="189"/>
      <c r="AY21" s="188">
        <f t="shared" si="11"/>
        <v>0</v>
      </c>
      <c r="AZ21" s="188">
        <f t="shared" si="11"/>
        <v>0</v>
      </c>
      <c r="BA21" s="188">
        <f t="shared" si="11"/>
        <v>0</v>
      </c>
      <c r="BB21" s="188">
        <f t="shared" si="11"/>
        <v>0</v>
      </c>
      <c r="BC21" s="188">
        <f t="shared" si="11"/>
        <v>0</v>
      </c>
      <c r="BD21" s="188">
        <f t="shared" si="11"/>
        <v>0</v>
      </c>
      <c r="BE21" s="188">
        <f t="shared" si="11"/>
        <v>0</v>
      </c>
      <c r="BF21" s="188">
        <f t="shared" si="11"/>
        <v>0</v>
      </c>
      <c r="BG21" s="187">
        <f ca="1">txDsMY-t_LvD</f>
        <v>75</v>
      </c>
      <c r="BH21" s="188">
        <f t="shared" ca="1" si="12"/>
        <v>449</v>
      </c>
      <c r="BI21" s="187">
        <f ca="1">txDsMY</f>
        <v>75</v>
      </c>
      <c r="BJ21" s="188">
        <f t="shared" ca="1" si="13"/>
        <v>449</v>
      </c>
      <c r="BK21" s="190">
        <f ca="1">IFERROR(t[[#This Row],[58]]/t[[#This Row],[60]],"")</f>
        <v>1</v>
      </c>
      <c r="BL21" s="191">
        <f ca="1">txAvgEmp</f>
        <v>1</v>
      </c>
    </row>
    <row r="22" spans="2:64" ht="12.75" x14ac:dyDescent="0.25">
      <c r="B22" s="106">
        <v>5</v>
      </c>
      <c r="C22" s="27" t="str">
        <f t="shared" si="3"/>
        <v>Donoeva Dono</v>
      </c>
      <c r="D22" s="27" t="str">
        <f t="shared" ca="1" si="4"/>
        <v>o'qituvchi</v>
      </c>
      <c r="E22" s="106">
        <f t="shared" ca="1" si="5"/>
        <v>1</v>
      </c>
      <c r="F22" s="106" t="str">
        <f t="shared" ca="1" si="6"/>
        <v>BUDJET</v>
      </c>
      <c r="G22" s="185">
        <f ca="1">txCell</f>
        <v>6</v>
      </c>
      <c r="H22" s="185">
        <f ca="1">txCell</f>
        <v>6</v>
      </c>
      <c r="I22" s="185">
        <f ca="1">txCell</f>
        <v>6</v>
      </c>
      <c r="J22" s="185">
        <f ca="1">txCell</f>
        <v>6</v>
      </c>
      <c r="K22" s="185">
        <f ca="1">txCell</f>
        <v>6</v>
      </c>
      <c r="L22" s="185">
        <f ca="1">txCell</f>
        <v>6</v>
      </c>
      <c r="M22" s="185" t="str">
        <f ca="1">txCell</f>
        <v/>
      </c>
      <c r="N22" s="185" t="str">
        <f ca="1">txCell</f>
        <v>b</v>
      </c>
      <c r="O22" s="185">
        <f ca="1">txCell</f>
        <v>6</v>
      </c>
      <c r="P22" s="185">
        <f ca="1">txCell</f>
        <v>6</v>
      </c>
      <c r="Q22" s="185">
        <f ca="1">txCell</f>
        <v>6</v>
      </c>
      <c r="R22" s="185">
        <f ca="1">txCell</f>
        <v>6</v>
      </c>
      <c r="S22" s="185">
        <f ca="1">txCell</f>
        <v>6</v>
      </c>
      <c r="T22" s="185" t="str">
        <f ca="1">txCell</f>
        <v/>
      </c>
      <c r="U22" s="185">
        <f ca="1">txCell</f>
        <v>6</v>
      </c>
      <c r="V22" s="185">
        <f ca="1">txCell</f>
        <v>6</v>
      </c>
      <c r="W22" s="185">
        <f ca="1">txCell</f>
        <v>6</v>
      </c>
      <c r="X22" s="185">
        <f ca="1">txCell</f>
        <v>6</v>
      </c>
      <c r="Y22" s="185">
        <f ca="1">txCell</f>
        <v>6</v>
      </c>
      <c r="Z22" s="185">
        <f ca="1">txCell</f>
        <v>5</v>
      </c>
      <c r="AA22" s="185" t="str">
        <f ca="1">txCell</f>
        <v>b</v>
      </c>
      <c r="AB22" s="185">
        <f ca="1">txCell</f>
        <v>6</v>
      </c>
      <c r="AC22" s="185">
        <f ca="1">txCell</f>
        <v>6</v>
      </c>
      <c r="AD22" s="185">
        <f ca="1">txCell</f>
        <v>6</v>
      </c>
      <c r="AE22" s="185">
        <f ca="1">txCell</f>
        <v>6</v>
      </c>
      <c r="AF22" s="185">
        <f ca="1">txCell</f>
        <v>6</v>
      </c>
      <c r="AG22" s="185">
        <f ca="1">txCell</f>
        <v>6</v>
      </c>
      <c r="AH22" s="185" t="str">
        <f ca="1">txCell</f>
        <v/>
      </c>
      <c r="AI22" s="185">
        <f ca="1">txCell</f>
        <v>6</v>
      </c>
      <c r="AJ22" s="185">
        <f ca="1">txCell</f>
        <v>6</v>
      </c>
      <c r="AK22" s="185">
        <f ca="1">txCell</f>
        <v>6</v>
      </c>
      <c r="AL22" s="186">
        <f t="shared" ca="1" si="7"/>
        <v>0</v>
      </c>
      <c r="AM22" s="186">
        <f t="shared" ca="1" si="7"/>
        <v>0</v>
      </c>
      <c r="AN22" s="186">
        <f t="shared" ca="1" si="7"/>
        <v>0</v>
      </c>
      <c r="AO22" s="186">
        <f t="shared" ca="1" si="7"/>
        <v>0</v>
      </c>
      <c r="AP22" s="186">
        <f t="shared" ca="1" si="7"/>
        <v>0</v>
      </c>
      <c r="AQ22" s="186">
        <f t="shared" ca="1" si="7"/>
        <v>0</v>
      </c>
      <c r="AR22" s="186">
        <f t="shared" ca="1" si="7"/>
        <v>0</v>
      </c>
      <c r="AS22" s="186">
        <f t="shared" ca="1" si="7"/>
        <v>0</v>
      </c>
      <c r="AT22" s="187">
        <f t="shared" ca="1" si="8"/>
        <v>26</v>
      </c>
      <c r="AU22" s="188">
        <f t="shared" ca="1" si="9"/>
        <v>155</v>
      </c>
      <c r="AV22" s="187">
        <f ca="1">txDsMY</f>
        <v>26</v>
      </c>
      <c r="AW22" s="188">
        <f t="shared" ca="1" si="10"/>
        <v>449</v>
      </c>
      <c r="AX22" s="189"/>
      <c r="AY22" s="188">
        <f t="shared" ca="1" si="11"/>
        <v>0</v>
      </c>
      <c r="AZ22" s="188">
        <f t="shared" ca="1" si="11"/>
        <v>0</v>
      </c>
      <c r="BA22" s="188">
        <f t="shared" ca="1" si="11"/>
        <v>0</v>
      </c>
      <c r="BB22" s="188">
        <f t="shared" ca="1" si="11"/>
        <v>0</v>
      </c>
      <c r="BC22" s="188">
        <f t="shared" ca="1" si="11"/>
        <v>0</v>
      </c>
      <c r="BD22" s="188">
        <f t="shared" ca="1" si="11"/>
        <v>0</v>
      </c>
      <c r="BE22" s="188">
        <f t="shared" ca="1" si="11"/>
        <v>0</v>
      </c>
      <c r="BF22" s="188">
        <f t="shared" ca="1" si="11"/>
        <v>0</v>
      </c>
      <c r="BG22" s="187">
        <f ca="1">txDsMY-t_LvD</f>
        <v>75</v>
      </c>
      <c r="BH22" s="188">
        <f t="shared" ca="1" si="12"/>
        <v>449</v>
      </c>
      <c r="BI22" s="187">
        <f ca="1">txDsMY</f>
        <v>75</v>
      </c>
      <c r="BJ22" s="188">
        <f t="shared" ca="1" si="13"/>
        <v>449</v>
      </c>
      <c r="BK22" s="190">
        <f ca="1">IFERROR(t[[#This Row],[58]]/t[[#This Row],[60]],"")</f>
        <v>1</v>
      </c>
      <c r="BL22" s="191">
        <f ca="1">txAvgEmp</f>
        <v>1</v>
      </c>
    </row>
    <row r="23" spans="2:64" ht="15" customHeight="1" x14ac:dyDescent="0.25">
      <c r="B23" s="106">
        <v>6</v>
      </c>
      <c r="C23" s="27" t="str">
        <f t="shared" si="3"/>
        <v>Soliev Soli</v>
      </c>
      <c r="D23" s="27" t="str">
        <f t="shared" ca="1" si="4"/>
        <v>o'qituvchi</v>
      </c>
      <c r="E23" s="106">
        <f t="shared" ca="1" si="5"/>
        <v>0.25</v>
      </c>
      <c r="F23" s="106" t="str">
        <f t="shared" ca="1" si="6"/>
        <v>BUDJET</v>
      </c>
      <c r="G23" s="185" t="e">
        <f ca="1">txCell</f>
        <v>#VALUE!</v>
      </c>
      <c r="H23" s="185" t="e">
        <f ca="1">txCell</f>
        <v>#VALUE!</v>
      </c>
      <c r="I23" s="185" t="e">
        <f ca="1">txCell</f>
        <v>#VALUE!</v>
      </c>
      <c r="J23" s="185" t="e">
        <f ca="1">txCell</f>
        <v>#VALUE!</v>
      </c>
      <c r="K23" s="185" t="e">
        <f ca="1">txCell</f>
        <v>#VALUE!</v>
      </c>
      <c r="L23" s="185" t="e">
        <f ca="1">txCell</f>
        <v>#VALUE!</v>
      </c>
      <c r="M23" s="185" t="e">
        <f ca="1">txCell</f>
        <v>#VALUE!</v>
      </c>
      <c r="N23" s="185" t="str">
        <f ca="1">txCell</f>
        <v>b</v>
      </c>
      <c r="O23" s="185" t="e">
        <f ca="1">txCell</f>
        <v>#VALUE!</v>
      </c>
      <c r="P23" s="185" t="e">
        <f ca="1">txCell</f>
        <v>#VALUE!</v>
      </c>
      <c r="Q23" s="185" t="e">
        <f ca="1">txCell</f>
        <v>#VALUE!</v>
      </c>
      <c r="R23" s="185" t="e">
        <f ca="1">txCell</f>
        <v>#VALUE!</v>
      </c>
      <c r="S23" s="185" t="e">
        <f ca="1">txCell</f>
        <v>#VALUE!</v>
      </c>
      <c r="T23" s="185" t="e">
        <f ca="1">txCell</f>
        <v>#VALUE!</v>
      </c>
      <c r="U23" s="185" t="e">
        <f ca="1">txCell</f>
        <v>#VALUE!</v>
      </c>
      <c r="V23" s="185" t="e">
        <f ca="1">txCell</f>
        <v>#VALUE!</v>
      </c>
      <c r="W23" s="185" t="e">
        <f ca="1">txCell</f>
        <v>#VALUE!</v>
      </c>
      <c r="X23" s="185" t="e">
        <f ca="1">txCell</f>
        <v>#VALUE!</v>
      </c>
      <c r="Y23" s="185" t="e">
        <f ca="1">txCell</f>
        <v>#VALUE!</v>
      </c>
      <c r="Z23" s="185" t="e">
        <f ca="1">txCell</f>
        <v>#VALUE!</v>
      </c>
      <c r="AA23" s="185" t="str">
        <f ca="1">txCell</f>
        <v>b</v>
      </c>
      <c r="AB23" s="185" t="e">
        <f ca="1">txCell</f>
        <v>#VALUE!</v>
      </c>
      <c r="AC23" s="185" t="e">
        <f ca="1">txCell</f>
        <v>#VALUE!</v>
      </c>
      <c r="AD23" s="185" t="e">
        <f ca="1">txCell</f>
        <v>#VALUE!</v>
      </c>
      <c r="AE23" s="185" t="e">
        <f ca="1">txCell</f>
        <v>#VALUE!</v>
      </c>
      <c r="AF23" s="185" t="e">
        <f ca="1">txCell</f>
        <v>#VALUE!</v>
      </c>
      <c r="AG23" s="185" t="e">
        <f ca="1">txCell</f>
        <v>#VALUE!</v>
      </c>
      <c r="AH23" s="185" t="e">
        <f ca="1">txCell</f>
        <v>#VALUE!</v>
      </c>
      <c r="AI23" s="185" t="e">
        <f ca="1">txCell</f>
        <v>#VALUE!</v>
      </c>
      <c r="AJ23" s="185" t="e">
        <f ca="1">txCell</f>
        <v>#VALUE!</v>
      </c>
      <c r="AK23" s="185" t="e">
        <f ca="1">txCell</f>
        <v>#VALUE!</v>
      </c>
      <c r="AL23" s="186">
        <f t="shared" ca="1" si="7"/>
        <v>0</v>
      </c>
      <c r="AM23" s="186">
        <f t="shared" ca="1" si="7"/>
        <v>0</v>
      </c>
      <c r="AN23" s="186">
        <f t="shared" ca="1" si="7"/>
        <v>0</v>
      </c>
      <c r="AO23" s="186">
        <f t="shared" ca="1" si="7"/>
        <v>0</v>
      </c>
      <c r="AP23" s="186">
        <f t="shared" ca="1" si="7"/>
        <v>0</v>
      </c>
      <c r="AQ23" s="186">
        <f t="shared" ca="1" si="7"/>
        <v>0</v>
      </c>
      <c r="AR23" s="186">
        <f t="shared" ca="1" si="7"/>
        <v>0</v>
      </c>
      <c r="AS23" s="186">
        <f t="shared" ca="1" si="7"/>
        <v>0</v>
      </c>
      <c r="AT23" s="187">
        <f t="shared" ca="1" si="8"/>
        <v>0</v>
      </c>
      <c r="AU23" s="188" t="e">
        <f t="shared" ca="1" si="9"/>
        <v>#VALUE!</v>
      </c>
      <c r="AV23" s="187" t="e">
        <f ca="1">txDsMY</f>
        <v>#VALUE!</v>
      </c>
      <c r="AW23" s="188" t="e">
        <f t="shared" ca="1" si="10"/>
        <v>#VALUE!</v>
      </c>
      <c r="AX23" s="189"/>
      <c r="AY23" s="188">
        <f t="shared" ca="1" si="11"/>
        <v>0</v>
      </c>
      <c r="AZ23" s="188">
        <f t="shared" ca="1" si="11"/>
        <v>0</v>
      </c>
      <c r="BA23" s="188">
        <f t="shared" ca="1" si="11"/>
        <v>0</v>
      </c>
      <c r="BB23" s="188">
        <f t="shared" ca="1" si="11"/>
        <v>0</v>
      </c>
      <c r="BC23" s="188">
        <f t="shared" ca="1" si="11"/>
        <v>0</v>
      </c>
      <c r="BD23" s="188">
        <f t="shared" ca="1" si="11"/>
        <v>0</v>
      </c>
      <c r="BE23" s="188">
        <f t="shared" ca="1" si="11"/>
        <v>0</v>
      </c>
      <c r="BF23" s="188">
        <f t="shared" ca="1" si="11"/>
        <v>0</v>
      </c>
      <c r="BG23" s="187" t="e">
        <f ca="1">txDsMY-t_LvD</f>
        <v>#VALUE!</v>
      </c>
      <c r="BH23" s="188" t="e">
        <f t="shared" ca="1" si="12"/>
        <v>#VALUE!</v>
      </c>
      <c r="BI23" s="187" t="e">
        <f ca="1">txDsMY</f>
        <v>#VALUE!</v>
      </c>
      <c r="BJ23" s="188" t="e">
        <f t="shared" ca="1" si="13"/>
        <v>#VALUE!</v>
      </c>
      <c r="BK23" s="190" t="str">
        <f ca="1">IFERROR(t[[#This Row],[58]]/t[[#This Row],[60]],"")</f>
        <v/>
      </c>
      <c r="BL23" s="191" t="e">
        <f ca="1">txAvgEmp</f>
        <v>#VALUE!</v>
      </c>
    </row>
    <row r="24" spans="2:64" ht="15" customHeight="1" x14ac:dyDescent="0.25">
      <c r="B24" s="37">
        <v>7</v>
      </c>
      <c r="C24" s="140" t="str">
        <f t="shared" si="3"/>
        <v>Borşev Afanasiy</v>
      </c>
      <c r="D24" s="192" t="str">
        <f t="shared" ca="1" si="4"/>
        <v>o'qituvchi</v>
      </c>
      <c r="E24" s="199">
        <f t="shared" ca="1" si="5"/>
        <v>0.75</v>
      </c>
      <c r="F24" s="199" t="str">
        <f t="shared" ca="1" si="6"/>
        <v>BUDJET</v>
      </c>
      <c r="G24" s="185" t="e">
        <f ca="1">txCell</f>
        <v>#VALUE!</v>
      </c>
      <c r="H24" s="185" t="e">
        <f ca="1">txCell</f>
        <v>#VALUE!</v>
      </c>
      <c r="I24" s="185" t="e">
        <f ca="1">txCell</f>
        <v>#VALUE!</v>
      </c>
      <c r="J24" s="185" t="e">
        <f ca="1">txCell</f>
        <v>#VALUE!</v>
      </c>
      <c r="K24" s="185" t="e">
        <f ca="1">txCell</f>
        <v>#VALUE!</v>
      </c>
      <c r="L24" s="185" t="e">
        <f ca="1">txCell</f>
        <v>#VALUE!</v>
      </c>
      <c r="M24" s="185" t="e">
        <f ca="1">txCell</f>
        <v>#VALUE!</v>
      </c>
      <c r="N24" s="185" t="str">
        <f ca="1">txCell</f>
        <v>b</v>
      </c>
      <c r="O24" s="185" t="e">
        <f ca="1">txCell</f>
        <v>#VALUE!</v>
      </c>
      <c r="P24" s="185" t="e">
        <f ca="1">txCell</f>
        <v>#VALUE!</v>
      </c>
      <c r="Q24" s="185" t="e">
        <f ca="1">txCell</f>
        <v>#VALUE!</v>
      </c>
      <c r="R24" s="185" t="e">
        <f ca="1">txCell</f>
        <v>#VALUE!</v>
      </c>
      <c r="S24" s="185" t="e">
        <f ca="1">txCell</f>
        <v>#VALUE!</v>
      </c>
      <c r="T24" s="185" t="e">
        <f ca="1">txCell</f>
        <v>#VALUE!</v>
      </c>
      <c r="U24" s="185" t="e">
        <f ca="1">txCell</f>
        <v>#VALUE!</v>
      </c>
      <c r="V24" s="185" t="e">
        <f ca="1">txCell</f>
        <v>#VALUE!</v>
      </c>
      <c r="W24" s="185" t="e">
        <f ca="1">txCell</f>
        <v>#VALUE!</v>
      </c>
      <c r="X24" s="185" t="e">
        <f ca="1">txCell</f>
        <v>#VALUE!</v>
      </c>
      <c r="Y24" s="185" t="e">
        <f ca="1">txCell</f>
        <v>#VALUE!</v>
      </c>
      <c r="Z24" s="185" t="e">
        <f ca="1">txCell</f>
        <v>#VALUE!</v>
      </c>
      <c r="AA24" s="185" t="str">
        <f ca="1">txCell</f>
        <v>b</v>
      </c>
      <c r="AB24" s="185" t="e">
        <f ca="1">txCell</f>
        <v>#VALUE!</v>
      </c>
      <c r="AC24" s="185" t="e">
        <f ca="1">txCell</f>
        <v>#VALUE!</v>
      </c>
      <c r="AD24" s="185" t="e">
        <f ca="1">txCell</f>
        <v>#VALUE!</v>
      </c>
      <c r="AE24" s="185" t="e">
        <f ca="1">txCell</f>
        <v>#VALUE!</v>
      </c>
      <c r="AF24" s="185" t="e">
        <f ca="1">txCell</f>
        <v>#VALUE!</v>
      </c>
      <c r="AG24" s="185" t="e">
        <f ca="1">txCell</f>
        <v>#VALUE!</v>
      </c>
      <c r="AH24" s="185" t="e">
        <f ca="1">txCell</f>
        <v>#VALUE!</v>
      </c>
      <c r="AI24" s="185" t="e">
        <f ca="1">txCell</f>
        <v>#VALUE!</v>
      </c>
      <c r="AJ24" s="185" t="e">
        <f ca="1">txCell</f>
        <v>#VALUE!</v>
      </c>
      <c r="AK24" s="185" t="e">
        <f ca="1">txCell</f>
        <v>#VALUE!</v>
      </c>
      <c r="AL24" s="186">
        <f t="shared" ca="1" si="7"/>
        <v>0</v>
      </c>
      <c r="AM24" s="186">
        <f t="shared" ca="1" si="7"/>
        <v>0</v>
      </c>
      <c r="AN24" s="186">
        <f t="shared" ca="1" si="7"/>
        <v>0</v>
      </c>
      <c r="AO24" s="186">
        <f t="shared" ca="1" si="7"/>
        <v>0</v>
      </c>
      <c r="AP24" s="186">
        <f t="shared" ca="1" si="7"/>
        <v>0</v>
      </c>
      <c r="AQ24" s="186">
        <f t="shared" ca="1" si="7"/>
        <v>0</v>
      </c>
      <c r="AR24" s="186">
        <f t="shared" ca="1" si="7"/>
        <v>0</v>
      </c>
      <c r="AS24" s="186">
        <f t="shared" ca="1" si="7"/>
        <v>0</v>
      </c>
      <c r="AT24" s="187">
        <f t="shared" ca="1" si="8"/>
        <v>0</v>
      </c>
      <c r="AU24" s="188" t="e">
        <f t="shared" ca="1" si="9"/>
        <v>#VALUE!</v>
      </c>
      <c r="AV24" s="187" t="e">
        <f ca="1">txDsMY</f>
        <v>#VALUE!</v>
      </c>
      <c r="AW24" s="188" t="e">
        <f t="shared" ca="1" si="10"/>
        <v>#VALUE!</v>
      </c>
      <c r="AX24" s="193"/>
      <c r="AY24" s="188">
        <f t="shared" ca="1" si="11"/>
        <v>0</v>
      </c>
      <c r="AZ24" s="188">
        <f t="shared" ca="1" si="11"/>
        <v>0</v>
      </c>
      <c r="BA24" s="188">
        <f t="shared" ca="1" si="11"/>
        <v>0</v>
      </c>
      <c r="BB24" s="188">
        <f t="shared" ca="1" si="11"/>
        <v>27</v>
      </c>
      <c r="BC24" s="188">
        <f t="shared" ca="1" si="11"/>
        <v>0</v>
      </c>
      <c r="BD24" s="188">
        <f t="shared" ca="1" si="11"/>
        <v>0</v>
      </c>
      <c r="BE24" s="188">
        <f t="shared" ca="1" si="11"/>
        <v>0</v>
      </c>
      <c r="BF24" s="188">
        <f t="shared" ca="1" si="11"/>
        <v>0</v>
      </c>
      <c r="BG24" s="187" t="e">
        <f ca="1">txDsMY-t_LvD</f>
        <v>#VALUE!</v>
      </c>
      <c r="BH24" s="188" t="e">
        <f t="shared" ca="1" si="12"/>
        <v>#VALUE!</v>
      </c>
      <c r="BI24" s="187" t="e">
        <f ca="1">txDsMY</f>
        <v>#VALUE!</v>
      </c>
      <c r="BJ24" s="188" t="e">
        <f t="shared" ca="1" si="13"/>
        <v>#VALUE!</v>
      </c>
      <c r="BK24" s="190" t="str">
        <f ca="1">IFERROR(t[[#This Row],[58]]/t[[#This Row],[60]],"")</f>
        <v/>
      </c>
      <c r="BL24" s="191" t="e">
        <f ca="1">txAvgEmp</f>
        <v>#VALUE!</v>
      </c>
    </row>
    <row r="25" spans="2:64" ht="15" customHeight="1" x14ac:dyDescent="0.25">
      <c r="B25" s="37">
        <v>8</v>
      </c>
      <c r="C25" s="192" t="str">
        <f>txNm</f>
        <v>Velyurov Arkadiy</v>
      </c>
      <c r="D25" s="192" t="str">
        <f ca="1">OFFSET(txNm,,1)</f>
        <v>o'qituvchi</v>
      </c>
      <c r="E25" s="199">
        <f ca="1">OFFSET(txNm,,2)</f>
        <v>1</v>
      </c>
      <c r="F25" s="199" t="str">
        <f t="shared" ca="1" si="6"/>
        <v>BUDJET</v>
      </c>
      <c r="G25" s="185">
        <f ca="1">txCell</f>
        <v>6</v>
      </c>
      <c r="H25" s="185">
        <f ca="1">txCell</f>
        <v>6</v>
      </c>
      <c r="I25" s="185">
        <f ca="1">txCell</f>
        <v>6</v>
      </c>
      <c r="J25" s="185">
        <f ca="1">txCell</f>
        <v>6</v>
      </c>
      <c r="K25" s="185">
        <f ca="1">txCell</f>
        <v>6</v>
      </c>
      <c r="L25" s="185">
        <f ca="1">txCell</f>
        <v>6</v>
      </c>
      <c r="M25" s="185" t="str">
        <f ca="1">txCell</f>
        <v/>
      </c>
      <c r="N25" s="185" t="str">
        <f ca="1">txCell</f>
        <v>b</v>
      </c>
      <c r="O25" s="185">
        <f ca="1">txCell</f>
        <v>6</v>
      </c>
      <c r="P25" s="185">
        <f ca="1">txCell</f>
        <v>6</v>
      </c>
      <c r="Q25" s="185">
        <f ca="1">txCell</f>
        <v>6</v>
      </c>
      <c r="R25" s="185">
        <f ca="1">txCell</f>
        <v>6</v>
      </c>
      <c r="S25" s="185">
        <f ca="1">txCell</f>
        <v>6</v>
      </c>
      <c r="T25" s="185" t="str">
        <f ca="1">txCell</f>
        <v/>
      </c>
      <c r="U25" s="185">
        <f ca="1">txCell</f>
        <v>6</v>
      </c>
      <c r="V25" s="185">
        <f ca="1">txCell</f>
        <v>6</v>
      </c>
      <c r="W25" s="185">
        <f ca="1">txCell</f>
        <v>6</v>
      </c>
      <c r="X25" s="185">
        <f ca="1">txCell</f>
        <v>6</v>
      </c>
      <c r="Y25" s="185">
        <f ca="1">txCell</f>
        <v>6</v>
      </c>
      <c r="Z25" s="185">
        <f ca="1">txCell</f>
        <v>5</v>
      </c>
      <c r="AA25" s="185" t="str">
        <f ca="1">txCell</f>
        <v>b</v>
      </c>
      <c r="AB25" s="185">
        <f ca="1">txCell</f>
        <v>6</v>
      </c>
      <c r="AC25" s="185">
        <f ca="1">txCell</f>
        <v>6</v>
      </c>
      <c r="AD25" s="185">
        <f ca="1">txCell</f>
        <v>6</v>
      </c>
      <c r="AE25" s="185">
        <f ca="1">txCell</f>
        <v>6</v>
      </c>
      <c r="AF25" s="185">
        <f ca="1">txCell</f>
        <v>6</v>
      </c>
      <c r="AG25" s="185">
        <f ca="1">txCell</f>
        <v>6</v>
      </c>
      <c r="AH25" s="185" t="str">
        <f ca="1">txCell</f>
        <v/>
      </c>
      <c r="AI25" s="185">
        <f ca="1">txCell</f>
        <v>6</v>
      </c>
      <c r="AJ25" s="185">
        <f ca="1">txCell</f>
        <v>6</v>
      </c>
      <c r="AK25" s="185">
        <f ca="1">txCell</f>
        <v>6</v>
      </c>
      <c r="AL25" s="187">
        <f t="shared" ca="1" si="7"/>
        <v>0</v>
      </c>
      <c r="AM25" s="187">
        <f t="shared" ca="1" si="7"/>
        <v>0</v>
      </c>
      <c r="AN25" s="187">
        <f t="shared" ca="1" si="7"/>
        <v>0</v>
      </c>
      <c r="AO25" s="187">
        <f t="shared" ca="1" si="7"/>
        <v>0</v>
      </c>
      <c r="AP25" s="187">
        <f t="shared" ca="1" si="7"/>
        <v>0</v>
      </c>
      <c r="AQ25" s="187">
        <f t="shared" ca="1" si="7"/>
        <v>0</v>
      </c>
      <c r="AR25" s="187">
        <f t="shared" ca="1" si="7"/>
        <v>0</v>
      </c>
      <c r="AS25" s="187">
        <f t="shared" ca="1" si="7"/>
        <v>0</v>
      </c>
      <c r="AT25" s="187">
        <f t="shared" ca="1" si="8"/>
        <v>26</v>
      </c>
      <c r="AU25" s="188">
        <f t="shared" ca="1" si="9"/>
        <v>155</v>
      </c>
      <c r="AV25" s="187">
        <f ca="1">txDsMY</f>
        <v>26</v>
      </c>
      <c r="AW25" s="188">
        <f t="shared" ca="1" si="10"/>
        <v>449</v>
      </c>
      <c r="AX25" s="193"/>
      <c r="AY25" s="188">
        <f t="shared" ca="1" si="11"/>
        <v>0</v>
      </c>
      <c r="AZ25" s="187">
        <f t="shared" ca="1" si="11"/>
        <v>0</v>
      </c>
      <c r="BA25" s="187">
        <f t="shared" ca="1" si="11"/>
        <v>0</v>
      </c>
      <c r="BB25" s="187">
        <f t="shared" ca="1" si="11"/>
        <v>0</v>
      </c>
      <c r="BC25" s="188">
        <f t="shared" ca="1" si="11"/>
        <v>0</v>
      </c>
      <c r="BD25" s="188">
        <f t="shared" ca="1" si="11"/>
        <v>0</v>
      </c>
      <c r="BE25" s="188">
        <f t="shared" ca="1" si="11"/>
        <v>0</v>
      </c>
      <c r="BF25" s="188">
        <f t="shared" ca="1" si="11"/>
        <v>0</v>
      </c>
      <c r="BG25" s="187">
        <f ca="1">txDsMY-t_LvD</f>
        <v>75</v>
      </c>
      <c r="BH25" s="188">
        <f t="shared" ca="1" si="12"/>
        <v>449</v>
      </c>
      <c r="BI25" s="187">
        <f ca="1">txDsMY</f>
        <v>75</v>
      </c>
      <c r="BJ25" s="188">
        <f t="shared" ca="1" si="13"/>
        <v>449</v>
      </c>
      <c r="BK25" s="194">
        <f ca="1">IFERROR(t[[#This Row],[58]]/t[[#This Row],[60]],"")</f>
        <v>1</v>
      </c>
      <c r="BL25" s="191">
        <f ca="1">txAvgEmp</f>
        <v>1</v>
      </c>
    </row>
    <row r="26" spans="2:64" ht="15" customHeight="1" x14ac:dyDescent="0.25">
      <c r="B26" s="37">
        <v>9</v>
      </c>
      <c r="C26" s="192" t="str">
        <f>txNm</f>
        <v>Soatvoev Soatvoy</v>
      </c>
      <c r="D26" s="192" t="str">
        <f ca="1">OFFSET(txNm,,1)</f>
        <v>o'qituvchi</v>
      </c>
      <c r="E26" s="199">
        <f ca="1">OFFSET(txNm,,2)</f>
        <v>1</v>
      </c>
      <c r="F26" s="199" t="str">
        <f t="shared" ca="1" si="6"/>
        <v>BUDJET</v>
      </c>
      <c r="G26" s="185">
        <f ca="1">txCell</f>
        <v>6</v>
      </c>
      <c r="H26" s="185">
        <f ca="1">txCell</f>
        <v>6</v>
      </c>
      <c r="I26" s="185">
        <f ca="1">txCell</f>
        <v>6</v>
      </c>
      <c r="J26" s="185">
        <f ca="1">txCell</f>
        <v>6</v>
      </c>
      <c r="K26" s="185">
        <f ca="1">txCell</f>
        <v>6</v>
      </c>
      <c r="L26" s="185">
        <f ca="1">txCell</f>
        <v>6</v>
      </c>
      <c r="M26" s="185" t="str">
        <f ca="1">txCell</f>
        <v/>
      </c>
      <c r="N26" s="185" t="str">
        <f ca="1">txCell</f>
        <v>b</v>
      </c>
      <c r="O26" s="185">
        <f ca="1">txCell</f>
        <v>6</v>
      </c>
      <c r="P26" s="185">
        <f ca="1">txCell</f>
        <v>6</v>
      </c>
      <c r="Q26" s="185">
        <f ca="1">txCell</f>
        <v>6</v>
      </c>
      <c r="R26" s="185">
        <f ca="1">txCell</f>
        <v>6</v>
      </c>
      <c r="S26" s="185">
        <f ca="1">txCell</f>
        <v>6</v>
      </c>
      <c r="T26" s="185" t="str">
        <f ca="1">txCell</f>
        <v/>
      </c>
      <c r="U26" s="185">
        <f ca="1">txCell</f>
        <v>6</v>
      </c>
      <c r="V26" s="185">
        <f ca="1">txCell</f>
        <v>6</v>
      </c>
      <c r="W26" s="185">
        <f ca="1">txCell</f>
        <v>6</v>
      </c>
      <c r="X26" s="185">
        <f ca="1">txCell</f>
        <v>6</v>
      </c>
      <c r="Y26" s="185">
        <f ca="1">txCell</f>
        <v>6</v>
      </c>
      <c r="Z26" s="185">
        <f ca="1">txCell</f>
        <v>5</v>
      </c>
      <c r="AA26" s="185" t="str">
        <f ca="1">txCell</f>
        <v>b</v>
      </c>
      <c r="AB26" s="185">
        <f ca="1">txCell</f>
        <v>6</v>
      </c>
      <c r="AC26" s="185">
        <f ca="1">txCell</f>
        <v>6</v>
      </c>
      <c r="AD26" s="185">
        <f ca="1">txCell</f>
        <v>6</v>
      </c>
      <c r="AE26" s="185">
        <f ca="1">txCell</f>
        <v>6</v>
      </c>
      <c r="AF26" s="185">
        <f ca="1">txCell</f>
        <v>6</v>
      </c>
      <c r="AG26" s="185">
        <f ca="1">txCell</f>
        <v>6</v>
      </c>
      <c r="AH26" s="185" t="str">
        <f ca="1">txCell</f>
        <v/>
      </c>
      <c r="AI26" s="185">
        <f ca="1">txCell</f>
        <v>6</v>
      </c>
      <c r="AJ26" s="185">
        <f ca="1">txCell</f>
        <v>6</v>
      </c>
      <c r="AK26" s="185">
        <f ca="1">txCell</f>
        <v>6</v>
      </c>
      <c r="AL26" s="187">
        <f t="shared" ref="AL26:AS26" ca="1" si="14">txLvM</f>
        <v>0</v>
      </c>
      <c r="AM26" s="187">
        <f t="shared" ca="1" si="14"/>
        <v>0</v>
      </c>
      <c r="AN26" s="187">
        <f t="shared" ca="1" si="14"/>
        <v>0</v>
      </c>
      <c r="AO26" s="187">
        <f t="shared" ca="1" si="14"/>
        <v>0</v>
      </c>
      <c r="AP26" s="187">
        <f t="shared" ca="1" si="14"/>
        <v>0</v>
      </c>
      <c r="AQ26" s="187">
        <f t="shared" ca="1" si="14"/>
        <v>0</v>
      </c>
      <c r="AR26" s="187">
        <f t="shared" ca="1" si="14"/>
        <v>0</v>
      </c>
      <c r="AS26" s="187">
        <f t="shared" ca="1" si="14"/>
        <v>0</v>
      </c>
      <c r="AT26" s="187">
        <f ca="1">txDsM</f>
        <v>26</v>
      </c>
      <c r="AU26" s="188">
        <f ca="1">txHsM</f>
        <v>155</v>
      </c>
      <c r="AV26" s="187">
        <f ca="1">txDsMY</f>
        <v>26</v>
      </c>
      <c r="AW26" s="188">
        <f t="shared" ca="1" si="10"/>
        <v>449</v>
      </c>
      <c r="AX26" s="193"/>
      <c r="AY26" s="188">
        <f t="shared" ref="AY26:BF26" si="15">txLvY</f>
        <v>0</v>
      </c>
      <c r="AZ26" s="187">
        <f t="shared" si="15"/>
        <v>0</v>
      </c>
      <c r="BA26" s="187">
        <f t="shared" si="15"/>
        <v>0</v>
      </c>
      <c r="BB26" s="187">
        <f t="shared" si="15"/>
        <v>0</v>
      </c>
      <c r="BC26" s="188">
        <f t="shared" si="15"/>
        <v>0</v>
      </c>
      <c r="BD26" s="188">
        <f t="shared" si="15"/>
        <v>0</v>
      </c>
      <c r="BE26" s="188">
        <f t="shared" si="15"/>
        <v>0</v>
      </c>
      <c r="BF26" s="188">
        <f t="shared" si="15"/>
        <v>0</v>
      </c>
      <c r="BG26" s="187">
        <f ca="1">txDsMY-t_LvD</f>
        <v>75</v>
      </c>
      <c r="BH26" s="188">
        <f t="shared" ca="1" si="12"/>
        <v>449</v>
      </c>
      <c r="BI26" s="187">
        <f ca="1">txDsMY</f>
        <v>75</v>
      </c>
      <c r="BJ26" s="188">
        <f t="shared" ca="1" si="13"/>
        <v>449</v>
      </c>
      <c r="BK26" s="194">
        <f ca="1">IFERROR(t[[#This Row],[58]]/t[[#This Row],[60]],"")</f>
        <v>1</v>
      </c>
      <c r="BL26" s="191">
        <f ca="1">txAvgEmp</f>
        <v>1</v>
      </c>
    </row>
    <row r="27" spans="2:64" ht="15" hidden="1" customHeight="1" x14ac:dyDescent="0.25">
      <c r="B27" s="211">
        <f>+Xodim!B17</f>
        <v>10</v>
      </c>
      <c r="C27" s="192" t="str">
        <f>txNm</f>
        <v>Boltayev Botir</v>
      </c>
      <c r="D27" s="212" t="str">
        <f ca="1">OFFSET(txNm,,1)</f>
        <v>o'qituvchi</v>
      </c>
      <c r="E27" s="220">
        <f ca="1">OFFSET(txNm,,2)</f>
        <v>1</v>
      </c>
      <c r="F27" s="213" t="str">
        <f t="shared" ca="1" si="6"/>
        <v>KONTRAKT</v>
      </c>
      <c r="G27" s="214">
        <f ca="1">txCell</f>
        <v>6</v>
      </c>
      <c r="H27" s="214">
        <f ca="1">txCell</f>
        <v>6</v>
      </c>
      <c r="I27" s="214">
        <f ca="1">txCell</f>
        <v>6</v>
      </c>
      <c r="J27" s="214">
        <f ca="1">txCell</f>
        <v>6</v>
      </c>
      <c r="K27" s="214">
        <f ca="1">txCell</f>
        <v>6</v>
      </c>
      <c r="L27" s="214">
        <f ca="1">txCell</f>
        <v>6</v>
      </c>
      <c r="M27" s="214" t="str">
        <f ca="1">txCell</f>
        <v/>
      </c>
      <c r="N27" s="214" t="str">
        <f ca="1">txCell</f>
        <v>b</v>
      </c>
      <c r="O27" s="214">
        <f ca="1">txCell</f>
        <v>6</v>
      </c>
      <c r="P27" s="214">
        <f ca="1">txCell</f>
        <v>6</v>
      </c>
      <c r="Q27" s="214">
        <f ca="1">txCell</f>
        <v>6</v>
      </c>
      <c r="R27" s="214">
        <f ca="1">txCell</f>
        <v>6</v>
      </c>
      <c r="S27" s="214">
        <f ca="1">txCell</f>
        <v>6</v>
      </c>
      <c r="T27" s="214" t="str">
        <f ca="1">txCell</f>
        <v/>
      </c>
      <c r="U27" s="214">
        <f ca="1">txCell</f>
        <v>6</v>
      </c>
      <c r="V27" s="214">
        <f ca="1">txCell</f>
        <v>6</v>
      </c>
      <c r="W27" s="214">
        <f ca="1">txCell</f>
        <v>6</v>
      </c>
      <c r="X27" s="214">
        <f ca="1">txCell</f>
        <v>6</v>
      </c>
      <c r="Y27" s="214">
        <f ca="1">txCell</f>
        <v>6</v>
      </c>
      <c r="Z27" s="214">
        <f ca="1">txCell</f>
        <v>5</v>
      </c>
      <c r="AA27" s="214" t="str">
        <f ca="1">txCell</f>
        <v>b</v>
      </c>
      <c r="AB27" s="214">
        <f ca="1">txCell</f>
        <v>6</v>
      </c>
      <c r="AC27" s="214">
        <f ca="1">txCell</f>
        <v>6</v>
      </c>
      <c r="AD27" s="214">
        <f ca="1">txCell</f>
        <v>6</v>
      </c>
      <c r="AE27" s="214">
        <f ca="1">txCell</f>
        <v>6</v>
      </c>
      <c r="AF27" s="214">
        <f ca="1">txCell</f>
        <v>6</v>
      </c>
      <c r="AG27" s="214">
        <f ca="1">txCell</f>
        <v>6</v>
      </c>
      <c r="AH27" s="214" t="str">
        <f ca="1">txCell</f>
        <v/>
      </c>
      <c r="AI27" s="214">
        <f ca="1">txCell</f>
        <v>6</v>
      </c>
      <c r="AJ27" s="214">
        <f ca="1">txCell</f>
        <v>6</v>
      </c>
      <c r="AK27" s="214">
        <f ca="1">txCell</f>
        <v>6</v>
      </c>
      <c r="AL27" s="215">
        <f t="shared" ref="AL27:AS27" ca="1" si="16">txLvM</f>
        <v>0</v>
      </c>
      <c r="AM27" s="215">
        <f t="shared" ca="1" si="16"/>
        <v>0</v>
      </c>
      <c r="AN27" s="215">
        <f t="shared" ca="1" si="16"/>
        <v>0</v>
      </c>
      <c r="AO27" s="215">
        <f t="shared" ca="1" si="16"/>
        <v>0</v>
      </c>
      <c r="AP27" s="215">
        <f t="shared" ca="1" si="16"/>
        <v>0</v>
      </c>
      <c r="AQ27" s="215">
        <f t="shared" ca="1" si="16"/>
        <v>0</v>
      </c>
      <c r="AR27" s="215">
        <f t="shared" ca="1" si="16"/>
        <v>0</v>
      </c>
      <c r="AS27" s="215">
        <f t="shared" ca="1" si="16"/>
        <v>0</v>
      </c>
      <c r="AT27" s="215">
        <f ca="1">txDsM</f>
        <v>26</v>
      </c>
      <c r="AU27" s="216">
        <f ca="1">txHsM</f>
        <v>155</v>
      </c>
      <c r="AV27" s="215">
        <f ca="1">txDsMY</f>
        <v>26</v>
      </c>
      <c r="AW27" s="216">
        <f ca="1">txHsMY</f>
        <v>449</v>
      </c>
      <c r="AX27" s="217"/>
      <c r="AY27" s="216">
        <f t="shared" ref="AY27:BF27" si="17">txLvY</f>
        <v>0</v>
      </c>
      <c r="AZ27" s="215">
        <f t="shared" si="17"/>
        <v>0</v>
      </c>
      <c r="BA27" s="215">
        <f t="shared" si="17"/>
        <v>0</v>
      </c>
      <c r="BB27" s="215">
        <f t="shared" si="17"/>
        <v>0</v>
      </c>
      <c r="BC27" s="216">
        <f t="shared" si="17"/>
        <v>0</v>
      </c>
      <c r="BD27" s="216">
        <f t="shared" si="17"/>
        <v>0</v>
      </c>
      <c r="BE27" s="216">
        <f t="shared" si="17"/>
        <v>0</v>
      </c>
      <c r="BF27" s="216">
        <f t="shared" si="17"/>
        <v>0</v>
      </c>
      <c r="BG27" s="215">
        <f ca="1">txDsMY-t_LvD</f>
        <v>75</v>
      </c>
      <c r="BH27" s="216">
        <f ca="1">txHsMY-t_LvH</f>
        <v>449</v>
      </c>
      <c r="BI27" s="215">
        <f ca="1">txDsMY</f>
        <v>75</v>
      </c>
      <c r="BJ27" s="216">
        <f ca="1">txHsMY</f>
        <v>449</v>
      </c>
      <c r="BK27" s="218">
        <f ca="1">IFERROR(t[[#This Row],[58]]/t[[#This Row],[60]],"")</f>
        <v>1</v>
      </c>
      <c r="BL27" s="219">
        <f ca="1">txAvgEmp</f>
        <v>1</v>
      </c>
    </row>
    <row r="28" spans="2:64" ht="15" customHeight="1" x14ac:dyDescent="0.25">
      <c r="AL28" s="188"/>
      <c r="AM28" s="188"/>
      <c r="AN28" s="188"/>
      <c r="AO28" s="188"/>
      <c r="AP28" s="188"/>
      <c r="AQ28" s="188"/>
      <c r="AR28" s="188"/>
      <c r="AS28" s="188"/>
      <c r="AT28" s="196"/>
      <c r="AU28" s="188"/>
      <c r="AV28" s="188"/>
      <c r="AW28" s="196"/>
      <c r="AX28" s="197"/>
      <c r="BD28" s="196"/>
      <c r="BE28" s="196"/>
      <c r="BF28" s="196"/>
    </row>
    <row r="29" spans="2:64" ht="15" customHeight="1" x14ac:dyDescent="0.25">
      <c r="AL29" s="188"/>
      <c r="AM29" s="188"/>
      <c r="AN29" s="188"/>
      <c r="AO29" s="188"/>
      <c r="AP29" s="188"/>
      <c r="AQ29" s="188"/>
      <c r="AR29" s="188"/>
      <c r="AS29" s="188"/>
      <c r="AT29" s="196"/>
      <c r="AV29" s="188"/>
      <c r="AW29" s="196"/>
      <c r="AX29" s="197"/>
      <c r="BD29" s="196"/>
      <c r="BE29" s="196"/>
      <c r="BF29" s="196"/>
    </row>
    <row r="30" spans="2:64" ht="15" customHeight="1" x14ac:dyDescent="0.25">
      <c r="C30" s="182" t="s">
        <v>228</v>
      </c>
      <c r="D30" s="221"/>
      <c r="E30" s="230"/>
      <c r="F30" s="230"/>
      <c r="G30" s="231"/>
      <c r="H30" s="231"/>
      <c r="I30" s="232"/>
      <c r="K30" s="221" t="s">
        <v>227</v>
      </c>
      <c r="L30" s="222"/>
      <c r="O30" s="255"/>
      <c r="P30" s="256"/>
      <c r="Q30" s="256"/>
      <c r="R30" s="256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L30" s="188"/>
      <c r="AM30" s="188"/>
      <c r="AN30" s="188"/>
      <c r="AO30" s="188"/>
      <c r="AP30" s="188"/>
      <c r="AQ30" s="188"/>
      <c r="AR30" s="188"/>
      <c r="AS30" s="188"/>
      <c r="AT30" s="196"/>
      <c r="AU30" s="188"/>
      <c r="AV30" s="188"/>
      <c r="AW30" s="196"/>
      <c r="AX30" s="197"/>
      <c r="BD30" s="196"/>
      <c r="BE30" s="196"/>
      <c r="BF30" s="196"/>
    </row>
    <row r="31" spans="2:64" ht="15" customHeight="1" x14ac:dyDescent="0.25">
      <c r="C31" s="182"/>
      <c r="D31" s="221"/>
      <c r="E31" s="221"/>
      <c r="F31" s="221"/>
      <c r="G31" s="140"/>
      <c r="H31" s="140"/>
      <c r="I31" s="222"/>
      <c r="K31" s="221"/>
      <c r="L31" s="222"/>
      <c r="O31" s="255"/>
      <c r="P31" s="256"/>
      <c r="Q31" s="256"/>
      <c r="R31" s="256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L31" s="188"/>
      <c r="AM31" s="188"/>
      <c r="AN31" s="188"/>
      <c r="AO31" s="188"/>
      <c r="AP31" s="188"/>
      <c r="AQ31" s="188"/>
      <c r="AR31" s="188"/>
      <c r="AS31" s="188"/>
      <c r="AT31" s="196"/>
      <c r="AU31" s="188"/>
      <c r="AV31" s="188"/>
      <c r="AW31" s="196"/>
      <c r="AX31" s="197"/>
      <c r="BD31" s="196"/>
      <c r="BE31" s="196"/>
      <c r="BF31" s="196"/>
    </row>
    <row r="32" spans="2:64" ht="15" customHeight="1" x14ac:dyDescent="0.25">
      <c r="C32" s="182" t="s">
        <v>229</v>
      </c>
      <c r="D32" s="221"/>
      <c r="E32" s="230"/>
      <c r="F32" s="230"/>
      <c r="G32" s="231"/>
      <c r="H32" s="231"/>
      <c r="I32" s="232"/>
      <c r="K32" s="221" t="s">
        <v>230</v>
      </c>
      <c r="L32" s="222"/>
      <c r="O32" s="255"/>
      <c r="P32" s="256"/>
      <c r="Q32" s="255"/>
      <c r="R32" s="256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L32" s="188"/>
      <c r="AM32" s="188"/>
      <c r="AN32" s="188"/>
      <c r="AO32" s="188"/>
      <c r="AP32" s="188"/>
      <c r="AQ32" s="188"/>
      <c r="AR32" s="188"/>
      <c r="AS32" s="188"/>
      <c r="AT32" s="196"/>
      <c r="AU32" s="188"/>
      <c r="AV32" s="188"/>
      <c r="AW32" s="196"/>
      <c r="AX32" s="197"/>
      <c r="BD32" s="196"/>
      <c r="BE32" s="196"/>
      <c r="BF32" s="196"/>
    </row>
    <row r="33" spans="3:58" ht="15" customHeight="1" x14ac:dyDescent="0.25">
      <c r="C33" s="182"/>
      <c r="D33" s="221"/>
      <c r="E33" s="221"/>
      <c r="F33" s="221"/>
      <c r="G33" s="140"/>
      <c r="H33" s="140"/>
      <c r="I33" s="222"/>
      <c r="J33" s="204"/>
      <c r="K33" s="221"/>
      <c r="L33" s="222"/>
      <c r="O33" s="255"/>
      <c r="P33" s="256"/>
      <c r="Q33" s="256"/>
      <c r="R33" s="256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L33" s="188"/>
      <c r="AM33" s="188"/>
      <c r="AN33" s="188"/>
      <c r="AO33" s="188"/>
      <c r="AP33" s="188"/>
      <c r="AQ33" s="188"/>
      <c r="AR33" s="188"/>
      <c r="AS33" s="188"/>
      <c r="AT33" s="196"/>
      <c r="AU33" s="188"/>
      <c r="AV33" s="188"/>
      <c r="AW33" s="196"/>
      <c r="AX33" s="197"/>
      <c r="BD33" s="196"/>
      <c r="BE33" s="196"/>
      <c r="BF33" s="196"/>
    </row>
    <row r="34" spans="3:58" ht="15" customHeight="1" x14ac:dyDescent="0.25">
      <c r="C34" s="182" t="s">
        <v>231</v>
      </c>
      <c r="D34" s="221"/>
      <c r="E34" s="230"/>
      <c r="F34" s="230"/>
      <c r="G34" s="231"/>
      <c r="H34" s="231"/>
      <c r="I34" s="232"/>
      <c r="K34" s="221" t="s">
        <v>232</v>
      </c>
      <c r="L34" s="222"/>
      <c r="O34" s="256"/>
      <c r="P34" s="256"/>
      <c r="Q34" s="256"/>
      <c r="R34" s="256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L34" s="188"/>
      <c r="AM34" s="188"/>
      <c r="AN34" s="188"/>
      <c r="AO34" s="188"/>
      <c r="AP34" s="188"/>
      <c r="AQ34" s="188"/>
      <c r="AR34" s="188"/>
      <c r="AS34" s="188"/>
      <c r="AT34" s="196"/>
      <c r="AU34" s="188"/>
      <c r="AV34" s="188"/>
      <c r="AW34" s="196"/>
      <c r="AX34" s="197"/>
      <c r="BD34" s="196"/>
      <c r="BE34" s="196"/>
      <c r="BF34" s="196"/>
    </row>
    <row r="35" spans="3:58" ht="15" customHeight="1" x14ac:dyDescent="0.25">
      <c r="C35" s="182"/>
      <c r="D35" s="221"/>
      <c r="E35" s="221"/>
      <c r="F35" s="221"/>
      <c r="G35" s="140"/>
      <c r="H35" s="140"/>
      <c r="I35" s="222"/>
      <c r="K35" s="221"/>
      <c r="L35" s="222"/>
      <c r="O35" s="249" t="s">
        <v>244</v>
      </c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L35" s="188"/>
      <c r="AM35" s="188"/>
      <c r="AN35" s="188"/>
      <c r="AO35" s="188"/>
      <c r="AP35" s="188"/>
      <c r="AQ35" s="188"/>
      <c r="AR35" s="188"/>
      <c r="AS35" s="188"/>
      <c r="AT35" s="196"/>
      <c r="AU35" s="188"/>
      <c r="AV35" s="188"/>
      <c r="AW35" s="196"/>
      <c r="AX35" s="196"/>
      <c r="BD35" s="196"/>
      <c r="BE35" s="196"/>
      <c r="BF35" s="196"/>
    </row>
    <row r="36" spans="3:58" ht="15" customHeight="1" x14ac:dyDescent="0.25">
      <c r="C36" s="182" t="s">
        <v>233</v>
      </c>
      <c r="D36" s="221"/>
      <c r="E36" s="230"/>
      <c r="F36" s="230"/>
      <c r="G36" s="231"/>
      <c r="H36" s="231"/>
      <c r="I36" s="232"/>
      <c r="K36" s="221" t="s">
        <v>234</v>
      </c>
      <c r="L36" s="222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L36" s="188"/>
      <c r="AM36" s="188"/>
      <c r="AN36" s="188"/>
      <c r="AO36" s="188"/>
      <c r="AP36" s="188"/>
      <c r="AQ36" s="188"/>
      <c r="AR36" s="188"/>
      <c r="AS36" s="188"/>
      <c r="AT36" s="196"/>
      <c r="AU36" s="188"/>
      <c r="AV36" s="188"/>
      <c r="AW36" s="196"/>
      <c r="AX36" s="196"/>
      <c r="BD36" s="196"/>
      <c r="BE36" s="196"/>
      <c r="BF36" s="196"/>
    </row>
    <row r="37" spans="3:58" ht="15" customHeight="1" x14ac:dyDescent="0.25">
      <c r="C37" s="182"/>
      <c r="D37" s="221"/>
      <c r="E37" s="221"/>
      <c r="F37" s="221"/>
      <c r="G37" s="140"/>
      <c r="H37" s="140"/>
      <c r="I37" s="222"/>
      <c r="K37" s="221"/>
      <c r="L37" s="222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L37" s="188"/>
      <c r="AM37" s="188"/>
      <c r="AN37" s="188"/>
      <c r="AO37" s="188"/>
      <c r="AP37" s="188"/>
      <c r="AQ37" s="188"/>
      <c r="AR37" s="188"/>
      <c r="AS37" s="188"/>
      <c r="AT37" s="196"/>
      <c r="AU37" s="188"/>
      <c r="AV37" s="188"/>
      <c r="AW37" s="196"/>
      <c r="AX37" s="196"/>
      <c r="BD37" s="196"/>
      <c r="BE37" s="196"/>
      <c r="BF37" s="196"/>
    </row>
    <row r="38" spans="3:58" ht="15" customHeight="1" x14ac:dyDescent="0.25">
      <c r="C38" s="182" t="s">
        <v>235</v>
      </c>
      <c r="D38" s="221"/>
      <c r="E38" s="230"/>
      <c r="F38" s="230"/>
      <c r="G38" s="231"/>
      <c r="H38" s="231"/>
      <c r="I38" s="232"/>
      <c r="K38" s="221" t="s">
        <v>236</v>
      </c>
      <c r="L38" s="222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L38" s="188"/>
      <c r="AM38" s="188"/>
      <c r="AN38" s="188"/>
      <c r="AO38" s="188"/>
      <c r="AP38" s="188"/>
      <c r="AQ38" s="188"/>
      <c r="AR38" s="188"/>
      <c r="AS38" s="188"/>
      <c r="AT38" s="196"/>
      <c r="AU38" s="188"/>
      <c r="AV38" s="188"/>
      <c r="AW38" s="196"/>
      <c r="AX38" s="196"/>
      <c r="BD38" s="196"/>
      <c r="BE38" s="196"/>
      <c r="BF38" s="196"/>
    </row>
    <row r="39" spans="3:58" ht="15" customHeight="1" x14ac:dyDescent="0.25"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L39" s="188"/>
      <c r="AM39" s="188"/>
      <c r="AN39" s="188"/>
      <c r="AO39" s="188"/>
      <c r="AP39" s="188"/>
      <c r="AQ39" s="188"/>
      <c r="AR39" s="188"/>
      <c r="AS39" s="188"/>
      <c r="AT39" s="196"/>
      <c r="AU39" s="188"/>
      <c r="AV39" s="188"/>
      <c r="AW39" s="196"/>
      <c r="AX39" s="196"/>
      <c r="BD39" s="196"/>
      <c r="BE39" s="196"/>
      <c r="BF39" s="196"/>
    </row>
    <row r="40" spans="3:58" ht="15" customHeight="1" x14ac:dyDescent="0.25">
      <c r="AL40" s="188"/>
      <c r="AM40" s="188"/>
      <c r="AN40" s="188"/>
      <c r="AO40" s="188"/>
      <c r="AP40" s="188"/>
      <c r="AQ40" s="188"/>
      <c r="AR40" s="188"/>
      <c r="AS40" s="188"/>
      <c r="AT40" s="196"/>
      <c r="AU40" s="188"/>
      <c r="AV40" s="188"/>
      <c r="AW40" s="196"/>
      <c r="AX40" s="196"/>
      <c r="BD40" s="196"/>
      <c r="BE40" s="196"/>
      <c r="BF40" s="196"/>
    </row>
    <row r="41" spans="3:58" ht="15" customHeight="1" x14ac:dyDescent="0.25">
      <c r="AL41" s="188"/>
      <c r="AM41" s="188"/>
      <c r="AN41" s="188"/>
      <c r="AO41" s="188"/>
      <c r="AP41" s="188"/>
      <c r="AQ41" s="188"/>
      <c r="AR41" s="188"/>
      <c r="AS41" s="188"/>
      <c r="AT41" s="196"/>
      <c r="AU41" s="188"/>
      <c r="AV41" s="188"/>
      <c r="AW41" s="196"/>
      <c r="AX41" s="196"/>
      <c r="BD41" s="196"/>
      <c r="BE41" s="196"/>
      <c r="BF41" s="196"/>
    </row>
    <row r="42" spans="3:58" ht="15" customHeight="1" x14ac:dyDescent="0.25">
      <c r="AL42" s="188"/>
      <c r="AM42" s="188"/>
      <c r="AN42" s="188"/>
      <c r="AO42" s="188"/>
      <c r="AP42" s="188"/>
      <c r="AQ42" s="188"/>
      <c r="AR42" s="188"/>
      <c r="AS42" s="188"/>
      <c r="AT42" s="196"/>
      <c r="AU42" s="188"/>
      <c r="AV42" s="188"/>
      <c r="AW42" s="196"/>
      <c r="AX42" s="196"/>
      <c r="BD42" s="196"/>
      <c r="BE42" s="196"/>
      <c r="BF42" s="196"/>
    </row>
    <row r="43" spans="3:58" ht="15" customHeight="1" x14ac:dyDescent="0.25">
      <c r="AL43" s="188"/>
      <c r="AM43" s="188"/>
      <c r="AN43" s="188"/>
      <c r="AO43" s="188"/>
      <c r="AP43" s="188"/>
      <c r="AQ43" s="188"/>
      <c r="AR43" s="188"/>
      <c r="AS43" s="188"/>
      <c r="AT43" s="196"/>
      <c r="AU43" s="188"/>
      <c r="AV43" s="188"/>
      <c r="AW43" s="196"/>
      <c r="AX43" s="196"/>
      <c r="BD43" s="196"/>
      <c r="BE43" s="196"/>
      <c r="BF43" s="196"/>
    </row>
    <row r="44" spans="3:58" ht="15" customHeight="1" x14ac:dyDescent="0.25">
      <c r="AL44" s="188"/>
      <c r="AM44" s="188"/>
      <c r="AN44" s="188"/>
      <c r="AO44" s="188"/>
      <c r="AP44" s="188"/>
      <c r="AQ44" s="188"/>
      <c r="AR44" s="188"/>
      <c r="AS44" s="188"/>
      <c r="AT44" s="196"/>
      <c r="AU44" s="188"/>
      <c r="AV44" s="188"/>
      <c r="AW44" s="196"/>
      <c r="AX44" s="196"/>
      <c r="BD44" s="196"/>
      <c r="BE44" s="196"/>
      <c r="BF44" s="196"/>
    </row>
    <row r="45" spans="3:58" ht="15" customHeight="1" x14ac:dyDescent="0.25">
      <c r="AL45" s="188"/>
      <c r="AM45" s="188"/>
      <c r="AN45" s="188"/>
      <c r="AO45" s="188"/>
      <c r="AP45" s="188"/>
      <c r="AQ45" s="188"/>
      <c r="AR45" s="188"/>
      <c r="AS45" s="188"/>
      <c r="AT45" s="196"/>
      <c r="AU45" s="188"/>
      <c r="AV45" s="188"/>
      <c r="AW45" s="196"/>
      <c r="AX45" s="196"/>
      <c r="BD45" s="196"/>
      <c r="BE45" s="196"/>
      <c r="BF45" s="196"/>
    </row>
    <row r="46" spans="3:58" ht="15" customHeight="1" x14ac:dyDescent="0.25">
      <c r="AL46" s="188"/>
      <c r="AM46" s="188"/>
      <c r="AN46" s="188"/>
      <c r="AO46" s="188"/>
      <c r="AP46" s="188"/>
      <c r="AQ46" s="188"/>
      <c r="AR46" s="188"/>
      <c r="AS46" s="188"/>
      <c r="AT46" s="196"/>
      <c r="AU46" s="188"/>
      <c r="AV46" s="188"/>
      <c r="AW46" s="196"/>
      <c r="AX46" s="196"/>
      <c r="BD46" s="196"/>
      <c r="BE46" s="196"/>
      <c r="BF46" s="196"/>
    </row>
    <row r="47" spans="3:58" ht="15" customHeight="1" x14ac:dyDescent="0.25">
      <c r="AL47" s="188"/>
      <c r="AM47" s="188"/>
      <c r="AN47" s="188"/>
      <c r="AO47" s="188"/>
      <c r="AP47" s="188"/>
      <c r="AQ47" s="188"/>
      <c r="AR47" s="188"/>
      <c r="AS47" s="188"/>
      <c r="AT47" s="196"/>
      <c r="AU47" s="188"/>
      <c r="AV47" s="188"/>
      <c r="AW47" s="196"/>
      <c r="AX47" s="196"/>
      <c r="BD47" s="196"/>
      <c r="BE47" s="196"/>
      <c r="BF47" s="196"/>
    </row>
    <row r="48" spans="3:58" ht="15" customHeight="1" x14ac:dyDescent="0.25">
      <c r="AL48" s="188"/>
      <c r="AM48" s="188"/>
      <c r="AN48" s="188"/>
      <c r="AO48" s="188"/>
      <c r="AP48" s="188"/>
      <c r="AQ48" s="188"/>
      <c r="AR48" s="188"/>
      <c r="AS48" s="188"/>
      <c r="AT48" s="196"/>
      <c r="AU48" s="188"/>
      <c r="AV48" s="188"/>
      <c r="AW48" s="196"/>
      <c r="AX48" s="196"/>
      <c r="BD48" s="196"/>
      <c r="BE48" s="196"/>
      <c r="BF48" s="196"/>
    </row>
    <row r="49" spans="38:58" ht="15" customHeight="1" x14ac:dyDescent="0.25">
      <c r="AL49" s="188"/>
      <c r="AM49" s="188"/>
      <c r="AN49" s="188"/>
      <c r="AO49" s="188"/>
      <c r="AP49" s="188"/>
      <c r="AQ49" s="188"/>
      <c r="AR49" s="188"/>
      <c r="AS49" s="188"/>
      <c r="AT49" s="196"/>
      <c r="AU49" s="188"/>
      <c r="AV49" s="188"/>
      <c r="AW49" s="196"/>
      <c r="AX49" s="196"/>
      <c r="BD49" s="196"/>
      <c r="BE49" s="196"/>
      <c r="BF49" s="196"/>
    </row>
    <row r="50" spans="38:58" ht="15" customHeight="1" x14ac:dyDescent="0.25">
      <c r="AL50" s="188"/>
      <c r="AM50" s="188"/>
      <c r="AN50" s="188"/>
      <c r="AO50" s="188"/>
      <c r="AP50" s="188"/>
      <c r="AQ50" s="188"/>
      <c r="AR50" s="188"/>
      <c r="AS50" s="188"/>
      <c r="AT50" s="196"/>
      <c r="AU50" s="188"/>
      <c r="AV50" s="188"/>
      <c r="AW50" s="196"/>
      <c r="AX50" s="196"/>
      <c r="BD50" s="196"/>
      <c r="BE50" s="196"/>
      <c r="BF50" s="196"/>
    </row>
    <row r="51" spans="38:58" ht="15" customHeight="1" x14ac:dyDescent="0.25">
      <c r="AL51" s="188"/>
      <c r="AM51" s="188"/>
      <c r="AN51" s="188"/>
      <c r="AO51" s="188"/>
      <c r="AP51" s="188"/>
      <c r="AQ51" s="188"/>
      <c r="AR51" s="188"/>
      <c r="AS51" s="188"/>
      <c r="AT51" s="196"/>
      <c r="AU51" s="188"/>
      <c r="AV51" s="188"/>
      <c r="AW51" s="196"/>
      <c r="AX51" s="196"/>
      <c r="BD51" s="196"/>
      <c r="BE51" s="196"/>
      <c r="BF51" s="196"/>
    </row>
    <row r="52" spans="38:58" ht="15" customHeight="1" x14ac:dyDescent="0.25">
      <c r="AL52" s="188"/>
      <c r="AM52" s="188"/>
      <c r="AN52" s="188"/>
      <c r="AO52" s="188"/>
      <c r="AP52" s="188"/>
      <c r="AQ52" s="188"/>
      <c r="AR52" s="188"/>
      <c r="AS52" s="188"/>
      <c r="AT52" s="196"/>
      <c r="AU52" s="188"/>
      <c r="AV52" s="188"/>
      <c r="AW52" s="196"/>
      <c r="AX52" s="196"/>
      <c r="BD52" s="196"/>
      <c r="BE52" s="196"/>
      <c r="BF52" s="196"/>
    </row>
    <row r="53" spans="38:58" ht="15" customHeight="1" x14ac:dyDescent="0.25">
      <c r="AL53" s="188"/>
      <c r="AM53" s="188"/>
      <c r="AN53" s="188"/>
      <c r="AO53" s="188"/>
      <c r="AP53" s="188"/>
      <c r="AQ53" s="188"/>
      <c r="AR53" s="188"/>
      <c r="AS53" s="188"/>
      <c r="AT53" s="196"/>
      <c r="AU53" s="188"/>
      <c r="AV53" s="188"/>
      <c r="AW53" s="196"/>
      <c r="AX53" s="196"/>
      <c r="BD53" s="196"/>
      <c r="BE53" s="196"/>
      <c r="BF53" s="196"/>
    </row>
    <row r="54" spans="38:58" ht="15" customHeight="1" x14ac:dyDescent="0.25">
      <c r="AL54" s="188"/>
      <c r="AM54" s="188"/>
      <c r="AN54" s="188"/>
      <c r="AO54" s="188"/>
      <c r="AP54" s="188"/>
      <c r="AQ54" s="188"/>
      <c r="AR54" s="188"/>
      <c r="AS54" s="188"/>
      <c r="AT54" s="196"/>
      <c r="AU54" s="188"/>
      <c r="AV54" s="188"/>
      <c r="AW54" s="196"/>
      <c r="AX54" s="196"/>
      <c r="BD54" s="196"/>
      <c r="BE54" s="196"/>
      <c r="BF54" s="196"/>
    </row>
  </sheetData>
  <mergeCells count="18">
    <mergeCell ref="AY15:BF15"/>
    <mergeCell ref="AT15:AU15"/>
    <mergeCell ref="AV15:AW15"/>
    <mergeCell ref="AY8:BL8"/>
    <mergeCell ref="BI15:BJ15"/>
    <mergeCell ref="BG15:BH15"/>
    <mergeCell ref="BG12:BJ12"/>
    <mergeCell ref="AY11:BE11"/>
    <mergeCell ref="BG10:BJ10"/>
    <mergeCell ref="BG11:BJ11"/>
    <mergeCell ref="O35:AD39"/>
    <mergeCell ref="AL3:AW3"/>
    <mergeCell ref="AL2:AW2"/>
    <mergeCell ref="AL5:AW5"/>
    <mergeCell ref="AL4:AW4"/>
    <mergeCell ref="AL15:AS15"/>
    <mergeCell ref="G7:AK7"/>
    <mergeCell ref="G8:AK8"/>
  </mergeCells>
  <conditionalFormatting sqref="G18:AK21 G27:AK27">
    <cfRule type="expression" dxfId="84" priority="13">
      <formula>G18=OFFSET(id,8,)</formula>
    </cfRule>
    <cfRule type="expression" dxfId="83" priority="34">
      <formula>G18=OFFSET(id,7,)</formula>
    </cfRule>
    <cfRule type="expression" dxfId="82" priority="35">
      <formula>G18=OFFSET(id,6,)</formula>
    </cfRule>
    <cfRule type="expression" dxfId="81" priority="36">
      <formula>G18=OFFSET(id,5,)</formula>
    </cfRule>
    <cfRule type="expression" dxfId="80" priority="37">
      <formula>G18=OFFSET(id,4,)</formula>
    </cfRule>
    <cfRule type="expression" dxfId="79" priority="38">
      <formula>G18=OFFSET(id,3,)</formula>
    </cfRule>
    <cfRule type="expression" dxfId="78" priority="39">
      <formula>G18=OFFSET(id,2,)</formula>
    </cfRule>
    <cfRule type="expression" dxfId="77" priority="40">
      <formula>G18=OFFSET(id,1,)</formula>
    </cfRule>
    <cfRule type="expression" dxfId="76" priority="41">
      <formula>OR(G18=OFFSET(id,11,),G18=OFFSET(id,12,))</formula>
    </cfRule>
  </conditionalFormatting>
  <conditionalFormatting sqref="G16:AK16 G18:AK21 G27:AK27">
    <cfRule type="expression" dxfId="75" priority="42">
      <formula>OR(WEEKDAY(G$15,2)=7,WEEKDAY(G$15,2)=6)</formula>
    </cfRule>
  </conditionalFormatting>
  <conditionalFormatting sqref="BK18:BK27">
    <cfRule type="dataBar" priority="43">
      <dataBar>
        <cfvo type="min"/>
        <cfvo type="max"/>
        <color rgb="FF969696"/>
      </dataBar>
      <extLst>
        <ext xmlns:x14="http://schemas.microsoft.com/office/spreadsheetml/2009/9/main" uri="{B025F937-C7B1-47D3-B67F-A62EFF666E3E}">
          <x14:id>{39F7ECAE-1167-42E4-A026-56FF446F0B6B}</x14:id>
        </ext>
      </extLst>
    </cfRule>
  </conditionalFormatting>
  <conditionalFormatting sqref="G22:AK26">
    <cfRule type="expression" dxfId="74" priority="1">
      <formula>G22=OFFSET(id,8,)</formula>
    </cfRule>
    <cfRule type="expression" dxfId="73" priority="2">
      <formula>G22=OFFSET(id,7,)</formula>
    </cfRule>
    <cfRule type="expression" dxfId="72" priority="3">
      <formula>G22=OFFSET(id,6,)</formula>
    </cfRule>
    <cfRule type="expression" dxfId="71" priority="4">
      <formula>G22=OFFSET(id,5,)</formula>
    </cfRule>
    <cfRule type="expression" dxfId="70" priority="5">
      <formula>G22=OFFSET(id,4,)</formula>
    </cfRule>
    <cfRule type="expression" dxfId="69" priority="6">
      <formula>G22=OFFSET(id,3,)</formula>
    </cfRule>
    <cfRule type="expression" dxfId="68" priority="7">
      <formula>G22=OFFSET(id,2,)</formula>
    </cfRule>
    <cfRule type="expression" dxfId="67" priority="8">
      <formula>G22=OFFSET(id,1,)</formula>
    </cfRule>
    <cfRule type="expression" dxfId="66" priority="9">
      <formula>OR(G22=OFFSET(id,11,),G22=OFFSET(id,12,))</formula>
    </cfRule>
  </conditionalFormatting>
  <conditionalFormatting sqref="G22:AK26">
    <cfRule type="expression" dxfId="65" priority="10">
      <formula>OR(WEEKDAY(G$8,2)=7,WEEKDAY(G$8,2)=6)</formula>
    </cfRule>
  </conditionalFormatting>
  <dataValidations count="5">
    <dataValidation errorStyle="warning" allowBlank="1" showInputMessage="1" showErrorMessage="1" errorTitle="Ой!" error="Введенный идентификатор студента отсутствует в списке студентов. Вы можете нажать кнопку «Да», чтобы использовалось введенное значение, но этот идентификатор студента будет недоступен в отчете о посещаемости." sqref="C18:F27" xr:uid="{00000000-0002-0000-0400-000000000000}"/>
    <dataValidation type="list" allowBlank="1" showInputMessage="1" showErrorMessage="1" errorTitle="Yo!" error="В году 12 месяцев!" prompt="Röyhatdan oy nomeriinı tanlang yoki kiriting" sqref="D13" xr:uid="{00000000-0002-0000-0400-000001000000}">
      <formula1>"1,2,3,4,5,6,7,8,9,10,11,12"</formula1>
    </dataValidation>
    <dataValidation type="list" allowBlank="1" showInputMessage="1" sqref="B72:B269" xr:uid="{00000000-0002-0000-0400-000002000000}">
      <formula1>"lstHrNo"</formula1>
    </dataValidation>
    <dataValidation type="list" allowBlank="1" showInputMessage="1" showErrorMessage="1" sqref="B18:B71" xr:uid="{00000000-0002-0000-0400-000003000000}">
      <formula1>emp_No</formula1>
    </dataValidation>
    <dataValidation type="list" allowBlank="1" showInputMessage="1" showErrorMessage="1" errorTitle="Yo!" error="В году 12 месяцев!" prompt="Röyhatdan oy nomerinı tanlang yoki kiriting" sqref="C13" xr:uid="{A8DB9C84-CB44-4A43-8B0E-9BE3B025A645}">
      <formula1>"1,2,3,4,5,6,7,8,9,10,11,12"</formula1>
    </dataValidation>
  </dataValidations>
  <hyperlinks>
    <hyperlink ref="C11" location="Yöriqnoma!A1" tooltip="Yilni özgartiriş uçun linkda davom eting" display="Yöriqnoma!A1" xr:uid="{00000000-0004-0000-0400-000000000000}"/>
  </hyperlinks>
  <printOptions horizontalCentered="1"/>
  <pageMargins left="0.39370078740157483" right="0.39370078740157483" top="1.1811023622047245" bottom="0.59055118110236227" header="0.31496062992125984" footer="0.31496062992125984"/>
  <pageSetup paperSize="9" scale="50" orientation="landscape" verticalDpi="1200" r:id="rId1"/>
  <ignoredErrors>
    <ignoredError sqref="C24:D24 G18:BL21 C18:D18 C19:D19 C20:D20 C21:D21 C22:D22 C23:D23 AL23:BL24 AL22:BL22" calculatedColumn="1"/>
  </ignoredError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F7ECAE-1167-42E4-A026-56FF446F0B6B}">
            <x14:dataBar minLength="0" maxLength="100" gradient="0" negativeBarColorSameAsPositive="1" axisPosition="none">
              <x14:cfvo type="autoMin"/>
              <x14:cfvo type="autoMax"/>
            </x14:dataBar>
          </x14:cfRule>
          <xm:sqref>BK18:BK27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6CD18CD-13F4-472B-B1AB-DDBE2AC44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Yöriqnoma</vt:lpstr>
      <vt:lpstr>Sozlaş</vt:lpstr>
      <vt:lpstr>Xodim</vt:lpstr>
      <vt:lpstr>Yöqlik</vt:lpstr>
      <vt:lpstr>Tabel</vt:lpstr>
      <vt:lpstr>emp_Nm</vt:lpstr>
      <vt:lpstr>emp_No</vt:lpstr>
      <vt:lpstr>id</vt:lpstr>
      <vt:lpstr>zMnth</vt:lpstr>
      <vt:lpstr>Yöriqnoma!zYear</vt:lpstr>
      <vt:lpstr>Tabel!Критерии</vt:lpstr>
      <vt:lpstr>Tabel!Область_печати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Server</dc:creator>
  <cp:keywords/>
  <cp:lastModifiedBy>Пользователь</cp:lastModifiedBy>
  <cp:lastPrinted>2019-12-10T15:54:19Z</cp:lastPrinted>
  <dcterms:created xsi:type="dcterms:W3CDTF">2017-01-25T15:35:14Z</dcterms:created>
  <dcterms:modified xsi:type="dcterms:W3CDTF">2021-04-21T04:25:28Z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TC028023699991</vt:lpwstr>
  </property>
</Properties>
</file>