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omments3.xml" ContentType="application/vnd.openxmlformats-officedocument.spreadsheetml.comments+xml"/>
  <Override PartName="/xl/drawings/drawing10.xml" ContentType="application/vnd.openxmlformats-officedocument.drawing+xml"/>
  <Override PartName="/xl/charts/chart26.xml" ContentType="application/vnd.openxmlformats-officedocument.drawingml.chart+xml"/>
  <Override PartName="/xl/drawings/drawing11.xml" ContentType="application/vnd.openxmlformats-officedocument.drawing+xml"/>
  <Override PartName="/xl/charts/chart27.xml" ContentType="application/vnd.openxmlformats-officedocument.drawingml.chart+xml"/>
  <Override PartName="/xl/drawings/drawing12.xml" ContentType="application/vnd.openxmlformats-officedocument.drawing+xml"/>
  <Override PartName="/xl/charts/chart28.xml" ContentType="application/vnd.openxmlformats-officedocument.drawingml.chart+xml"/>
  <Override PartName="/xl/drawings/drawing13.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belozertsev\Desktop\"/>
    </mc:Choice>
  </mc:AlternateContent>
  <bookViews>
    <workbookView xWindow="-120" yWindow="-120" windowWidth="29040" windowHeight="15840" tabRatio="933" firstSheet="17" activeTab="17"/>
  </bookViews>
  <sheets>
    <sheet name="Пояснения" sheetId="3" state="hidden" r:id="rId1"/>
    <sheet name="Коэфф" sheetId="6" state="hidden" r:id="rId2"/>
    <sheet name="Струк" sheetId="4" state="hidden" r:id="rId3"/>
    <sheet name="Струк2" sheetId="5" state="hidden" r:id="rId4"/>
    <sheet name="Диаг1" sheetId="7" state="hidden" r:id="rId5"/>
    <sheet name="Струк3" sheetId="28" state="hidden" r:id="rId6"/>
    <sheet name="Струк4" sheetId="8" state="hidden" r:id="rId7"/>
    <sheet name="Струк5" sheetId="15" state="hidden" r:id="rId8"/>
    <sheet name="Устойчивость" sheetId="14" state="hidden" r:id="rId9"/>
    <sheet name="УстИонова" sheetId="9" state="hidden" r:id="rId10"/>
    <sheet name="УстШеремет" sheetId="13" state="hidden" r:id="rId11"/>
    <sheet name="АбсолПоказ" sheetId="17" state="hidden" r:id="rId12"/>
    <sheet name="Ликв" sheetId="10" state="hidden" r:id="rId13"/>
    <sheet name="Диаг2" sheetId="12" state="hidden" r:id="rId14"/>
    <sheet name="Ликв1" sheetId="11" state="hidden" r:id="rId15"/>
    <sheet name="Ликв2" sheetId="16" state="hidden" r:id="rId16"/>
    <sheet name="Расчет по старой методике" sheetId="41" state="hidden" r:id="rId17"/>
    <sheet name="Итог" sheetId="45" r:id="rId18"/>
    <sheet name="Лист1" sheetId="46" state="hidden" r:id="rId19"/>
    <sheet name="Оборачиваемость" sheetId="18" state="hidden" r:id="rId20"/>
    <sheet name="Диаг3" sheetId="20" state="hidden" r:id="rId21"/>
    <sheet name="Рент" sheetId="21" state="hidden" r:id="rId22"/>
    <sheet name="Диаг4" sheetId="29" state="hidden" r:id="rId23"/>
    <sheet name="Прибыль" sheetId="31" state="hidden" r:id="rId24"/>
    <sheet name="Прибыль1" sheetId="32" state="hidden" r:id="rId25"/>
    <sheet name="Прибыль2" sheetId="34" state="hidden" r:id="rId26"/>
    <sheet name="Неплат" sheetId="38" state="hidden" r:id="rId27"/>
    <sheet name="Диаг5" sheetId="35" state="hidden" r:id="rId28"/>
    <sheet name="Неплат2" sheetId="37" state="hidden" r:id="rId29"/>
    <sheet name="DuPont" sheetId="22" state="hidden" r:id="rId30"/>
    <sheet name="Фактор1" sheetId="23" state="hidden" r:id="rId31"/>
    <sheet name="Фактор2" sheetId="24" state="hidden" r:id="rId32"/>
    <sheet name="Фактор3" sheetId="25" state="hidden" r:id="rId33"/>
    <sheet name="Фактор4" sheetId="27" state="hidden" r:id="rId34"/>
    <sheet name="Фактор5" sheetId="40" state="hidden" r:id="rId35"/>
    <sheet name="Лист2" sheetId="42" state="hidden" r:id="rId36"/>
  </sheets>
  <definedNames>
    <definedName name="Cikl" localSheetId="29">DuPont!#REF!</definedName>
    <definedName name="Cikl" localSheetId="21">Рент!#REF!</definedName>
    <definedName name="Cikl">Оборачиваемость!$A$37</definedName>
    <definedName name="dopd">Пояснения!$A$15</definedName>
    <definedName name="explanations">Пояснения!$A$1</definedName>
    <definedName name="otchet">#REF!</definedName>
    <definedName name="_xlnm.Print_Titles" localSheetId="29">DuPont!$3:$4</definedName>
    <definedName name="_xlnm.Print_Titles" localSheetId="19">Оборачиваемость!$3:$4</definedName>
    <definedName name="_xlnm.Print_Titles" localSheetId="21">Рент!$3:$4</definedName>
    <definedName name="_xlnm.Print_Titles" localSheetId="2">Струк!$3:$6</definedName>
    <definedName name="_xlnm.Print_Titles" localSheetId="5">Струк3!$3:$3</definedName>
    <definedName name="_xlnm.Print_Titles" localSheetId="8">Устойчивость!$3:$4</definedName>
    <definedName name="_xlnm.Print_Area" localSheetId="29">DuPont!$A$1:$L$17</definedName>
    <definedName name="_xlnm.Print_Area" localSheetId="11">АбсолПоказ!$A$2:$L$7</definedName>
    <definedName name="_xlnm.Print_Area" localSheetId="12">Ликв!$A$2:$S$35</definedName>
    <definedName name="_xlnm.Print_Area" localSheetId="14">Ликв1!$A$2:$L$21</definedName>
    <definedName name="_xlnm.Print_Area" localSheetId="15">Ликв2!$A$1:$L$33</definedName>
    <definedName name="_xlnm.Print_Area" localSheetId="26">Неплат!$A$1:$K$35</definedName>
    <definedName name="_xlnm.Print_Area" localSheetId="28">Неплат2!$A$1:$G$58</definedName>
    <definedName name="_xlnm.Print_Area" localSheetId="19">Оборачиваемость!$A$1:$L$42</definedName>
    <definedName name="_xlnm.Print_Area" localSheetId="0">Пояснения!$A$1:$G$64</definedName>
    <definedName name="_xlnm.Print_Area" localSheetId="23">Прибыль!$A$2:$I$25</definedName>
    <definedName name="_xlnm.Print_Area" localSheetId="25">Прибыль2!$A$1:$L$26</definedName>
    <definedName name="_xlnm.Print_Area" localSheetId="21">Рент!$A$1:$L$19</definedName>
    <definedName name="_xlnm.Print_Area" localSheetId="2">Струк!$A$1:$L$51</definedName>
    <definedName name="_xlnm.Print_Area" localSheetId="3">Струк2!$A$1:$J$76</definedName>
    <definedName name="_xlnm.Print_Area" localSheetId="5">Струк3!$A$1:$I$60</definedName>
    <definedName name="_xlnm.Print_Area" localSheetId="6">Струк4!$A$2:$L$30</definedName>
    <definedName name="_xlnm.Print_Area" localSheetId="7">Струк5!$A$1:$K$17</definedName>
    <definedName name="_xlnm.Print_Area" localSheetId="9">УстИонова!$A$1:$L$18</definedName>
    <definedName name="_xlnm.Print_Area" localSheetId="8">Устойчивость!$A$1:$L$34</definedName>
    <definedName name="_xlnm.Print_Area" localSheetId="10">УстШеремет!$A$1:$L$23</definedName>
    <definedName name="_xlnm.Print_Area" localSheetId="30">Фактор1!$A$1:$L$28</definedName>
    <definedName name="_xlnm.Print_Area" localSheetId="31">Фактор2!$A$1:$L$25</definedName>
    <definedName name="_xlnm.Print_Area" localSheetId="32">Фактор3!$A$1:$L$28</definedName>
    <definedName name="_xlnm.Print_Area" localSheetId="33">Фактор4!$A$1:$L$22</definedName>
    <definedName name="_xlnm.Print_Area" localSheetId="34">Фактор5!$A$1:$L$39</definedName>
  </definedNames>
  <calcPr calcId="152511"/>
</workbook>
</file>

<file path=xl/calcChain.xml><?xml version="1.0" encoding="utf-8"?>
<calcChain xmlns="http://schemas.openxmlformats.org/spreadsheetml/2006/main">
  <c r="B8" i="45" l="1"/>
  <c r="A8" i="45"/>
  <c r="D5" i="46" l="1"/>
  <c r="E5" i="46"/>
  <c r="F5" i="46"/>
  <c r="G5" i="46"/>
  <c r="H5" i="46"/>
  <c r="I5" i="46"/>
  <c r="J5" i="46"/>
  <c r="K5" i="46"/>
  <c r="L5" i="46"/>
  <c r="D6" i="46"/>
  <c r="E6" i="46"/>
  <c r="F6" i="46"/>
  <c r="G6" i="46"/>
  <c r="H6" i="46"/>
  <c r="I6" i="46"/>
  <c r="J6" i="46"/>
  <c r="K6" i="46"/>
  <c r="L6" i="46"/>
  <c r="D7" i="46"/>
  <c r="E7" i="46"/>
  <c r="F7" i="46"/>
  <c r="G7" i="46"/>
  <c r="H7" i="46"/>
  <c r="I7" i="46"/>
  <c r="J7" i="46"/>
  <c r="K7" i="46"/>
  <c r="L7" i="46"/>
  <c r="C6" i="46"/>
  <c r="C7" i="46"/>
  <c r="C5" i="46"/>
  <c r="L4" i="46"/>
  <c r="D4" i="46"/>
  <c r="E4" i="46"/>
  <c r="F4" i="46"/>
  <c r="G4" i="46"/>
  <c r="H4" i="46"/>
  <c r="I4" i="46"/>
  <c r="J4" i="46"/>
  <c r="K4" i="46"/>
  <c r="C4" i="46"/>
  <c r="B6" i="46"/>
  <c r="B7" i="46"/>
  <c r="B5" i="46"/>
  <c r="A1" i="31" l="1"/>
  <c r="A1" i="11"/>
  <c r="A1" i="10"/>
  <c r="A1" i="17"/>
  <c r="A1" i="8"/>
  <c r="D2" i="41" l="1"/>
  <c r="K25" i="41"/>
  <c r="M14" i="41"/>
  <c r="L14" i="41"/>
  <c r="L9" i="41"/>
  <c r="K9" i="41"/>
  <c r="K3" i="41"/>
  <c r="M25" i="41"/>
  <c r="L25" i="41"/>
  <c r="K20" i="41"/>
  <c r="M20" i="41"/>
  <c r="L20" i="41"/>
  <c r="K14" i="41"/>
  <c r="M9" i="41"/>
  <c r="M3" i="41"/>
  <c r="L3" i="41"/>
  <c r="L30" i="41" l="1"/>
  <c r="M30" i="41"/>
  <c r="K30" i="41"/>
  <c r="F28" i="37"/>
  <c r="E28" i="37"/>
  <c r="D28" i="37"/>
  <c r="F35" i="37" l="1"/>
  <c r="E35" i="37"/>
  <c r="D35" i="37"/>
  <c r="F22" i="37"/>
  <c r="E22" i="37"/>
  <c r="D22" i="37"/>
  <c r="F3" i="37"/>
  <c r="E3" i="37"/>
  <c r="D3" i="37"/>
  <c r="I11" i="40" l="1"/>
  <c r="J11" i="40" s="1"/>
  <c r="H8" i="40"/>
  <c r="F8" i="40"/>
  <c r="H5" i="40"/>
  <c r="F5" i="40"/>
  <c r="I4" i="40"/>
  <c r="G4" i="40"/>
  <c r="E4" i="40"/>
  <c r="I8" i="40" l="1"/>
  <c r="J8" i="40" s="1"/>
  <c r="L6" i="10" l="1"/>
  <c r="K6" i="10"/>
  <c r="L5" i="10"/>
  <c r="K5" i="10"/>
  <c r="J6" i="10"/>
  <c r="J5" i="10"/>
  <c r="E7" i="10"/>
  <c r="D7" i="10"/>
  <c r="E6" i="10"/>
  <c r="D6" i="10"/>
  <c r="E5" i="10"/>
  <c r="D5" i="10"/>
  <c r="C7" i="10"/>
  <c r="C6" i="10"/>
  <c r="C5" i="10"/>
  <c r="B85" i="35" l="1"/>
  <c r="B84" i="35"/>
  <c r="B56" i="35"/>
  <c r="B55" i="35"/>
  <c r="B23" i="35"/>
  <c r="B24" i="35"/>
  <c r="B22" i="35"/>
  <c r="B21" i="35"/>
  <c r="B7" i="35"/>
  <c r="B6" i="35"/>
  <c r="B4" i="35"/>
  <c r="B3" i="35"/>
  <c r="E10" i="38"/>
  <c r="F10" i="38"/>
  <c r="E11" i="38"/>
  <c r="F11" i="38"/>
  <c r="E13" i="38"/>
  <c r="F13" i="38"/>
  <c r="E15" i="38"/>
  <c r="F15" i="38"/>
  <c r="E16" i="38"/>
  <c r="F16" i="38"/>
  <c r="E17" i="38"/>
  <c r="D7" i="35" s="1"/>
  <c r="F17" i="38"/>
  <c r="C7" i="35" s="1"/>
  <c r="E18" i="38"/>
  <c r="F18" i="38"/>
  <c r="F43" i="3"/>
  <c r="F19" i="38" s="1"/>
  <c r="F20" i="38" s="1"/>
  <c r="E43" i="3"/>
  <c r="E19" i="38" s="1"/>
  <c r="E20" i="38" s="1"/>
  <c r="D43" i="3"/>
  <c r="D19" i="38" s="1"/>
  <c r="D18" i="38"/>
  <c r="I18" i="38" s="1"/>
  <c r="D17" i="38"/>
  <c r="D16" i="38"/>
  <c r="D15" i="38"/>
  <c r="D13" i="38"/>
  <c r="I13" i="38" s="1"/>
  <c r="D11" i="38"/>
  <c r="D10" i="38"/>
  <c r="F40" i="3"/>
  <c r="F12" i="38" s="1"/>
  <c r="E40" i="3"/>
  <c r="E12" i="38" s="1"/>
  <c r="D40" i="3"/>
  <c r="D12" i="38" s="1"/>
  <c r="F37" i="3"/>
  <c r="F9" i="38" s="1"/>
  <c r="E37" i="3"/>
  <c r="E9" i="38" s="1"/>
  <c r="D37" i="3"/>
  <c r="D8" i="38" s="1"/>
  <c r="F31" i="3"/>
  <c r="E31" i="3"/>
  <c r="D31" i="3"/>
  <c r="F30" i="3"/>
  <c r="G3" i="38"/>
  <c r="D9" i="22"/>
  <c r="D8" i="22"/>
  <c r="D7" i="22"/>
  <c r="D6" i="22"/>
  <c r="D5" i="22"/>
  <c r="H3" i="22"/>
  <c r="K15" i="23"/>
  <c r="I4" i="23"/>
  <c r="I4" i="24"/>
  <c r="I4" i="25"/>
  <c r="I4" i="27"/>
  <c r="D21" i="27"/>
  <c r="D20" i="27"/>
  <c r="D19" i="27"/>
  <c r="D18" i="27"/>
  <c r="D17" i="27"/>
  <c r="D16" i="27"/>
  <c r="H5" i="27"/>
  <c r="F5" i="27"/>
  <c r="H5" i="25"/>
  <c r="F5" i="25"/>
  <c r="D22" i="24"/>
  <c r="D21" i="24"/>
  <c r="D20" i="24"/>
  <c r="D19" i="24"/>
  <c r="D18" i="24"/>
  <c r="D17" i="24"/>
  <c r="D16" i="24"/>
  <c r="H5" i="24"/>
  <c r="F5" i="24"/>
  <c r="D27" i="23"/>
  <c r="D26" i="23"/>
  <c r="D25" i="23"/>
  <c r="D24" i="23"/>
  <c r="D23" i="23"/>
  <c r="D22" i="23"/>
  <c r="I15" i="23"/>
  <c r="F15" i="23"/>
  <c r="H5" i="23"/>
  <c r="F5" i="23"/>
  <c r="K2" i="34"/>
  <c r="L4" i="32"/>
  <c r="J4" i="32"/>
  <c r="H4" i="32"/>
  <c r="F4" i="32"/>
  <c r="D4" i="32"/>
  <c r="C4" i="31"/>
  <c r="D12" i="21"/>
  <c r="D11" i="21"/>
  <c r="D10" i="21"/>
  <c r="D9" i="21"/>
  <c r="D8" i="21"/>
  <c r="D7" i="21"/>
  <c r="D6" i="21"/>
  <c r="H3" i="21"/>
  <c r="D14" i="18"/>
  <c r="D13" i="18"/>
  <c r="D12" i="18"/>
  <c r="D11" i="18"/>
  <c r="D10" i="18"/>
  <c r="D9" i="18"/>
  <c r="D8" i="18"/>
  <c r="D7" i="18"/>
  <c r="D6" i="18"/>
  <c r="H3" i="18"/>
  <c r="H3" i="16"/>
  <c r="D10" i="16"/>
  <c r="D9" i="16"/>
  <c r="D8" i="16"/>
  <c r="D7" i="16"/>
  <c r="D6" i="16"/>
  <c r="D10" i="11"/>
  <c r="D9" i="11"/>
  <c r="D8" i="11"/>
  <c r="D7" i="11"/>
  <c r="D6" i="11"/>
  <c r="J3" i="10"/>
  <c r="C3" i="10"/>
  <c r="D16" i="13"/>
  <c r="D15" i="13"/>
  <c r="D14" i="13"/>
  <c r="D13" i="13"/>
  <c r="D12" i="13"/>
  <c r="D11" i="13"/>
  <c r="D10" i="13"/>
  <c r="D9" i="13"/>
  <c r="D8" i="13"/>
  <c r="D7" i="13"/>
  <c r="D6" i="13"/>
  <c r="D5" i="17"/>
  <c r="D4" i="17"/>
  <c r="H2" i="17"/>
  <c r="H3" i="13"/>
  <c r="H3" i="9"/>
  <c r="H3" i="14"/>
  <c r="C14" i="15"/>
  <c r="C13" i="15"/>
  <c r="C12" i="15"/>
  <c r="C10" i="15"/>
  <c r="C8" i="15"/>
  <c r="C7" i="15"/>
  <c r="C6" i="15"/>
  <c r="C5" i="15"/>
  <c r="D8" i="8"/>
  <c r="D7" i="8"/>
  <c r="D6" i="8"/>
  <c r="D5" i="8"/>
  <c r="D47" i="28"/>
  <c r="D43" i="28"/>
  <c r="D41" i="28"/>
  <c r="D27" i="28"/>
  <c r="D26" i="28"/>
  <c r="D25" i="28"/>
  <c r="D9" i="28"/>
  <c r="D8" i="28"/>
  <c r="D7" i="28"/>
  <c r="D6" i="28"/>
  <c r="D5" i="28"/>
  <c r="C68" i="5"/>
  <c r="C57" i="5"/>
  <c r="C43" i="5"/>
  <c r="C33" i="5"/>
  <c r="C24" i="5"/>
  <c r="C15" i="5"/>
  <c r="C4" i="4"/>
  <c r="F49" i="3"/>
  <c r="F16" i="3"/>
  <c r="F2" i="3"/>
  <c r="G13" i="38"/>
  <c r="J4" i="38"/>
  <c r="I4" i="38"/>
  <c r="H4" i="38"/>
  <c r="G4" i="38"/>
  <c r="F4" i="38"/>
  <c r="C20" i="35" s="1"/>
  <c r="E4" i="38"/>
  <c r="D2" i="35" s="1"/>
  <c r="D4" i="38"/>
  <c r="E20" i="35" s="1"/>
  <c r="I15" i="38" l="1"/>
  <c r="I11" i="38"/>
  <c r="I16" i="38"/>
  <c r="D9" i="38"/>
  <c r="J9" i="38" s="1"/>
  <c r="G16" i="38"/>
  <c r="G11" i="38"/>
  <c r="G18" i="38"/>
  <c r="F8" i="38"/>
  <c r="C4" i="35" s="1"/>
  <c r="H15" i="38"/>
  <c r="I17" i="38"/>
  <c r="E4" i="35"/>
  <c r="D20" i="38"/>
  <c r="J20" i="38" s="1"/>
  <c r="I19" i="38"/>
  <c r="G19" i="38"/>
  <c r="I10" i="38"/>
  <c r="E8" i="38"/>
  <c r="D4" i="35" s="1"/>
  <c r="E7" i="35"/>
  <c r="J12" i="38"/>
  <c r="E2" i="35"/>
  <c r="C2" i="35"/>
  <c r="D20" i="35"/>
  <c r="E23" i="38"/>
  <c r="D21" i="35" s="1"/>
  <c r="E26" i="38"/>
  <c r="D24" i="35" s="1"/>
  <c r="E24" i="38"/>
  <c r="D22" i="35" s="1"/>
  <c r="J19" i="38"/>
  <c r="J18" i="38"/>
  <c r="H16" i="38"/>
  <c r="F26" i="38"/>
  <c r="C24" i="35" s="1"/>
  <c r="F23" i="38"/>
  <c r="C21" i="35" s="1"/>
  <c r="J10" i="38"/>
  <c r="H11" i="38"/>
  <c r="J11" i="38"/>
  <c r="J17" i="38"/>
  <c r="H18" i="38"/>
  <c r="H19" i="38"/>
  <c r="D23" i="38"/>
  <c r="H17" i="38"/>
  <c r="D24" i="38"/>
  <c r="F24" i="38"/>
  <c r="C22" i="35" s="1"/>
  <c r="G15" i="38"/>
  <c r="J15" i="38"/>
  <c r="G17" i="38"/>
  <c r="J13" i="38"/>
  <c r="J16" i="38"/>
  <c r="H13" i="38"/>
  <c r="H10" i="38"/>
  <c r="I12" i="38"/>
  <c r="G12" i="38"/>
  <c r="H12" i="38"/>
  <c r="G10" i="38"/>
  <c r="I9" i="38" l="1"/>
  <c r="G9" i="38"/>
  <c r="I20" i="38"/>
  <c r="H9" i="38"/>
  <c r="J8" i="38"/>
  <c r="G8" i="38"/>
  <c r="I8" i="38"/>
  <c r="H23" i="38"/>
  <c r="G20" i="38"/>
  <c r="H20" i="38"/>
  <c r="H8" i="38"/>
  <c r="D26" i="38"/>
  <c r="E24" i="35" s="1"/>
  <c r="G24" i="38"/>
  <c r="E22" i="35"/>
  <c r="J23" i="38"/>
  <c r="E21" i="35"/>
  <c r="G23" i="38"/>
  <c r="H24" i="38"/>
  <c r="I23" i="38"/>
  <c r="J24" i="38"/>
  <c r="I24" i="38"/>
  <c r="F21" i="34"/>
  <c r="E21" i="34"/>
  <c r="F20" i="34"/>
  <c r="E20" i="34"/>
  <c r="F19" i="34"/>
  <c r="E19" i="34"/>
  <c r="F18" i="34"/>
  <c r="E18" i="34"/>
  <c r="F17" i="34"/>
  <c r="E17" i="34"/>
  <c r="F15" i="34"/>
  <c r="E15" i="34"/>
  <c r="F14" i="34"/>
  <c r="E14" i="34"/>
  <c r="F13" i="34"/>
  <c r="E13" i="34"/>
  <c r="F12" i="34"/>
  <c r="E12" i="34"/>
  <c r="F11" i="34"/>
  <c r="E11" i="34"/>
  <c r="F9" i="34"/>
  <c r="E9" i="34"/>
  <c r="F8" i="34"/>
  <c r="E8" i="34"/>
  <c r="F6" i="34"/>
  <c r="E6" i="34"/>
  <c r="F5" i="34"/>
  <c r="E5" i="34"/>
  <c r="F3" i="34"/>
  <c r="E3" i="34"/>
  <c r="B6" i="34"/>
  <c r="B7" i="34" s="1"/>
  <c r="B8" i="34" s="1"/>
  <c r="B9" i="34" s="1"/>
  <c r="B10" i="34" s="1"/>
  <c r="B11" i="34" s="1"/>
  <c r="B12" i="34" s="1"/>
  <c r="B13" i="34" s="1"/>
  <c r="B14" i="34" s="1"/>
  <c r="B15" i="34" s="1"/>
  <c r="B16" i="34" s="1"/>
  <c r="B17" i="34" s="1"/>
  <c r="B18" i="34" s="1"/>
  <c r="B19" i="34" s="1"/>
  <c r="B20" i="34" s="1"/>
  <c r="B21" i="34" s="1"/>
  <c r="B22" i="34" s="1"/>
  <c r="C4" i="34"/>
  <c r="D4" i="34" s="1"/>
  <c r="E4" i="34" s="1"/>
  <c r="F4" i="34" s="1"/>
  <c r="G4" i="34" s="1"/>
  <c r="H4" i="34" s="1"/>
  <c r="I4" i="34" s="1"/>
  <c r="J4" i="34" s="1"/>
  <c r="K4" i="34" s="1"/>
  <c r="J26" i="38" l="1"/>
  <c r="G26" i="38"/>
  <c r="H26" i="38"/>
  <c r="H5" i="34"/>
  <c r="I26" i="38"/>
  <c r="H6" i="34"/>
  <c r="H19" i="34"/>
  <c r="I11" i="34"/>
  <c r="H9" i="34"/>
  <c r="H13" i="34"/>
  <c r="H15" i="34"/>
  <c r="H17" i="34"/>
  <c r="H8" i="34"/>
  <c r="I9" i="34"/>
  <c r="H11" i="34"/>
  <c r="H12" i="34"/>
  <c r="I13" i="34"/>
  <c r="H18" i="34"/>
  <c r="H20" i="34"/>
  <c r="H21" i="34"/>
  <c r="G5" i="34"/>
  <c r="J9" i="34" s="1"/>
  <c r="G6" i="34"/>
  <c r="G8" i="34"/>
  <c r="G12" i="34"/>
  <c r="H14" i="34"/>
  <c r="I14" i="34"/>
  <c r="G14" i="34"/>
  <c r="I5" i="34"/>
  <c r="I6" i="34"/>
  <c r="I8" i="34"/>
  <c r="G9" i="34"/>
  <c r="G11" i="34"/>
  <c r="I12" i="34"/>
  <c r="G13" i="34"/>
  <c r="G15" i="34"/>
  <c r="I15" i="34"/>
  <c r="G17" i="34"/>
  <c r="I17" i="34"/>
  <c r="G18" i="34"/>
  <c r="I18" i="34"/>
  <c r="G19" i="34"/>
  <c r="I19" i="34"/>
  <c r="G20" i="34"/>
  <c r="I20" i="34"/>
  <c r="G21" i="34"/>
  <c r="I21" i="34"/>
  <c r="K9" i="34" l="1"/>
  <c r="J15" i="34"/>
  <c r="K15" i="34" s="1"/>
  <c r="E24" i="34"/>
  <c r="J6" i="34"/>
  <c r="K6" i="34" s="1"/>
  <c r="J11" i="34"/>
  <c r="K11" i="34" s="1"/>
  <c r="J20" i="34"/>
  <c r="K20" i="34" s="1"/>
  <c r="J18" i="34"/>
  <c r="K18" i="34" s="1"/>
  <c r="J12" i="34"/>
  <c r="J8" i="34"/>
  <c r="K8" i="34" s="1"/>
  <c r="J5" i="34"/>
  <c r="K5" i="34" s="1"/>
  <c r="J13" i="34"/>
  <c r="K13" i="34" s="1"/>
  <c r="J21" i="34"/>
  <c r="K21" i="34" s="1"/>
  <c r="J19" i="34"/>
  <c r="K19" i="34" s="1"/>
  <c r="J17" i="34"/>
  <c r="K17" i="34" s="1"/>
  <c r="J14" i="34"/>
  <c r="K14" i="34" s="1"/>
  <c r="K12" i="34"/>
  <c r="H12" i="32" l="1"/>
  <c r="H11" i="32"/>
  <c r="F12" i="32"/>
  <c r="F11" i="32"/>
  <c r="H10" i="32"/>
  <c r="F10" i="32"/>
  <c r="D12" i="32"/>
  <c r="D11" i="32"/>
  <c r="D10" i="32"/>
  <c r="L3" i="32"/>
  <c r="J3" i="32"/>
  <c r="H8" i="32"/>
  <c r="H7" i="32"/>
  <c r="H6" i="32"/>
  <c r="F8" i="32"/>
  <c r="F7" i="32"/>
  <c r="F6" i="32"/>
  <c r="D8" i="32"/>
  <c r="D7" i="32"/>
  <c r="D6" i="32"/>
  <c r="H3" i="32"/>
  <c r="F3" i="32"/>
  <c r="D3" i="32"/>
  <c r="H23" i="31"/>
  <c r="G23" i="31"/>
  <c r="F23" i="31"/>
  <c r="E23" i="31"/>
  <c r="D23" i="31"/>
  <c r="C23" i="31"/>
  <c r="H22" i="31"/>
  <c r="G22" i="31"/>
  <c r="F22" i="31"/>
  <c r="E22" i="31"/>
  <c r="D22" i="31"/>
  <c r="C22" i="31"/>
  <c r="H21" i="31"/>
  <c r="G21" i="31"/>
  <c r="F21" i="31"/>
  <c r="E21" i="31"/>
  <c r="D21" i="31"/>
  <c r="C21" i="31"/>
  <c r="H20" i="31"/>
  <c r="G20" i="31"/>
  <c r="F20" i="31"/>
  <c r="E20" i="31"/>
  <c r="D20" i="31"/>
  <c r="C20" i="31"/>
  <c r="H19" i="31"/>
  <c r="G19" i="31"/>
  <c r="F19" i="31"/>
  <c r="E19" i="31"/>
  <c r="D19" i="31"/>
  <c r="C19" i="31"/>
  <c r="H17" i="31"/>
  <c r="G17" i="31"/>
  <c r="F17" i="31"/>
  <c r="E17" i="31"/>
  <c r="D17" i="31"/>
  <c r="C17" i="31"/>
  <c r="H16" i="31"/>
  <c r="G16" i="31"/>
  <c r="F16" i="31"/>
  <c r="E16" i="31"/>
  <c r="D16" i="31"/>
  <c r="C16" i="31"/>
  <c r="H15" i="31"/>
  <c r="G15" i="31"/>
  <c r="F15" i="31"/>
  <c r="E15" i="31"/>
  <c r="D15" i="31"/>
  <c r="C15" i="31"/>
  <c r="H14" i="31"/>
  <c r="G14" i="31"/>
  <c r="F14" i="31"/>
  <c r="E14" i="31"/>
  <c r="D14" i="31"/>
  <c r="C14" i="31"/>
  <c r="H13" i="31"/>
  <c r="G13" i="31"/>
  <c r="F13" i="31"/>
  <c r="E13" i="31"/>
  <c r="D13" i="31"/>
  <c r="C13" i="31"/>
  <c r="H11" i="31"/>
  <c r="G11" i="31"/>
  <c r="F11" i="31"/>
  <c r="E11" i="31"/>
  <c r="D11" i="31"/>
  <c r="C11" i="31"/>
  <c r="H10" i="31"/>
  <c r="G10" i="31"/>
  <c r="F10" i="31"/>
  <c r="E10" i="31"/>
  <c r="D10" i="31"/>
  <c r="C10" i="31"/>
  <c r="H8" i="31"/>
  <c r="G8" i="31"/>
  <c r="F8" i="31"/>
  <c r="E8" i="31"/>
  <c r="D8" i="31"/>
  <c r="C8" i="31"/>
  <c r="H7" i="31"/>
  <c r="G7" i="31"/>
  <c r="F7" i="31"/>
  <c r="E7" i="31"/>
  <c r="D7" i="31"/>
  <c r="C7" i="31"/>
  <c r="H5" i="31"/>
  <c r="G5" i="31"/>
  <c r="F5" i="31"/>
  <c r="E5" i="31"/>
  <c r="D5" i="31"/>
  <c r="C5" i="31"/>
  <c r="C6" i="31"/>
  <c r="D6" i="31" s="1"/>
  <c r="E6" i="31" s="1"/>
  <c r="F6" i="31" s="1"/>
  <c r="G6" i="31" s="1"/>
  <c r="H6" i="31" s="1"/>
  <c r="J12" i="32" l="1"/>
  <c r="F5" i="32"/>
  <c r="G7" i="32" s="1"/>
  <c r="D5" i="32"/>
  <c r="E7" i="32" s="1"/>
  <c r="L11" i="32"/>
  <c r="L7" i="32"/>
  <c r="L12" i="32"/>
  <c r="H5" i="32"/>
  <c r="I7" i="32" s="1"/>
  <c r="L10" i="32"/>
  <c r="J11" i="32"/>
  <c r="J6" i="32"/>
  <c r="E5" i="32"/>
  <c r="J8" i="32"/>
  <c r="L8" i="32"/>
  <c r="J10" i="32"/>
  <c r="L6" i="32"/>
  <c r="E6" i="32"/>
  <c r="J7" i="32"/>
  <c r="D9" i="32"/>
  <c r="E10" i="32" s="1"/>
  <c r="F9" i="32"/>
  <c r="H9" i="32"/>
  <c r="F46" i="28"/>
  <c r="F45" i="28"/>
  <c r="F44" i="28"/>
  <c r="E46" i="28"/>
  <c r="E45" i="28"/>
  <c r="E44" i="28"/>
  <c r="G8" i="32" l="1"/>
  <c r="F13" i="32"/>
  <c r="L9" i="32"/>
  <c r="M9" i="32" s="1"/>
  <c r="E8" i="32"/>
  <c r="G6" i="32"/>
  <c r="G5" i="32"/>
  <c r="J9" i="32"/>
  <c r="K11" i="32" s="1"/>
  <c r="I5" i="32"/>
  <c r="L5" i="32"/>
  <c r="M5" i="32" s="1"/>
  <c r="D13" i="32"/>
  <c r="G44" i="28"/>
  <c r="H46" i="28"/>
  <c r="G45" i="28"/>
  <c r="I6" i="32"/>
  <c r="I8" i="32"/>
  <c r="I10" i="32"/>
  <c r="H13" i="32"/>
  <c r="I11" i="32"/>
  <c r="K10" i="32"/>
  <c r="G9" i="32"/>
  <c r="J5" i="32"/>
  <c r="G10" i="32"/>
  <c r="I9" i="32"/>
  <c r="E11" i="32"/>
  <c r="E9" i="32"/>
  <c r="E12" i="32"/>
  <c r="G11" i="32"/>
  <c r="I12" i="32"/>
  <c r="G12" i="32"/>
  <c r="H44" i="28"/>
  <c r="H45" i="28"/>
  <c r="G46" i="28"/>
  <c r="F7" i="28"/>
  <c r="F47" i="28" s="1"/>
  <c r="E7" i="28"/>
  <c r="E47" i="28" s="1"/>
  <c r="E3" i="28"/>
  <c r="F3" i="28"/>
  <c r="D4" i="5"/>
  <c r="C4" i="5"/>
  <c r="B7" i="27"/>
  <c r="B8" i="27" s="1"/>
  <c r="B9" i="27" s="1"/>
  <c r="B10" i="27" s="1"/>
  <c r="H9" i="27"/>
  <c r="F9" i="27"/>
  <c r="G4" i="27"/>
  <c r="F15" i="27" s="1"/>
  <c r="E4" i="27"/>
  <c r="E15" i="27" s="1"/>
  <c r="H8" i="25"/>
  <c r="H7" i="25"/>
  <c r="F8" i="25"/>
  <c r="F7" i="25"/>
  <c r="M11" i="32" l="1"/>
  <c r="M12" i="32"/>
  <c r="M10" i="32"/>
  <c r="E56" i="28"/>
  <c r="M6" i="32"/>
  <c r="M8" i="32"/>
  <c r="M7" i="32"/>
  <c r="K12" i="32"/>
  <c r="K9" i="32"/>
  <c r="H47" i="28"/>
  <c r="L13" i="32"/>
  <c r="J13" i="32"/>
  <c r="K8" i="32"/>
  <c r="K5" i="32"/>
  <c r="K6" i="32"/>
  <c r="K7" i="32"/>
  <c r="E49" i="28"/>
  <c r="E58" i="28"/>
  <c r="G47" i="28"/>
  <c r="E50" i="28"/>
  <c r="E51" i="28"/>
  <c r="E57" i="28"/>
  <c r="E25" i="28"/>
  <c r="F51" i="28"/>
  <c r="F49" i="28"/>
  <c r="F50" i="28"/>
  <c r="F25" i="28"/>
  <c r="G7" i="28"/>
  <c r="H7" i="28"/>
  <c r="I9" i="27"/>
  <c r="J9" i="27" s="1"/>
  <c r="I7" i="25"/>
  <c r="J7" i="25" s="1"/>
  <c r="B7" i="25"/>
  <c r="B8" i="25" s="1"/>
  <c r="B9" i="25" s="1"/>
  <c r="B10" i="25" s="1"/>
  <c r="B11" i="25" s="1"/>
  <c r="B12" i="25" s="1"/>
  <c r="B13" i="25" s="1"/>
  <c r="B14" i="25" s="1"/>
  <c r="B15" i="25" s="1"/>
  <c r="B16" i="25" s="1"/>
  <c r="B17" i="25" s="1"/>
  <c r="G4" i="25"/>
  <c r="E4" i="25"/>
  <c r="B17" i="24"/>
  <c r="B18" i="24" s="1"/>
  <c r="B19" i="24" s="1"/>
  <c r="B21" i="24" s="1"/>
  <c r="H9" i="24"/>
  <c r="H8" i="24"/>
  <c r="F9" i="24"/>
  <c r="F8" i="24"/>
  <c r="H7" i="24"/>
  <c r="F7" i="24"/>
  <c r="H6" i="24"/>
  <c r="H12" i="24" s="1"/>
  <c r="F6" i="24"/>
  <c r="G4" i="24"/>
  <c r="E4" i="24"/>
  <c r="B7" i="24"/>
  <c r="B8" i="24" s="1"/>
  <c r="B9" i="24" s="1"/>
  <c r="B10" i="24" s="1"/>
  <c r="B11" i="24" s="1"/>
  <c r="B12" i="24" s="1"/>
  <c r="J6" i="23"/>
  <c r="I6" i="23"/>
  <c r="B23" i="23"/>
  <c r="B24" i="23" s="1"/>
  <c r="B25" i="23" s="1"/>
  <c r="B26" i="23" s="1"/>
  <c r="G14" i="23"/>
  <c r="B13" i="23"/>
  <c r="H9" i="23"/>
  <c r="F17" i="23" s="1"/>
  <c r="F9" i="23"/>
  <c r="F10" i="23" s="1"/>
  <c r="H8" i="23"/>
  <c r="H7" i="23" s="1"/>
  <c r="F8" i="23"/>
  <c r="F7" i="23" s="1"/>
  <c r="G4" i="23"/>
  <c r="E14" i="23" s="1"/>
  <c r="E4" i="23"/>
  <c r="J14" i="23" s="1"/>
  <c r="B7" i="23"/>
  <c r="B8" i="23" s="1"/>
  <c r="B9" i="23" s="1"/>
  <c r="B10" i="23" s="1"/>
  <c r="B11" i="23" s="1"/>
  <c r="I8" i="24" l="1"/>
  <c r="J8" i="24" s="1"/>
  <c r="H10" i="23"/>
  <c r="J10" i="23" s="1"/>
  <c r="I9" i="24"/>
  <c r="J9" i="24" s="1"/>
  <c r="I7" i="24"/>
  <c r="J7" i="24" s="1"/>
  <c r="I7" i="23"/>
  <c r="I10" i="23"/>
  <c r="K16" i="23"/>
  <c r="G25" i="28"/>
  <c r="H25" i="28"/>
  <c r="H12" i="25"/>
  <c r="F12" i="25"/>
  <c r="I8" i="25"/>
  <c r="J8" i="25" s="1"/>
  <c r="F16" i="23"/>
  <c r="J9" i="23"/>
  <c r="J8" i="23"/>
  <c r="J7" i="23"/>
  <c r="F11" i="24"/>
  <c r="I11" i="24" s="1"/>
  <c r="J11" i="24" s="1"/>
  <c r="I16" i="23"/>
  <c r="K17" i="23"/>
  <c r="I9" i="23"/>
  <c r="I8" i="23"/>
  <c r="E19" i="24"/>
  <c r="E20" i="24"/>
  <c r="I6" i="24"/>
  <c r="J6" i="24" s="1"/>
  <c r="F5" i="22"/>
  <c r="G5" i="22"/>
  <c r="E5" i="22"/>
  <c r="K10" i="22"/>
  <c r="J10" i="22"/>
  <c r="I10" i="22"/>
  <c r="H10" i="22"/>
  <c r="K4" i="22"/>
  <c r="J4" i="22"/>
  <c r="I4" i="22"/>
  <c r="H4" i="22"/>
  <c r="G4" i="22"/>
  <c r="F4" i="22"/>
  <c r="E4" i="22"/>
  <c r="F6" i="21"/>
  <c r="G6" i="21"/>
  <c r="F12" i="21"/>
  <c r="G12" i="21"/>
  <c r="E12" i="21"/>
  <c r="E6" i="21"/>
  <c r="K4" i="21"/>
  <c r="J4" i="21"/>
  <c r="I4" i="21"/>
  <c r="H4" i="21"/>
  <c r="G4" i="21"/>
  <c r="F4" i="21"/>
  <c r="E4" i="21"/>
  <c r="F40" i="18"/>
  <c r="G40" i="18"/>
  <c r="E40" i="18"/>
  <c r="D74" i="6"/>
  <c r="D73" i="6"/>
  <c r="D72" i="6"/>
  <c r="D71" i="6"/>
  <c r="D70" i="6"/>
  <c r="D69" i="6"/>
  <c r="D68" i="6"/>
  <c r="D67" i="6"/>
  <c r="D66" i="6"/>
  <c r="H6" i="21" l="1"/>
  <c r="H12" i="21"/>
  <c r="I17" i="23"/>
  <c r="E24" i="23" s="1"/>
  <c r="I19" i="24"/>
  <c r="J5" i="22"/>
  <c r="F12" i="24"/>
  <c r="I12" i="24" s="1"/>
  <c r="J12" i="24" s="1"/>
  <c r="K6" i="21"/>
  <c r="J6" i="21"/>
  <c r="H5" i="22"/>
  <c r="K12" i="21"/>
  <c r="G51" i="28"/>
  <c r="H51" i="28"/>
  <c r="G50" i="28"/>
  <c r="H50" i="28"/>
  <c r="G49" i="28"/>
  <c r="H49" i="28"/>
  <c r="E22" i="23"/>
  <c r="I6" i="21"/>
  <c r="J12" i="21"/>
  <c r="K5" i="22"/>
  <c r="I5" i="22"/>
  <c r="I12" i="21"/>
  <c r="E21" i="24" l="1"/>
  <c r="I18" i="23"/>
  <c r="E25" i="23"/>
  <c r="I25" i="23" s="1"/>
  <c r="E26" i="23"/>
  <c r="I26" i="23" s="1"/>
  <c r="E18" i="24"/>
  <c r="I18" i="24" s="1"/>
  <c r="I24" i="23"/>
  <c r="I22" i="23"/>
  <c r="I20" i="24"/>
  <c r="F6" i="18" l="1"/>
  <c r="F36" i="18" s="1"/>
  <c r="G6" i="18"/>
  <c r="G36" i="18" s="1"/>
  <c r="E6" i="18"/>
  <c r="K4" i="18"/>
  <c r="J4" i="18"/>
  <c r="K3" i="17"/>
  <c r="J3" i="17"/>
  <c r="J4" i="15"/>
  <c r="I4" i="15"/>
  <c r="K4" i="16"/>
  <c r="J4" i="16"/>
  <c r="K4" i="13"/>
  <c r="J4" i="13"/>
  <c r="K4" i="9"/>
  <c r="J4" i="9"/>
  <c r="K4" i="14"/>
  <c r="J4" i="14"/>
  <c r="K4" i="11"/>
  <c r="J4" i="11"/>
  <c r="K40" i="18"/>
  <c r="J40" i="18"/>
  <c r="I40" i="18"/>
  <c r="H40" i="18"/>
  <c r="K37" i="18"/>
  <c r="J37" i="18"/>
  <c r="I4" i="18"/>
  <c r="H4" i="18"/>
  <c r="G4" i="18"/>
  <c r="E2" i="20" s="1"/>
  <c r="F4" i="18"/>
  <c r="D2" i="20" s="1"/>
  <c r="E4" i="18"/>
  <c r="C2" i="20" s="1"/>
  <c r="G5" i="17"/>
  <c r="F5" i="17"/>
  <c r="E5" i="17"/>
  <c r="I3" i="17"/>
  <c r="H3" i="17"/>
  <c r="G3" i="17"/>
  <c r="F3" i="17"/>
  <c r="E3" i="17"/>
  <c r="K6" i="18" l="1"/>
  <c r="F41" i="18"/>
  <c r="G41" i="18"/>
  <c r="K5" i="17"/>
  <c r="H6" i="18"/>
  <c r="J6" i="18"/>
  <c r="I6" i="18"/>
  <c r="E41" i="18"/>
  <c r="E36" i="18"/>
  <c r="H5" i="17"/>
  <c r="J5" i="17"/>
  <c r="I5" i="17"/>
  <c r="J41" i="18" l="1"/>
  <c r="K41" i="18"/>
  <c r="H41" i="18"/>
  <c r="I41" i="18"/>
  <c r="J36" i="18"/>
  <c r="H36" i="18"/>
  <c r="K36" i="18"/>
  <c r="I36" i="18"/>
  <c r="I4" i="16"/>
  <c r="H4" i="16"/>
  <c r="G4" i="16"/>
  <c r="J17" i="16" s="1"/>
  <c r="F4" i="16"/>
  <c r="H17" i="16" s="1"/>
  <c r="E4" i="16"/>
  <c r="F17" i="16" s="1"/>
  <c r="G17" i="16" l="1"/>
  <c r="E17" i="16"/>
  <c r="I17" i="16"/>
  <c r="J11" i="15" l="1"/>
  <c r="I11" i="15"/>
  <c r="H11" i="15"/>
  <c r="G11" i="15"/>
  <c r="J9" i="15"/>
  <c r="I9" i="15"/>
  <c r="H9" i="15"/>
  <c r="G9" i="15"/>
  <c r="H4" i="15"/>
  <c r="G4" i="15"/>
  <c r="F4" i="15"/>
  <c r="E4" i="15"/>
  <c r="D4" i="15"/>
  <c r="I4" i="14"/>
  <c r="H4" i="14"/>
  <c r="G4" i="14"/>
  <c r="F4" i="14"/>
  <c r="E4" i="14"/>
  <c r="G13" i="13"/>
  <c r="F13" i="13"/>
  <c r="G11" i="13"/>
  <c r="F11" i="13"/>
  <c r="E13" i="13"/>
  <c r="K13" i="13" s="1"/>
  <c r="E11" i="13"/>
  <c r="I4" i="13"/>
  <c r="H4" i="13"/>
  <c r="G4" i="13"/>
  <c r="F4" i="13"/>
  <c r="E4" i="13"/>
  <c r="H2" i="12"/>
  <c r="G2" i="12"/>
  <c r="F2" i="12"/>
  <c r="E2" i="12"/>
  <c r="D2" i="12"/>
  <c r="C2" i="12"/>
  <c r="J11" i="13" l="1"/>
  <c r="H13" i="13"/>
  <c r="I11" i="13"/>
  <c r="K11" i="13"/>
  <c r="J13" i="13"/>
  <c r="I13" i="13"/>
  <c r="H11" i="13"/>
  <c r="G13" i="11"/>
  <c r="F13" i="11"/>
  <c r="G12" i="11"/>
  <c r="F12" i="11"/>
  <c r="E13" i="11"/>
  <c r="E12" i="11"/>
  <c r="G6" i="11" l="1"/>
  <c r="G7" i="11" s="1"/>
  <c r="F6" i="11"/>
  <c r="F7" i="11" s="1"/>
  <c r="E6" i="11"/>
  <c r="I4" i="11"/>
  <c r="H4" i="11"/>
  <c r="G4" i="11"/>
  <c r="F4" i="11"/>
  <c r="E4" i="11"/>
  <c r="K13" i="11"/>
  <c r="J12" i="11"/>
  <c r="H4" i="12"/>
  <c r="F4" i="12"/>
  <c r="H3" i="12"/>
  <c r="G5" i="12"/>
  <c r="E5" i="12"/>
  <c r="E4" i="12"/>
  <c r="G3" i="12"/>
  <c r="E3" i="12"/>
  <c r="D3" i="12"/>
  <c r="C5" i="12"/>
  <c r="C3" i="12"/>
  <c r="E4" i="10"/>
  <c r="E13" i="10" s="1"/>
  <c r="E18" i="10" s="1"/>
  <c r="H28" i="10" s="1"/>
  <c r="D4" i="10"/>
  <c r="N4" i="10" s="1"/>
  <c r="C4" i="10"/>
  <c r="C13" i="10" s="1"/>
  <c r="C18" i="10" s="1"/>
  <c r="F28" i="10" s="1"/>
  <c r="I4" i="9"/>
  <c r="H4" i="9"/>
  <c r="G4" i="9"/>
  <c r="F4" i="9"/>
  <c r="E4" i="9"/>
  <c r="B22" i="10"/>
  <c r="B21" i="10"/>
  <c r="B20" i="10"/>
  <c r="B19" i="10"/>
  <c r="G7" i="8"/>
  <c r="F7" i="8"/>
  <c r="E7" i="8"/>
  <c r="G5" i="8"/>
  <c r="F5" i="8"/>
  <c r="E5" i="8"/>
  <c r="I4" i="8"/>
  <c r="H4" i="8"/>
  <c r="G4" i="8"/>
  <c r="F4" i="8"/>
  <c r="E4" i="8"/>
  <c r="K9" i="8"/>
  <c r="J9" i="8"/>
  <c r="B6" i="8"/>
  <c r="B7" i="8" s="1"/>
  <c r="B8" i="8" s="1"/>
  <c r="B10" i="8" s="1"/>
  <c r="B11" i="8" s="1"/>
  <c r="B12" i="8" s="1"/>
  <c r="B13" i="8" s="1"/>
  <c r="B14" i="8" s="1"/>
  <c r="K6" i="11" l="1"/>
  <c r="K7" i="8"/>
  <c r="D13" i="10"/>
  <c r="D18" i="10" s="1"/>
  <c r="G28" i="10" s="1"/>
  <c r="E7" i="11"/>
  <c r="F3" i="12"/>
  <c r="G31" i="10"/>
  <c r="D15" i="10"/>
  <c r="D20" i="10" s="1"/>
  <c r="D4" i="12"/>
  <c r="C15" i="10"/>
  <c r="C20" i="10" s="1"/>
  <c r="C4" i="12"/>
  <c r="E15" i="10"/>
  <c r="E20" i="10" s="1"/>
  <c r="G4" i="12"/>
  <c r="H6" i="11"/>
  <c r="J6" i="11"/>
  <c r="I12" i="11"/>
  <c r="K12" i="11"/>
  <c r="H13" i="11"/>
  <c r="J13" i="11"/>
  <c r="I6" i="11"/>
  <c r="H12" i="11"/>
  <c r="I13" i="11"/>
  <c r="G4" i="10"/>
  <c r="H34" i="10"/>
  <c r="F34" i="10"/>
  <c r="F4" i="10"/>
  <c r="H4" i="10"/>
  <c r="K4" i="10"/>
  <c r="M4" i="10"/>
  <c r="O4" i="10"/>
  <c r="Q4" i="10"/>
  <c r="P5" i="10"/>
  <c r="R5" i="10"/>
  <c r="Q6" i="10"/>
  <c r="C14" i="10"/>
  <c r="C19" i="10" s="1"/>
  <c r="E14" i="10"/>
  <c r="E19" i="10" s="1"/>
  <c r="F29" i="10"/>
  <c r="H29" i="10"/>
  <c r="G30" i="10"/>
  <c r="F31" i="10"/>
  <c r="H31" i="10"/>
  <c r="G34" i="10"/>
  <c r="J4" i="10"/>
  <c r="L4" i="10"/>
  <c r="P4" i="10"/>
  <c r="R4" i="10"/>
  <c r="Q5" i="10"/>
  <c r="P6" i="10"/>
  <c r="R6" i="10"/>
  <c r="D14" i="10"/>
  <c r="D19" i="10" s="1"/>
  <c r="G29" i="10"/>
  <c r="F30" i="10"/>
  <c r="H30" i="10"/>
  <c r="J7" i="8"/>
  <c r="H5" i="8"/>
  <c r="J5" i="8"/>
  <c r="H7" i="8"/>
  <c r="I5" i="8"/>
  <c r="K5" i="8"/>
  <c r="I7" i="8"/>
  <c r="D74" i="5"/>
  <c r="C74" i="5"/>
  <c r="C73" i="5"/>
  <c r="D73" i="5"/>
  <c r="D72" i="5"/>
  <c r="C72" i="5"/>
  <c r="D70" i="5"/>
  <c r="C70" i="5"/>
  <c r="D52" i="5"/>
  <c r="C52" i="5"/>
  <c r="D50" i="5"/>
  <c r="C50" i="5"/>
  <c r="D39" i="5"/>
  <c r="D38" i="5"/>
  <c r="D37" i="5"/>
  <c r="D36" i="5"/>
  <c r="D35" i="5"/>
  <c r="C39" i="5"/>
  <c r="C38" i="5"/>
  <c r="C37" i="5"/>
  <c r="C36" i="5"/>
  <c r="C35" i="5"/>
  <c r="D29" i="5"/>
  <c r="D28" i="5"/>
  <c r="D27" i="5"/>
  <c r="D26" i="5"/>
  <c r="C29" i="5"/>
  <c r="C28" i="5"/>
  <c r="C27" i="5"/>
  <c r="C26" i="5"/>
  <c r="D6" i="5"/>
  <c r="C6" i="5"/>
  <c r="A1" i="5"/>
  <c r="G51" i="5"/>
  <c r="G49" i="5"/>
  <c r="G48" i="5"/>
  <c r="G47" i="5"/>
  <c r="G46" i="5"/>
  <c r="G45" i="5"/>
  <c r="D53" i="5" l="1"/>
  <c r="F52" i="5" s="1"/>
  <c r="C53" i="5"/>
  <c r="E52" i="5" s="1"/>
  <c r="G52" i="5"/>
  <c r="J7" i="11"/>
  <c r="H7" i="11"/>
  <c r="K7" i="11"/>
  <c r="I7" i="11"/>
  <c r="G39" i="5"/>
  <c r="G29" i="5"/>
  <c r="G38" i="5"/>
  <c r="G35" i="5"/>
  <c r="E6" i="5"/>
  <c r="F47" i="5"/>
  <c r="G26" i="5"/>
  <c r="G28" i="5"/>
  <c r="G37" i="5"/>
  <c r="F45" i="5"/>
  <c r="G50" i="5"/>
  <c r="G73" i="5"/>
  <c r="G74" i="5"/>
  <c r="G27" i="5"/>
  <c r="G36" i="5"/>
  <c r="G72" i="5"/>
  <c r="C30" i="5"/>
  <c r="E27" i="5" s="1"/>
  <c r="D40" i="5"/>
  <c r="F39" i="5" s="1"/>
  <c r="G70" i="5"/>
  <c r="D30" i="5"/>
  <c r="F28" i="5" s="1"/>
  <c r="C40" i="5"/>
  <c r="E39" i="5" s="1"/>
  <c r="F53" i="5"/>
  <c r="F48" i="5"/>
  <c r="F51" i="5"/>
  <c r="F50" i="5"/>
  <c r="F46" i="5" l="1"/>
  <c r="F49" i="5"/>
  <c r="H52" i="5"/>
  <c r="G53" i="5"/>
  <c r="I52" i="5" s="1"/>
  <c r="F37" i="5"/>
  <c r="F38" i="5"/>
  <c r="H39" i="5"/>
  <c r="G40" i="5"/>
  <c r="I40" i="5" s="1"/>
  <c r="F26" i="5"/>
  <c r="F27" i="5"/>
  <c r="H27" i="5" s="1"/>
  <c r="G30" i="5"/>
  <c r="I30" i="5" s="1"/>
  <c r="E38" i="5"/>
  <c r="E35" i="5"/>
  <c r="E37" i="5"/>
  <c r="E30" i="5"/>
  <c r="C17" i="5"/>
  <c r="E26" i="5"/>
  <c r="E40" i="5"/>
  <c r="C18" i="5"/>
  <c r="F30" i="5"/>
  <c r="D17" i="5"/>
  <c r="F29" i="5"/>
  <c r="E51" i="5"/>
  <c r="H51" i="5" s="1"/>
  <c r="E49" i="5"/>
  <c r="H49" i="5" s="1"/>
  <c r="E47" i="5"/>
  <c r="H47" i="5" s="1"/>
  <c r="E45" i="5"/>
  <c r="H45" i="5" s="1"/>
  <c r="E53" i="5"/>
  <c r="E48" i="5"/>
  <c r="H48" i="5" s="1"/>
  <c r="E46" i="5"/>
  <c r="H46" i="5" s="1"/>
  <c r="E50" i="5"/>
  <c r="H50" i="5" s="1"/>
  <c r="F40" i="5"/>
  <c r="D18" i="5"/>
  <c r="F36" i="5"/>
  <c r="E36" i="5"/>
  <c r="F35" i="5"/>
  <c r="E29" i="5"/>
  <c r="E28" i="5"/>
  <c r="H28" i="5" s="1"/>
  <c r="D20" i="5" l="1"/>
  <c r="I46" i="5"/>
  <c r="I49" i="5"/>
  <c r="I47" i="5"/>
  <c r="I53" i="5"/>
  <c r="I51" i="5"/>
  <c r="H37" i="5"/>
  <c r="I50" i="5"/>
  <c r="I48" i="5"/>
  <c r="I45" i="5"/>
  <c r="H38" i="5"/>
  <c r="H26" i="5"/>
  <c r="H29" i="5"/>
  <c r="C20" i="5"/>
  <c r="H36" i="5"/>
  <c r="H35" i="5"/>
  <c r="I37" i="5"/>
  <c r="I38" i="5"/>
  <c r="I35" i="5"/>
  <c r="I36" i="5"/>
  <c r="I39" i="5"/>
  <c r="I29" i="5"/>
  <c r="I26" i="5"/>
  <c r="I28" i="5"/>
  <c r="I27" i="5"/>
  <c r="G18" i="5"/>
  <c r="D19" i="5"/>
  <c r="F19" i="5" s="1"/>
  <c r="G17" i="5"/>
  <c r="C19" i="5"/>
  <c r="E19" i="5" s="1"/>
  <c r="F17" i="5" l="1"/>
  <c r="F18" i="5"/>
  <c r="E17" i="5"/>
  <c r="G19" i="5"/>
  <c r="I19" i="5" s="1"/>
  <c r="E18" i="5"/>
  <c r="H17" i="5" l="1"/>
  <c r="H18" i="5"/>
  <c r="I18" i="5"/>
  <c r="I17" i="5"/>
  <c r="H48" i="4" l="1"/>
  <c r="G48" i="4"/>
  <c r="F48" i="4"/>
  <c r="E48" i="4"/>
  <c r="D48" i="4"/>
  <c r="C48" i="4"/>
  <c r="H47" i="4"/>
  <c r="G47" i="4"/>
  <c r="F47" i="4"/>
  <c r="E47" i="4"/>
  <c r="D47" i="4"/>
  <c r="C47" i="4"/>
  <c r="H46" i="4"/>
  <c r="G46" i="4"/>
  <c r="F46" i="4"/>
  <c r="E46" i="4"/>
  <c r="D46" i="4"/>
  <c r="C46" i="4"/>
  <c r="H45" i="4"/>
  <c r="G45" i="4"/>
  <c r="F45" i="4"/>
  <c r="E45" i="4"/>
  <c r="D45" i="4"/>
  <c r="C45" i="4"/>
  <c r="H44" i="4"/>
  <c r="G44" i="4"/>
  <c r="F44" i="4"/>
  <c r="E44" i="4"/>
  <c r="D44" i="4"/>
  <c r="C44" i="4"/>
  <c r="H41" i="4"/>
  <c r="G41" i="4"/>
  <c r="F41" i="4"/>
  <c r="E41" i="4"/>
  <c r="D41" i="4"/>
  <c r="C41" i="4"/>
  <c r="H40" i="4"/>
  <c r="G40" i="4"/>
  <c r="F40" i="4"/>
  <c r="E40" i="4"/>
  <c r="D40" i="4"/>
  <c r="C40" i="4"/>
  <c r="H39" i="4"/>
  <c r="G39" i="4"/>
  <c r="F39" i="4"/>
  <c r="E39" i="4"/>
  <c r="D39" i="4"/>
  <c r="C39" i="4"/>
  <c r="H38" i="4"/>
  <c r="G38" i="4"/>
  <c r="F38" i="4"/>
  <c r="E38" i="4"/>
  <c r="E42" i="4" s="1"/>
  <c r="D38" i="4"/>
  <c r="C38" i="4"/>
  <c r="H35" i="4"/>
  <c r="G35" i="4"/>
  <c r="F35" i="4"/>
  <c r="E35" i="4"/>
  <c r="D35" i="4"/>
  <c r="C35" i="4"/>
  <c r="H34" i="4"/>
  <c r="G34" i="4"/>
  <c r="F34" i="4"/>
  <c r="E34" i="4"/>
  <c r="D34" i="4"/>
  <c r="C34" i="4"/>
  <c r="H33" i="4"/>
  <c r="G33" i="4"/>
  <c r="F33" i="4"/>
  <c r="E33" i="4"/>
  <c r="D33" i="4"/>
  <c r="C33" i="4"/>
  <c r="H32" i="4"/>
  <c r="G32" i="4"/>
  <c r="F32" i="4"/>
  <c r="E32" i="4"/>
  <c r="D32" i="4"/>
  <c r="C32" i="4"/>
  <c r="H31" i="4"/>
  <c r="G31" i="4"/>
  <c r="F31" i="4"/>
  <c r="E31" i="4"/>
  <c r="D31" i="4"/>
  <c r="C31" i="4"/>
  <c r="H30" i="4"/>
  <c r="G30" i="4"/>
  <c r="F30" i="4"/>
  <c r="E30" i="4"/>
  <c r="D30" i="4"/>
  <c r="C30" i="4"/>
  <c r="H25" i="4"/>
  <c r="G25" i="4"/>
  <c r="F25" i="4"/>
  <c r="E25" i="4"/>
  <c r="D25" i="4"/>
  <c r="C25" i="4"/>
  <c r="H24" i="4"/>
  <c r="G24" i="4"/>
  <c r="F24" i="4"/>
  <c r="E24" i="4"/>
  <c r="D24" i="4"/>
  <c r="C24" i="4"/>
  <c r="H23" i="4"/>
  <c r="G23" i="4"/>
  <c r="F23" i="4"/>
  <c r="E23" i="4"/>
  <c r="D23" i="4"/>
  <c r="C23" i="4"/>
  <c r="H22" i="4"/>
  <c r="G22" i="4"/>
  <c r="F22" i="4"/>
  <c r="E22" i="4"/>
  <c r="D22" i="4"/>
  <c r="C22" i="4"/>
  <c r="H21" i="4"/>
  <c r="G21" i="4"/>
  <c r="F21" i="4"/>
  <c r="E21" i="4"/>
  <c r="D21" i="4"/>
  <c r="C21" i="4"/>
  <c r="H20" i="4"/>
  <c r="G20" i="4"/>
  <c r="F20" i="4"/>
  <c r="E20" i="4"/>
  <c r="E26" i="4" s="1"/>
  <c r="D20" i="4"/>
  <c r="C20"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C6" i="4"/>
  <c r="D6" i="4" s="1"/>
  <c r="E6" i="4" s="1"/>
  <c r="F6" i="4" s="1"/>
  <c r="G6" i="4" s="1"/>
  <c r="H6" i="4" s="1"/>
  <c r="I6" i="4" s="1"/>
  <c r="J6" i="4" s="1"/>
  <c r="K6" i="4" s="1"/>
  <c r="K5" i="4"/>
  <c r="J5" i="4"/>
  <c r="I5" i="4"/>
  <c r="H5" i="4"/>
  <c r="G5" i="4"/>
  <c r="F5" i="4"/>
  <c r="E5" i="4"/>
  <c r="D5" i="4"/>
  <c r="C5" i="4"/>
  <c r="F60" i="3"/>
  <c r="E60" i="3"/>
  <c r="D60" i="3"/>
  <c r="F59" i="3"/>
  <c r="E59" i="3"/>
  <c r="D59" i="3"/>
  <c r="F58" i="3"/>
  <c r="E58" i="3"/>
  <c r="H9" i="25" s="1"/>
  <c r="D58" i="3"/>
  <c r="F9" i="25" s="1"/>
  <c r="F55" i="3"/>
  <c r="G10" i="18" s="1"/>
  <c r="G24" i="18" s="1"/>
  <c r="E55" i="3"/>
  <c r="F10" i="18" s="1"/>
  <c r="F24" i="18" s="1"/>
  <c r="D55" i="3"/>
  <c r="E10" i="18" s="1"/>
  <c r="F50" i="3"/>
  <c r="E50" i="3"/>
  <c r="D50" i="3"/>
  <c r="F17" i="3"/>
  <c r="E17" i="3"/>
  <c r="D17" i="3"/>
  <c r="F9" i="3"/>
  <c r="E9" i="3"/>
  <c r="D9" i="3"/>
  <c r="F3" i="3"/>
  <c r="E3" i="3"/>
  <c r="D3" i="3"/>
  <c r="F7" i="34"/>
  <c r="J7" i="34" s="1"/>
  <c r="E7" i="34"/>
  <c r="G9" i="41"/>
  <c r="F9" i="41"/>
  <c r="G1" i="41"/>
  <c r="J1" i="41" s="1"/>
  <c r="M1" i="41" s="1"/>
  <c r="F1" i="41"/>
  <c r="I1" i="41" s="1"/>
  <c r="L1" i="41" s="1"/>
  <c r="E1" i="41"/>
  <c r="H1" i="41" s="1"/>
  <c r="K1" i="41" s="1"/>
  <c r="E9" i="41" l="1"/>
  <c r="G20" i="41"/>
  <c r="E36" i="4"/>
  <c r="E49" i="4"/>
  <c r="C26" i="4"/>
  <c r="C36" i="4"/>
  <c r="C42" i="4"/>
  <c r="C49" i="4"/>
  <c r="D26" i="4"/>
  <c r="H10" i="27"/>
  <c r="D8" i="10"/>
  <c r="E7" i="38"/>
  <c r="E25" i="38" s="1"/>
  <c r="D23" i="35" s="1"/>
  <c r="D18" i="37"/>
  <c r="D5" i="37"/>
  <c r="E14" i="41"/>
  <c r="F38" i="37"/>
  <c r="L8" i="10"/>
  <c r="F14" i="38"/>
  <c r="E21" i="37"/>
  <c r="E26" i="37" s="1"/>
  <c r="E6" i="37"/>
  <c r="K7" i="10"/>
  <c r="D38" i="37"/>
  <c r="F10" i="40"/>
  <c r="J8" i="10"/>
  <c r="D14" i="38"/>
  <c r="E8" i="10"/>
  <c r="F7" i="38"/>
  <c r="F25" i="38" s="1"/>
  <c r="C23" i="35" s="1"/>
  <c r="E18" i="37"/>
  <c r="E5" i="37"/>
  <c r="F14" i="41"/>
  <c r="F21" i="37"/>
  <c r="F26" i="37" s="1"/>
  <c r="F6" i="37"/>
  <c r="L7" i="10"/>
  <c r="H5" i="12" s="1"/>
  <c r="F10" i="27"/>
  <c r="C8" i="10"/>
  <c r="D7" i="38"/>
  <c r="F18" i="37"/>
  <c r="F5" i="37"/>
  <c r="G14" i="41"/>
  <c r="E38" i="37"/>
  <c r="H10" i="40"/>
  <c r="K8" i="10"/>
  <c r="E14" i="38"/>
  <c r="D21" i="37"/>
  <c r="D26" i="37" s="1"/>
  <c r="D6" i="37"/>
  <c r="J7" i="10"/>
  <c r="H6" i="27"/>
  <c r="H8" i="27"/>
  <c r="F17" i="27" s="1"/>
  <c r="H7" i="34"/>
  <c r="I7" i="34"/>
  <c r="K7" i="34" s="1"/>
  <c r="G7" i="34"/>
  <c r="F6" i="27"/>
  <c r="F8" i="27"/>
  <c r="E9" i="31"/>
  <c r="H9" i="31"/>
  <c r="H15" i="25"/>
  <c r="G9" i="31"/>
  <c r="C9" i="31"/>
  <c r="F9" i="31"/>
  <c r="D9" i="31"/>
  <c r="I9" i="25"/>
  <c r="J9" i="25" s="1"/>
  <c r="F15" i="25"/>
  <c r="F29" i="14"/>
  <c r="G18" i="16"/>
  <c r="F7" i="13"/>
  <c r="F29" i="18"/>
  <c r="G19" i="16"/>
  <c r="F14" i="11"/>
  <c r="F32" i="14"/>
  <c r="F33" i="14"/>
  <c r="F6" i="16"/>
  <c r="H18" i="16" s="1"/>
  <c r="F14" i="16"/>
  <c r="F18" i="14"/>
  <c r="F22" i="14"/>
  <c r="F24" i="14"/>
  <c r="F9" i="14"/>
  <c r="E5" i="15"/>
  <c r="F17" i="9"/>
  <c r="F10" i="9"/>
  <c r="F8" i="9"/>
  <c r="F7" i="9"/>
  <c r="F6" i="9"/>
  <c r="F17" i="11"/>
  <c r="F16" i="11"/>
  <c r="F10" i="14"/>
  <c r="F28" i="14"/>
  <c r="F7" i="16"/>
  <c r="F15" i="16"/>
  <c r="F15" i="14"/>
  <c r="F19" i="14"/>
  <c r="F21" i="14"/>
  <c r="E6" i="15"/>
  <c r="E10" i="15" s="1"/>
  <c r="F8" i="14"/>
  <c r="F9" i="13"/>
  <c r="F16" i="9"/>
  <c r="F11" i="9"/>
  <c r="F31" i="14"/>
  <c r="F8" i="16"/>
  <c r="H20" i="16" s="1"/>
  <c r="G7" i="21"/>
  <c r="G17" i="21" s="1"/>
  <c r="E12" i="18"/>
  <c r="E27" i="18" s="1"/>
  <c r="C6" i="20" s="1"/>
  <c r="G12" i="18"/>
  <c r="G27" i="18" s="1"/>
  <c r="F13" i="18"/>
  <c r="F31" i="18" s="1"/>
  <c r="E14" i="18"/>
  <c r="E33" i="18" s="1"/>
  <c r="C11" i="20" s="1"/>
  <c r="G14" i="18"/>
  <c r="G33" i="18" s="1"/>
  <c r="E29" i="14"/>
  <c r="E18" i="16"/>
  <c r="E7" i="13"/>
  <c r="G29" i="14"/>
  <c r="I18" i="16"/>
  <c r="G7" i="13"/>
  <c r="E29" i="18"/>
  <c r="E19" i="16"/>
  <c r="E14" i="11"/>
  <c r="G29" i="18"/>
  <c r="I19" i="16"/>
  <c r="G14" i="11"/>
  <c r="E32" i="14"/>
  <c r="E33" i="14"/>
  <c r="E6" i="16"/>
  <c r="E14" i="16"/>
  <c r="E24" i="14"/>
  <c r="E22" i="14"/>
  <c r="E18" i="14"/>
  <c r="D5" i="15"/>
  <c r="E9" i="14"/>
  <c r="E17" i="9"/>
  <c r="E10" i="9"/>
  <c r="E7" i="9"/>
  <c r="E8" i="9"/>
  <c r="E6" i="9"/>
  <c r="E16" i="11"/>
  <c r="E17" i="11"/>
  <c r="G32" i="14"/>
  <c r="G33" i="14"/>
  <c r="G14" i="16"/>
  <c r="G6" i="16"/>
  <c r="J18" i="16" s="1"/>
  <c r="G22" i="14"/>
  <c r="G24" i="14"/>
  <c r="G18" i="14"/>
  <c r="G17" i="9"/>
  <c r="G10" i="9"/>
  <c r="G8" i="9"/>
  <c r="G7" i="9"/>
  <c r="G6" i="9"/>
  <c r="F5" i="15"/>
  <c r="G9" i="14"/>
  <c r="G17" i="11"/>
  <c r="G16" i="11"/>
  <c r="E10" i="14"/>
  <c r="E28" i="14"/>
  <c r="E15" i="16"/>
  <c r="E7" i="16"/>
  <c r="E19" i="14"/>
  <c r="E21" i="14"/>
  <c r="E15" i="14"/>
  <c r="E9" i="13"/>
  <c r="D6" i="15"/>
  <c r="E8" i="14"/>
  <c r="E16" i="9"/>
  <c r="E11" i="9"/>
  <c r="G10" i="14"/>
  <c r="G28" i="14"/>
  <c r="G15" i="16"/>
  <c r="G7" i="16"/>
  <c r="G21" i="14"/>
  <c r="G15" i="14"/>
  <c r="G19" i="14"/>
  <c r="F6" i="15"/>
  <c r="F10" i="15" s="1"/>
  <c r="G9" i="13"/>
  <c r="G16" i="9"/>
  <c r="G11" i="9"/>
  <c r="G8" i="14"/>
  <c r="D61" i="5"/>
  <c r="E31" i="14"/>
  <c r="E8" i="16"/>
  <c r="G31" i="14"/>
  <c r="G8" i="16"/>
  <c r="J20" i="16" s="1"/>
  <c r="F12" i="18"/>
  <c r="F27" i="18" s="1"/>
  <c r="E13" i="18"/>
  <c r="G13" i="18"/>
  <c r="F14" i="18"/>
  <c r="F33" i="18" s="1"/>
  <c r="E24" i="18"/>
  <c r="K10" i="18"/>
  <c r="I10" i="18"/>
  <c r="J10" i="18"/>
  <c r="H10" i="18"/>
  <c r="D59" i="5"/>
  <c r="D64" i="5"/>
  <c r="D71" i="5"/>
  <c r="D60" i="5"/>
  <c r="H26" i="4"/>
  <c r="C59" i="5"/>
  <c r="E54" i="3"/>
  <c r="F9" i="18" s="1"/>
  <c r="F20" i="18" s="1"/>
  <c r="F21" i="18" s="1"/>
  <c r="C60" i="5"/>
  <c r="C71" i="5"/>
  <c r="C75" i="5" s="1"/>
  <c r="F54" i="3"/>
  <c r="G9" i="18" s="1"/>
  <c r="G20" i="18" s="1"/>
  <c r="G21" i="18" s="1"/>
  <c r="C64" i="5"/>
  <c r="C61" i="5"/>
  <c r="E18" i="4"/>
  <c r="E27" i="4" s="1"/>
  <c r="C18" i="4"/>
  <c r="D42" i="4"/>
  <c r="D49" i="4"/>
  <c r="H18" i="4"/>
  <c r="E56" i="3"/>
  <c r="H36" i="4"/>
  <c r="E53" i="3"/>
  <c r="D56" i="3"/>
  <c r="E57" i="3"/>
  <c r="F26" i="4"/>
  <c r="H42" i="4"/>
  <c r="H49" i="4"/>
  <c r="F18" i="4"/>
  <c r="G26" i="4"/>
  <c r="D57" i="3"/>
  <c r="F57" i="3"/>
  <c r="F61" i="3" s="1"/>
  <c r="F36" i="4"/>
  <c r="D53" i="3"/>
  <c r="F53" i="3"/>
  <c r="G42" i="4"/>
  <c r="G49" i="4"/>
  <c r="D7" i="37"/>
  <c r="D54" i="3"/>
  <c r="E9" i="18" s="1"/>
  <c r="F56" i="3"/>
  <c r="D18" i="4"/>
  <c r="G18" i="4"/>
  <c r="D36" i="4"/>
  <c r="G36" i="4"/>
  <c r="F42" i="4"/>
  <c r="F49" i="4"/>
  <c r="J26" i="4" l="1"/>
  <c r="E10" i="34"/>
  <c r="E20" i="41"/>
  <c r="F10" i="34"/>
  <c r="J10" i="34" s="1"/>
  <c r="F20" i="41"/>
  <c r="F20" i="37"/>
  <c r="C27" i="4"/>
  <c r="R7" i="10"/>
  <c r="E16" i="10"/>
  <c r="E21" i="10" s="1"/>
  <c r="I8" i="27"/>
  <c r="J8" i="27" s="1"/>
  <c r="I10" i="27"/>
  <c r="J10" i="27" s="1"/>
  <c r="H32" i="10"/>
  <c r="L9" i="10"/>
  <c r="O6" i="10" s="1"/>
  <c r="D27" i="4"/>
  <c r="G18" i="31"/>
  <c r="F7" i="21"/>
  <c r="F17" i="21" s="1"/>
  <c r="E19" i="27"/>
  <c r="F19" i="27"/>
  <c r="E17" i="27"/>
  <c r="F17" i="37"/>
  <c r="F6" i="38"/>
  <c r="F28" i="38" s="1"/>
  <c r="C53" i="35" s="1"/>
  <c r="D17" i="37"/>
  <c r="D23" i="37" s="1"/>
  <c r="F9" i="40"/>
  <c r="F16" i="14"/>
  <c r="E7" i="37"/>
  <c r="E8" i="37" s="1"/>
  <c r="E14" i="37" s="1"/>
  <c r="G16" i="14"/>
  <c r="F7" i="37"/>
  <c r="F8" i="37" s="1"/>
  <c r="F14" i="37" s="1"/>
  <c r="E12" i="16"/>
  <c r="J7" i="38"/>
  <c r="H7" i="38"/>
  <c r="G7" i="38"/>
  <c r="D25" i="38"/>
  <c r="I7" i="38"/>
  <c r="C6" i="35"/>
  <c r="F29" i="38"/>
  <c r="E17" i="37"/>
  <c r="E23" i="37" s="1"/>
  <c r="H9" i="40"/>
  <c r="H15" i="40" s="1"/>
  <c r="E6" i="38"/>
  <c r="E30" i="38" s="1"/>
  <c r="D55" i="35" s="1"/>
  <c r="F27" i="14"/>
  <c r="I10" i="40"/>
  <c r="J10" i="40" s="1"/>
  <c r="D8" i="37"/>
  <c r="D14" i="37" s="1"/>
  <c r="E25" i="14"/>
  <c r="H11" i="27"/>
  <c r="I6" i="27"/>
  <c r="J6" i="27" s="1"/>
  <c r="D6" i="35"/>
  <c r="E29" i="38"/>
  <c r="E51" i="37"/>
  <c r="E39" i="37"/>
  <c r="E6" i="35"/>
  <c r="I14" i="38"/>
  <c r="H14" i="38"/>
  <c r="G14" i="38"/>
  <c r="D29" i="38"/>
  <c r="J14" i="38"/>
  <c r="D39" i="37"/>
  <c r="D51" i="37"/>
  <c r="F51" i="37"/>
  <c r="F39" i="37"/>
  <c r="E35" i="18"/>
  <c r="K14" i="18"/>
  <c r="E31" i="18"/>
  <c r="C9" i="20" s="1"/>
  <c r="F35" i="18"/>
  <c r="G61" i="5"/>
  <c r="J14" i="18"/>
  <c r="K12" i="18"/>
  <c r="I13" i="18"/>
  <c r="F11" i="27"/>
  <c r="F16" i="27"/>
  <c r="G31" i="18"/>
  <c r="E9" i="20" s="1"/>
  <c r="K13" i="18"/>
  <c r="G35" i="18"/>
  <c r="K35" i="18" s="1"/>
  <c r="F7" i="27"/>
  <c r="D6" i="38"/>
  <c r="E3" i="35" s="1"/>
  <c r="H7" i="27"/>
  <c r="F20" i="27" s="1"/>
  <c r="H13" i="18"/>
  <c r="J12" i="18"/>
  <c r="E14" i="9"/>
  <c r="F14" i="9"/>
  <c r="F14" i="14"/>
  <c r="F23" i="14"/>
  <c r="E16" i="27"/>
  <c r="I10" i="34"/>
  <c r="K10" i="34" s="1"/>
  <c r="F27" i="28"/>
  <c r="E61" i="3"/>
  <c r="F9" i="28" s="1"/>
  <c r="F17" i="28" s="1"/>
  <c r="H10" i="25"/>
  <c r="G12" i="31"/>
  <c r="C12" i="31"/>
  <c r="F12" i="31"/>
  <c r="D12" i="31"/>
  <c r="E5" i="28"/>
  <c r="F6" i="25"/>
  <c r="F10" i="24"/>
  <c r="F11" i="23"/>
  <c r="E27" i="28"/>
  <c r="F10" i="25"/>
  <c r="D61" i="3"/>
  <c r="E9" i="28" s="1"/>
  <c r="J13" i="18"/>
  <c r="I14" i="18"/>
  <c r="H14" i="18"/>
  <c r="H12" i="18"/>
  <c r="I12" i="18"/>
  <c r="G17" i="14"/>
  <c r="E15" i="9"/>
  <c r="E27" i="14"/>
  <c r="E7" i="21"/>
  <c r="F12" i="16"/>
  <c r="E12" i="31"/>
  <c r="H12" i="31"/>
  <c r="H6" i="25"/>
  <c r="F5" i="28"/>
  <c r="H11" i="23"/>
  <c r="H10" i="24"/>
  <c r="I49" i="4"/>
  <c r="E16" i="14"/>
  <c r="E8" i="18"/>
  <c r="E18" i="18" s="1"/>
  <c r="E11" i="21"/>
  <c r="G8" i="8"/>
  <c r="G4" i="17" s="1"/>
  <c r="G6" i="17" s="1"/>
  <c r="G30" i="14"/>
  <c r="G12" i="9"/>
  <c r="F8" i="18"/>
  <c r="F18" i="18" s="1"/>
  <c r="F19" i="18" s="1"/>
  <c r="F11" i="21"/>
  <c r="F32" i="18"/>
  <c r="D10" i="20" s="1"/>
  <c r="D9" i="20"/>
  <c r="J8" i="16"/>
  <c r="H8" i="16"/>
  <c r="K8" i="16"/>
  <c r="F20" i="16"/>
  <c r="I8" i="16"/>
  <c r="G25" i="14"/>
  <c r="J19" i="16"/>
  <c r="G9" i="16"/>
  <c r="G10" i="16" s="1"/>
  <c r="K11" i="9"/>
  <c r="I11" i="9"/>
  <c r="J11" i="9"/>
  <c r="H11" i="9"/>
  <c r="K8" i="14"/>
  <c r="J8" i="14"/>
  <c r="H8" i="14"/>
  <c r="I8" i="14"/>
  <c r="K9" i="13"/>
  <c r="J9" i="13"/>
  <c r="H9" i="13"/>
  <c r="I9" i="13"/>
  <c r="K15" i="14"/>
  <c r="H15" i="14"/>
  <c r="I15" i="14"/>
  <c r="J15" i="14"/>
  <c r="I7" i="16"/>
  <c r="K7" i="16"/>
  <c r="E9" i="16"/>
  <c r="H7" i="16"/>
  <c r="F19" i="16"/>
  <c r="J7" i="16"/>
  <c r="K28" i="14"/>
  <c r="J28" i="14"/>
  <c r="I28" i="14"/>
  <c r="H28" i="14"/>
  <c r="F6" i="12"/>
  <c r="G33" i="10"/>
  <c r="G6" i="14"/>
  <c r="G14" i="9"/>
  <c r="G13" i="16"/>
  <c r="J17" i="11"/>
  <c r="I17" i="11"/>
  <c r="K17" i="11"/>
  <c r="H17" i="11"/>
  <c r="K6" i="9"/>
  <c r="I6" i="9"/>
  <c r="J6" i="9"/>
  <c r="H6" i="9"/>
  <c r="K7" i="9"/>
  <c r="I7" i="9"/>
  <c r="J7" i="9"/>
  <c r="H7" i="9"/>
  <c r="J9" i="14"/>
  <c r="K9" i="14"/>
  <c r="H9" i="14"/>
  <c r="I9" i="14"/>
  <c r="K18" i="14"/>
  <c r="J18" i="14"/>
  <c r="H18" i="14"/>
  <c r="I18" i="14"/>
  <c r="E17" i="14"/>
  <c r="I22" i="14"/>
  <c r="K22" i="14"/>
  <c r="J22" i="14"/>
  <c r="H22" i="14"/>
  <c r="J6" i="16"/>
  <c r="I6" i="16"/>
  <c r="H6" i="16"/>
  <c r="F18" i="16"/>
  <c r="K6" i="16"/>
  <c r="K32" i="14"/>
  <c r="I32" i="14"/>
  <c r="J32" i="14"/>
  <c r="H32" i="14"/>
  <c r="G18" i="11"/>
  <c r="G25" i="18"/>
  <c r="E20" i="11"/>
  <c r="E19" i="11"/>
  <c r="J14" i="11"/>
  <c r="I14" i="11"/>
  <c r="K14" i="11"/>
  <c r="H14" i="11"/>
  <c r="J29" i="18"/>
  <c r="H29" i="18"/>
  <c r="K29" i="18"/>
  <c r="I29" i="18"/>
  <c r="D5" i="12"/>
  <c r="P7" i="10"/>
  <c r="J9" i="10"/>
  <c r="M8" i="10" s="1"/>
  <c r="F32" i="10"/>
  <c r="C16" i="10"/>
  <c r="C21" i="10" s="1"/>
  <c r="H19" i="16"/>
  <c r="F9" i="16"/>
  <c r="F10" i="16" s="1"/>
  <c r="F20" i="11"/>
  <c r="F19" i="11"/>
  <c r="G6" i="12"/>
  <c r="E9" i="10"/>
  <c r="E17" i="10"/>
  <c r="E22" i="10" s="1"/>
  <c r="R8" i="10"/>
  <c r="C6" i="12"/>
  <c r="P8" i="10"/>
  <c r="C17" i="10"/>
  <c r="C22" i="10" s="1"/>
  <c r="C9" i="10"/>
  <c r="G8" i="18"/>
  <c r="G18" i="18" s="1"/>
  <c r="G19" i="18" s="1"/>
  <c r="G11" i="21"/>
  <c r="E30" i="14"/>
  <c r="E12" i="9"/>
  <c r="C63" i="5"/>
  <c r="F30" i="14"/>
  <c r="F12" i="9"/>
  <c r="G34" i="18"/>
  <c r="E12" i="20" s="1"/>
  <c r="E11" i="20"/>
  <c r="F34" i="18"/>
  <c r="D12" i="20" s="1"/>
  <c r="D11" i="20"/>
  <c r="F28" i="18"/>
  <c r="D6" i="20"/>
  <c r="J31" i="14"/>
  <c r="H31" i="14"/>
  <c r="I31" i="14"/>
  <c r="K31" i="14"/>
  <c r="F5" i="12"/>
  <c r="D16" i="10"/>
  <c r="D21" i="10" s="1"/>
  <c r="G32" i="10"/>
  <c r="K9" i="10"/>
  <c r="Q7" i="10"/>
  <c r="G7" i="14"/>
  <c r="K16" i="9"/>
  <c r="I16" i="9"/>
  <c r="J16" i="9"/>
  <c r="H16" i="9"/>
  <c r="D7" i="15"/>
  <c r="I6" i="15"/>
  <c r="G6" i="15"/>
  <c r="J6" i="15"/>
  <c r="H6" i="15"/>
  <c r="D10" i="15"/>
  <c r="E7" i="14"/>
  <c r="J21" i="14"/>
  <c r="K21" i="14"/>
  <c r="I21" i="14"/>
  <c r="H21" i="14"/>
  <c r="J19" i="14"/>
  <c r="K19" i="14"/>
  <c r="H19" i="14"/>
  <c r="I19" i="14"/>
  <c r="K15" i="16"/>
  <c r="J15" i="16"/>
  <c r="H15" i="16"/>
  <c r="I15" i="16"/>
  <c r="K10" i="14"/>
  <c r="I10" i="14"/>
  <c r="J10" i="14"/>
  <c r="H10" i="14"/>
  <c r="F7" i="15"/>
  <c r="G15" i="9"/>
  <c r="G14" i="14"/>
  <c r="G23" i="14"/>
  <c r="G12" i="16"/>
  <c r="G27" i="14"/>
  <c r="K16" i="11"/>
  <c r="H16" i="11"/>
  <c r="I16" i="11"/>
  <c r="J16" i="11"/>
  <c r="K8" i="9"/>
  <c r="I8" i="9"/>
  <c r="J8" i="9"/>
  <c r="H8" i="9"/>
  <c r="E6" i="14"/>
  <c r="K10" i="9"/>
  <c r="I10" i="9"/>
  <c r="J10" i="9"/>
  <c r="H10" i="9"/>
  <c r="I17" i="9"/>
  <c r="H17" i="9"/>
  <c r="J17" i="9"/>
  <c r="K17" i="9"/>
  <c r="I5" i="15"/>
  <c r="G5" i="15"/>
  <c r="J5" i="15"/>
  <c r="H5" i="15"/>
  <c r="E23" i="14"/>
  <c r="E14" i="14"/>
  <c r="I24" i="14"/>
  <c r="K24" i="14"/>
  <c r="H24" i="14"/>
  <c r="J24" i="14"/>
  <c r="J14" i="16"/>
  <c r="I14" i="16"/>
  <c r="H14" i="16"/>
  <c r="K14" i="16"/>
  <c r="E13" i="16"/>
  <c r="J33" i="14"/>
  <c r="H33" i="14"/>
  <c r="K33" i="14"/>
  <c r="I33" i="14"/>
  <c r="G19" i="11"/>
  <c r="G20" i="11"/>
  <c r="E18" i="11"/>
  <c r="E25" i="18"/>
  <c r="E6" i="12"/>
  <c r="Q8" i="10"/>
  <c r="D9" i="10"/>
  <c r="G8" i="10" s="1"/>
  <c r="D17" i="10"/>
  <c r="D22" i="10" s="1"/>
  <c r="J7" i="13"/>
  <c r="I7" i="13"/>
  <c r="H7" i="13"/>
  <c r="K7" i="13"/>
  <c r="H29" i="14"/>
  <c r="J29" i="14"/>
  <c r="K29" i="14"/>
  <c r="I29" i="14"/>
  <c r="G28" i="18"/>
  <c r="E6" i="20"/>
  <c r="G6" i="22"/>
  <c r="G7" i="22"/>
  <c r="G13" i="22" s="1"/>
  <c r="G8" i="21"/>
  <c r="G12" i="14"/>
  <c r="G11" i="14"/>
  <c r="F12" i="15"/>
  <c r="F13" i="15" s="1"/>
  <c r="F8" i="15"/>
  <c r="F7" i="14"/>
  <c r="F25" i="14"/>
  <c r="H6" i="12"/>
  <c r="H33" i="10"/>
  <c r="D6" i="12"/>
  <c r="F33" i="10"/>
  <c r="F15" i="9"/>
  <c r="E7" i="15"/>
  <c r="F6" i="14"/>
  <c r="F17" i="14"/>
  <c r="F13" i="16"/>
  <c r="F18" i="11"/>
  <c r="F25" i="18"/>
  <c r="E11" i="18"/>
  <c r="E8" i="11"/>
  <c r="H24" i="18"/>
  <c r="I24" i="18"/>
  <c r="J24" i="18"/>
  <c r="E34" i="18"/>
  <c r="C12" i="20" s="1"/>
  <c r="K33" i="18"/>
  <c r="J33" i="18"/>
  <c r="I33" i="18"/>
  <c r="H33" i="18"/>
  <c r="K9" i="18"/>
  <c r="I9" i="18"/>
  <c r="E20" i="18"/>
  <c r="J9" i="18"/>
  <c r="H9" i="18"/>
  <c r="G11" i="18"/>
  <c r="G22" i="18" s="1"/>
  <c r="G23" i="18" s="1"/>
  <c r="G8" i="11"/>
  <c r="F11" i="18"/>
  <c r="F22" i="18" s="1"/>
  <c r="F23" i="18" s="1"/>
  <c r="F8" i="11"/>
  <c r="K24" i="18"/>
  <c r="E28" i="18"/>
  <c r="C7" i="20" s="1"/>
  <c r="K27" i="18"/>
  <c r="J27" i="18"/>
  <c r="I27" i="18"/>
  <c r="H27" i="18"/>
  <c r="K26" i="4"/>
  <c r="J18" i="4"/>
  <c r="E8" i="8"/>
  <c r="D21" i="5"/>
  <c r="E71" i="5"/>
  <c r="E75" i="5"/>
  <c r="E70" i="5"/>
  <c r="E73" i="5"/>
  <c r="E74" i="5"/>
  <c r="E72" i="5"/>
  <c r="D75" i="5"/>
  <c r="G71" i="5"/>
  <c r="G59" i="5"/>
  <c r="D62" i="5"/>
  <c r="F8" i="8"/>
  <c r="C21" i="5"/>
  <c r="C65" i="5"/>
  <c r="C62" i="5"/>
  <c r="E62" i="5" s="1"/>
  <c r="D65" i="5"/>
  <c r="G60" i="5"/>
  <c r="D63" i="5"/>
  <c r="K47" i="4"/>
  <c r="K45" i="4"/>
  <c r="K40" i="4"/>
  <c r="K38" i="4"/>
  <c r="K35" i="4"/>
  <c r="K33" i="4"/>
  <c r="K31" i="4"/>
  <c r="K48" i="4"/>
  <c r="K44" i="4"/>
  <c r="K41" i="4"/>
  <c r="K34" i="4"/>
  <c r="K30" i="4"/>
  <c r="K50" i="4"/>
  <c r="K46" i="4"/>
  <c r="K39" i="4"/>
  <c r="K32" i="4"/>
  <c r="K49" i="4"/>
  <c r="I27" i="4"/>
  <c r="I24" i="4"/>
  <c r="I22" i="4"/>
  <c r="I20" i="4"/>
  <c r="I17" i="4"/>
  <c r="I15" i="4"/>
  <c r="I13" i="4"/>
  <c r="I11" i="4"/>
  <c r="I9" i="4"/>
  <c r="I25" i="4"/>
  <c r="I21" i="4"/>
  <c r="I14" i="4"/>
  <c r="I10" i="4"/>
  <c r="D52" i="3"/>
  <c r="I23" i="4"/>
  <c r="I18" i="4"/>
  <c r="I16" i="4"/>
  <c r="I12" i="4"/>
  <c r="J50" i="4"/>
  <c r="H50" i="4"/>
  <c r="J48" i="4"/>
  <c r="J46" i="4"/>
  <c r="J44" i="4"/>
  <c r="J41" i="4"/>
  <c r="J39" i="4"/>
  <c r="J34" i="4"/>
  <c r="J32" i="4"/>
  <c r="J30" i="4"/>
  <c r="E50" i="4"/>
  <c r="J47" i="4"/>
  <c r="J40" i="4"/>
  <c r="J33" i="4"/>
  <c r="J45" i="4"/>
  <c r="J38" i="4"/>
  <c r="J35" i="4"/>
  <c r="J31" i="4"/>
  <c r="J36" i="4"/>
  <c r="J49" i="4"/>
  <c r="J42" i="4"/>
  <c r="K36" i="4"/>
  <c r="F50" i="4"/>
  <c r="D50" i="4"/>
  <c r="I47" i="4"/>
  <c r="I45" i="4"/>
  <c r="I40" i="4"/>
  <c r="I38" i="4"/>
  <c r="I35" i="4"/>
  <c r="I33" i="4"/>
  <c r="I31" i="4"/>
  <c r="I50" i="4"/>
  <c r="I46" i="4"/>
  <c r="I39" i="4"/>
  <c r="I32" i="4"/>
  <c r="G50" i="4"/>
  <c r="C50" i="4"/>
  <c r="I48" i="4"/>
  <c r="I44" i="4"/>
  <c r="I41" i="4"/>
  <c r="I36" i="4"/>
  <c r="I34" i="4"/>
  <c r="I30" i="4"/>
  <c r="K42" i="4"/>
  <c r="I42" i="4"/>
  <c r="K27" i="4"/>
  <c r="K24" i="4"/>
  <c r="K22" i="4"/>
  <c r="K20" i="4"/>
  <c r="K17" i="4"/>
  <c r="K15" i="4"/>
  <c r="K13" i="4"/>
  <c r="K11" i="4"/>
  <c r="K9" i="4"/>
  <c r="K23" i="4"/>
  <c r="K16" i="4"/>
  <c r="K12" i="4"/>
  <c r="F52" i="3"/>
  <c r="K25" i="4"/>
  <c r="K21" i="4"/>
  <c r="K14" i="4"/>
  <c r="K10" i="4"/>
  <c r="I26" i="4"/>
  <c r="J25" i="4"/>
  <c r="J23" i="4"/>
  <c r="J21" i="4"/>
  <c r="J16" i="4"/>
  <c r="J14" i="4"/>
  <c r="J12" i="4"/>
  <c r="J10" i="4"/>
  <c r="J27" i="4"/>
  <c r="J22" i="4"/>
  <c r="J15" i="4"/>
  <c r="J11" i="4"/>
  <c r="J24" i="4"/>
  <c r="J20" i="4"/>
  <c r="J17" i="4"/>
  <c r="J13" i="4"/>
  <c r="J9" i="4"/>
  <c r="E52" i="3"/>
  <c r="K18" i="4"/>
  <c r="F50" i="37" l="1"/>
  <c r="H10" i="34"/>
  <c r="O7" i="10"/>
  <c r="O8" i="10"/>
  <c r="O5" i="10"/>
  <c r="G10" i="34"/>
  <c r="E12" i="15"/>
  <c r="E13" i="15" s="1"/>
  <c r="O9" i="10"/>
  <c r="G25" i="41"/>
  <c r="F19" i="37"/>
  <c r="F49" i="37" s="1"/>
  <c r="F21" i="38"/>
  <c r="F34" i="38" s="1"/>
  <c r="C85" i="35" s="1"/>
  <c r="G8" i="22"/>
  <c r="G11" i="22" s="1"/>
  <c r="G9" i="21"/>
  <c r="F14" i="15"/>
  <c r="F15" i="15" s="1"/>
  <c r="G6" i="8"/>
  <c r="G13" i="8" s="1"/>
  <c r="E7" i="22"/>
  <c r="I7" i="22" s="1"/>
  <c r="F7" i="40"/>
  <c r="F13" i="40" s="1"/>
  <c r="D12" i="15"/>
  <c r="D20" i="37"/>
  <c r="D25" i="37" s="1"/>
  <c r="F7" i="22"/>
  <c r="F13" i="22" s="1"/>
  <c r="E18" i="31"/>
  <c r="F16" i="34"/>
  <c r="J16" i="34" s="1"/>
  <c r="F11" i="14"/>
  <c r="F6" i="22"/>
  <c r="E8" i="15"/>
  <c r="D48" i="37"/>
  <c r="I14" i="9"/>
  <c r="I11" i="27"/>
  <c r="J11" i="27" s="1"/>
  <c r="E20" i="37"/>
  <c r="E25" i="37" s="1"/>
  <c r="E11" i="14"/>
  <c r="I11" i="14" s="1"/>
  <c r="E6" i="22"/>
  <c r="E6" i="28"/>
  <c r="E11" i="28" s="1"/>
  <c r="E16" i="34"/>
  <c r="I16" i="34" s="1"/>
  <c r="E12" i="14"/>
  <c r="I12" i="14" s="1"/>
  <c r="D18" i="31"/>
  <c r="D8" i="15"/>
  <c r="D16" i="15" s="1"/>
  <c r="E8" i="21"/>
  <c r="I8" i="21" s="1"/>
  <c r="C18" i="31"/>
  <c r="F6" i="28"/>
  <c r="F11" i="28" s="1"/>
  <c r="F8" i="21"/>
  <c r="J7" i="21"/>
  <c r="F18" i="31"/>
  <c r="H18" i="31"/>
  <c r="F12" i="14"/>
  <c r="H7" i="40"/>
  <c r="H13" i="40" s="1"/>
  <c r="M7" i="10"/>
  <c r="K14" i="9"/>
  <c r="K27" i="14"/>
  <c r="J14" i="9"/>
  <c r="H12" i="16"/>
  <c r="E48" i="37"/>
  <c r="F48" i="37"/>
  <c r="K12" i="16"/>
  <c r="F23" i="37"/>
  <c r="F25" i="37"/>
  <c r="E28" i="38"/>
  <c r="D53" i="35" s="1"/>
  <c r="H25" i="14"/>
  <c r="H14" i="9"/>
  <c r="J27" i="14"/>
  <c r="H14" i="40"/>
  <c r="F30" i="38"/>
  <c r="C55" i="35" s="1"/>
  <c r="H27" i="14"/>
  <c r="J12" i="16"/>
  <c r="K25" i="14"/>
  <c r="I29" i="38"/>
  <c r="D54" i="35"/>
  <c r="D3" i="35"/>
  <c r="E31" i="38"/>
  <c r="D56" i="35" s="1"/>
  <c r="D27" i="37"/>
  <c r="J29" i="38"/>
  <c r="C54" i="35"/>
  <c r="C3" i="35"/>
  <c r="F31" i="38"/>
  <c r="C56" i="35" s="1"/>
  <c r="E54" i="35"/>
  <c r="G29" i="38"/>
  <c r="H29" i="38"/>
  <c r="E27" i="37"/>
  <c r="E23" i="35"/>
  <c r="G25" i="38"/>
  <c r="H25" i="38"/>
  <c r="I25" i="38"/>
  <c r="J25" i="38"/>
  <c r="F14" i="40"/>
  <c r="I9" i="40"/>
  <c r="J9" i="40" s="1"/>
  <c r="F15" i="40"/>
  <c r="I15" i="40" s="1"/>
  <c r="J15" i="40" s="1"/>
  <c r="F27" i="37"/>
  <c r="K31" i="18"/>
  <c r="I7" i="21"/>
  <c r="G32" i="18"/>
  <c r="E10" i="20" s="1"/>
  <c r="J35" i="18"/>
  <c r="D31" i="38"/>
  <c r="E56" i="35" s="1"/>
  <c r="D30" i="38"/>
  <c r="E55" i="35" s="1"/>
  <c r="D28" i="38"/>
  <c r="E53" i="35" s="1"/>
  <c r="I31" i="18"/>
  <c r="I8" i="18"/>
  <c r="H35" i="18"/>
  <c r="I35" i="18"/>
  <c r="H31" i="18"/>
  <c r="J31" i="18"/>
  <c r="E32" i="18"/>
  <c r="C10" i="20" s="1"/>
  <c r="G20" i="13"/>
  <c r="K7" i="21"/>
  <c r="J15" i="9"/>
  <c r="I25" i="14"/>
  <c r="J6" i="38"/>
  <c r="H6" i="38"/>
  <c r="I6" i="38"/>
  <c r="G6" i="38"/>
  <c r="F18" i="27"/>
  <c r="F21" i="27" s="1"/>
  <c r="G11" i="8"/>
  <c r="G12" i="8" s="1"/>
  <c r="H8" i="18"/>
  <c r="H15" i="9"/>
  <c r="E17" i="21"/>
  <c r="J17" i="21" s="1"/>
  <c r="H7" i="21"/>
  <c r="I15" i="9"/>
  <c r="I7" i="27"/>
  <c r="J7" i="27" s="1"/>
  <c r="E20" i="27"/>
  <c r="E18" i="27"/>
  <c r="E21" i="27" s="1"/>
  <c r="F8" i="28"/>
  <c r="H11" i="25"/>
  <c r="H13" i="25" s="1"/>
  <c r="E8" i="28"/>
  <c r="F11" i="25"/>
  <c r="K15" i="9"/>
  <c r="J11" i="23"/>
  <c r="F18" i="23"/>
  <c r="E23" i="23" s="1"/>
  <c r="I10" i="25"/>
  <c r="J10" i="25" s="1"/>
  <c r="F14" i="25"/>
  <c r="I11" i="23"/>
  <c r="K18" i="23"/>
  <c r="I6" i="25"/>
  <c r="J6" i="25" s="1"/>
  <c r="G10" i="8"/>
  <c r="G3" i="41" s="1"/>
  <c r="G22" i="13"/>
  <c r="G6" i="13"/>
  <c r="G8" i="13" s="1"/>
  <c r="G14" i="13" s="1"/>
  <c r="J8" i="18"/>
  <c r="F16" i="15"/>
  <c r="E17" i="24"/>
  <c r="E16" i="24"/>
  <c r="F10" i="28"/>
  <c r="F14" i="28"/>
  <c r="G9" i="28"/>
  <c r="H9" i="28"/>
  <c r="E17" i="28"/>
  <c r="E43" i="28"/>
  <c r="G27" i="28"/>
  <c r="H27" i="28"/>
  <c r="E31" i="28"/>
  <c r="I10" i="24"/>
  <c r="J10" i="24" s="1"/>
  <c r="E14" i="28"/>
  <c r="H5" i="28"/>
  <c r="E10" i="28"/>
  <c r="G5" i="28"/>
  <c r="H14" i="25"/>
  <c r="F43" i="28"/>
  <c r="F48" i="28" s="1"/>
  <c r="F31" i="28"/>
  <c r="F34" i="28" s="1"/>
  <c r="F9" i="22"/>
  <c r="F10" i="21"/>
  <c r="G9" i="22"/>
  <c r="G10" i="21"/>
  <c r="G14" i="21" s="1"/>
  <c r="E9" i="22"/>
  <c r="E15" i="22" s="1"/>
  <c r="E10" i="21"/>
  <c r="G12" i="22"/>
  <c r="E7" i="20"/>
  <c r="J25" i="18"/>
  <c r="H25" i="18"/>
  <c r="K25" i="18"/>
  <c r="I25" i="18"/>
  <c r="J13" i="16"/>
  <c r="K13" i="16"/>
  <c r="I13" i="16"/>
  <c r="H13" i="16"/>
  <c r="I23" i="14"/>
  <c r="K23" i="14"/>
  <c r="J23" i="14"/>
  <c r="H23" i="14"/>
  <c r="K6" i="14"/>
  <c r="J6" i="14"/>
  <c r="H6" i="14"/>
  <c r="I6" i="14"/>
  <c r="J7" i="14"/>
  <c r="K7" i="14"/>
  <c r="H7" i="14"/>
  <c r="I7" i="14"/>
  <c r="H7" i="15"/>
  <c r="J7" i="15"/>
  <c r="I7" i="15"/>
  <c r="G7" i="15"/>
  <c r="N9" i="10"/>
  <c r="N5" i="10"/>
  <c r="N6" i="10"/>
  <c r="D7" i="20"/>
  <c r="F38" i="18"/>
  <c r="F39" i="18" s="1"/>
  <c r="K12" i="9"/>
  <c r="I12" i="9"/>
  <c r="J12" i="9"/>
  <c r="H12" i="9"/>
  <c r="H6" i="10"/>
  <c r="H7" i="10"/>
  <c r="H9" i="10"/>
  <c r="H5" i="10"/>
  <c r="J19" i="11"/>
  <c r="I19" i="11"/>
  <c r="K19" i="11"/>
  <c r="H19" i="11"/>
  <c r="I12" i="16"/>
  <c r="J17" i="14"/>
  <c r="K17" i="14"/>
  <c r="H17" i="14"/>
  <c r="I17" i="14"/>
  <c r="N8" i="10"/>
  <c r="J9" i="16"/>
  <c r="H9" i="16"/>
  <c r="I9" i="16"/>
  <c r="K9" i="16"/>
  <c r="E10" i="16"/>
  <c r="J25" i="14"/>
  <c r="K16" i="14"/>
  <c r="J16" i="14"/>
  <c r="H16" i="14"/>
  <c r="I16" i="14"/>
  <c r="G14" i="8"/>
  <c r="G10" i="11"/>
  <c r="G21" i="13"/>
  <c r="G19" i="13"/>
  <c r="K8" i="18"/>
  <c r="G7" i="10"/>
  <c r="G9" i="10"/>
  <c r="G6" i="10"/>
  <c r="G5" i="10"/>
  <c r="K18" i="11"/>
  <c r="H18" i="11"/>
  <c r="I18" i="11"/>
  <c r="J18" i="11"/>
  <c r="K14" i="14"/>
  <c r="H14" i="14"/>
  <c r="J14" i="14"/>
  <c r="I14" i="14"/>
  <c r="G10" i="15"/>
  <c r="I10" i="15"/>
  <c r="J10" i="15"/>
  <c r="H10" i="15"/>
  <c r="N7" i="10"/>
  <c r="K30" i="14"/>
  <c r="H30" i="14"/>
  <c r="I30" i="14"/>
  <c r="J30" i="14"/>
  <c r="F8" i="10"/>
  <c r="F9" i="10"/>
  <c r="F5" i="10"/>
  <c r="F6" i="10"/>
  <c r="F7" i="10"/>
  <c r="H8" i="10"/>
  <c r="M9" i="10"/>
  <c r="M5" i="10"/>
  <c r="M6" i="10"/>
  <c r="K20" i="11"/>
  <c r="H20" i="11"/>
  <c r="I20" i="11"/>
  <c r="J20" i="11"/>
  <c r="I27" i="14"/>
  <c r="K11" i="21"/>
  <c r="I11" i="21"/>
  <c r="J11" i="21"/>
  <c r="H11" i="21"/>
  <c r="F4" i="17"/>
  <c r="F6" i="17" s="1"/>
  <c r="F19" i="13"/>
  <c r="F20" i="13"/>
  <c r="F21" i="13"/>
  <c r="F22" i="13"/>
  <c r="F6" i="13"/>
  <c r="F8" i="13" s="1"/>
  <c r="F10" i="11"/>
  <c r="E4" i="17"/>
  <c r="E22" i="13"/>
  <c r="E20" i="13"/>
  <c r="E6" i="13"/>
  <c r="E21" i="13"/>
  <c r="E19" i="13"/>
  <c r="E10" i="11"/>
  <c r="K18" i="18"/>
  <c r="E19" i="18"/>
  <c r="H18" i="18"/>
  <c r="J18" i="18"/>
  <c r="I18" i="18"/>
  <c r="I34" i="18"/>
  <c r="H34" i="18"/>
  <c r="K34" i="18"/>
  <c r="J34" i="18"/>
  <c r="K8" i="11"/>
  <c r="H8" i="11"/>
  <c r="J8" i="11"/>
  <c r="I8" i="11"/>
  <c r="D5" i="5"/>
  <c r="F7" i="18"/>
  <c r="F16" i="18" s="1"/>
  <c r="F9" i="11"/>
  <c r="G7" i="18"/>
  <c r="G16" i="18" s="1"/>
  <c r="G9" i="11"/>
  <c r="C5" i="5"/>
  <c r="E7" i="18"/>
  <c r="E9" i="11"/>
  <c r="I28" i="18"/>
  <c r="H28" i="18"/>
  <c r="K28" i="18"/>
  <c r="J28" i="18"/>
  <c r="J20" i="18"/>
  <c r="I20" i="18"/>
  <c r="E21" i="18"/>
  <c r="H20" i="18"/>
  <c r="K20" i="18"/>
  <c r="K11" i="18"/>
  <c r="I11" i="18"/>
  <c r="E22" i="18"/>
  <c r="J11" i="18"/>
  <c r="H11" i="18"/>
  <c r="E59" i="5"/>
  <c r="E60" i="5"/>
  <c r="F10" i="8"/>
  <c r="F3" i="41" s="1"/>
  <c r="F14" i="8"/>
  <c r="F11" i="8"/>
  <c r="F12" i="8" s="1"/>
  <c r="F62" i="5"/>
  <c r="F61" i="5"/>
  <c r="G75" i="5"/>
  <c r="F73" i="5"/>
  <c r="H73" i="5" s="1"/>
  <c r="F72" i="5"/>
  <c r="H72" i="5" s="1"/>
  <c r="F75" i="5"/>
  <c r="F70" i="5"/>
  <c r="H70" i="5" s="1"/>
  <c r="F74" i="5"/>
  <c r="H74" i="5" s="1"/>
  <c r="F60" i="5"/>
  <c r="E61" i="5"/>
  <c r="F59" i="5"/>
  <c r="G62" i="5"/>
  <c r="I59" i="5" s="1"/>
  <c r="F71" i="5"/>
  <c r="H71" i="5" s="1"/>
  <c r="E10" i="8"/>
  <c r="E3" i="41" s="1"/>
  <c r="E11" i="8"/>
  <c r="H8" i="8"/>
  <c r="K8" i="8"/>
  <c r="E14" i="8"/>
  <c r="J8" i="8"/>
  <c r="I8" i="8"/>
  <c r="F33" i="38" l="1"/>
  <c r="C84" i="35" s="1"/>
  <c r="F24" i="37"/>
  <c r="H59" i="5"/>
  <c r="E25" i="41"/>
  <c r="G18" i="21"/>
  <c r="G16" i="21"/>
  <c r="G15" i="21"/>
  <c r="G12" i="15"/>
  <c r="G8" i="15"/>
  <c r="F25" i="41"/>
  <c r="E19" i="37"/>
  <c r="H6" i="40"/>
  <c r="H12" i="40" s="1"/>
  <c r="E21" i="38"/>
  <c r="F22" i="34"/>
  <c r="J22" i="34" s="1"/>
  <c r="E24" i="31"/>
  <c r="H24" i="31"/>
  <c r="F8" i="22"/>
  <c r="F11" i="22" s="1"/>
  <c r="F9" i="21"/>
  <c r="E14" i="15"/>
  <c r="E15" i="15" s="1"/>
  <c r="F6" i="8"/>
  <c r="F13" i="8" s="1"/>
  <c r="D7" i="5"/>
  <c r="H7" i="22"/>
  <c r="E13" i="22"/>
  <c r="K13" i="22" s="1"/>
  <c r="D50" i="37"/>
  <c r="K11" i="14"/>
  <c r="H8" i="21"/>
  <c r="J12" i="15"/>
  <c r="J11" i="14"/>
  <c r="K7" i="22"/>
  <c r="J7" i="22"/>
  <c r="D13" i="15"/>
  <c r="I13" i="15" s="1"/>
  <c r="I12" i="15"/>
  <c r="H12" i="14"/>
  <c r="H12" i="15"/>
  <c r="K8" i="21"/>
  <c r="D19" i="37"/>
  <c r="F6" i="40"/>
  <c r="D21" i="38"/>
  <c r="E22" i="34"/>
  <c r="D24" i="31"/>
  <c r="G24" i="31"/>
  <c r="C24" i="31"/>
  <c r="F24" i="31"/>
  <c r="E8" i="22"/>
  <c r="E9" i="21"/>
  <c r="D14" i="15"/>
  <c r="E6" i="8"/>
  <c r="C7" i="5"/>
  <c r="K17" i="21"/>
  <c r="F16" i="40"/>
  <c r="K16" i="34"/>
  <c r="E14" i="21"/>
  <c r="G16" i="34"/>
  <c r="E16" i="15"/>
  <c r="G16" i="15" s="1"/>
  <c r="F12" i="22"/>
  <c r="H16" i="34"/>
  <c r="E23" i="34" s="1"/>
  <c r="H11" i="14"/>
  <c r="E50" i="37"/>
  <c r="H6" i="22"/>
  <c r="H16" i="40"/>
  <c r="H61" i="5"/>
  <c r="I32" i="18"/>
  <c r="I14" i="40"/>
  <c r="J14" i="40" s="1"/>
  <c r="I6" i="22"/>
  <c r="J12" i="14"/>
  <c r="K12" i="14"/>
  <c r="J6" i="22"/>
  <c r="I8" i="15"/>
  <c r="E12" i="22"/>
  <c r="K6" i="22"/>
  <c r="J8" i="15"/>
  <c r="H8" i="15"/>
  <c r="H6" i="28"/>
  <c r="J8" i="21"/>
  <c r="G6" i="28"/>
  <c r="I7" i="40"/>
  <c r="J7" i="40" s="1"/>
  <c r="F14" i="21"/>
  <c r="F52" i="37"/>
  <c r="F57" i="37" s="1"/>
  <c r="H16" i="25"/>
  <c r="I11" i="25"/>
  <c r="J11" i="25" s="1"/>
  <c r="F40" i="37"/>
  <c r="F45" i="37" s="1"/>
  <c r="F13" i="25"/>
  <c r="E24" i="25" s="1"/>
  <c r="H24" i="25" s="1"/>
  <c r="I13" i="40"/>
  <c r="H17" i="21"/>
  <c r="G38" i="18"/>
  <c r="G39" i="18" s="1"/>
  <c r="G30" i="38"/>
  <c r="I30" i="38"/>
  <c r="H30" i="38"/>
  <c r="J30" i="38"/>
  <c r="I28" i="38"/>
  <c r="J28" i="38"/>
  <c r="G28" i="38"/>
  <c r="H28" i="38"/>
  <c r="I31" i="38"/>
  <c r="G31" i="38"/>
  <c r="J31" i="38"/>
  <c r="H31" i="38"/>
  <c r="K32" i="18"/>
  <c r="J32" i="18"/>
  <c r="H32" i="18"/>
  <c r="E38" i="18"/>
  <c r="I38" i="18" s="1"/>
  <c r="G10" i="13"/>
  <c r="G12" i="13" s="1"/>
  <c r="G16" i="13" s="1"/>
  <c r="K20" i="13"/>
  <c r="E21" i="25"/>
  <c r="H21" i="25" s="1"/>
  <c r="I17" i="21"/>
  <c r="F16" i="25"/>
  <c r="H60" i="5"/>
  <c r="H14" i="28"/>
  <c r="K22" i="13"/>
  <c r="G10" i="28"/>
  <c r="E23" i="28"/>
  <c r="H10" i="28"/>
  <c r="E34" i="28"/>
  <c r="H31" i="28"/>
  <c r="G31" i="28"/>
  <c r="H17" i="28"/>
  <c r="E22" i="28"/>
  <c r="G17" i="28"/>
  <c r="I17" i="24"/>
  <c r="I23" i="23"/>
  <c r="E27" i="23"/>
  <c r="F23" i="23" s="1"/>
  <c r="E26" i="28"/>
  <c r="H8" i="28"/>
  <c r="G8" i="28"/>
  <c r="E16" i="28"/>
  <c r="E20" i="28" s="1"/>
  <c r="F26" i="28"/>
  <c r="F16" i="28"/>
  <c r="H11" i="28"/>
  <c r="G11" i="28"/>
  <c r="E13" i="28"/>
  <c r="H43" i="28"/>
  <c r="G43" i="28"/>
  <c r="E54" i="28"/>
  <c r="E48" i="28"/>
  <c r="E53" i="28"/>
  <c r="G14" i="28"/>
  <c r="E22" i="24"/>
  <c r="F16" i="24" s="1"/>
  <c r="I16" i="24"/>
  <c r="F13" i="28"/>
  <c r="G17" i="18"/>
  <c r="E4" i="20" s="1"/>
  <c r="E3" i="20"/>
  <c r="F17" i="18"/>
  <c r="D4" i="20" s="1"/>
  <c r="D3" i="20"/>
  <c r="K10" i="16"/>
  <c r="J10" i="16"/>
  <c r="I10" i="16"/>
  <c r="H10" i="16"/>
  <c r="I9" i="22"/>
  <c r="G15" i="22"/>
  <c r="G14" i="22"/>
  <c r="F15" i="22"/>
  <c r="F14" i="22"/>
  <c r="E5" i="5"/>
  <c r="J16" i="15"/>
  <c r="H16" i="15"/>
  <c r="K10" i="21"/>
  <c r="J10" i="21"/>
  <c r="H10" i="21"/>
  <c r="I10" i="21"/>
  <c r="H9" i="22"/>
  <c r="J9" i="22"/>
  <c r="E14" i="22"/>
  <c r="K9" i="22"/>
  <c r="K22" i="18"/>
  <c r="E23" i="18"/>
  <c r="H22" i="18"/>
  <c r="I22" i="18"/>
  <c r="J22" i="18"/>
  <c r="K7" i="18"/>
  <c r="E16" i="18"/>
  <c r="C3" i="20" s="1"/>
  <c r="J7" i="18"/>
  <c r="H7" i="18"/>
  <c r="I7" i="18"/>
  <c r="J19" i="18"/>
  <c r="I19" i="18"/>
  <c r="H19" i="18"/>
  <c r="K19" i="18"/>
  <c r="K10" i="11"/>
  <c r="H10" i="11"/>
  <c r="J10" i="11"/>
  <c r="I10" i="11"/>
  <c r="J21" i="13"/>
  <c r="I21" i="13"/>
  <c r="K21" i="13"/>
  <c r="H21" i="13"/>
  <c r="J20" i="13"/>
  <c r="I20" i="13"/>
  <c r="H20" i="13"/>
  <c r="E6" i="17"/>
  <c r="J4" i="17"/>
  <c r="K4" i="17"/>
  <c r="I4" i="17"/>
  <c r="H4" i="17"/>
  <c r="F14" i="13"/>
  <c r="F10" i="13"/>
  <c r="J21" i="18"/>
  <c r="I21" i="18"/>
  <c r="H21" i="18"/>
  <c r="K21" i="18"/>
  <c r="J9" i="11"/>
  <c r="I9" i="11"/>
  <c r="H9" i="11"/>
  <c r="K9" i="11"/>
  <c r="H19" i="13"/>
  <c r="K19" i="13"/>
  <c r="J19" i="13"/>
  <c r="I19" i="13"/>
  <c r="K6" i="13"/>
  <c r="J6" i="13"/>
  <c r="H6" i="13"/>
  <c r="E8" i="13"/>
  <c r="E14" i="13" s="1"/>
  <c r="I6" i="13"/>
  <c r="J22" i="13"/>
  <c r="H22" i="13"/>
  <c r="I22" i="13"/>
  <c r="K14" i="8"/>
  <c r="H14" i="8"/>
  <c r="I14" i="8"/>
  <c r="J14" i="8"/>
  <c r="I10" i="8"/>
  <c r="H10" i="8"/>
  <c r="K10" i="8"/>
  <c r="J10" i="8"/>
  <c r="I75" i="5"/>
  <c r="I72" i="5"/>
  <c r="I70" i="5"/>
  <c r="I73" i="5"/>
  <c r="I74" i="5"/>
  <c r="E12" i="8"/>
  <c r="H11" i="8"/>
  <c r="I11" i="8"/>
  <c r="J11" i="8"/>
  <c r="K11" i="8"/>
  <c r="I62" i="5"/>
  <c r="I61" i="5"/>
  <c r="I71" i="5"/>
  <c r="I60" i="5"/>
  <c r="E39" i="18" l="1"/>
  <c r="E7" i="5"/>
  <c r="E49" i="37"/>
  <c r="E52" i="37" s="1"/>
  <c r="E57" i="37" s="1"/>
  <c r="E24" i="37"/>
  <c r="E40" i="37" s="1"/>
  <c r="E45" i="37" s="1"/>
  <c r="F18" i="21"/>
  <c r="F16" i="21"/>
  <c r="F15" i="21"/>
  <c r="J12" i="22"/>
  <c r="E34" i="38"/>
  <c r="D85" i="35" s="1"/>
  <c r="E33" i="38"/>
  <c r="D84" i="35" s="1"/>
  <c r="H12" i="22"/>
  <c r="I13" i="22"/>
  <c r="G13" i="15"/>
  <c r="J13" i="22"/>
  <c r="H13" i="22"/>
  <c r="J13" i="15"/>
  <c r="H13" i="15"/>
  <c r="G14" i="15"/>
  <c r="I14" i="15"/>
  <c r="H14" i="15"/>
  <c r="J14" i="15"/>
  <c r="D15" i="15"/>
  <c r="H21" i="38"/>
  <c r="G21" i="38"/>
  <c r="J21" i="38"/>
  <c r="D34" i="38"/>
  <c r="I21" i="38"/>
  <c r="D33" i="38"/>
  <c r="I9" i="21"/>
  <c r="K9" i="21"/>
  <c r="E16" i="21"/>
  <c r="J9" i="21"/>
  <c r="E18" i="21"/>
  <c r="H9" i="21"/>
  <c r="E15" i="21"/>
  <c r="I6" i="40"/>
  <c r="J6" i="40" s="1"/>
  <c r="E33" i="40"/>
  <c r="H33" i="40" s="1"/>
  <c r="F12" i="40"/>
  <c r="I12" i="40" s="1"/>
  <c r="J12" i="40" s="1"/>
  <c r="E32" i="40"/>
  <c r="J6" i="8"/>
  <c r="I6" i="8"/>
  <c r="K6" i="8"/>
  <c r="H6" i="8"/>
  <c r="E13" i="8"/>
  <c r="G22" i="34"/>
  <c r="H22" i="34"/>
  <c r="I22" i="34"/>
  <c r="K22" i="34" s="1"/>
  <c r="I16" i="40"/>
  <c r="E23" i="40" s="1"/>
  <c r="H23" i="40" s="1"/>
  <c r="J8" i="22"/>
  <c r="I8" i="22"/>
  <c r="H8" i="22"/>
  <c r="K8" i="22"/>
  <c r="E11" i="22"/>
  <c r="E16" i="22" s="1"/>
  <c r="D24" i="37"/>
  <c r="D40" i="37" s="1"/>
  <c r="D45" i="37" s="1"/>
  <c r="D49" i="37"/>
  <c r="D52" i="37" s="1"/>
  <c r="D57" i="37" s="1"/>
  <c r="I16" i="15"/>
  <c r="E22" i="40"/>
  <c r="H22" i="40" s="1"/>
  <c r="H38" i="18"/>
  <c r="E21" i="40"/>
  <c r="H21" i="40" s="1"/>
  <c r="J38" i="18"/>
  <c r="K12" i="22"/>
  <c r="I12" i="22"/>
  <c r="F17" i="25"/>
  <c r="K38" i="18"/>
  <c r="E22" i="25"/>
  <c r="H22" i="25" s="1"/>
  <c r="E23" i="25"/>
  <c r="H23" i="25" s="1"/>
  <c r="E52" i="28"/>
  <c r="J13" i="40"/>
  <c r="E20" i="40"/>
  <c r="G15" i="13"/>
  <c r="G17" i="13" s="1"/>
  <c r="F16" i="22"/>
  <c r="G48" i="28"/>
  <c r="H48" i="28"/>
  <c r="G13" i="28"/>
  <c r="H13" i="28"/>
  <c r="H16" i="28"/>
  <c r="G16" i="28"/>
  <c r="E19" i="28"/>
  <c r="E18" i="28" s="1"/>
  <c r="H34" i="28"/>
  <c r="E41" i="28"/>
  <c r="G34" i="28"/>
  <c r="E21" i="28"/>
  <c r="F18" i="24"/>
  <c r="F22" i="24"/>
  <c r="F19" i="24"/>
  <c r="F21" i="24"/>
  <c r="F20" i="24"/>
  <c r="F30" i="28"/>
  <c r="F33" i="28" s="1"/>
  <c r="F28" i="28"/>
  <c r="E28" i="28"/>
  <c r="H26" i="28"/>
  <c r="G26" i="28"/>
  <c r="E30" i="28"/>
  <c r="F24" i="23"/>
  <c r="F26" i="23"/>
  <c r="F22" i="23"/>
  <c r="F27" i="23"/>
  <c r="F25" i="23"/>
  <c r="F17" i="24"/>
  <c r="H15" i="22"/>
  <c r="J15" i="22"/>
  <c r="I15" i="22"/>
  <c r="K15" i="22"/>
  <c r="H14" i="22"/>
  <c r="J14" i="22"/>
  <c r="I14" i="22"/>
  <c r="J14" i="21"/>
  <c r="H14" i="21"/>
  <c r="I14" i="21"/>
  <c r="K14" i="21"/>
  <c r="K14" i="22"/>
  <c r="G16" i="22"/>
  <c r="J16" i="18"/>
  <c r="I16" i="18"/>
  <c r="E17" i="18"/>
  <c r="C4" i="20" s="1"/>
  <c r="H16" i="18"/>
  <c r="K16" i="18"/>
  <c r="J23" i="18"/>
  <c r="I23" i="18"/>
  <c r="K23" i="18"/>
  <c r="H23" i="18"/>
  <c r="I8" i="13"/>
  <c r="H8" i="13"/>
  <c r="J8" i="13"/>
  <c r="E10" i="13"/>
  <c r="K8" i="13"/>
  <c r="F15" i="13"/>
  <c r="F12" i="13"/>
  <c r="F16" i="13" s="1"/>
  <c r="J39" i="18"/>
  <c r="K39" i="18"/>
  <c r="H39" i="18"/>
  <c r="I39" i="18"/>
  <c r="K12" i="8"/>
  <c r="J12" i="8"/>
  <c r="I12" i="8"/>
  <c r="H12" i="8"/>
  <c r="E25" i="25" l="1"/>
  <c r="K13" i="8"/>
  <c r="H13" i="8"/>
  <c r="I13" i="8"/>
  <c r="J13" i="8"/>
  <c r="E84" i="35"/>
  <c r="G33" i="38"/>
  <c r="H33" i="38"/>
  <c r="I33" i="38"/>
  <c r="J33" i="38"/>
  <c r="H32" i="40"/>
  <c r="E34" i="40"/>
  <c r="J15" i="21"/>
  <c r="H15" i="21"/>
  <c r="K15" i="21"/>
  <c r="I15" i="21"/>
  <c r="J16" i="40"/>
  <c r="J11" i="22"/>
  <c r="I11" i="22"/>
  <c r="H11" i="22"/>
  <c r="K11" i="22"/>
  <c r="J18" i="21"/>
  <c r="H18" i="21"/>
  <c r="K18" i="21"/>
  <c r="I18" i="21"/>
  <c r="H16" i="21"/>
  <c r="I16" i="21"/>
  <c r="K16" i="21"/>
  <c r="J16" i="21"/>
  <c r="E85" i="35"/>
  <c r="J34" i="38"/>
  <c r="I34" i="38"/>
  <c r="H34" i="38"/>
  <c r="G34" i="38"/>
  <c r="H15" i="15"/>
  <c r="G15" i="15"/>
  <c r="J15" i="15"/>
  <c r="I15" i="15"/>
  <c r="H20" i="40"/>
  <c r="E24" i="40"/>
  <c r="H28" i="28"/>
  <c r="E33" i="28"/>
  <c r="H30" i="28"/>
  <c r="G30" i="28"/>
  <c r="E36" i="28"/>
  <c r="G28" i="28"/>
  <c r="E37" i="28"/>
  <c r="E39" i="28"/>
  <c r="E40" i="28"/>
  <c r="H16" i="22"/>
  <c r="J16" i="22"/>
  <c r="I16" i="22"/>
  <c r="F17" i="13"/>
  <c r="K16" i="22"/>
  <c r="J17" i="18"/>
  <c r="K17" i="18"/>
  <c r="H17" i="18"/>
  <c r="I17" i="18"/>
  <c r="J10" i="13"/>
  <c r="K10" i="13"/>
  <c r="E12" i="13"/>
  <c r="H10" i="13"/>
  <c r="I10" i="13"/>
  <c r="E15" i="13"/>
  <c r="K14" i="13"/>
  <c r="J14" i="13"/>
  <c r="H14" i="13"/>
  <c r="I14" i="13"/>
  <c r="E35" i="28" l="1"/>
  <c r="H33" i="28"/>
  <c r="G33" i="28"/>
  <c r="E38" i="28"/>
  <c r="H15" i="13"/>
  <c r="I15" i="13"/>
  <c r="J15" i="13"/>
  <c r="K15" i="13"/>
  <c r="J12" i="13"/>
  <c r="K12" i="13"/>
  <c r="E16" i="13"/>
  <c r="H12" i="13"/>
  <c r="I12" i="13"/>
  <c r="J16" i="13" l="1"/>
  <c r="K16" i="13"/>
  <c r="H16" i="13"/>
  <c r="I16" i="13"/>
  <c r="E17" i="13"/>
</calcChain>
</file>

<file path=xl/comments1.xml><?xml version="1.0" encoding="utf-8"?>
<comments xmlns="http://schemas.openxmlformats.org/spreadsheetml/2006/main">
  <authors>
    <author>Nplan</author>
  </authors>
  <commentList>
    <comment ref="B34" authorId="0" shapeId="0">
      <text>
        <r>
          <rPr>
            <sz val="9"/>
            <color indexed="81"/>
            <rFont val="Tahoma"/>
            <family val="2"/>
            <charset val="204"/>
          </rPr>
          <t xml:space="preserve">Первая позиция заключается в том, что величина незавершенных капитальных вложений в объекты, которые впоследствии будут приняты к учету на счете 01, включается в показатель строки 1150 и отражается обособленно по одной из строк, расшифровывающих показатель этой строки. Данная позиция основана на том, что в форме Бухгалтерского баланса, утвержденной Приказом Минфина России от 02.07.2010 N 66н, отсутствует отдельная строка "Незавершенное строительство". При этом согласно п. 20 ПБУ 4/99 статья "Незавершенное строительство" включается в группу статей "Основные средства", а п. 3 Приказа Минфина России от 02.07.2010 N 66н позволяет организациям самостоятельно определять детализацию показателей по статьям отчетов. Кроме того, в Приложении N 3 к Приказу Минфина России от 02.07.2010 N 66н приводится Пример оформления Пояснений к Бухгалтерскому балансу и Отчету о финансовых результатах. В данном Примере разд. 2 "Основные средства" включает таблицу 2.2 "Незавершенные капитальные вложения".
Вторая позиция состоит в том, что информация о незавершенных капитальных вложениях не отражается по строке 1150 "Основные средства". Такой вывод следует из норм ПБУ 6/01 (более позднего, чем упомянутое выше ПБУ 4/99). В частности, требования к раскрытию информации об основных средствах в бухгалтерской отчетности установлены п. 32 ПБУ 6/01, в котором отсутствует какое-либо упоминание незавершенных капитальных вложений или незавершенного строительства. Кроме того, само ПБУ 6/01 "Основные средства" не применяется в отношении капитальных вложений, так как они не удовлетворяют условиям принятия к учету в составе основных средств (п. п. 3, 4 ПБУ 6/01). Дополнительным аргументом в пользу данной позиции является то, что в Положении по ведению бухгалтерского учета и бухгалтерской отчетности в Российской Федерации в разделе "Правила оценки статей бухгалтерской отчетности" подраздел "Незавершенные капитальные вложения" присутствует наравне с подразделом "Основные средства".
Таким образом, организациям предстоит самостоятельно с учетом приведенных выше аргументов принять решение, включать величину незавершенных капитальных вложений в показатель строки 1150 "Основные средства" или не включать. В последнем случае величина незавершенных капитальных вложений может быть отражена в разд. I "Внеоборотные активы" по отдельной самостоятельно введенной организацией строке "Незавершенные капитальные вложения", а в случае несущественности показателя - по строке 1190 "Прочие внеоборотные активы" (по вопросу раскрытия данных о незавершенных капитальных вложениях см. также Письмо Минфина России от 27.01.2012 N 07-02-18/01).
Отметим, что при решении вопроса об отражении в Бухгалтерском балансе незавершенных капитальных вложений целесообразно применить единый подход к отражению всех видов вложений во внеоборотные активы.
ДОПОЛНИТЕЛЬНО по данному вопросу см. Письмо Минфина России от 06.12.2011 N 03-05-05-01/95.
</t>
        </r>
      </text>
    </comment>
  </commentList>
</comments>
</file>

<file path=xl/comments2.xml><?xml version="1.0" encoding="utf-8"?>
<comments xmlns="http://schemas.openxmlformats.org/spreadsheetml/2006/main">
  <authors>
    <author>Nplan</author>
  </authors>
  <commentList>
    <comment ref="B9" authorId="0" shapeId="0">
      <text>
        <r>
          <rPr>
            <sz val="9"/>
            <color indexed="81"/>
            <rFont val="Tahoma"/>
            <family val="2"/>
            <charset val="204"/>
          </rPr>
          <t>Коэффициент восстановления платежеспособности = (К1ф + 6/Т (К1ф - К1н)) / 2
где,
К1ф - фактическое значение (в конце отчетного периода) коэффициента текущей ликвидности; 
К1н - коэффициент текущей ликвидности в начале отчетного периода; 
К1норм - нормативное значение коэффициента текущей ликвидности, К1норм = 2; 
6 - период восстановления платежеспособности в месяцах; 
Т - отчетный период в месяцах.</t>
        </r>
      </text>
    </comment>
    <comment ref="B10" authorId="0" shapeId="0">
      <text>
        <r>
          <rPr>
            <sz val="9"/>
            <color indexed="81"/>
            <rFont val="Tahoma"/>
            <family val="2"/>
            <charset val="204"/>
          </rPr>
          <t>Коэффициент утраты платежеспособности = (К1ф + 3/Т (К1ф - К1н)) / К1норм
где,
К1ф - фактическое значение (в конце отчетного периода) коэффициента текущей ликвидности (К1); 
К1н - коэффициент текущей ликвидности в начале отчетного периода; 
К1норм - нормативное значение коэффициента текущей ликвидности; К1норм = 2; 
3 - период утраты платежеспособности предприятия в месяцах; 
Т - отчетный период в месяцах.</t>
        </r>
      </text>
    </comment>
  </commentList>
</comments>
</file>

<file path=xl/comments3.xml><?xml version="1.0" encoding="utf-8"?>
<comments xmlns="http://schemas.openxmlformats.org/spreadsheetml/2006/main">
  <authors>
    <author>Nplan</author>
  </authors>
  <commentList>
    <comment ref="C10" authorId="0" shapeId="0">
      <text>
        <r>
          <rPr>
            <sz val="9"/>
            <color indexed="81"/>
            <rFont val="Tahoma"/>
            <family val="2"/>
            <charset val="204"/>
          </rPr>
          <t>Упрощенно можно брать итог III раздела баланса</t>
        </r>
      </text>
    </comment>
  </commentList>
</comments>
</file>

<file path=xl/sharedStrings.xml><?xml version="1.0" encoding="utf-8"?>
<sst xmlns="http://schemas.openxmlformats.org/spreadsheetml/2006/main" count="1632" uniqueCount="906">
  <si>
    <t>2013г.</t>
  </si>
  <si>
    <t>2014г.</t>
  </si>
  <si>
    <t>2015г.</t>
  </si>
  <si>
    <t>1.1.</t>
  </si>
  <si>
    <t>1.2.</t>
  </si>
  <si>
    <t>1.3.</t>
  </si>
  <si>
    <t>1.4.</t>
  </si>
  <si>
    <t>2.1.</t>
  </si>
  <si>
    <t>2.2.</t>
  </si>
  <si>
    <t>2.3.</t>
  </si>
  <si>
    <t>2.4.</t>
  </si>
  <si>
    <t>2.5.</t>
  </si>
  <si>
    <t>3.1.</t>
  </si>
  <si>
    <t>3.2.</t>
  </si>
  <si>
    <t>4.1.</t>
  </si>
  <si>
    <t>4.2.</t>
  </si>
  <si>
    <t>Наименование показателя</t>
  </si>
  <si>
    <t>Код</t>
  </si>
  <si>
    <t>АКТИВ</t>
  </si>
  <si>
    <t>I. ВНЕОБОРОТНЫЕ АКТИВЫ</t>
  </si>
  <si>
    <t>Нематериальные активы</t>
  </si>
  <si>
    <t>Результаты исследований и разработок</t>
  </si>
  <si>
    <t>Нематериальные поисковые активы</t>
  </si>
  <si>
    <t>Материальные поисковые активы</t>
  </si>
  <si>
    <t>Основные средства</t>
  </si>
  <si>
    <t>Доходные вложения в материальные
ценности</t>
  </si>
  <si>
    <t>Финансовые вложения</t>
  </si>
  <si>
    <t>Отложенные налоговые активы</t>
  </si>
  <si>
    <t>Прочие внеоборотные активы</t>
  </si>
  <si>
    <t>Итого по разделу I</t>
  </si>
  <si>
    <t>II. ОБОРОТНЫЕ АКТИВЫ</t>
  </si>
  <si>
    <t>Запасы</t>
  </si>
  <si>
    <t>Налог на добавленную стоимость по приобретенным ценностям</t>
  </si>
  <si>
    <t>Дебиторская задолженность</t>
  </si>
  <si>
    <t>Финансовые вложения (за исключением денежных эквивалентов)</t>
  </si>
  <si>
    <t>Денежные средства и денежные эквиваленты</t>
  </si>
  <si>
    <t>Прочие оборотные активы</t>
  </si>
  <si>
    <t>Итого по разделу II</t>
  </si>
  <si>
    <t>БАЛАНС</t>
  </si>
  <si>
    <t>ПАССИВ</t>
  </si>
  <si>
    <t>III. КАПИТАЛ И РЕЗЕРВЫ</t>
  </si>
  <si>
    <t>Уставный капитал (складочный капитал, уставный фонд, вклады товарищей)</t>
  </si>
  <si>
    <t>Собственные акции, выкупленные у акционеров</t>
  </si>
  <si>
    <t>Переоценка внеоборотных активов</t>
  </si>
  <si>
    <t>Добавочный капитал (без переоценки)</t>
  </si>
  <si>
    <t>Резервный капитал</t>
  </si>
  <si>
    <t>Нераспределенная прибыль (непокрытый убыток)</t>
  </si>
  <si>
    <t>Итого по разделу III</t>
  </si>
  <si>
    <t>IV. ДОЛГОСРОЧНЫЕ ОБЯЗАТЕЛЬСТВА</t>
  </si>
  <si>
    <t>Заемные средства</t>
  </si>
  <si>
    <t>Отложенные налоговые обязательства</t>
  </si>
  <si>
    <t>Оценочные обязательства</t>
  </si>
  <si>
    <t>Прочие обязательства</t>
  </si>
  <si>
    <t>Итого по разделу IV</t>
  </si>
  <si>
    <t>V. КРАТКОСРОЧНЫЕ ОБЯЗАТЕЛЬСТВА</t>
  </si>
  <si>
    <t>Кредиторская задолженность</t>
  </si>
  <si>
    <t>Доходы будущих периодов</t>
  </si>
  <si>
    <t>Итого по разделу V</t>
  </si>
  <si>
    <t>Выручка</t>
  </si>
  <si>
    <t>Себестоимость продаж</t>
  </si>
  <si>
    <t>Валовая прибыль (убыток)</t>
  </si>
  <si>
    <t>Коммерческие расходы</t>
  </si>
  <si>
    <t>Управленческие расходы</t>
  </si>
  <si>
    <t>Прибыль (убыток) от продаж</t>
  </si>
  <si>
    <t>Доходы от участия в других организациях</t>
  </si>
  <si>
    <t>Проценты к получению</t>
  </si>
  <si>
    <t>Проценты к уплате</t>
  </si>
  <si>
    <t>Прочие доходы</t>
  </si>
  <si>
    <t>Прочие расходы</t>
  </si>
  <si>
    <t>Прибыль (убыток) до налогообложения</t>
  </si>
  <si>
    <t>Текущий налог на прибыль</t>
  </si>
  <si>
    <t>в т.ч. постоянные налоговые обязательства
(активы)</t>
  </si>
  <si>
    <t>Изменение отложенных налоговых обязательств</t>
  </si>
  <si>
    <t>Изменение отложенных налоговых активов</t>
  </si>
  <si>
    <t>Прочее</t>
  </si>
  <si>
    <t>Чистая прибыль (убыток)</t>
  </si>
  <si>
    <t>Пояснения к бухгалтерскому балансу</t>
  </si>
  <si>
    <t>Материальные затраты</t>
  </si>
  <si>
    <t>Расходы на оплату труда</t>
  </si>
  <si>
    <t>Отчисления на социальные нужды</t>
  </si>
  <si>
    <t>Амортизация</t>
  </si>
  <si>
    <t>Прочие затраты</t>
  </si>
  <si>
    <t>Итого по элементам</t>
  </si>
  <si>
    <t>Дополнительные данные</t>
  </si>
  <si>
    <t>Источник данных</t>
  </si>
  <si>
    <t>Задолженность участникам (учредителям) по выплате доходов</t>
  </si>
  <si>
    <t>Расходы будущих периодов</t>
  </si>
  <si>
    <t>счет 97 "Расходы будущих периодов" или из расшифровки строк бухбаланса</t>
  </si>
  <si>
    <t>Задолженность участников (учредителей) по взносам в уставный капитал</t>
  </si>
  <si>
    <t>Доходы будущих периодов, признанных организацией в связи с получением государственной помощи, а также в связи с безвозмездным получением имущества</t>
  </si>
  <si>
    <t>государственная помощь и безвозмездно полученное имущество (часть счета 98 «Доходы будущих периодов»)</t>
  </si>
  <si>
    <t>Среднегодовые показатели</t>
  </si>
  <si>
    <t>Показатель</t>
  </si>
  <si>
    <t>Среднегодовая сумма всех активов</t>
  </si>
  <si>
    <t>Среднегодовая величина собственного капитала</t>
  </si>
  <si>
    <t>Среднегодовая величина заемного капитала</t>
  </si>
  <si>
    <t>1400
1500</t>
  </si>
  <si>
    <t>Среднегодовая стоимость основных средств</t>
  </si>
  <si>
    <t>Средняя величина внеоборотных активов</t>
  </si>
  <si>
    <t>Среднегодовые остатки оборотных средств</t>
  </si>
  <si>
    <t>Среднегодовые остатки запасов</t>
  </si>
  <si>
    <t>1210
1220</t>
  </si>
  <si>
    <t>Среднегодовая величина дебиторской задолженности</t>
  </si>
  <si>
    <t>Среднегодовая величина кредиторской задолженности</t>
  </si>
  <si>
    <t>Горизонтальный анализ</t>
  </si>
  <si>
    <t>Вертикальный анализ</t>
  </si>
  <si>
    <t>Относительное изменение, %</t>
  </si>
  <si>
    <t>Доля в структуре баланса, %</t>
  </si>
  <si>
    <t>Анализ структуры активов</t>
  </si>
  <si>
    <t>Показатели</t>
  </si>
  <si>
    <t>Удельный вес (%)</t>
  </si>
  <si>
    <t>Изменения</t>
  </si>
  <si>
    <t>на начало года</t>
  </si>
  <si>
    <t>на конец года</t>
  </si>
  <si>
    <t>в абсолютных величинах</t>
  </si>
  <si>
    <t>в удельных весах</t>
  </si>
  <si>
    <t>в % к изменению общей величины</t>
  </si>
  <si>
    <t>Внеоборотные активы</t>
  </si>
  <si>
    <t>Оборотные активы</t>
  </si>
  <si>
    <t>Итого активы</t>
  </si>
  <si>
    <t>Коэффициент соотношения оборотных и внеоборотных активов</t>
  </si>
  <si>
    <t>Анализ структуры внеоборотных активов</t>
  </si>
  <si>
    <t xml:space="preserve">Долгосрочные финансовые вложения </t>
  </si>
  <si>
    <t>Итого</t>
  </si>
  <si>
    <t>Анализ структуры оборотных активов</t>
  </si>
  <si>
    <t>Краткосрочные финансовые вложения</t>
  </si>
  <si>
    <t>Денежные средства</t>
  </si>
  <si>
    <t>Анализ структуры запасов</t>
  </si>
  <si>
    <t>Сырье и материалы</t>
  </si>
  <si>
    <t>Животные на выращивании и откорме</t>
  </si>
  <si>
    <t>Затраты в незавершенном производстве</t>
  </si>
  <si>
    <t>Готовая продукция и товары для перепродажи</t>
  </si>
  <si>
    <t>Товары отгруженные</t>
  </si>
  <si>
    <t>Другие запасы и затраты</t>
  </si>
  <si>
    <t>Анализ структуры пассивов</t>
  </si>
  <si>
    <t>Собственный капитал</t>
  </si>
  <si>
    <t>Заемные долгосрочные средства</t>
  </si>
  <si>
    <t>Заемные краткосрочные средства</t>
  </si>
  <si>
    <t>Итого пассивы</t>
  </si>
  <si>
    <t>Коэффициент автономии</t>
  </si>
  <si>
    <t>Коэффициент соотношения заемных и собственных средств</t>
  </si>
  <si>
    <t>Коэффициент соотношения краткосрочных обязательств и перманентного капитала</t>
  </si>
  <si>
    <t>Анализ структуры заемных средств</t>
  </si>
  <si>
    <t>Долгосрочные заемные средства</t>
  </si>
  <si>
    <t>Другие долгосрочные обязательства</t>
  </si>
  <si>
    <t>Краткосрочные заемные средства</t>
  </si>
  <si>
    <t>Краткосрочная кредиторская задолженность</t>
  </si>
  <si>
    <t>Другие краткосрочные обязательства</t>
  </si>
  <si>
    <t>Сравнение динамики активов и финансовых результатов</t>
  </si>
  <si>
    <t xml:space="preserve">Показатель </t>
  </si>
  <si>
    <t>на начало года (периода)</t>
  </si>
  <si>
    <t>на конец года (периода)</t>
  </si>
  <si>
    <t xml:space="preserve">Темп прироста, % </t>
  </si>
  <si>
    <t>Средняя за период величина активов предприятия (Ik)</t>
  </si>
  <si>
    <t>Выручка от продаж (Iv)</t>
  </si>
  <si>
    <t>Чистая прибыль (убыток) (Ip)</t>
  </si>
  <si>
    <t>Интерпритация:</t>
  </si>
  <si>
    <t>1) Iv &gt; Ik, Ip &gt; Ik - в отчетном периоде использование активов предприятия было более эффективным, чем в предшествующем периоде</t>
  </si>
  <si>
    <t>2) Iv &gt; Ik, Ip &lt; Ik - повышение эффективности использования активов происходило за счет роста рентабельности продаж
(за счет либо роста цен на реализуемую продукцию, либо снижения себестоимости или коммерческих или управленческих расходов, либо роста сальдо прочих операций, либо изменения структуры ассортимента в пользу высокорентабельных видов продукции)</t>
  </si>
  <si>
    <t>3) Iv &lt; Ik, Ip &lt; Ik - это свидетельствует о снижении эффективности деятельности предприятия</t>
  </si>
  <si>
    <t>Запасы и затраты, в т.ч. НДС</t>
  </si>
  <si>
    <t>Коэффициент имущества производственного назначения</t>
  </si>
  <si>
    <t>Финансовые коэффициенты</t>
  </si>
  <si>
    <t>Формула по балансу</t>
  </si>
  <si>
    <t>Нормативное значение</t>
  </si>
  <si>
    <t>больше равно 0,5</t>
  </si>
  <si>
    <t>Кпим = (стр. 1150 + стр. 1210 + стр. 1220) / стр. 1600</t>
  </si>
  <si>
    <t>Ка = стр. 1300 / стр. 1600</t>
  </si>
  <si>
    <t>от 0,5 до 0,7</t>
  </si>
  <si>
    <t>Кзс = (стр. 1500 + стр. 1400) / стр. 1300</t>
  </si>
  <si>
    <t>№ п/п</t>
  </si>
  <si>
    <t>Ед. изм.</t>
  </si>
  <si>
    <t>Период</t>
  </si>
  <si>
    <t>Изменение, тыс. руб.</t>
  </si>
  <si>
    <t>Темп роста, %</t>
  </si>
  <si>
    <t>2015 / 2014</t>
  </si>
  <si>
    <t>2015 / 2013</t>
  </si>
  <si>
    <t>тыс. руб.</t>
  </si>
  <si>
    <t>Уставный капитал</t>
  </si>
  <si>
    <t>Сумма чистых активов (на конец периода)</t>
  </si>
  <si>
    <t>Отношение чистых активов к уставному капиталу</t>
  </si>
  <si>
    <t>Оборачиваемость чистых активов</t>
  </si>
  <si>
    <t>Продолжительность оборота чистых активов</t>
  </si>
  <si>
    <t>дни</t>
  </si>
  <si>
    <t>Рентабельность чистых активов</t>
  </si>
  <si>
    <t>%</t>
  </si>
  <si>
    <t>Коэффициент накопления собственного капитала</t>
  </si>
  <si>
    <t>от 0,2 до 0,5</t>
  </si>
  <si>
    <t>больше равно 0,1</t>
  </si>
  <si>
    <t>1.5.</t>
  </si>
  <si>
    <t>от 0,6 до 0,8</t>
  </si>
  <si>
    <t>Коэффициент автономии (независимости)</t>
  </si>
  <si>
    <t>Коэффициент финансирования</t>
  </si>
  <si>
    <t>больше равно 1,0</t>
  </si>
  <si>
    <t>от 0,75 до 0,9</t>
  </si>
  <si>
    <t>2.6.</t>
  </si>
  <si>
    <t>Коэффициент соотношения мобильных и иммобилизованных активов</t>
  </si>
  <si>
    <t>Денежные средства и краткосрочные финансовые вложения</t>
  </si>
  <si>
    <t>Актив</t>
  </si>
  <si>
    <t>Пассив</t>
  </si>
  <si>
    <t>Платежный излишек (+)                              или недостаток (-)</t>
  </si>
  <si>
    <t>Наиболее ликвидные активы (А1)</t>
  </si>
  <si>
    <t>Наиболее срочные обязательства (П1)</t>
  </si>
  <si>
    <t>Быстро реализуемые активы (А2)</t>
  </si>
  <si>
    <t>Краткосрочные пассивы (П2)</t>
  </si>
  <si>
    <t>Медленно реализуемые активы (А3)</t>
  </si>
  <si>
    <t>Долгосрочные пассивы (П3)</t>
  </si>
  <si>
    <t>Трудно реализуемые активы (А4)</t>
  </si>
  <si>
    <t>Постоянные пассивы (П4)</t>
  </si>
  <si>
    <t>Итого активы (ВА)</t>
  </si>
  <si>
    <t>Итого пассивы (ВП)</t>
  </si>
  <si>
    <t>Проверка выполнения правил ликвидности баланса</t>
  </si>
  <si>
    <t>Нормативные показатели</t>
  </si>
  <si>
    <t>Соотношение активов и пассивов баланса</t>
  </si>
  <si>
    <t>А1=&gt;П1</t>
  </si>
  <si>
    <t>А2=&gt;П2</t>
  </si>
  <si>
    <t>А3=&gt;П3</t>
  </si>
  <si>
    <t>А4&lt;П4</t>
  </si>
  <si>
    <t>Условие</t>
  </si>
  <si>
    <t>Примечание:</t>
  </si>
  <si>
    <t xml:space="preserve">  Разница между расчетными показателями ВА, ВП и Валютой баланса связаны с исключением "Расходов будущих периодов" из расчетов. Исключение этих расходов из расчетов обосновывается природой данной статьи.</t>
  </si>
  <si>
    <t xml:space="preserve">  "Расходы будущих периодов" - затраты, произведенные организацией в отчетном периоде, но относящиеся к следующим отчетным периодам.</t>
  </si>
  <si>
    <t>Коэффициенты ликвидности</t>
  </si>
  <si>
    <t>Коэффициент текущей ликвидности</t>
  </si>
  <si>
    <t>от 1,5 до 2,5</t>
  </si>
  <si>
    <t>Коэффициент быстрой ликвидности</t>
  </si>
  <si>
    <t>от 0,7 до 1,5</t>
  </si>
  <si>
    <t>Коэффициент абсолютной ликвидности</t>
  </si>
  <si>
    <t>более 0,2</t>
  </si>
  <si>
    <t>Общий показатель ликвидности баланса предприятия</t>
  </si>
  <si>
    <t>более или равно 1,0</t>
  </si>
  <si>
    <t>Коэффициент обеспеченности собственными средствами</t>
  </si>
  <si>
    <t>более или равно 0,1</t>
  </si>
  <si>
    <t>Коэффициент маневренности функционального капитала</t>
  </si>
  <si>
    <t>Исходные данные</t>
  </si>
  <si>
    <t>Денежные средства, краткосрочные финансовые вложения и краткосрочная дебиторская задолженность, прочие оборотные активы</t>
  </si>
  <si>
    <t>Средняя величина оборотного капитала (оборотных активов)</t>
  </si>
  <si>
    <t>Оценка текущей платежеспособности</t>
  </si>
  <si>
    <t>Коэффициент абсолютной ликвидности (норма денежных резервов)</t>
  </si>
  <si>
    <t>Коэффициент быстрой ликвидности (критической оценки)</t>
  </si>
  <si>
    <t>более 0,8</t>
  </si>
  <si>
    <t>Коэффициент текущей ликвидности (покрытия долгов)</t>
  </si>
  <si>
    <t>Дополнительные показатели платежеспособности</t>
  </si>
  <si>
    <t>Коэффициент маневренности функционирующего капитала</t>
  </si>
  <si>
    <t>3.3.</t>
  </si>
  <si>
    <t>Доля оборотных средств в активах</t>
  </si>
  <si>
    <t>больше 0,5</t>
  </si>
  <si>
    <t>3.4.</t>
  </si>
  <si>
    <t>Коэффициент восстановления платежеспособности</t>
  </si>
  <si>
    <t>больше 1,0</t>
  </si>
  <si>
    <t>3.5.</t>
  </si>
  <si>
    <t>Коэффициент утраты платежеспособности</t>
  </si>
  <si>
    <t>1. Частные показатели ликвидности и платежеспособности</t>
  </si>
  <si>
    <t>Ктл = стр. 1200 / (стр. 1520 + стр. 1510 + стр. 1550)</t>
  </si>
  <si>
    <t>Коэффициент быстрой (срочной) ликвидности</t>
  </si>
  <si>
    <t>Кбл = (стр. 1230 + стр. 1240 + стр. 1250) / (стр. 1520 + стр. 1510 + стр. 1550)</t>
  </si>
  <si>
    <t>Каб = (стр. 1240 + стр. 1250) / (стр. 1520 + стр. 1510 + стр. 1550)</t>
  </si>
  <si>
    <t>Доа = стр. 1200 / стр. 1600</t>
  </si>
  <si>
    <t>Квп = (К1ф + 6/Т (К1ф - К1н)) / 2</t>
  </si>
  <si>
    <t>Куп = (К1ф + 3/Т (К1ф - К1н)) / 2</t>
  </si>
  <si>
    <t>Ко = (стр. 1300 - стр. 1100) / стр. 1200</t>
  </si>
  <si>
    <t>Коэффициент финансовой зависимости</t>
  </si>
  <si>
    <t>Км = (стр. 1300 - стр. 1100) / стр. 1300</t>
  </si>
  <si>
    <t>Коэффициент маневренности</t>
  </si>
  <si>
    <t>Куф = (стр. 1300 + стр. 1400) / стр. 1600</t>
  </si>
  <si>
    <t>Коэффициент автономии источников формирования запасов</t>
  </si>
  <si>
    <t>Км/и = стр. 1100 / стр. 1200</t>
  </si>
  <si>
    <t>Коэффициент капитализации (плечо финансового рычага)</t>
  </si>
  <si>
    <t>Кк = (стр. 1400 + стр. 1500) / стр. 1300</t>
  </si>
  <si>
    <t>до 1,5</t>
  </si>
  <si>
    <t>Коэффициент устойчивого финансирования (Коэффициент финансовой устойчивости)</t>
  </si>
  <si>
    <t>Показатели, определяющие состояние оборотных средств</t>
  </si>
  <si>
    <t>Коэффициент обеспеченности оборотных активов собственными оборотными средствами</t>
  </si>
  <si>
    <t>Коа = (стр. 1300 + стр. 1530 + стр. 1540 - стр. 1100) / стр. 1200</t>
  </si>
  <si>
    <t>больше 0,1</t>
  </si>
  <si>
    <t>от 0,5 до 0,8</t>
  </si>
  <si>
    <t>Комз =  (стр. 1300 + стр. 1530 + стр. 1540 - стр. 1100) / стр. 1210</t>
  </si>
  <si>
    <t>Коэффициент обеспеченности материальных запасов собственными оборотными средствами</t>
  </si>
  <si>
    <t>Коэффициент маневренности собственного капитала</t>
  </si>
  <si>
    <t>Кмск = (стр. 1300 + стр. 1530 + стр. 1540 - стр. 1100) / (стр. 1300 + стр. 1530 + стр. 1540)</t>
  </si>
  <si>
    <t>равно 0,5</t>
  </si>
  <si>
    <t>Показатели, определяющие состояние основных средств</t>
  </si>
  <si>
    <t>Индекс постоянного актива</t>
  </si>
  <si>
    <t>Кпа = стр. 1300 / (стр. 1300 + стр. 1530 + стр. 1540)</t>
  </si>
  <si>
    <t>Группа 1</t>
  </si>
  <si>
    <t>Группа 2</t>
  </si>
  <si>
    <t>Группа 3</t>
  </si>
  <si>
    <t>Группа 4</t>
  </si>
  <si>
    <t>Коэффициент долгосрочного привлечения заемных средств</t>
  </si>
  <si>
    <t>Кдз = стр. 1400 / (стр. 1300 + стр. 1530 + стр. 1540 + стр. 1400)</t>
  </si>
  <si>
    <t>Коэффициент реальной стоимости имущества</t>
  </si>
  <si>
    <t>меньше равно 0,5</t>
  </si>
  <si>
    <t>Кри = (стр. 1150 + стр. 1210) / стр. 1600</t>
  </si>
  <si>
    <t>Показатели, характеризующие финансовую независимость организации</t>
  </si>
  <si>
    <t>Коэффициент финансовой устойчивости</t>
  </si>
  <si>
    <t>Коэффициент финансовой активности</t>
  </si>
  <si>
    <t>Кфа = (стр. 1400 + стр. 1500 - стр. 1530 - стр. 1540) / (стр. 1300 + стр. 1530 + стр. 1540)</t>
  </si>
  <si>
    <t>меньше 1,0</t>
  </si>
  <si>
    <t>Кф = (стр. 1300 + стр. 1530 + стр. 1540) / (стр. 1400 + стр. 1500)</t>
  </si>
  <si>
    <t>Анализ обеспеченности запасов источниками</t>
  </si>
  <si>
    <t>Реальный собственный капитал</t>
  </si>
  <si>
    <t>Источники собственных оборотных средств для формирования запасов и затрат</t>
  </si>
  <si>
    <t>Источники собственных и долгосрочных заемных средств для формирования запасов и затрат</t>
  </si>
  <si>
    <t>Краткосрочные кредитные и заемные средства</t>
  </si>
  <si>
    <t>Общая величина источников средств с учетом долгосрочных и краткосрочных заемных средств</t>
  </si>
  <si>
    <t>Величина запасов и затрат, обращающихся в активе баланса</t>
  </si>
  <si>
    <t>Излишек источников собственных оборотных средств</t>
  </si>
  <si>
    <t>Излишек источников собственных средств и долгосрочных заемных источников</t>
  </si>
  <si>
    <t>Излишек общей величины всех источников для формирования запасов и затрат</t>
  </si>
  <si>
    <t>Тип финансовой устойчивости</t>
  </si>
  <si>
    <t>Долгосрочные пассивы</t>
  </si>
  <si>
    <t>Оценка коэффициентов финансовой устойчивости</t>
  </si>
  <si>
    <t>1.6.</t>
  </si>
  <si>
    <t>1.7.</t>
  </si>
  <si>
    <t>1.8.</t>
  </si>
  <si>
    <t>1.9.</t>
  </si>
  <si>
    <t>1.10.</t>
  </si>
  <si>
    <t>1.11.</t>
  </si>
  <si>
    <t>1.12.</t>
  </si>
  <si>
    <t>Коэффициент обеспеченности запасов собственными источниками</t>
  </si>
  <si>
    <t>2. Частные показатели финансовой устойчивости (Шеремет)</t>
  </si>
  <si>
    <t>Км = (ЧА - стр. 1100 - стр.5540) / ЧА</t>
  </si>
  <si>
    <t>Каи =(ЧА - стр. 1100 - стр.5540) / ((ЧА - стр. 1100 - стр.5540) + стр. 1400 + стр. 1500)</t>
  </si>
  <si>
    <t>Коз =  (ЧА - стр. 1100 - стр.5540) / стр. 1210</t>
  </si>
  <si>
    <t>Коб =  (ЧА - стр. 1100 - стр.5540) / (стр. 1210 + стр. 1230 + стр. 1240 + стр. 1250 - дз)</t>
  </si>
  <si>
    <t>3. Частные показатели финансовой устойчивости (Ковалев В.В.)</t>
  </si>
  <si>
    <t>Коэффициент концентрации собственного капитала</t>
  </si>
  <si>
    <t>Kdr = (стр. 1400 + стр. 1500) / стр. 1700</t>
  </si>
  <si>
    <t>Кer=стр. 1300 / стр. 1700</t>
  </si>
  <si>
    <t>Коэффициент концентрации привлеченных средств (заемного капитала)</t>
  </si>
  <si>
    <t>Коэффициент финансовой зависимости капитализированных источников</t>
  </si>
  <si>
    <t>Kdc = стр. 1400 / (стр. 1300 + стр. 1400)</t>
  </si>
  <si>
    <t>Коэффициент финансовой независимости капитализированных источников</t>
  </si>
  <si>
    <t>Kеc = стр. 1300 / (стр. 1300 + стр. 1400)</t>
  </si>
  <si>
    <t>больше равно 0,6</t>
  </si>
  <si>
    <t>меньше 0,4</t>
  </si>
  <si>
    <t>Расчет эффекта финансового рычага</t>
  </si>
  <si>
    <t>ед.изм.</t>
  </si>
  <si>
    <t>Заемный капитал</t>
  </si>
  <si>
    <t>Итого капитал</t>
  </si>
  <si>
    <t>Операционная прибыль</t>
  </si>
  <si>
    <t>Ставка процента по заемному капиталу</t>
  </si>
  <si>
    <t>Сумма процентов по заемному капиталу</t>
  </si>
  <si>
    <t>Ставка налога на прибыль</t>
  </si>
  <si>
    <t>Налогооблагаемая прибыль</t>
  </si>
  <si>
    <t>Сумма налога на прибыль</t>
  </si>
  <si>
    <t>Чистая прибыль</t>
  </si>
  <si>
    <t>Рентабельность собственного капитала</t>
  </si>
  <si>
    <t>Эффект финансового рычага (DFL)</t>
  </si>
  <si>
    <t>4. Частные показатели финансовой устойчивости (Савицкая Г.В.)</t>
  </si>
  <si>
    <t>Кфз = (стр. 1400 + стр. 1510 + стр. 1520 + стр. 1550) / стр. 1300</t>
  </si>
  <si>
    <t>Коэффициент текущей задолженности</t>
  </si>
  <si>
    <t>от 0,1 до 0,2</t>
  </si>
  <si>
    <t>Ктз = (стр. 1510 + стр. 1520 + стр. 1550) / стр. 1700</t>
  </si>
  <si>
    <t>Коэффициент долгосрочной финансовой независимости (Коэффициент финансовой устойчивости)</t>
  </si>
  <si>
    <t>Куф = (стр. 1300 + стр. 1400) / стр. 1700</t>
  </si>
  <si>
    <t>Коэффициент покрытия долгов собственным капиталом (коэффициент платежеспособности)</t>
  </si>
  <si>
    <t>больше равно 0,7</t>
  </si>
  <si>
    <t>Кпд = стр. 1300 / (стр. 1300 + стр. 1400)</t>
  </si>
  <si>
    <t>Коэффициент финансового левериджа или коэффициент финансового риска</t>
  </si>
  <si>
    <t>от 0,4 до 0,6</t>
  </si>
  <si>
    <t xml:space="preserve">Кфл = (стр. 1400 + стр. 1500) / стр. 1300 </t>
  </si>
  <si>
    <t>4. Частные показатели финансовой устойчивости (Донцова Л.В.)</t>
  </si>
  <si>
    <t>Коэффициент финансовой независимости</t>
  </si>
  <si>
    <t>2. Частные показатели рыночной устойчивости (Ионова)</t>
  </si>
  <si>
    <t>от 0,5 до 0,6</t>
  </si>
  <si>
    <t>Кф = стр. 1300 / (стр. 1400 + стр. 1500)</t>
  </si>
  <si>
    <t>Кк = (стр. 1400 + стр. 1500) / стр. 1700</t>
  </si>
  <si>
    <t>Коэффициент обеспеченности собственными источниками финасирования</t>
  </si>
  <si>
    <t>Показатели финансовой структуры и долгосрочной платежеспособности</t>
  </si>
  <si>
    <t>Долгосрочные обязательства</t>
  </si>
  <si>
    <t>Краткосрочные обязательства</t>
  </si>
  <si>
    <t>Совокупные пассивы</t>
  </si>
  <si>
    <t>Коэффициент независимости</t>
  </si>
  <si>
    <t>Показатели, характеризующие финансовую структуру</t>
  </si>
  <si>
    <t>Коэффициент финансового рычага</t>
  </si>
  <si>
    <t>Внеоборотные активы / Собственный капитал</t>
  </si>
  <si>
    <t>Оборотные активы / Долгосрочные обязательства</t>
  </si>
  <si>
    <t>Коэффициент финансовой устойчивости (соотношения заемных и собственных средств)</t>
  </si>
  <si>
    <t>до 0,5</t>
  </si>
  <si>
    <t>Коэффициент кредиторской задолженности</t>
  </si>
  <si>
    <t>Ккз = стр. 1520 / стр. 1500</t>
  </si>
  <si>
    <t>Коэффициент маневренности собственных оборотных средств</t>
  </si>
  <si>
    <t>Коэффициент обеспеченности запасов и затрат собственными источниками</t>
  </si>
  <si>
    <t>Ко = (стр. 1300 - стр. 1100) / (стр. 1210 + стр. 1220)</t>
  </si>
  <si>
    <t>5. Частные показатели финансовой устойчивости (Лиференко Г.Н.)</t>
  </si>
  <si>
    <t>4.3.</t>
  </si>
  <si>
    <t>4.4.</t>
  </si>
  <si>
    <t>4.5.</t>
  </si>
  <si>
    <t>4.6.</t>
  </si>
  <si>
    <t>4.7.</t>
  </si>
  <si>
    <t xml:space="preserve"> Величина чистых активов коммерческой организации</t>
  </si>
  <si>
    <t>Величина показателя EBITDA</t>
  </si>
  <si>
    <t>Выполнение минимального условия финансовой устойчивости</t>
  </si>
  <si>
    <t>Уровень финансового левериджа</t>
  </si>
  <si>
    <t>Коэффициент обеспеченности процентов к уплате</t>
  </si>
  <si>
    <t>TIE = (стр. 2300 + стр. 2330) / стр. 2330</t>
  </si>
  <si>
    <t>Коэффициент покрытия постоянных финансовых расходов</t>
  </si>
  <si>
    <t>FCC = (EBIT + Fixed Charge (before tax)) / (Fixed Charge (before tax) + Interest)</t>
  </si>
  <si>
    <t>Fixed Charge (before tax)) - Расходы по долгосрочной аренде, включая лизинговые платежи</t>
  </si>
  <si>
    <t>Kfl = стр. 1400 / стр. 1300</t>
  </si>
  <si>
    <t>Выручка (нетто)</t>
  </si>
  <si>
    <t>Оборачиваемость всех активов</t>
  </si>
  <si>
    <t>Средний срок оборота всех активов</t>
  </si>
  <si>
    <t>дн.</t>
  </si>
  <si>
    <t>Коэффициент оборачиваемости собственного капитала</t>
  </si>
  <si>
    <t>Период оборота собственного капитала</t>
  </si>
  <si>
    <t>Коэффициент оборачиваемости заемного капитала</t>
  </si>
  <si>
    <t>Период оборота заемного капитала</t>
  </si>
  <si>
    <t>Оборачиваемость оборотных активов</t>
  </si>
  <si>
    <t>Средний срок оборота оборотных активов</t>
  </si>
  <si>
    <t>Фондоотдача</t>
  </si>
  <si>
    <t>Доля оборотных активов в общей величине капитала</t>
  </si>
  <si>
    <t>Показатели управления материальными запасами</t>
  </si>
  <si>
    <t>Оборачиваемость запасов</t>
  </si>
  <si>
    <t>Средний срок оборота запасов</t>
  </si>
  <si>
    <t>Доля запасов в общей величине оборотных активов</t>
  </si>
  <si>
    <t>Показатели управления дебиторской и кредиторской задолженностью</t>
  </si>
  <si>
    <t>Оборачиваемость дебиторской задолженности</t>
  </si>
  <si>
    <t>Средний срок оборота дебиторской задолженности</t>
  </si>
  <si>
    <t>Оборачиваемость кредиторской задолженности</t>
  </si>
  <si>
    <t>Средний срок оборота кредиторской задолженности</t>
  </si>
  <si>
    <t>Соотношение дебиторской и кредиторской задолженности</t>
  </si>
  <si>
    <t>Коэффициент оборачиваемости денежных средств</t>
  </si>
  <si>
    <t>Операционный и финансовый цикл</t>
  </si>
  <si>
    <t>Производственный цикл</t>
  </si>
  <si>
    <r>
      <t>Финансовый цикл</t>
    </r>
    <r>
      <rPr>
        <sz val="10"/>
        <rFont val="Arial Cyr"/>
        <charset val="204"/>
      </rPr>
      <t/>
    </r>
  </si>
  <si>
    <t>Среднесписочная численность персонала</t>
  </si>
  <si>
    <t>чел.</t>
  </si>
  <si>
    <t>Производительность труда</t>
  </si>
  <si>
    <t>тыс. руб./чел.</t>
  </si>
  <si>
    <t>Общие показатели оборачиваемости</t>
  </si>
  <si>
    <t>6. Коэффициенты оборачиваемости</t>
  </si>
  <si>
    <t>Коэффициент оборачиваемости активов</t>
  </si>
  <si>
    <t>Коа = стр. 2110 / 0,5 х (стр. 1600 на начало года + стр.1600 на конец года)</t>
  </si>
  <si>
    <t>Коэффициент оборачиваемости текущих активов</t>
  </si>
  <si>
    <t>Кооа = стр. 2110 / 0,5 х (стр. 1200нг + стр.1200кг)</t>
  </si>
  <si>
    <t>Коэффициент оборачиваемости внеоборотных активов. Фондоотдача</t>
  </si>
  <si>
    <t>Фо = стр. 2110 / 0,5 х (стр. 1150нг + стр.1150кг)</t>
  </si>
  <si>
    <t>Коск = стр. 2110 №2 / 0,5 х (стр. 1300нг + стр.1300кг)</t>
  </si>
  <si>
    <t>Коэффициент оборачиваемости инвестированного капитала</t>
  </si>
  <si>
    <t>Кик = стр. 2110 №2 / (0,5 х (стр. 1300нг + стр.1300кг) + 0,5 х (стр. 1400нг + стр.1400кг))</t>
  </si>
  <si>
    <t>Кз = стр. 2110 №2 / (0,5 х (стр. 1500нг + стр.1500кг) + 0,5 х (стр. 1400нг + стр.1400кг))</t>
  </si>
  <si>
    <t>Коэффициент оборачиваемости дебиторской задолженности</t>
  </si>
  <si>
    <t>Кодз = стр. 2110 / 0,5 х (стр. 1230нг + стр.1230кг)</t>
  </si>
  <si>
    <t>Коэффициент оборачиваемости кредиторской задолженности</t>
  </si>
  <si>
    <t>Кокз = стр. 2110 / 0,5 х (стр. 1520нг + стр.1520кг)</t>
  </si>
  <si>
    <t>Коэффициент оборачиваемости материальных запасов</t>
  </si>
  <si>
    <t>Комз = стр. 2120 / 0,5 х ((стр. 1210 + стр. 1220)нг + (стр. 1210 + стр. 1220)кг)</t>
  </si>
  <si>
    <t>Кдс = стр. 2120 / 0,5 х (стр. 1250нг + стр. 1250кг)</t>
  </si>
  <si>
    <t>Период оборота совокупного капитала (в днях)</t>
  </si>
  <si>
    <t>Период оборота оборотных активов (в днях)</t>
  </si>
  <si>
    <t>Период оборота собственного капитала (в днях)</t>
  </si>
  <si>
    <t>Период оборота инвестированного капитала (в днях)</t>
  </si>
  <si>
    <t>Период оборота заемного капитала (в днях)</t>
  </si>
  <si>
    <t>Период оборота дебиторской задолженности</t>
  </si>
  <si>
    <t>Период оборота кредиторской задолженности</t>
  </si>
  <si>
    <t>Период оборачиваемости материальных запасов</t>
  </si>
  <si>
    <t>360/Коа</t>
  </si>
  <si>
    <t>360/Кооа</t>
  </si>
  <si>
    <t>360/Коск</t>
  </si>
  <si>
    <t>360/Кик</t>
  </si>
  <si>
    <t>360/Кз</t>
  </si>
  <si>
    <t>360/Кодз</t>
  </si>
  <si>
    <t>360/Кокз</t>
  </si>
  <si>
    <t>Период оборачиваемости денежных средств</t>
  </si>
  <si>
    <t>360/Кдс</t>
  </si>
  <si>
    <t>360/Комз</t>
  </si>
  <si>
    <t>Средняя численность работников</t>
  </si>
  <si>
    <t>Годовая статистическая отчетность, форма 4-ФСС</t>
  </si>
  <si>
    <t>5.1.</t>
  </si>
  <si>
    <t>5.2.</t>
  </si>
  <si>
    <t>5.3.</t>
  </si>
  <si>
    <t>5.4.</t>
  </si>
  <si>
    <t>Оценка деловой активности</t>
  </si>
  <si>
    <t>Среднегодовая стоимость собственного капитала</t>
  </si>
  <si>
    <t>Полная себестоимость товаров, работ или услуг</t>
  </si>
  <si>
    <t>Показатели рентабельности</t>
  </si>
  <si>
    <t>Рентабельность активов (ROA)</t>
  </si>
  <si>
    <t>Коэффициент рентабельности собственного капитала (ROE)</t>
  </si>
  <si>
    <t>Коэффициент рентабельности продаж (ROS) по чистой прибыли</t>
  </si>
  <si>
    <t>Коэффициент рентабельности продаж (ROS) по прибыли от продаж</t>
  </si>
  <si>
    <t>Рентабельность производства</t>
  </si>
  <si>
    <t>Расчет показателей модели Дюпон</t>
  </si>
  <si>
    <t>Прибыль (убыток) до налогообложения (EBT)</t>
  </si>
  <si>
    <t>Показатель прибыли до вычета налогов и процентов (EBIT)</t>
  </si>
  <si>
    <t>Среднегодовая величина акционерного капитала предприятия (Ск)</t>
  </si>
  <si>
    <t>(ЧП/EBT)</t>
  </si>
  <si>
    <t>(EBT/EBIT)</t>
  </si>
  <si>
    <t>(EBIT/Ор)</t>
  </si>
  <si>
    <t>(Ор/А)</t>
  </si>
  <si>
    <t>(А/Ск)</t>
  </si>
  <si>
    <t>Рентабельность собственного капитала (ROE)</t>
  </si>
  <si>
    <t>Абсолютное отклонение (+/–)</t>
  </si>
  <si>
    <t>Темп роста (снижения), %</t>
  </si>
  <si>
    <t>усл. обознач.</t>
  </si>
  <si>
    <t>Количество проданной продукции (товаров)</t>
  </si>
  <si>
    <t>шт.</t>
  </si>
  <si>
    <r>
      <t>q</t>
    </r>
    <r>
      <rPr>
        <vertAlign val="subscript"/>
        <sz val="11"/>
        <rFont val="Calibri"/>
        <family val="2"/>
        <charset val="204"/>
        <scheme val="minor"/>
      </rPr>
      <t>1</t>
    </r>
  </si>
  <si>
    <r>
      <t>q</t>
    </r>
    <r>
      <rPr>
        <vertAlign val="subscript"/>
        <sz val="11"/>
        <rFont val="Calibri"/>
        <family val="2"/>
        <charset val="204"/>
        <scheme val="minor"/>
      </rPr>
      <t>0</t>
    </r>
  </si>
  <si>
    <t>Цена продукции (средневзвешенная)</t>
  </si>
  <si>
    <t>тыс. руб./шт.</t>
  </si>
  <si>
    <r>
      <t>p</t>
    </r>
    <r>
      <rPr>
        <vertAlign val="subscript"/>
        <sz val="11"/>
        <rFont val="Calibri"/>
        <family val="2"/>
        <charset val="204"/>
        <scheme val="minor"/>
      </rPr>
      <t>1</t>
    </r>
  </si>
  <si>
    <r>
      <t>p</t>
    </r>
    <r>
      <rPr>
        <vertAlign val="subscript"/>
        <sz val="11"/>
        <rFont val="Calibri"/>
        <family val="2"/>
        <charset val="204"/>
        <scheme val="minor"/>
      </rPr>
      <t>0</t>
    </r>
  </si>
  <si>
    <t>Выручка от реализации продукции (товаров)</t>
  </si>
  <si>
    <r>
      <t>В</t>
    </r>
    <r>
      <rPr>
        <vertAlign val="subscript"/>
        <sz val="11"/>
        <rFont val="Calibri"/>
        <family val="2"/>
        <charset val="204"/>
        <scheme val="minor"/>
      </rPr>
      <t>1</t>
    </r>
  </si>
  <si>
    <r>
      <t>В</t>
    </r>
    <r>
      <rPr>
        <vertAlign val="subscript"/>
        <sz val="11"/>
        <rFont val="Calibri"/>
        <family val="2"/>
        <charset val="204"/>
        <scheme val="minor"/>
      </rPr>
      <t>0</t>
    </r>
  </si>
  <si>
    <t>Полная себестоимость от реализации продукции</t>
  </si>
  <si>
    <r>
      <t>S</t>
    </r>
    <r>
      <rPr>
        <vertAlign val="subscript"/>
        <sz val="11"/>
        <rFont val="Calibri"/>
        <family val="2"/>
        <charset val="204"/>
        <scheme val="minor"/>
      </rPr>
      <t>1</t>
    </r>
  </si>
  <si>
    <r>
      <t>S</t>
    </r>
    <r>
      <rPr>
        <vertAlign val="subscript"/>
        <sz val="11"/>
        <rFont val="Calibri"/>
        <family val="2"/>
        <charset val="204"/>
        <scheme val="minor"/>
      </rPr>
      <t>0</t>
    </r>
  </si>
  <si>
    <t>Себестоимость 1 ед. продукции</t>
  </si>
  <si>
    <r>
      <t>S</t>
    </r>
    <r>
      <rPr>
        <vertAlign val="subscript"/>
        <sz val="11"/>
        <rFont val="Calibri"/>
        <family val="2"/>
        <charset val="204"/>
        <scheme val="minor"/>
      </rPr>
      <t>ед. 1</t>
    </r>
  </si>
  <si>
    <r>
      <t>S</t>
    </r>
    <r>
      <rPr>
        <vertAlign val="subscript"/>
        <sz val="11"/>
        <rFont val="Calibri"/>
        <family val="2"/>
        <charset val="204"/>
        <scheme val="minor"/>
      </rPr>
      <t>ед. 0</t>
    </r>
  </si>
  <si>
    <t>Прибыль от реализации продукции</t>
  </si>
  <si>
    <r>
      <t>П</t>
    </r>
    <r>
      <rPr>
        <vertAlign val="subscript"/>
        <sz val="11"/>
        <rFont val="Calibri"/>
        <family val="2"/>
        <charset val="204"/>
        <scheme val="minor"/>
      </rPr>
      <t>1</t>
    </r>
  </si>
  <si>
    <r>
      <t>П</t>
    </r>
    <r>
      <rPr>
        <vertAlign val="subscript"/>
        <sz val="11"/>
        <rFont val="Calibri"/>
        <family val="2"/>
        <charset val="204"/>
        <scheme val="minor"/>
      </rPr>
      <t>0</t>
    </r>
  </si>
  <si>
    <t>формула расчета</t>
  </si>
  <si>
    <t>В'</t>
  </si>
  <si>
    <r>
      <t>q</t>
    </r>
    <r>
      <rPr>
        <vertAlign val="subscript"/>
        <sz val="11"/>
        <rFont val="Calibri"/>
        <family val="2"/>
        <charset val="204"/>
        <scheme val="minor"/>
      </rPr>
      <t>1</t>
    </r>
    <r>
      <rPr>
        <sz val="11"/>
        <rFont val="Calibri"/>
        <family val="2"/>
        <charset val="204"/>
        <scheme val="minor"/>
      </rPr>
      <t> x </t>
    </r>
    <r>
      <rPr>
        <i/>
        <sz val="11"/>
        <rFont val="Calibri"/>
        <family val="2"/>
        <charset val="204"/>
        <scheme val="minor"/>
      </rPr>
      <t>p</t>
    </r>
    <r>
      <rPr>
        <vertAlign val="subscript"/>
        <sz val="11"/>
        <rFont val="Calibri"/>
        <family val="2"/>
        <charset val="204"/>
        <scheme val="minor"/>
      </rPr>
      <t>0</t>
    </r>
  </si>
  <si>
    <t>Полная себестоимость</t>
  </si>
  <si>
    <r>
      <t>S</t>
    </r>
    <r>
      <rPr>
        <sz val="11"/>
        <rFont val="Calibri"/>
        <family val="2"/>
        <charset val="204"/>
        <scheme val="minor"/>
      </rPr>
      <t>'</t>
    </r>
  </si>
  <si>
    <t>Прибыль от реализации товарной продукции</t>
  </si>
  <si>
    <t>П'</t>
  </si>
  <si>
    <t>Расчет факторных влияний на прибыль от реализации продукции</t>
  </si>
  <si>
    <t>Фактор</t>
  </si>
  <si>
    <t>Удельный вес, %</t>
  </si>
  <si>
    <t>Изменение отпускных цен на продукцию
(∆p1 = В1 - В')</t>
  </si>
  <si>
    <t>Изменение в объеме продукции
(Δp2 = П0 x (S'/ S0) - П0)</t>
  </si>
  <si>
    <t>Изменение в структуре продукции
(∆p3 = p0 x ((В' / В0) - (S' / S0)))</t>
  </si>
  <si>
    <t>Влияние на прибыль экономии от снижения по себестоимости продукции
(∆p4 = S' - S1)</t>
  </si>
  <si>
    <t>Изменение себестоимости за счет структурных сдвигов в составе продукции
(∆pP5 = S0 x (В' / В0) - S')</t>
  </si>
  <si>
    <t>Совокупное влияние факторов</t>
  </si>
  <si>
    <r>
      <rPr>
        <sz val="11"/>
        <color theme="1"/>
        <rFont val="Symbol"/>
        <family val="1"/>
        <charset val="2"/>
      </rPr>
      <t>D</t>
    </r>
    <r>
      <rPr>
        <sz val="11"/>
        <color theme="1"/>
        <rFont val="Calibri"/>
        <family val="2"/>
        <charset val="204"/>
        <scheme val="minor"/>
      </rPr>
      <t>р1</t>
    </r>
  </si>
  <si>
    <r>
      <rPr>
        <sz val="11"/>
        <color theme="1"/>
        <rFont val="Symbol"/>
        <family val="1"/>
        <charset val="2"/>
      </rPr>
      <t>D</t>
    </r>
    <r>
      <rPr>
        <sz val="11"/>
        <color theme="1"/>
        <rFont val="Calibri"/>
        <family val="2"/>
        <charset val="204"/>
        <scheme val="minor"/>
      </rPr>
      <t>р2</t>
    </r>
  </si>
  <si>
    <r>
      <rPr>
        <sz val="11"/>
        <color theme="1"/>
        <rFont val="Symbol"/>
        <family val="1"/>
        <charset val="2"/>
      </rPr>
      <t>D</t>
    </r>
    <r>
      <rPr>
        <sz val="11"/>
        <color theme="1"/>
        <rFont val="Calibri"/>
        <family val="2"/>
        <charset val="204"/>
        <scheme val="minor"/>
      </rPr>
      <t>р3</t>
    </r>
  </si>
  <si>
    <r>
      <rPr>
        <sz val="11"/>
        <color theme="1"/>
        <rFont val="Symbol"/>
        <family val="1"/>
        <charset val="2"/>
      </rPr>
      <t>D</t>
    </r>
    <r>
      <rPr>
        <sz val="11"/>
        <color theme="1"/>
        <rFont val="Calibri"/>
        <family val="2"/>
        <charset val="204"/>
        <scheme val="minor"/>
      </rPr>
      <t>р4</t>
    </r>
  </si>
  <si>
    <r>
      <rPr>
        <sz val="11"/>
        <color theme="1"/>
        <rFont val="Symbol"/>
        <family val="1"/>
        <charset val="2"/>
      </rPr>
      <t>D</t>
    </r>
    <r>
      <rPr>
        <sz val="11"/>
        <color theme="1"/>
        <rFont val="Calibri"/>
        <family val="2"/>
        <charset val="204"/>
        <scheme val="minor"/>
      </rPr>
      <t>р5</t>
    </r>
  </si>
  <si>
    <t>Факторный анализ прибыли от реализации продукции</t>
  </si>
  <si>
    <t>Факторный анализ прибыли от продаж</t>
  </si>
  <si>
    <t>Выручка от продажи продукции, работ или услуг</t>
  </si>
  <si>
    <t>Себестоимость</t>
  </si>
  <si>
    <r>
      <t>Kr</t>
    </r>
    <r>
      <rPr>
        <i/>
        <vertAlign val="subscript"/>
        <sz val="11"/>
        <rFont val="Calibri"/>
        <family val="2"/>
        <charset val="204"/>
        <scheme val="minor"/>
      </rPr>
      <t>1</t>
    </r>
  </si>
  <si>
    <r>
      <t>Kr</t>
    </r>
    <r>
      <rPr>
        <i/>
        <vertAlign val="subscript"/>
        <sz val="11"/>
        <rFont val="Calibri"/>
        <family val="2"/>
        <charset val="204"/>
        <scheme val="minor"/>
      </rPr>
      <t>0</t>
    </r>
  </si>
  <si>
    <r>
      <t>Ur</t>
    </r>
    <r>
      <rPr>
        <i/>
        <vertAlign val="subscript"/>
        <sz val="11"/>
        <rFont val="Calibri"/>
        <family val="2"/>
        <charset val="204"/>
        <scheme val="minor"/>
      </rPr>
      <t>1</t>
    </r>
  </si>
  <si>
    <r>
      <t>Ur</t>
    </r>
    <r>
      <rPr>
        <i/>
        <vertAlign val="subscript"/>
        <sz val="11"/>
        <rFont val="Calibri"/>
        <family val="2"/>
        <charset val="204"/>
        <scheme val="minor"/>
      </rPr>
      <t>0</t>
    </r>
  </si>
  <si>
    <t>Прибыль от продаж</t>
  </si>
  <si>
    <t>Индекс изменения цен</t>
  </si>
  <si>
    <t>Объем реализации в сопоставимых ценах</t>
  </si>
  <si>
    <t>Расчет факторных влияний на прибыль от продаж</t>
  </si>
  <si>
    <t>Влияние объема продаж на прибыль</t>
  </si>
  <si>
    <t>Влияние структуры ассортимента реализованной продукции</t>
  </si>
  <si>
    <t>Влияние изменения себестоимости</t>
  </si>
  <si>
    <t>Влияние изменения коммерческих расходов</t>
  </si>
  <si>
    <t>Влияние изменения управленческих расходов</t>
  </si>
  <si>
    <t>Влияние цен реализации</t>
  </si>
  <si>
    <t>Факторный анализ рентабельности активов</t>
  </si>
  <si>
    <t>Полная себестоимость реализованной продукции</t>
  </si>
  <si>
    <r>
      <t>Q</t>
    </r>
    <r>
      <rPr>
        <vertAlign val="subscript"/>
        <sz val="11"/>
        <rFont val="Calibri"/>
        <family val="2"/>
        <charset val="204"/>
        <scheme val="minor"/>
      </rPr>
      <t>1</t>
    </r>
  </si>
  <si>
    <r>
      <t>Q</t>
    </r>
    <r>
      <rPr>
        <vertAlign val="subscript"/>
        <sz val="11"/>
        <rFont val="Calibri"/>
        <family val="2"/>
        <charset val="204"/>
        <scheme val="minor"/>
      </rPr>
      <t>0</t>
    </r>
  </si>
  <si>
    <t>Средние остатки запасов включая НДС</t>
  </si>
  <si>
    <t>Средние остатки оборотных активов</t>
  </si>
  <si>
    <r>
      <t>ОА</t>
    </r>
    <r>
      <rPr>
        <vertAlign val="subscript"/>
        <sz val="11"/>
        <rFont val="Calibri"/>
        <family val="2"/>
        <charset val="204"/>
        <scheme val="minor"/>
      </rPr>
      <t>1</t>
    </r>
  </si>
  <si>
    <r>
      <t>ОА</t>
    </r>
    <r>
      <rPr>
        <vertAlign val="subscript"/>
        <sz val="11"/>
        <rFont val="Calibri"/>
        <family val="2"/>
        <charset val="204"/>
        <scheme val="minor"/>
      </rPr>
      <t>0</t>
    </r>
  </si>
  <si>
    <t>Средние остатки активов</t>
  </si>
  <si>
    <r>
      <t>А</t>
    </r>
    <r>
      <rPr>
        <vertAlign val="subscript"/>
        <sz val="11"/>
        <rFont val="Calibri"/>
        <family val="2"/>
        <charset val="204"/>
        <scheme val="minor"/>
      </rPr>
      <t>1</t>
    </r>
  </si>
  <si>
    <r>
      <t>А</t>
    </r>
    <r>
      <rPr>
        <vertAlign val="subscript"/>
        <sz val="11"/>
        <rFont val="Calibri"/>
        <family val="2"/>
        <charset val="204"/>
        <scheme val="minor"/>
      </rPr>
      <t>0</t>
    </r>
  </si>
  <si>
    <t>Х</t>
  </si>
  <si>
    <t>У</t>
  </si>
  <si>
    <t>Z</t>
  </si>
  <si>
    <t>L</t>
  </si>
  <si>
    <t>Ra</t>
  </si>
  <si>
    <t>Рентабельность активов, Ra</t>
  </si>
  <si>
    <t>Доля оборотных активов в формировании активов
(п.5 / п.6)</t>
  </si>
  <si>
    <t>Доля запасов в формировании оборотных активов
(п.4 / п.5)</t>
  </si>
  <si>
    <t>Оборачиваемость запасов в оборотах (п.3 / п.4)</t>
  </si>
  <si>
    <t>Оценка влияния факторов на изменение рентабельности активов</t>
  </si>
  <si>
    <t>Совокупное влияние всех факторов</t>
  </si>
  <si>
    <t>Изменение рентабельности активов к переменной базе</t>
  </si>
  <si>
    <t>Выручка на 1 руб. себестоимости (п.2 / п.3)</t>
  </si>
  <si>
    <r>
      <t xml:space="preserve">Выручка на 1 руб. cебестоимости, </t>
    </r>
    <r>
      <rPr>
        <sz val="11"/>
        <color theme="1"/>
        <rFont val="Symbol"/>
        <family val="1"/>
        <charset val="2"/>
      </rPr>
      <t>D</t>
    </r>
    <r>
      <rPr>
        <sz val="11"/>
        <color theme="1"/>
        <rFont val="Calibri"/>
        <family val="2"/>
        <charset val="204"/>
        <scheme val="minor"/>
      </rPr>
      <t>Rx</t>
    </r>
  </si>
  <si>
    <r>
      <t xml:space="preserve">Доля оборотных активов в формировании активов, </t>
    </r>
    <r>
      <rPr>
        <sz val="11"/>
        <color theme="1"/>
        <rFont val="Symbol"/>
        <family val="1"/>
        <charset val="2"/>
      </rPr>
      <t>D</t>
    </r>
    <r>
      <rPr>
        <sz val="11"/>
        <color theme="1"/>
        <rFont val="Calibri"/>
        <family val="2"/>
        <charset val="204"/>
        <scheme val="minor"/>
      </rPr>
      <t>Ry</t>
    </r>
  </si>
  <si>
    <r>
      <t xml:space="preserve">Доля запасов в формировании оборотных активов, </t>
    </r>
    <r>
      <rPr>
        <sz val="11"/>
        <color theme="1"/>
        <rFont val="Symbol"/>
        <family val="1"/>
        <charset val="2"/>
      </rPr>
      <t>D</t>
    </r>
    <r>
      <rPr>
        <sz val="11"/>
        <color theme="1"/>
        <rFont val="Calibri"/>
        <family val="2"/>
        <charset val="204"/>
        <scheme val="minor"/>
      </rPr>
      <t>Rz</t>
    </r>
  </si>
  <si>
    <r>
      <t xml:space="preserve">Оборачиваемость запасов в оборотах, </t>
    </r>
    <r>
      <rPr>
        <sz val="11"/>
        <color theme="1"/>
        <rFont val="Symbol"/>
        <family val="1"/>
        <charset val="2"/>
      </rPr>
      <t>D</t>
    </r>
    <r>
      <rPr>
        <sz val="11"/>
        <color theme="1"/>
        <rFont val="Calibri"/>
        <family val="2"/>
        <charset val="204"/>
        <scheme val="minor"/>
      </rPr>
      <t>Rl</t>
    </r>
  </si>
  <si>
    <r>
      <rPr>
        <sz val="11"/>
        <color theme="1"/>
        <rFont val="Symbol"/>
        <family val="1"/>
        <charset val="2"/>
      </rPr>
      <t>D</t>
    </r>
    <r>
      <rPr>
        <sz val="11"/>
        <color theme="1"/>
        <rFont val="Calibri"/>
        <family val="2"/>
        <charset val="204"/>
        <scheme val="minor"/>
      </rPr>
      <t>Rx</t>
    </r>
  </si>
  <si>
    <r>
      <rPr>
        <sz val="11"/>
        <color theme="1"/>
        <rFont val="Symbol"/>
        <family val="1"/>
        <charset val="2"/>
      </rPr>
      <t>D</t>
    </r>
    <r>
      <rPr>
        <sz val="11"/>
        <color theme="1"/>
        <rFont val="Calibri"/>
        <family val="2"/>
        <charset val="204"/>
        <scheme val="minor"/>
      </rPr>
      <t>Ry</t>
    </r>
  </si>
  <si>
    <r>
      <rPr>
        <sz val="11"/>
        <color theme="1"/>
        <rFont val="Symbol"/>
        <family val="1"/>
        <charset val="2"/>
      </rPr>
      <t>D</t>
    </r>
    <r>
      <rPr>
        <sz val="11"/>
        <color theme="1"/>
        <rFont val="Calibri"/>
        <family val="2"/>
        <charset val="204"/>
        <scheme val="minor"/>
      </rPr>
      <t>Rz</t>
    </r>
  </si>
  <si>
    <r>
      <rPr>
        <sz val="11"/>
        <color theme="1"/>
        <rFont val="Symbol"/>
        <family val="1"/>
        <charset val="2"/>
      </rPr>
      <t>D</t>
    </r>
    <r>
      <rPr>
        <sz val="11"/>
        <color theme="1"/>
        <rFont val="Calibri"/>
        <family val="2"/>
        <charset val="204"/>
        <scheme val="minor"/>
      </rPr>
      <t>Rl</t>
    </r>
  </si>
  <si>
    <t>Индикатор финансовой устойчивости</t>
  </si>
  <si>
    <r>
      <t>СК</t>
    </r>
    <r>
      <rPr>
        <vertAlign val="subscript"/>
        <sz val="11"/>
        <rFont val="Calibri"/>
        <family val="2"/>
        <charset val="204"/>
        <scheme val="minor"/>
      </rPr>
      <t>1</t>
    </r>
  </si>
  <si>
    <r>
      <t>И</t>
    </r>
    <r>
      <rPr>
        <vertAlign val="subscript"/>
        <sz val="11"/>
        <rFont val="Calibri"/>
        <family val="2"/>
        <charset val="204"/>
        <scheme val="minor"/>
      </rPr>
      <t>1</t>
    </r>
  </si>
  <si>
    <r>
      <t>ЗК</t>
    </r>
    <r>
      <rPr>
        <vertAlign val="subscript"/>
        <sz val="11"/>
        <rFont val="Calibri"/>
        <family val="2"/>
        <charset val="204"/>
        <scheme val="minor"/>
      </rPr>
      <t>1</t>
    </r>
  </si>
  <si>
    <r>
      <t>И</t>
    </r>
    <r>
      <rPr>
        <vertAlign val="subscript"/>
        <sz val="11"/>
        <rFont val="Calibri"/>
        <family val="2"/>
        <charset val="204"/>
        <scheme val="minor"/>
      </rPr>
      <t>ндф1</t>
    </r>
  </si>
  <si>
    <r>
      <t>И</t>
    </r>
    <r>
      <rPr>
        <vertAlign val="subscript"/>
        <sz val="11"/>
        <rFont val="Calibri"/>
        <family val="2"/>
        <charset val="204"/>
        <scheme val="minor"/>
      </rPr>
      <t>дф1</t>
    </r>
  </si>
  <si>
    <r>
      <t>И</t>
    </r>
    <r>
      <rPr>
        <vertAlign val="subscript"/>
        <sz val="11"/>
        <rFont val="Calibri"/>
        <family val="2"/>
        <charset val="204"/>
        <scheme val="minor"/>
      </rPr>
      <t>ндф0</t>
    </r>
  </si>
  <si>
    <r>
      <t>И</t>
    </r>
    <r>
      <rPr>
        <vertAlign val="subscript"/>
        <sz val="11"/>
        <rFont val="Calibri"/>
        <family val="2"/>
        <charset val="204"/>
        <scheme val="minor"/>
      </rPr>
      <t>дф0</t>
    </r>
  </si>
  <si>
    <r>
      <t>СК</t>
    </r>
    <r>
      <rPr>
        <vertAlign val="subscript"/>
        <sz val="11"/>
        <rFont val="Calibri"/>
        <family val="2"/>
        <charset val="204"/>
        <scheme val="minor"/>
      </rPr>
      <t>0</t>
    </r>
  </si>
  <si>
    <r>
      <t>И</t>
    </r>
    <r>
      <rPr>
        <vertAlign val="subscript"/>
        <sz val="11"/>
        <rFont val="Calibri"/>
        <family val="2"/>
        <charset val="204"/>
        <scheme val="minor"/>
      </rPr>
      <t>0</t>
    </r>
  </si>
  <si>
    <r>
      <t>ЗК</t>
    </r>
    <r>
      <rPr>
        <vertAlign val="subscript"/>
        <sz val="11"/>
        <rFont val="Calibri"/>
        <family val="2"/>
        <charset val="204"/>
        <scheme val="minor"/>
      </rPr>
      <t>0</t>
    </r>
  </si>
  <si>
    <t>Сумма активов</t>
  </si>
  <si>
    <t>Имущество в денежной форме</t>
  </si>
  <si>
    <t>Имущество в не денежной форме</t>
  </si>
  <si>
    <t>Оценка влияния факторов на финансово-экономическое состояние</t>
  </si>
  <si>
    <t>СК/Идф</t>
  </si>
  <si>
    <t>Идф/ЗК</t>
  </si>
  <si>
    <t>ЗК/И</t>
  </si>
  <si>
    <t>СК/Индф</t>
  </si>
  <si>
    <t>Индф/И</t>
  </si>
  <si>
    <t>Величина показателя</t>
  </si>
  <si>
    <t xml:space="preserve">Совокупное влияние факторов, СК/И </t>
  </si>
  <si>
    <t>Факторный анализ финансовой устойчивости</t>
  </si>
  <si>
    <t>Анализ эффективности использования капитала</t>
  </si>
  <si>
    <t>Прибыль до налогообложения</t>
  </si>
  <si>
    <t>Выручка от продаж</t>
  </si>
  <si>
    <t>Средняя сумма капитала</t>
  </si>
  <si>
    <t>Средняя сумма функционирующего капитала</t>
  </si>
  <si>
    <t>Рентабельность продаж</t>
  </si>
  <si>
    <t>Рентабельность продукции</t>
  </si>
  <si>
    <t>Рентабельность</t>
  </si>
  <si>
    <t>всего капитала</t>
  </si>
  <si>
    <t>функционирующего капитала</t>
  </si>
  <si>
    <t>Коэффициент оборачиваемости</t>
  </si>
  <si>
    <t>Изменение рентабельности капитала за счет:</t>
  </si>
  <si>
    <t>коэффициента оборачиваемости</t>
  </si>
  <si>
    <t>рентабельности продукции</t>
  </si>
  <si>
    <t>Изменение рентабельности функционирующего капитала за счет:</t>
  </si>
  <si>
    <t>рентабельности продаж</t>
  </si>
  <si>
    <t>1.</t>
  </si>
  <si>
    <t>Среднегодовая сумма функционирующего капитала</t>
  </si>
  <si>
    <t>1200 - 1600</t>
  </si>
  <si>
    <t>Анализ интенсивности использования капитала</t>
  </si>
  <si>
    <t>структуры капитала</t>
  </si>
  <si>
    <t>скорости оборота оборотного капитала</t>
  </si>
  <si>
    <t>2.</t>
  </si>
  <si>
    <t>2.7.</t>
  </si>
  <si>
    <t>2.8.</t>
  </si>
  <si>
    <t>Средняя сумма оборотного капитала</t>
  </si>
  <si>
    <t>Удельный вес оборотных активов в общей сумме</t>
  </si>
  <si>
    <t>оборотного капитала</t>
  </si>
  <si>
    <t>Продолжительность оборота</t>
  </si>
  <si>
    <t>Изменение коэффициента оборачиваемости капитала за счет:</t>
  </si>
  <si>
    <t>Изменение продолжительности оборота капитала за счет</t>
  </si>
  <si>
    <t>2.9.</t>
  </si>
  <si>
    <t>Экономический эффект*</t>
  </si>
  <si>
    <t>* Сумма высвобожденных средств из оборота в связи с ускорением (-Э) или дополнительно привлеченных средств в оборот (+Э) при замедлении оборачиваемости капитала</t>
  </si>
  <si>
    <t>Анализ оборачиваемости оборотного капитала</t>
  </si>
  <si>
    <t>средних остатков оборотного капитала</t>
  </si>
  <si>
    <t>Общая сумма оборотного капитала, в т.ч.:</t>
  </si>
  <si>
    <t>запасы</t>
  </si>
  <si>
    <t>дебиторская задолженность</t>
  </si>
  <si>
    <t>денежные средства и финансовые вложения</t>
  </si>
  <si>
    <t>Общая продолжительность оборота оборотного капитала, в т.ч.:</t>
  </si>
  <si>
    <t>Изменение продолжительности оборота оборотного капитала за счет:</t>
  </si>
  <si>
    <t>суммы оборота (выручки)</t>
  </si>
  <si>
    <t>в том числе за счет изменения средних остатков капитала в:</t>
  </si>
  <si>
    <t>запасах</t>
  </si>
  <si>
    <t>дебиторской задолженности</t>
  </si>
  <si>
    <t>денежных средствах и финансовых вложениях</t>
  </si>
  <si>
    <t>Анализ эффективности и интенсивности использования капитала</t>
  </si>
  <si>
    <t>Анализ финансовой устойчивости</t>
  </si>
  <si>
    <t>Анализ рыночной устойчивости</t>
  </si>
  <si>
    <t>Оценка финансовой устойчивости</t>
  </si>
  <si>
    <t>Система показателей рентабельности</t>
  </si>
  <si>
    <t>Оценка структуры имущества и его источников по данным баланса</t>
  </si>
  <si>
    <t>Анализ структуры прибыли до налогообложения</t>
  </si>
  <si>
    <t>Расходы</t>
  </si>
  <si>
    <t>уд.вес, %</t>
  </si>
  <si>
    <t>доходы от обычных видов деятельности</t>
  </si>
  <si>
    <t>проценты к получению</t>
  </si>
  <si>
    <t>прочие доходы</t>
  </si>
  <si>
    <t>расходы по обычным видам деятельности</t>
  </si>
  <si>
    <t>проценты к уплате</t>
  </si>
  <si>
    <t>прочие расходы</t>
  </si>
  <si>
    <t>Доходы</t>
  </si>
  <si>
    <t>Динамика структуры прибыли до налогообложения</t>
  </si>
  <si>
    <t>Динамика факторов формирования финансовых результатов деятельности</t>
  </si>
  <si>
    <t>Код строки</t>
  </si>
  <si>
    <t>Уровень к выручке в отчетном периоде, %</t>
  </si>
  <si>
    <t>Уровень к выручке в базисном периоде, %</t>
  </si>
  <si>
    <t>Отклонение уровня (+/–)</t>
  </si>
  <si>
    <t>Выполнение условия оптимизации прибыли от продаж</t>
  </si>
  <si>
    <t>Соотношение темпа роста прибыли от продаж и темпа роста прибыли до налогообложения</t>
  </si>
  <si>
    <t>Анализ финансово-хозяйственной деятельности должника</t>
  </si>
  <si>
    <t>(Постановление Правительства РФ от 25.06.2003 N 367 "Об утверждении Правил проведения арбитражным управляющим финансового анализа")</t>
  </si>
  <si>
    <t xml:space="preserve">Совокупные активы (пассивы) </t>
  </si>
  <si>
    <t xml:space="preserve">Скорректированные  внеоборотные   активы   </t>
  </si>
  <si>
    <t xml:space="preserve">Оборотные активы  </t>
  </si>
  <si>
    <t xml:space="preserve">Долгосрочная дебиторская задолженность    </t>
  </si>
  <si>
    <t xml:space="preserve">Ликвидные активы </t>
  </si>
  <si>
    <t xml:space="preserve">Наиболее ликвидные оборотные активы </t>
  </si>
  <si>
    <t>Краткосрочная дебиторская задолженность</t>
  </si>
  <si>
    <t xml:space="preserve">Потенциальные оборотные активы к возврату </t>
  </si>
  <si>
    <t>Собственные средства</t>
  </si>
  <si>
    <t xml:space="preserve">Обязательства должника </t>
  </si>
  <si>
    <t>Долгосрочные обязательства должника</t>
  </si>
  <si>
    <t>Текущие обязательства  должника</t>
  </si>
  <si>
    <t xml:space="preserve">Выручка нетто </t>
  </si>
  <si>
    <t>Валовая выручка</t>
  </si>
  <si>
    <t>Среднемесячная выручка</t>
  </si>
  <si>
    <t>Чистая  прибыль  (убыток)</t>
  </si>
  <si>
    <t>Основные финансовые показатели для расчета коэффициентов</t>
  </si>
  <si>
    <t>1.13.</t>
  </si>
  <si>
    <t>1.14.</t>
  </si>
  <si>
    <t>1.15.</t>
  </si>
  <si>
    <t>1.16.</t>
  </si>
  <si>
    <t>Величина деловой репутации организации и организационных расходов</t>
  </si>
  <si>
    <t>Незавершенные капитальные затраты на арендуемые основные средства</t>
  </si>
  <si>
    <t>Незавершенные капитальные вложения</t>
  </si>
  <si>
    <t>Капитальные затраты на арендуемые основные средства</t>
  </si>
  <si>
    <t>Долгосрочная дебиторская задолженность</t>
  </si>
  <si>
    <t>Для фин.анализа по Постановлению Правительства РФ №367</t>
  </si>
  <si>
    <t xml:space="preserve"> Товары отгруженные</t>
  </si>
  <si>
    <t xml:space="preserve">раздел 4.1. пояснений к бухгалтерскому балансу </t>
  </si>
  <si>
    <t xml:space="preserve"> раздел 5.3. пояснений к бухгалтерскому балансу или кредит счет 75 "Расчеты с учредителями"</t>
  </si>
  <si>
    <t xml:space="preserve"> раздел 5.1. пояснений к бухгалтерскому балансу или дебет счет 75 "Расчеты с учредителями"</t>
  </si>
  <si>
    <t xml:space="preserve"> раздел 1. пояснений к бухгалтерскому балансу </t>
  </si>
  <si>
    <t xml:space="preserve">пояснения к бухгалтерскому балансу </t>
  </si>
  <si>
    <t xml:space="preserve">Незавершенные капитальные вложения могут как быть включены в стр. 1150, так и не быть включенными в стр. 1150
раздел 2.2. пояснений к бухгалтерскому балансу </t>
  </si>
  <si>
    <t>Списанная в убыток сумма дебиторской задолженности</t>
  </si>
  <si>
    <t>Сумма выданных гарантий и поручительств</t>
  </si>
  <si>
    <t>счет 91 "Прочие доходы и расходы"</t>
  </si>
  <si>
    <t>Главная книга (кредит счета 90, субсчет 1) или с погрешностью отчет о финансовых результатах (ф. №2, стр. 2110)</t>
  </si>
  <si>
    <t>Коэффициенты, характеризующие платежеспособность должника</t>
  </si>
  <si>
    <t>Показатель обеспеченности обязательств должника его активами</t>
  </si>
  <si>
    <t>Степень платежеспособности по текущим обязательствам</t>
  </si>
  <si>
    <t>Коэффициенты, характеризующие финансовую устойчивость должника</t>
  </si>
  <si>
    <t>Коэффициент обеспеченности собственными оборотными средствами (доля собственных оборотных средств в оборотных активах)</t>
  </si>
  <si>
    <t>Доля просроченной кредиторской задолженности в пассивах</t>
  </si>
  <si>
    <t>Коэффициент автономии (финансовой независимости)</t>
  </si>
  <si>
    <t>Показатель отношения дебиторской задолженности к совокупным активам</t>
  </si>
  <si>
    <t>Просроченная кредиторская задолженность</t>
  </si>
  <si>
    <t xml:space="preserve">раздел 5.4. пояснений к бухгалтерскому балансу </t>
  </si>
  <si>
    <t>Коэффициенты, характеризующие деловую активность должника</t>
  </si>
  <si>
    <t>Рентабельность активов</t>
  </si>
  <si>
    <t>Норма чистой прибыли</t>
  </si>
  <si>
    <t>Коэффициент обеспеченности собственными оборотными средствами</t>
  </si>
  <si>
    <t>7. Коэффициенты, характеризующие структуру капитала (Новашина Т.С.)</t>
  </si>
  <si>
    <t>больше 0,6</t>
  </si>
  <si>
    <t>Коэффициент заемного финансирования</t>
  </si>
  <si>
    <t>больше 0,7</t>
  </si>
  <si>
    <t xml:space="preserve">Кзф = стр. 1300 / (стр. 1400 + стр. 1500) </t>
  </si>
  <si>
    <t>Коэффициент обеспеченности собственными источниками финансирования</t>
  </si>
  <si>
    <t>Коэффициент обеспеченности оборотного капитала собственными источниками финансирования</t>
  </si>
  <si>
    <t>Коэффициент финансовой независимости в части формирования запасов и затрат</t>
  </si>
  <si>
    <t>Коэффициент обеспеченности запасов оборотным капиталом</t>
  </si>
  <si>
    <t>Ип = стр. 1100 / стр. 1700</t>
  </si>
  <si>
    <t>Коси = (стр. 1300 - стр. 1100) / стр. 1200</t>
  </si>
  <si>
    <t>Кфнз = (стр. 1300 - стр. 1100) / (стр. 1210 + стр. 1220)</t>
  </si>
  <si>
    <t>Коз = (стр. 1300 + стр. 1400 - стр. 1100) / стр. 1210</t>
  </si>
  <si>
    <t>Факторный анализ рентабельности собственного капитала</t>
  </si>
  <si>
    <r>
      <t>Пн</t>
    </r>
    <r>
      <rPr>
        <vertAlign val="subscript"/>
        <sz val="11"/>
        <rFont val="Calibri"/>
        <family val="2"/>
        <charset val="204"/>
        <scheme val="minor"/>
      </rPr>
      <t>1</t>
    </r>
  </si>
  <si>
    <r>
      <t>Пн</t>
    </r>
    <r>
      <rPr>
        <vertAlign val="subscript"/>
        <sz val="11"/>
        <rFont val="Calibri"/>
        <family val="2"/>
        <charset val="204"/>
        <scheme val="minor"/>
      </rPr>
      <t>0</t>
    </r>
  </si>
  <si>
    <r>
      <rPr>
        <sz val="11"/>
        <color theme="1"/>
        <rFont val="Symbol"/>
        <family val="1"/>
        <charset val="2"/>
      </rPr>
      <t>D</t>
    </r>
    <r>
      <rPr>
        <sz val="11"/>
        <color theme="1"/>
        <rFont val="Calibri"/>
        <family val="2"/>
        <charset val="204"/>
        <scheme val="minor"/>
      </rPr>
      <t>Rп</t>
    </r>
  </si>
  <si>
    <r>
      <rPr>
        <sz val="11"/>
        <color theme="1"/>
        <rFont val="Symbol"/>
        <family val="1"/>
        <charset val="2"/>
      </rPr>
      <t>D</t>
    </r>
    <r>
      <rPr>
        <sz val="11"/>
        <color theme="1"/>
        <rFont val="Calibri"/>
        <family val="2"/>
        <charset val="204"/>
        <scheme val="minor"/>
      </rPr>
      <t>Rск</t>
    </r>
  </si>
  <si>
    <r>
      <t xml:space="preserve">Величина собственного капитала, </t>
    </r>
    <r>
      <rPr>
        <sz val="11"/>
        <color theme="1"/>
        <rFont val="Symbol"/>
        <family val="1"/>
        <charset val="2"/>
      </rPr>
      <t>D</t>
    </r>
    <r>
      <rPr>
        <sz val="11"/>
        <color theme="1"/>
        <rFont val="Calibri"/>
        <family val="2"/>
        <charset val="204"/>
        <scheme val="minor"/>
      </rPr>
      <t>Rск</t>
    </r>
  </si>
  <si>
    <r>
      <t xml:space="preserve">Чистая прибыль, </t>
    </r>
    <r>
      <rPr>
        <sz val="11"/>
        <color theme="1"/>
        <rFont val="Symbol"/>
        <family val="1"/>
        <charset val="2"/>
      </rPr>
      <t>D</t>
    </r>
    <r>
      <rPr>
        <sz val="11"/>
        <color theme="1"/>
        <rFont val="Calibri"/>
        <family val="2"/>
        <charset val="204"/>
        <scheme val="minor"/>
      </rPr>
      <t>Rп</t>
    </r>
  </si>
  <si>
    <t>Оценка влияния факторов на изменение рентабельности собственного капитала (2-х факторная модель)</t>
  </si>
  <si>
    <t>Уровень налогообложения</t>
  </si>
  <si>
    <t>Оценка влияния факторов на изменение рентабельности собственного капитала (4-х факторная модель)</t>
  </si>
  <si>
    <r>
      <t>Д</t>
    </r>
    <r>
      <rPr>
        <vertAlign val="subscript"/>
        <sz val="11"/>
        <rFont val="Calibri"/>
        <family val="2"/>
        <charset val="204"/>
        <scheme val="minor"/>
      </rPr>
      <t>1</t>
    </r>
  </si>
  <si>
    <r>
      <t>Д</t>
    </r>
    <r>
      <rPr>
        <vertAlign val="subscript"/>
        <sz val="11"/>
        <rFont val="Calibri"/>
        <family val="2"/>
        <charset val="204"/>
        <scheme val="minor"/>
      </rPr>
      <t>0</t>
    </r>
  </si>
  <si>
    <r>
      <t xml:space="preserve">Изменение удельного веса чистой прибыли в общей сумме балансовой прибыли, </t>
    </r>
    <r>
      <rPr>
        <sz val="11"/>
        <color theme="1"/>
        <rFont val="Symbol"/>
        <family val="1"/>
        <charset val="2"/>
      </rPr>
      <t>D</t>
    </r>
    <r>
      <rPr>
        <sz val="11"/>
        <color theme="1"/>
        <rFont val="Calibri"/>
        <family val="2"/>
        <charset val="204"/>
        <scheme val="minor"/>
      </rPr>
      <t>Rчп</t>
    </r>
  </si>
  <si>
    <r>
      <t>Дчп</t>
    </r>
    <r>
      <rPr>
        <vertAlign val="subscript"/>
        <sz val="11"/>
        <rFont val="Calibri"/>
        <family val="2"/>
        <charset val="204"/>
        <scheme val="minor"/>
      </rPr>
      <t>1</t>
    </r>
  </si>
  <si>
    <r>
      <t>МК</t>
    </r>
    <r>
      <rPr>
        <vertAlign val="subscript"/>
        <sz val="11"/>
        <rFont val="Calibri"/>
        <family val="2"/>
        <charset val="204"/>
        <scheme val="minor"/>
      </rPr>
      <t>1</t>
    </r>
  </si>
  <si>
    <r>
      <t>Коб</t>
    </r>
    <r>
      <rPr>
        <vertAlign val="subscript"/>
        <sz val="11"/>
        <rFont val="Calibri"/>
        <family val="2"/>
        <charset val="204"/>
        <scheme val="minor"/>
      </rPr>
      <t>1</t>
    </r>
  </si>
  <si>
    <r>
      <t>Rоб</t>
    </r>
    <r>
      <rPr>
        <vertAlign val="subscript"/>
        <sz val="11"/>
        <rFont val="Calibri"/>
        <family val="2"/>
        <charset val="204"/>
        <scheme val="minor"/>
      </rPr>
      <t>1</t>
    </r>
  </si>
  <si>
    <r>
      <t>Дчп</t>
    </r>
    <r>
      <rPr>
        <vertAlign val="subscript"/>
        <sz val="11"/>
        <rFont val="Calibri"/>
        <family val="2"/>
        <charset val="204"/>
        <scheme val="minor"/>
      </rPr>
      <t>0</t>
    </r>
  </si>
  <si>
    <r>
      <t>МК</t>
    </r>
    <r>
      <rPr>
        <vertAlign val="subscript"/>
        <sz val="11"/>
        <rFont val="Calibri"/>
        <family val="2"/>
        <charset val="204"/>
        <scheme val="minor"/>
      </rPr>
      <t>0</t>
    </r>
  </si>
  <si>
    <r>
      <t>Коб</t>
    </r>
    <r>
      <rPr>
        <vertAlign val="subscript"/>
        <sz val="11"/>
        <rFont val="Calibri"/>
        <family val="2"/>
        <charset val="204"/>
        <scheme val="minor"/>
      </rPr>
      <t>0</t>
    </r>
  </si>
  <si>
    <r>
      <t>Rоб</t>
    </r>
    <r>
      <rPr>
        <vertAlign val="subscript"/>
        <sz val="11"/>
        <rFont val="Calibri"/>
        <family val="2"/>
        <charset val="204"/>
        <scheme val="minor"/>
      </rPr>
      <t>0</t>
    </r>
  </si>
  <si>
    <r>
      <t>Rск</t>
    </r>
    <r>
      <rPr>
        <vertAlign val="subscript"/>
        <sz val="11"/>
        <rFont val="Calibri"/>
        <family val="2"/>
        <charset val="204"/>
        <scheme val="minor"/>
      </rPr>
      <t>1</t>
    </r>
  </si>
  <si>
    <r>
      <t>Rск</t>
    </r>
    <r>
      <rPr>
        <vertAlign val="subscript"/>
        <sz val="11"/>
        <rFont val="Calibri"/>
        <family val="2"/>
        <charset val="204"/>
        <scheme val="minor"/>
      </rPr>
      <t>0</t>
    </r>
  </si>
  <si>
    <r>
      <t xml:space="preserve">Изменение мультипликатора капитала, </t>
    </r>
    <r>
      <rPr>
        <sz val="11"/>
        <color theme="1"/>
        <rFont val="Symbol"/>
        <family val="1"/>
        <charset val="2"/>
      </rPr>
      <t>D</t>
    </r>
    <r>
      <rPr>
        <sz val="11"/>
        <color theme="1"/>
        <rFont val="Calibri"/>
        <family val="2"/>
        <charset val="204"/>
        <scheme val="minor"/>
      </rPr>
      <t>Rмк</t>
    </r>
  </si>
  <si>
    <t>Мультипликатор капитала</t>
  </si>
  <si>
    <t>Коэффициент оборачиваемости капитала</t>
  </si>
  <si>
    <t>Рентабельность оборота</t>
  </si>
  <si>
    <r>
      <t xml:space="preserve">Изменение оборачиваемости капитала, </t>
    </r>
    <r>
      <rPr>
        <sz val="11"/>
        <color theme="1"/>
        <rFont val="Symbol"/>
        <family val="1"/>
        <charset val="2"/>
      </rPr>
      <t>D</t>
    </r>
    <r>
      <rPr>
        <sz val="11"/>
        <color theme="1"/>
        <rFont val="Calibri"/>
        <family val="2"/>
        <charset val="204"/>
        <scheme val="minor"/>
      </rPr>
      <t>RКоб</t>
    </r>
  </si>
  <si>
    <r>
      <t xml:space="preserve">Изменение рентабельности продаж, </t>
    </r>
    <r>
      <rPr>
        <sz val="11"/>
        <color theme="1"/>
        <rFont val="Symbol"/>
        <family val="1"/>
        <charset val="2"/>
      </rPr>
      <t>D</t>
    </r>
    <r>
      <rPr>
        <sz val="11"/>
        <color theme="1"/>
        <rFont val="Calibri"/>
        <family val="2"/>
        <charset val="204"/>
        <scheme val="minor"/>
      </rPr>
      <t>Rоб</t>
    </r>
  </si>
  <si>
    <t>Cумма всех активов</t>
  </si>
  <si>
    <t>Cтоимость собственного капитала</t>
  </si>
  <si>
    <r>
      <rPr>
        <sz val="11"/>
        <color theme="1"/>
        <rFont val="Symbol"/>
        <family val="1"/>
        <charset val="2"/>
      </rPr>
      <t>D</t>
    </r>
    <r>
      <rPr>
        <sz val="11"/>
        <color theme="1"/>
        <rFont val="Calibri"/>
        <family val="2"/>
        <charset val="204"/>
        <scheme val="minor"/>
      </rPr>
      <t>Rчп</t>
    </r>
  </si>
  <si>
    <r>
      <rPr>
        <sz val="11"/>
        <color theme="1"/>
        <rFont val="Symbol"/>
        <family val="1"/>
        <charset val="2"/>
      </rPr>
      <t>D</t>
    </r>
    <r>
      <rPr>
        <sz val="11"/>
        <color theme="1"/>
        <rFont val="Calibri"/>
        <family val="2"/>
        <charset val="204"/>
        <scheme val="minor"/>
      </rPr>
      <t>Rмк</t>
    </r>
  </si>
  <si>
    <r>
      <rPr>
        <sz val="11"/>
        <color theme="1"/>
        <rFont val="Symbol"/>
        <family val="1"/>
        <charset val="2"/>
      </rPr>
      <t>D</t>
    </r>
    <r>
      <rPr>
        <sz val="11"/>
        <color theme="1"/>
        <rFont val="Calibri"/>
        <family val="2"/>
        <charset val="204"/>
        <scheme val="minor"/>
      </rPr>
      <t>RКоб</t>
    </r>
  </si>
  <si>
    <r>
      <rPr>
        <sz val="11"/>
        <color theme="1"/>
        <rFont val="Symbol"/>
        <family val="1"/>
        <charset val="2"/>
      </rPr>
      <t>D</t>
    </r>
    <r>
      <rPr>
        <sz val="11"/>
        <color theme="1"/>
        <rFont val="Calibri"/>
        <family val="2"/>
        <charset val="204"/>
        <scheme val="minor"/>
      </rPr>
      <t>Rоб</t>
    </r>
  </si>
  <si>
    <t>Модель Альтмана (Z-score)</t>
  </si>
  <si>
    <t>Усл.обозначение</t>
  </si>
  <si>
    <t>1. Двухфакторная модель Альтмана</t>
  </si>
  <si>
    <t>Ктл</t>
  </si>
  <si>
    <t>ЗК</t>
  </si>
  <si>
    <t>Пассивы</t>
  </si>
  <si>
    <t>П</t>
  </si>
  <si>
    <t>Z-score</t>
  </si>
  <si>
    <t>Вероятность банкротства предприятия:</t>
  </si>
  <si>
    <t xml:space="preserve"> - если Z=0 - примерно равна 50%</t>
  </si>
  <si>
    <t xml:space="preserve"> - если Z&lt;0 - меньше 50%, и уменьшается вместе с уменьшением Z</t>
  </si>
  <si>
    <t xml:space="preserve"> - если Z&gt;0 - мольше 50%, и увеличивается вместе с увеличением Z</t>
  </si>
  <si>
    <t>Часто противоречит 5-и факторному методу.</t>
  </si>
  <si>
    <t>Вероятность банкротства предприятия</t>
  </si>
  <si>
    <t>2. Пятифакторная модель Альтмана для компаний, чьи акции котируются на бирже</t>
  </si>
  <si>
    <t>Активы</t>
  </si>
  <si>
    <t>Оборотный капитал</t>
  </si>
  <si>
    <t>Не распределенная прибыль</t>
  </si>
  <si>
    <t>Бухгалтерская (балансовая) стоимость всех обязательств</t>
  </si>
  <si>
    <t>Объем продаж</t>
  </si>
  <si>
    <t>Х1</t>
  </si>
  <si>
    <t>Х2</t>
  </si>
  <si>
    <t>Х3</t>
  </si>
  <si>
    <t>Х4</t>
  </si>
  <si>
    <t>Х5</t>
  </si>
  <si>
    <t xml:space="preserve"> - если Z &lt; 1,81 – вероятность банкротства составляет от 80 до 100%</t>
  </si>
  <si>
    <t xml:space="preserve"> - если 2,77 &lt;= Z &lt; 1,81 – средняя вероятность краха компании от 35 до 50%</t>
  </si>
  <si>
    <t xml:space="preserve"> - если 2,99 &lt; Z &lt; 2,77 – вероятность банкротства не велика от 15 до 20%</t>
  </si>
  <si>
    <t xml:space="preserve"> - если Z &lt;= 2,99 – ситуация на предприятии стабильна</t>
  </si>
  <si>
    <t>Можно рассматривать лишь в отношении компаний, разместивших свои акции на фондовом рынке.</t>
  </si>
  <si>
    <t>3. Модифицированная пятифакторная модель Альтмана</t>
  </si>
  <si>
    <t>Балансовая стоимость собственного капитала</t>
  </si>
  <si>
    <t xml:space="preserve"> - если Z &lt; 1,23 предприятие признается банкротом</t>
  </si>
  <si>
    <t xml:space="preserve"> - если Z от 1,23 до 2,89 ситуация неопределена</t>
  </si>
  <si>
    <t xml:space="preserve"> - если Z более 2,9 ситуация на предприятии стабильна</t>
  </si>
  <si>
    <t>4. Модель Альтмана для непроизводственных компаний</t>
  </si>
  <si>
    <t xml:space="preserve"> - если Z &lt;= 1,1 предприятие признается банкротом</t>
  </si>
  <si>
    <t xml:space="preserve"> - если Z =&gt; 2,6 ситуация нестабильная</t>
  </si>
  <si>
    <t xml:space="preserve"> - если Z в диапазоне от 1,1 до 2,6 ситуация на предприятии стабильна</t>
  </si>
  <si>
    <t>Рыночная стоимость привелигированных и обыкновенных акций (Рыночная стоимость акционерного капитала)</t>
  </si>
  <si>
    <t>Значение</t>
  </si>
  <si>
    <t>Балльная оценка</t>
  </si>
  <si>
    <t>Вес</t>
  </si>
  <si>
    <t>&lt;-25</t>
  </si>
  <si>
    <t>&gt;=-25 и &lt;-10</t>
  </si>
  <si>
    <t>&gt;=-10 и &lt;-5</t>
  </si>
  <si>
    <t>&gt;=-5 и &lt;0</t>
  </si>
  <si>
    <t>&gt;=0 и &lt;5</t>
  </si>
  <si>
    <t>&gt;=5</t>
  </si>
  <si>
    <t>&lt;0,08</t>
  </si>
  <si>
    <t>&gt;=0,08 и &lt;0,30</t>
  </si>
  <si>
    <t>&gt;=0,30 и &lt;0,55</t>
  </si>
  <si>
    <t>&gt;=0,55 и &lt;0,80</t>
  </si>
  <si>
    <t>&gt;=0,80</t>
  </si>
  <si>
    <t>&lt;1,00</t>
  </si>
  <si>
    <t>&gt;=1,00 и &lt;1,50</t>
  </si>
  <si>
    <t>&gt;=1,50 и &lt;2,00</t>
  </si>
  <si>
    <t>&gt;=2,00 и &lt;2,50</t>
  </si>
  <si>
    <t>&gt;=2,50 и &lt;3,00</t>
  </si>
  <si>
    <t>&gt;=3,00</t>
  </si>
  <si>
    <t xml:space="preserve">Рентабельность продаж </t>
  </si>
  <si>
    <t>&lt;0,00</t>
  </si>
  <si>
    <t>&gt;=0,00 и &lt;0,03</t>
  </si>
  <si>
    <t>&gt;=0,03 и &lt;0,10</t>
  </si>
  <si>
    <t>&gt;=0,10 и &lt;0,15</t>
  </si>
  <si>
    <t>&gt;=0,15</t>
  </si>
  <si>
    <t xml:space="preserve">Чистая рентабельность </t>
  </si>
  <si>
    <t>Наименование показателя  (параметра)</t>
  </si>
  <si>
    <t>Оценка капитала (ЧА-УК)/УК*100%</t>
  </si>
  <si>
    <t xml:space="preserve">Коэффициент абсолютной ликвидности </t>
  </si>
  <si>
    <t xml:space="preserve">Коэффициент текущей ликвидности </t>
  </si>
  <si>
    <t>Количество баллов</t>
  </si>
  <si>
    <t>Финансовое состояние</t>
  </si>
  <si>
    <t>&gt;83  и  &lt;=100</t>
  </si>
  <si>
    <t>Хорошее</t>
  </si>
  <si>
    <t>Среднее</t>
  </si>
  <si>
    <t>Плохое</t>
  </si>
  <si>
    <t>&gt;30   и  &lt;=83</t>
  </si>
  <si>
    <t>&gt;=0   и  &lt;=30</t>
  </si>
  <si>
    <t>Степень финансовой устойчивости</t>
  </si>
  <si>
    <t>Показатели финансовой устойчивости (1)</t>
  </si>
  <si>
    <t>Показатели финансовой устойчивости (2)</t>
  </si>
  <si>
    <t>с учетом веса</t>
  </si>
  <si>
    <t>с учетом баллов</t>
  </si>
  <si>
    <t>Итого:</t>
  </si>
  <si>
    <t xml:space="preserve">Хорошее  </t>
  </si>
  <si>
    <t>I категория качества</t>
  </si>
  <si>
    <t>II категория качества</t>
  </si>
  <si>
    <t>III категория качества</t>
  </si>
  <si>
    <t>IV категория качества</t>
  </si>
  <si>
    <t>V категория качества</t>
  </si>
  <si>
    <t>Размер расчетного резерва определяется в соответствии со следующей таблицей:</t>
  </si>
  <si>
    <t>Классификация</t>
  </si>
  <si>
    <t xml:space="preserve">Размер расчетного резерва </t>
  </si>
  <si>
    <t>от 1 - до 20%</t>
  </si>
  <si>
    <t>от 21 - до 50%</t>
  </si>
  <si>
    <t>от 51 - до 100%</t>
  </si>
  <si>
    <t>Финансовое положение</t>
  </si>
  <si>
    <t>Качественные показатели</t>
  </si>
  <si>
    <t>Реальность деятельности</t>
  </si>
  <si>
    <t>V категория качества
100%</t>
  </si>
  <si>
    <t>I категория качества
0%</t>
  </si>
  <si>
    <t>II категория качества
1%</t>
  </si>
  <si>
    <t>II категория качества
3%</t>
  </si>
  <si>
    <t>III категория качества
21%</t>
  </si>
  <si>
    <t>III категория качества
30%</t>
  </si>
  <si>
    <t>III категория качества
50%</t>
  </si>
  <si>
    <t>IV категория качества
51%</t>
  </si>
  <si>
    <t>финансовое положение</t>
  </si>
  <si>
    <t>Факторы риска / Финансовое положение</t>
  </si>
  <si>
    <t>отсутствие факторов риска</t>
  </si>
  <si>
    <t>наличие не более 2-х негативных факторов</t>
  </si>
  <si>
    <t>наличие 3-х негативных факторов</t>
  </si>
  <si>
    <t>наличие 4-х негативных факторов</t>
  </si>
  <si>
    <t>наличие 5-ти и более негативных факторов</t>
  </si>
  <si>
    <t>III категория качества
24%</t>
  </si>
  <si>
    <t>II категория качества
5%</t>
  </si>
  <si>
    <t>II категория качества
10%</t>
  </si>
  <si>
    <t>IV категория качества
75%</t>
  </si>
  <si>
    <t>финансовое положение может быть: хорошее, среднее, плохое</t>
  </si>
  <si>
    <t>качественные показатели от 0 до 5</t>
  </si>
  <si>
    <t>классификация зависит от фин положения и качественных показателей</t>
  </si>
  <si>
    <t>размер резерва зависит от фин положения,  качественных показателей и классификации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</si>
</sst>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р_._-;\-* #,##0.00_р_._-;_-* &quot;-&quot;??_р_._-;_-@_-"/>
    <numFmt numFmtId="165" formatCode="#,##0_ ;[Red]\-#,##0\ "/>
    <numFmt numFmtId="166" formatCode="_(* #,##0_);_(* \(#,##0\);_(* &quot;-&quot;_);_(@_)"/>
    <numFmt numFmtId="167" formatCode="#,##0;[Red]\-#,##0;;@"/>
    <numFmt numFmtId="168" formatCode="0.0%"/>
    <numFmt numFmtId="169" formatCode="#,##0.00_ ;[Red]\-#,##0.00\ "/>
    <numFmt numFmtId="170" formatCode="#,##0.0_ ;[Red]\-#,##0.0\ "/>
    <numFmt numFmtId="171" formatCode="0.0_ ;[Red]\-0.0\ "/>
    <numFmt numFmtId="172" formatCode="#,##0.000_ ;[Red]\-#,##0.000\ "/>
    <numFmt numFmtId="173" formatCode="#,##0.0000_ ;[Red]\-#,##0.0000\ "/>
    <numFmt numFmtId="174" formatCode="_(* #,##0.00_);_(* \(#,##0.00\);_(* &quot;-&quot;_);_(@_)"/>
    <numFmt numFmtId="175" formatCode="0.00_ ;[Red]\-0.00\ "/>
  </numFmts>
  <fonts count="3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sz val="11"/>
      <name val="Calibri"/>
      <family val="2"/>
      <charset val="204"/>
      <scheme val="minor"/>
    </font>
    <font>
      <sz val="14"/>
      <color theme="1"/>
      <name val="Calibri"/>
      <family val="2"/>
      <charset val="204"/>
      <scheme val="minor"/>
    </font>
    <font>
      <sz val="10"/>
      <color theme="1"/>
      <name val="Calibri"/>
      <family val="2"/>
      <charset val="204"/>
      <scheme val="minor"/>
    </font>
    <font>
      <sz val="9"/>
      <color theme="1"/>
      <name val="Calibri"/>
      <family val="2"/>
      <charset val="204"/>
      <scheme val="minor"/>
    </font>
    <font>
      <sz val="8"/>
      <color theme="1"/>
      <name val="Calibri"/>
      <family val="2"/>
      <charset val="204"/>
      <scheme val="minor"/>
    </font>
    <font>
      <sz val="10"/>
      <name val="Arial Cyr"/>
      <charset val="204"/>
    </font>
    <font>
      <b/>
      <sz val="12"/>
      <color theme="1"/>
      <name val="Calibri"/>
      <family val="2"/>
      <charset val="204"/>
      <scheme val="minor"/>
    </font>
    <font>
      <sz val="9"/>
      <name val="Calibri"/>
      <family val="2"/>
      <charset val="204"/>
      <scheme val="minor"/>
    </font>
    <font>
      <sz val="11"/>
      <color rgb="FF000000"/>
      <name val="Calibri"/>
      <family val="2"/>
      <charset val="204"/>
    </font>
    <font>
      <sz val="10"/>
      <color rgb="FF000000"/>
      <name val="Calibri"/>
      <family val="2"/>
      <charset val="204"/>
    </font>
    <font>
      <sz val="10"/>
      <name val="Calibri"/>
      <family val="2"/>
      <charset val="204"/>
      <scheme val="minor"/>
    </font>
    <font>
      <sz val="9"/>
      <color indexed="81"/>
      <name val="Tahoma"/>
      <family val="2"/>
      <charset val="204"/>
    </font>
    <font>
      <sz val="12"/>
      <color theme="1"/>
      <name val="Calibri"/>
      <family val="2"/>
      <charset val="204"/>
      <scheme val="minor"/>
    </font>
    <font>
      <b/>
      <sz val="11"/>
      <name val="Calibri"/>
      <family val="2"/>
      <charset val="204"/>
      <scheme val="minor"/>
    </font>
    <font>
      <b/>
      <sz val="10"/>
      <color theme="1"/>
      <name val="Calibri"/>
      <family val="2"/>
      <charset val="204"/>
      <scheme val="minor"/>
    </font>
    <font>
      <b/>
      <sz val="10"/>
      <name val="Calibri"/>
      <family val="2"/>
      <charset val="204"/>
      <scheme val="minor"/>
    </font>
    <font>
      <i/>
      <sz val="11"/>
      <name val="Calibri"/>
      <family val="2"/>
      <charset val="204"/>
      <scheme val="minor"/>
    </font>
    <font>
      <vertAlign val="subscript"/>
      <sz val="11"/>
      <name val="Calibri"/>
      <family val="2"/>
      <charset val="204"/>
      <scheme val="minor"/>
    </font>
    <font>
      <sz val="11"/>
      <color theme="1"/>
      <name val="Symbol"/>
      <family val="1"/>
      <charset val="2"/>
    </font>
    <font>
      <i/>
      <vertAlign val="subscript"/>
      <sz val="11"/>
      <name val="Calibri"/>
      <family val="2"/>
      <charset val="204"/>
      <scheme val="minor"/>
    </font>
    <font>
      <sz val="8"/>
      <name val="Calibri"/>
      <family val="2"/>
      <charset val="204"/>
      <scheme val="minor"/>
    </font>
    <font>
      <b/>
      <sz val="9"/>
      <color theme="1"/>
      <name val="Calibri"/>
      <family val="2"/>
      <charset val="204"/>
      <scheme val="minor"/>
    </font>
    <font>
      <b/>
      <sz val="11"/>
      <color rgb="FFFF0000"/>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1"/>
      <color theme="1"/>
      <name val="Times New Roman"/>
      <family val="1"/>
      <charset val="204"/>
    </font>
    <font>
      <sz val="11"/>
      <color rgb="FFFF0000"/>
      <name val="Times New Roman"/>
      <family val="1"/>
      <charset val="204"/>
    </font>
    <font>
      <sz val="12"/>
      <color theme="1"/>
      <name val="Times New Roman"/>
      <family val="1"/>
      <charset val="204"/>
    </font>
    <font>
      <b/>
      <sz val="12"/>
      <color rgb="FFFF0000"/>
      <name val="Times New Roman"/>
      <family val="1"/>
      <charset val="204"/>
    </font>
    <font>
      <sz val="10"/>
      <color rgb="FFFF000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DAEEF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39997558519241921"/>
        <bgColor indexed="64"/>
      </patternFill>
    </fill>
  </fills>
  <borders count="83">
    <border>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indexed="64"/>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1" tint="0.499984740745262"/>
      </right>
      <top style="thin">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indexed="64"/>
      </right>
      <top style="thin">
        <color indexed="64"/>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indexed="64"/>
      </bottom>
      <diagonal/>
    </border>
    <border>
      <left style="thin">
        <color indexed="64"/>
      </left>
      <right/>
      <top/>
      <bottom style="thin">
        <color theme="1" tint="0.499984740745262"/>
      </bottom>
      <diagonal/>
    </border>
    <border>
      <left/>
      <right/>
      <top/>
      <bottom style="thin">
        <color theme="1" tint="0.499984740745262"/>
      </bottom>
      <diagonal/>
    </border>
    <border>
      <left/>
      <right style="thin">
        <color indexed="64"/>
      </right>
      <top/>
      <bottom style="thin">
        <color theme="1" tint="0.499984740745262"/>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1" tint="0.499984740745262"/>
      </left>
      <right/>
      <top style="thin">
        <color indexed="64"/>
      </top>
      <bottom/>
      <diagonal/>
    </border>
    <border>
      <left style="thin">
        <color theme="1" tint="0.499984740745262"/>
      </left>
      <right/>
      <top/>
      <bottom/>
      <diagonal/>
    </border>
    <border>
      <left/>
      <right style="thin">
        <color indexed="64"/>
      </right>
      <top/>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top style="thin">
        <color indexed="64"/>
      </top>
      <bottom style="thin">
        <color theme="1" tint="0.499984740745262"/>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theme="1" tint="0.499984740745262"/>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1" tint="0.499984740745262"/>
      </right>
      <top/>
      <bottom style="thin">
        <color theme="1" tint="0.499984740745262"/>
      </bottom>
      <diagonal/>
    </border>
    <border>
      <left style="thin">
        <color indexed="64"/>
      </left>
      <right/>
      <top style="thin">
        <color theme="1" tint="0.499984740745262"/>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theme="1" tint="0.499984740745262"/>
      </right>
      <top style="thin">
        <color rgb="FF000000"/>
      </top>
      <bottom style="thin">
        <color theme="1" tint="0.499984740745262"/>
      </bottom>
      <diagonal/>
    </border>
    <border>
      <left style="thin">
        <color theme="1" tint="0.499984740745262"/>
      </left>
      <right style="thin">
        <color theme="1" tint="0.499984740745262"/>
      </right>
      <top style="thin">
        <color rgb="FF000000"/>
      </top>
      <bottom style="thin">
        <color theme="1" tint="0.499984740745262"/>
      </bottom>
      <diagonal/>
    </border>
    <border>
      <left style="thin">
        <color theme="1" tint="0.499984740745262"/>
      </left>
      <right style="thin">
        <color rgb="FF000000"/>
      </right>
      <top style="thin">
        <color rgb="FF000000"/>
      </top>
      <bottom style="thin">
        <color theme="1" tint="0.499984740745262"/>
      </bottom>
      <diagonal/>
    </border>
    <border>
      <left style="thin">
        <color rgb="FF000000"/>
      </left>
      <right style="thin">
        <color theme="1" tint="0.499984740745262"/>
      </right>
      <top style="thin">
        <color theme="1" tint="0.499984740745262"/>
      </top>
      <bottom style="thin">
        <color theme="1" tint="0.499984740745262"/>
      </bottom>
      <diagonal/>
    </border>
    <border>
      <left style="thin">
        <color theme="1" tint="0.499984740745262"/>
      </left>
      <right style="thin">
        <color rgb="FF000000"/>
      </right>
      <top style="thin">
        <color theme="1" tint="0.499984740745262"/>
      </top>
      <bottom style="thin">
        <color theme="1" tint="0.499984740745262"/>
      </bottom>
      <diagonal/>
    </border>
    <border>
      <left style="thin">
        <color rgb="FF000000"/>
      </left>
      <right style="thin">
        <color theme="1" tint="0.499984740745262"/>
      </right>
      <top style="thin">
        <color theme="1" tint="0.499984740745262"/>
      </top>
      <bottom style="thin">
        <color rgb="FF000000"/>
      </bottom>
      <diagonal/>
    </border>
    <border>
      <left style="thin">
        <color theme="1" tint="0.499984740745262"/>
      </left>
      <right style="thin">
        <color theme="1" tint="0.499984740745262"/>
      </right>
      <top style="thin">
        <color theme="1" tint="0.499984740745262"/>
      </top>
      <bottom style="thin">
        <color rgb="FF000000"/>
      </bottom>
      <diagonal/>
    </border>
    <border>
      <left style="thin">
        <color theme="1" tint="0.499984740745262"/>
      </left>
      <right style="thin">
        <color rgb="FF000000"/>
      </right>
      <top style="thin">
        <color theme="1" tint="0.499984740745262"/>
      </top>
      <bottom style="thin">
        <color rgb="FF000000"/>
      </bottom>
      <diagonal/>
    </border>
    <border>
      <left/>
      <right style="thin">
        <color auto="1"/>
      </right>
      <top style="thin">
        <color theme="1" tint="0.499984740745262"/>
      </top>
      <bottom/>
      <diagonal/>
    </border>
    <border>
      <left/>
      <right/>
      <top style="thin">
        <color theme="1" tint="0.499984740745262"/>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164" fontId="1" fillId="0" borderId="0" applyFont="0" applyFill="0" applyBorder="0" applyAlignment="0" applyProtection="0"/>
  </cellStyleXfs>
  <cellXfs count="607">
    <xf numFmtId="0" fontId="0" fillId="0" borderId="0" xfId="0"/>
    <xf numFmtId="0" fontId="0" fillId="2" borderId="0" xfId="0" applyFill="1"/>
    <xf numFmtId="0" fontId="0" fillId="2" borderId="0" xfId="0" applyFill="1" applyAlignment="1">
      <alignment horizontal="right"/>
    </xf>
    <xf numFmtId="0" fontId="5" fillId="2" borderId="0" xfId="0" applyFont="1" applyFill="1"/>
    <xf numFmtId="0" fontId="0" fillId="2" borderId="4" xfId="0" applyFill="1" applyBorder="1" applyAlignment="1">
      <alignment horizontal="center" vertical="center" wrapText="1"/>
    </xf>
    <xf numFmtId="0" fontId="0" fillId="2" borderId="10" xfId="0" applyFill="1" applyBorder="1" applyAlignment="1">
      <alignment wrapText="1"/>
    </xf>
    <xf numFmtId="166" fontId="0" fillId="3" borderId="12" xfId="0" applyNumberFormat="1" applyFill="1" applyBorder="1" applyAlignment="1">
      <alignment vertical="center"/>
    </xf>
    <xf numFmtId="166" fontId="0" fillId="3" borderId="13" xfId="0" applyNumberFormat="1" applyFill="1" applyBorder="1" applyAlignment="1">
      <alignment vertical="center"/>
    </xf>
    <xf numFmtId="166" fontId="0" fillId="3" borderId="14" xfId="0" applyNumberFormat="1" applyFill="1" applyBorder="1" applyAlignment="1">
      <alignment vertical="center"/>
    </xf>
    <xf numFmtId="166" fontId="0" fillId="3" borderId="10" xfId="0" applyNumberFormat="1" applyFill="1" applyBorder="1" applyAlignment="1">
      <alignment vertical="center"/>
    </xf>
    <xf numFmtId="166" fontId="0" fillId="3" borderId="15" xfId="0" applyNumberFormat="1" applyFill="1" applyBorder="1" applyAlignment="1">
      <alignment vertical="center"/>
    </xf>
    <xf numFmtId="166" fontId="0" fillId="3" borderId="16" xfId="0" applyNumberFormat="1" applyFill="1" applyBorder="1" applyAlignment="1">
      <alignment vertical="center"/>
    </xf>
    <xf numFmtId="165" fontId="0" fillId="2" borderId="0" xfId="0" applyNumberFormat="1" applyFill="1"/>
    <xf numFmtId="166" fontId="0" fillId="2" borderId="0" xfId="0" applyNumberFormat="1" applyFill="1"/>
    <xf numFmtId="0" fontId="0" fillId="0" borderId="22" xfId="0" applyBorder="1" applyAlignment="1">
      <alignment vertical="center" wrapText="1"/>
    </xf>
    <xf numFmtId="0" fontId="6" fillId="2" borderId="10" xfId="0" applyFont="1" applyFill="1" applyBorder="1" applyAlignment="1">
      <alignment horizontal="center" vertical="center"/>
    </xf>
    <xf numFmtId="166" fontId="0" fillId="4" borderId="10" xfId="0" applyNumberFormat="1" applyFill="1" applyBorder="1" applyAlignment="1">
      <alignment vertical="center"/>
    </xf>
    <xf numFmtId="166" fontId="0" fillId="4" borderId="15" xfId="0" applyNumberFormat="1" applyFill="1" applyBorder="1" applyAlignment="1">
      <alignment vertical="center"/>
    </xf>
    <xf numFmtId="166" fontId="0" fillId="4" borderId="16" xfId="0" applyNumberFormat="1" applyFill="1" applyBorder="1" applyAlignment="1">
      <alignment vertical="center"/>
    </xf>
    <xf numFmtId="0" fontId="6" fillId="0" borderId="22" xfId="0" applyFont="1" applyBorder="1" applyAlignment="1">
      <alignment horizontal="center"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23" xfId="0" applyFill="1" applyBorder="1" applyAlignment="1">
      <alignment vertical="center" wrapText="1"/>
    </xf>
    <xf numFmtId="0" fontId="6" fillId="0" borderId="23" xfId="0" applyFont="1" applyBorder="1" applyAlignment="1">
      <alignment horizontal="center" vertical="center" wrapText="1"/>
    </xf>
    <xf numFmtId="165" fontId="0" fillId="5" borderId="27" xfId="0" applyNumberFormat="1" applyFill="1" applyBorder="1" applyAlignment="1">
      <alignment vertical="center"/>
    </xf>
    <xf numFmtId="165" fontId="0" fillId="5" borderId="13" xfId="0" applyNumberFormat="1" applyFill="1" applyBorder="1" applyAlignment="1">
      <alignment vertical="center"/>
    </xf>
    <xf numFmtId="165" fontId="0" fillId="5" borderId="14" xfId="0" applyNumberFormat="1" applyFill="1" applyBorder="1" applyAlignment="1">
      <alignment vertical="center"/>
    </xf>
    <xf numFmtId="0" fontId="0" fillId="2" borderId="24" xfId="0" applyFill="1" applyBorder="1" applyAlignment="1">
      <alignment vertical="center" wrapText="1"/>
    </xf>
    <xf numFmtId="0" fontId="6" fillId="0" borderId="24" xfId="0" applyFont="1" applyBorder="1" applyAlignment="1">
      <alignment horizontal="center" vertical="center" wrapText="1"/>
    </xf>
    <xf numFmtId="165" fontId="0" fillId="5" borderId="28" xfId="0" applyNumberFormat="1" applyFill="1" applyBorder="1" applyAlignment="1">
      <alignment vertical="center"/>
    </xf>
    <xf numFmtId="165" fontId="0" fillId="5" borderId="15" xfId="0" applyNumberFormat="1" applyFill="1" applyBorder="1" applyAlignment="1">
      <alignment vertical="center"/>
    </xf>
    <xf numFmtId="165" fontId="0" fillId="5" borderId="16" xfId="0" applyNumberFormat="1" applyFill="1" applyBorder="1" applyAlignment="1">
      <alignment vertical="center"/>
    </xf>
    <xf numFmtId="0" fontId="7" fillId="2" borderId="4" xfId="0" applyFont="1" applyFill="1" applyBorder="1" applyAlignment="1">
      <alignment horizontal="center" vertical="center" wrapText="1"/>
    </xf>
    <xf numFmtId="0" fontId="8" fillId="2" borderId="0" xfId="0" applyFont="1" applyFill="1"/>
    <xf numFmtId="0" fontId="8" fillId="2" borderId="4" xfId="0" applyFont="1" applyFill="1" applyBorder="1" applyAlignment="1">
      <alignment horizontal="center" vertical="center" wrapText="1"/>
    </xf>
    <xf numFmtId="0" fontId="2" fillId="6" borderId="6" xfId="0" applyFont="1" applyFill="1" applyBorder="1"/>
    <xf numFmtId="167" fontId="2" fillId="6" borderId="7" xfId="0" applyNumberFormat="1" applyFont="1" applyFill="1" applyBorder="1" applyAlignment="1">
      <alignment vertical="center"/>
    </xf>
    <xf numFmtId="167" fontId="2" fillId="6" borderId="29" xfId="0" applyNumberFormat="1" applyFont="1" applyFill="1" applyBorder="1" applyAlignment="1">
      <alignment vertical="center"/>
    </xf>
    <xf numFmtId="0" fontId="0" fillId="7" borderId="22" xfId="0" applyFill="1" applyBorder="1" applyAlignment="1">
      <alignment wrapText="1"/>
    </xf>
    <xf numFmtId="167" fontId="0" fillId="7" borderId="30" xfId="0" applyNumberFormat="1" applyFill="1" applyBorder="1" applyAlignment="1">
      <alignment vertical="center"/>
    </xf>
    <xf numFmtId="167" fontId="0" fillId="7" borderId="31" xfId="0" applyNumberFormat="1" applyFill="1" applyBorder="1" applyAlignment="1">
      <alignment vertical="center"/>
    </xf>
    <xf numFmtId="167" fontId="0" fillId="5" borderId="15" xfId="0" applyNumberFormat="1" applyFill="1" applyBorder="1" applyAlignment="1">
      <alignment vertical="center"/>
    </xf>
    <xf numFmtId="168" fontId="0" fillId="4" borderId="15" xfId="1" applyNumberFormat="1" applyFont="1" applyFill="1" applyBorder="1" applyAlignment="1">
      <alignment vertical="center"/>
    </xf>
    <xf numFmtId="168" fontId="0" fillId="4" borderId="16" xfId="1" applyNumberFormat="1" applyFont="1" applyFill="1" applyBorder="1" applyAlignment="1">
      <alignment vertical="center"/>
    </xf>
    <xf numFmtId="0" fontId="0" fillId="4" borderId="10" xfId="0" applyFill="1" applyBorder="1" applyAlignment="1">
      <alignment wrapText="1"/>
    </xf>
    <xf numFmtId="167" fontId="0" fillId="4" borderId="15" xfId="0" applyNumberFormat="1" applyFill="1" applyBorder="1" applyAlignment="1">
      <alignment vertical="center"/>
    </xf>
    <xf numFmtId="0" fontId="0" fillId="4" borderId="20" xfId="0" applyFill="1" applyBorder="1" applyAlignment="1">
      <alignment wrapText="1"/>
    </xf>
    <xf numFmtId="167" fontId="0" fillId="4" borderId="32" xfId="0" applyNumberFormat="1" applyFill="1" applyBorder="1" applyAlignment="1">
      <alignment vertical="center"/>
    </xf>
    <xf numFmtId="168" fontId="0" fillId="4" borderId="32" xfId="1" applyNumberFormat="1" applyFont="1" applyFill="1" applyBorder="1" applyAlignment="1">
      <alignment vertical="center"/>
    </xf>
    <xf numFmtId="168" fontId="0" fillId="4" borderId="33" xfId="1" applyNumberFormat="1" applyFont="1" applyFill="1" applyBorder="1" applyAlignment="1">
      <alignment vertical="center"/>
    </xf>
    <xf numFmtId="0" fontId="2" fillId="5" borderId="34" xfId="0" applyFont="1" applyFill="1" applyBorder="1" applyAlignment="1">
      <alignment wrapText="1"/>
    </xf>
    <xf numFmtId="167" fontId="2" fillId="5" borderId="35" xfId="0" applyNumberFormat="1" applyFont="1" applyFill="1" applyBorder="1" applyAlignment="1">
      <alignment vertical="center"/>
    </xf>
    <xf numFmtId="168" fontId="2" fillId="5" borderId="35" xfId="1" applyNumberFormat="1" applyFont="1" applyFill="1" applyBorder="1" applyAlignment="1">
      <alignment vertical="center"/>
    </xf>
    <xf numFmtId="168" fontId="2" fillId="5" borderId="36" xfId="1" applyNumberFormat="1" applyFont="1" applyFill="1" applyBorder="1" applyAlignment="1">
      <alignment vertical="center"/>
    </xf>
    <xf numFmtId="0" fontId="2" fillId="6" borderId="37" xfId="0" applyFont="1" applyFill="1" applyBorder="1"/>
    <xf numFmtId="167" fontId="2" fillId="6" borderId="38" xfId="0" applyNumberFormat="1" applyFont="1" applyFill="1" applyBorder="1" applyAlignment="1">
      <alignment vertical="center"/>
    </xf>
    <xf numFmtId="167" fontId="2" fillId="6" borderId="39" xfId="0" applyNumberFormat="1" applyFont="1" applyFill="1" applyBorder="1" applyAlignment="1">
      <alignment vertical="center"/>
    </xf>
    <xf numFmtId="0" fontId="10" fillId="2" borderId="0" xfId="0" applyFont="1" applyFill="1"/>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12" xfId="0" applyFill="1" applyBorder="1" applyAlignment="1">
      <alignment horizontal="left" vertical="center" wrapText="1"/>
    </xf>
    <xf numFmtId="168" fontId="0" fillId="4" borderId="13" xfId="1" applyNumberFormat="1" applyFont="1" applyFill="1" applyBorder="1" applyAlignment="1">
      <alignment horizontal="center" vertical="center"/>
    </xf>
    <xf numFmtId="165" fontId="0" fillId="4" borderId="13" xfId="0" applyNumberFormat="1" applyFill="1" applyBorder="1" applyAlignment="1">
      <alignment vertical="center"/>
    </xf>
    <xf numFmtId="168" fontId="0" fillId="4" borderId="13" xfId="1" applyNumberFormat="1" applyFont="1" applyFill="1" applyBorder="1" applyAlignment="1">
      <alignment vertical="center"/>
    </xf>
    <xf numFmtId="168" fontId="0" fillId="4" borderId="14" xfId="1" applyNumberFormat="1" applyFont="1" applyFill="1" applyBorder="1" applyAlignment="1">
      <alignment vertical="center"/>
    </xf>
    <xf numFmtId="0" fontId="0" fillId="2" borderId="10" xfId="0" applyFill="1" applyBorder="1" applyAlignment="1">
      <alignment horizontal="left" vertical="center" wrapText="1"/>
    </xf>
    <xf numFmtId="168" fontId="0" fillId="4" borderId="15" xfId="1" applyNumberFormat="1" applyFont="1" applyFill="1" applyBorder="1" applyAlignment="1">
      <alignment horizontal="center" vertical="center"/>
    </xf>
    <xf numFmtId="165" fontId="0" fillId="4" borderId="15" xfId="0" applyNumberFormat="1" applyFill="1" applyBorder="1" applyAlignment="1">
      <alignment vertical="center"/>
    </xf>
    <xf numFmtId="0" fontId="2" fillId="2" borderId="34" xfId="0" applyFont="1" applyFill="1" applyBorder="1"/>
    <xf numFmtId="165" fontId="2" fillId="4" borderId="35" xfId="0" applyNumberFormat="1" applyFont="1" applyFill="1" applyBorder="1" applyAlignment="1">
      <alignment vertical="center"/>
    </xf>
    <xf numFmtId="168" fontId="2" fillId="4" borderId="35" xfId="1" applyNumberFormat="1" applyFont="1" applyFill="1" applyBorder="1" applyAlignment="1">
      <alignment horizontal="center" vertical="center"/>
    </xf>
    <xf numFmtId="168" fontId="2" fillId="4" borderId="35" xfId="1" applyNumberFormat="1" applyFont="1" applyFill="1" applyBorder="1" applyAlignment="1">
      <alignment vertical="center"/>
    </xf>
    <xf numFmtId="168" fontId="2" fillId="4" borderId="36" xfId="1" applyNumberFormat="1" applyFont="1" applyFill="1" applyBorder="1" applyAlignment="1">
      <alignment vertical="center"/>
    </xf>
    <xf numFmtId="0" fontId="0" fillId="2" borderId="17" xfId="0" applyFill="1" applyBorder="1" applyAlignment="1">
      <alignment horizontal="left" vertical="center" wrapText="1"/>
    </xf>
    <xf numFmtId="169" fontId="0" fillId="4" borderId="18" xfId="0" applyNumberFormat="1" applyFill="1" applyBorder="1" applyAlignment="1">
      <alignment vertical="center"/>
    </xf>
    <xf numFmtId="165" fontId="0" fillId="3" borderId="13" xfId="0" applyNumberFormat="1" applyFill="1" applyBorder="1" applyAlignment="1">
      <alignment vertical="center"/>
    </xf>
    <xf numFmtId="165" fontId="0" fillId="3" borderId="15" xfId="0" applyNumberFormat="1" applyFill="1" applyBorder="1" applyAlignment="1">
      <alignment vertical="center"/>
    </xf>
    <xf numFmtId="168" fontId="0" fillId="2" borderId="42" xfId="1" applyNumberFormat="1" applyFont="1" applyFill="1" applyBorder="1" applyAlignment="1">
      <alignment horizontal="center" vertical="center"/>
    </xf>
    <xf numFmtId="168" fontId="0" fillId="2" borderId="8" xfId="1" applyNumberFormat="1" applyFont="1" applyFill="1" applyBorder="1" applyAlignment="1">
      <alignment horizontal="center" vertical="center"/>
    </xf>
    <xf numFmtId="165" fontId="0" fillId="2" borderId="8" xfId="0" applyNumberFormat="1" applyFill="1" applyBorder="1" applyAlignment="1">
      <alignment vertical="center"/>
    </xf>
    <xf numFmtId="168" fontId="0" fillId="2" borderId="8" xfId="1" applyNumberFormat="1" applyFont="1" applyFill="1" applyBorder="1" applyAlignment="1">
      <alignment vertical="center"/>
    </xf>
    <xf numFmtId="168" fontId="0" fillId="2" borderId="9" xfId="1" applyNumberFormat="1" applyFont="1" applyFill="1" applyBorder="1" applyAlignment="1">
      <alignment vertical="center"/>
    </xf>
    <xf numFmtId="168" fontId="0" fillId="2" borderId="43" xfId="1" applyNumberFormat="1" applyFont="1" applyFill="1" applyBorder="1" applyAlignment="1">
      <alignment horizontal="center" vertical="center"/>
    </xf>
    <xf numFmtId="168" fontId="0" fillId="2" borderId="0" xfId="1" applyNumberFormat="1" applyFont="1" applyFill="1" applyAlignment="1">
      <alignment horizontal="center" vertical="center"/>
    </xf>
    <xf numFmtId="165" fontId="0" fillId="2" borderId="0" xfId="0" applyNumberFormat="1" applyFill="1" applyAlignment="1">
      <alignment vertical="center"/>
    </xf>
    <xf numFmtId="168" fontId="0" fillId="2" borderId="0" xfId="1" applyNumberFormat="1" applyFont="1" applyFill="1" applyAlignment="1">
      <alignment vertical="center"/>
    </xf>
    <xf numFmtId="168" fontId="0" fillId="2" borderId="44" xfId="1" applyNumberFormat="1" applyFont="1" applyFill="1" applyBorder="1" applyAlignment="1">
      <alignment vertical="center"/>
    </xf>
    <xf numFmtId="169" fontId="0" fillId="4" borderId="15" xfId="0" applyNumberFormat="1" applyFill="1" applyBorder="1" applyAlignment="1">
      <alignment vertical="center"/>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2" borderId="12"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7" xfId="0" applyFont="1" applyFill="1" applyBorder="1" applyAlignment="1">
      <alignment horizontal="left" vertical="center" wrapText="1"/>
    </xf>
    <xf numFmtId="168" fontId="0" fillId="5" borderId="14" xfId="1" applyNumberFormat="1" applyFont="1" applyFill="1" applyBorder="1" applyAlignment="1">
      <alignment vertical="center"/>
    </xf>
    <xf numFmtId="168" fontId="0" fillId="5" borderId="16" xfId="1" applyNumberFormat="1" applyFont="1" applyFill="1" applyBorder="1" applyAlignment="1">
      <alignment vertical="center"/>
    </xf>
    <xf numFmtId="165" fontId="0" fillId="5" borderId="18" xfId="0" applyNumberFormat="1" applyFill="1" applyBorder="1" applyAlignment="1">
      <alignment vertical="center"/>
    </xf>
    <xf numFmtId="168" fontId="0" fillId="5" borderId="19" xfId="1" applyNumberFormat="1" applyFont="1" applyFill="1" applyBorder="1" applyAlignment="1">
      <alignment vertical="center"/>
    </xf>
    <xf numFmtId="0" fontId="6" fillId="2" borderId="0" xfId="0" applyFont="1" applyFill="1"/>
    <xf numFmtId="0" fontId="6" fillId="2" borderId="0" xfId="0" applyFont="1" applyFill="1" applyAlignment="1">
      <alignment vertical="center"/>
    </xf>
    <xf numFmtId="0" fontId="0" fillId="2" borderId="0" xfId="0" applyFill="1" applyAlignment="1">
      <alignment vertical="center"/>
    </xf>
    <xf numFmtId="0" fontId="0" fillId="2" borderId="45" xfId="0" applyFill="1" applyBorder="1" applyAlignment="1">
      <alignment horizontal="left" vertical="center" wrapText="1"/>
    </xf>
    <xf numFmtId="165" fontId="0" fillId="5" borderId="46" xfId="0" applyNumberFormat="1" applyFill="1" applyBorder="1" applyAlignment="1">
      <alignment vertical="center"/>
    </xf>
    <xf numFmtId="0" fontId="0" fillId="2" borderId="15" xfId="0" applyFill="1" applyBorder="1" applyAlignment="1">
      <alignment vertical="center" wrapText="1"/>
    </xf>
    <xf numFmtId="169" fontId="0" fillId="4" borderId="13" xfId="0" applyNumberFormat="1" applyFill="1" applyBorder="1" applyAlignment="1">
      <alignment vertical="center"/>
    </xf>
    <xf numFmtId="168" fontId="0" fillId="2" borderId="47" xfId="1" applyNumberFormat="1" applyFont="1" applyFill="1" applyBorder="1" applyAlignment="1">
      <alignment horizontal="center" vertical="center"/>
    </xf>
    <xf numFmtId="168" fontId="0" fillId="2" borderId="7" xfId="1" applyNumberFormat="1" applyFont="1" applyFill="1" applyBorder="1" applyAlignment="1">
      <alignment horizontal="center" vertical="center"/>
    </xf>
    <xf numFmtId="165" fontId="0" fillId="2" borderId="7" xfId="0" applyNumberFormat="1" applyFill="1" applyBorder="1" applyAlignment="1">
      <alignment vertical="center"/>
    </xf>
    <xf numFmtId="168" fontId="0" fillId="2" borderId="7" xfId="1" applyNumberFormat="1" applyFont="1" applyFill="1" applyBorder="1" applyAlignment="1">
      <alignment vertical="center"/>
    </xf>
    <xf numFmtId="168" fontId="0" fillId="2" borderId="29" xfId="1" applyNumberFormat="1" applyFont="1" applyFill="1" applyBorder="1" applyAlignment="1">
      <alignment vertical="center"/>
    </xf>
    <xf numFmtId="168" fontId="0" fillId="2" borderId="48" xfId="1" applyNumberFormat="1" applyFont="1" applyFill="1" applyBorder="1" applyAlignment="1">
      <alignment horizontal="center" vertical="center"/>
    </xf>
    <xf numFmtId="168" fontId="0" fillId="2" borderId="49" xfId="1" applyNumberFormat="1" applyFont="1" applyFill="1" applyBorder="1" applyAlignment="1">
      <alignment horizontal="center" vertical="center"/>
    </xf>
    <xf numFmtId="165" fontId="0" fillId="2" borderId="49" xfId="0" applyNumberFormat="1" applyFill="1" applyBorder="1" applyAlignment="1">
      <alignment vertical="center"/>
    </xf>
    <xf numFmtId="168" fontId="0" fillId="2" borderId="49" xfId="1" applyNumberFormat="1" applyFont="1" applyFill="1" applyBorder="1" applyAlignment="1">
      <alignment vertical="center"/>
    </xf>
    <xf numFmtId="168" fontId="0" fillId="2" borderId="50" xfId="1" applyNumberFormat="1" applyFont="1" applyFill="1" applyBorder="1" applyAlignment="1">
      <alignment vertical="center"/>
    </xf>
    <xf numFmtId="168" fontId="0" fillId="2" borderId="51" xfId="1" applyNumberFormat="1" applyFont="1" applyFill="1" applyBorder="1" applyAlignment="1">
      <alignment horizontal="center" vertical="center"/>
    </xf>
    <xf numFmtId="168" fontId="0" fillId="2" borderId="52" xfId="1" applyNumberFormat="1" applyFont="1" applyFill="1" applyBorder="1" applyAlignment="1">
      <alignment horizontal="center" vertical="center"/>
    </xf>
    <xf numFmtId="165" fontId="0" fillId="2" borderId="52" xfId="0" applyNumberFormat="1" applyFill="1" applyBorder="1" applyAlignment="1">
      <alignment vertical="center"/>
    </xf>
    <xf numFmtId="168" fontId="0" fillId="2" borderId="52" xfId="1" applyNumberFormat="1" applyFont="1" applyFill="1" applyBorder="1" applyAlignment="1">
      <alignment vertical="center"/>
    </xf>
    <xf numFmtId="168" fontId="0" fillId="2" borderId="53" xfId="1" applyNumberFormat="1" applyFont="1" applyFill="1" applyBorder="1" applyAlignment="1">
      <alignment vertical="center"/>
    </xf>
    <xf numFmtId="0" fontId="6" fillId="2" borderId="12" xfId="0" applyFont="1" applyFill="1" applyBorder="1" applyAlignment="1">
      <alignment horizontal="center" vertical="center"/>
    </xf>
    <xf numFmtId="0" fontId="4" fillId="2" borderId="13" xfId="0" applyFont="1" applyFill="1" applyBorder="1" applyAlignment="1">
      <alignment horizontal="left" vertical="center" wrapText="1"/>
    </xf>
    <xf numFmtId="0" fontId="14" fillId="2" borderId="13" xfId="0" applyFont="1" applyFill="1" applyBorder="1" applyAlignment="1">
      <alignment horizontal="center" vertical="center" wrapText="1"/>
    </xf>
    <xf numFmtId="165" fontId="4" fillId="5" borderId="13" xfId="0" applyNumberFormat="1" applyFont="1" applyFill="1" applyBorder="1" applyAlignment="1">
      <alignment vertical="center"/>
    </xf>
    <xf numFmtId="165" fontId="4" fillId="4" borderId="13" xfId="0" applyNumberFormat="1" applyFont="1" applyFill="1" applyBorder="1" applyAlignment="1">
      <alignment vertical="center"/>
    </xf>
    <xf numFmtId="168" fontId="4" fillId="4" borderId="13" xfId="1" applyNumberFormat="1" applyFont="1" applyFill="1" applyBorder="1" applyAlignment="1">
      <alignment vertical="center"/>
    </xf>
    <xf numFmtId="168" fontId="4" fillId="4" borderId="14" xfId="1" applyNumberFormat="1" applyFont="1" applyFill="1" applyBorder="1" applyAlignment="1">
      <alignment vertical="center"/>
    </xf>
    <xf numFmtId="0" fontId="4" fillId="2" borderId="15" xfId="0" applyFont="1" applyFill="1" applyBorder="1" applyAlignment="1">
      <alignment horizontal="left" vertical="center" wrapText="1"/>
    </xf>
    <xf numFmtId="0" fontId="14" fillId="2" borderId="15" xfId="0" applyFont="1" applyFill="1" applyBorder="1" applyAlignment="1">
      <alignment horizontal="center" vertical="center" wrapText="1"/>
    </xf>
    <xf numFmtId="165" fontId="4" fillId="5" borderId="15" xfId="0" applyNumberFormat="1" applyFont="1" applyFill="1" applyBorder="1" applyAlignment="1">
      <alignment vertical="center"/>
    </xf>
    <xf numFmtId="165" fontId="4" fillId="4" borderId="15" xfId="0" applyNumberFormat="1" applyFont="1" applyFill="1" applyBorder="1" applyAlignment="1">
      <alignment vertical="center"/>
    </xf>
    <xf numFmtId="168" fontId="4" fillId="4" borderId="15" xfId="1" applyNumberFormat="1" applyFont="1" applyFill="1" applyBorder="1" applyAlignment="1">
      <alignment vertical="center"/>
    </xf>
    <xf numFmtId="168" fontId="4" fillId="4" borderId="16" xfId="1" applyNumberFormat="1" applyFont="1" applyFill="1" applyBorder="1" applyAlignment="1">
      <alignment vertical="center"/>
    </xf>
    <xf numFmtId="0" fontId="6" fillId="2" borderId="22" xfId="0" applyFont="1" applyFill="1" applyBorder="1" applyAlignment="1">
      <alignment horizontal="center" vertical="center"/>
    </xf>
    <xf numFmtId="0" fontId="4" fillId="2" borderId="30" xfId="0" applyFont="1" applyFill="1" applyBorder="1" applyAlignment="1">
      <alignment horizontal="left" vertical="center" wrapText="1"/>
    </xf>
    <xf numFmtId="0" fontId="14" fillId="2" borderId="30" xfId="0" applyFont="1" applyFill="1" applyBorder="1" applyAlignment="1">
      <alignment horizontal="center" vertical="center" wrapText="1"/>
    </xf>
    <xf numFmtId="165" fontId="4" fillId="2" borderId="30" xfId="0" applyNumberFormat="1" applyFont="1" applyFill="1" applyBorder="1" applyAlignment="1">
      <alignment vertical="center"/>
    </xf>
    <xf numFmtId="168" fontId="4" fillId="2" borderId="30" xfId="1" applyNumberFormat="1" applyFont="1" applyFill="1" applyBorder="1" applyAlignment="1">
      <alignment vertical="center"/>
    </xf>
    <xf numFmtId="168" fontId="4" fillId="2" borderId="31" xfId="1" applyNumberFormat="1" applyFont="1" applyFill="1" applyBorder="1" applyAlignment="1">
      <alignment vertical="center"/>
    </xf>
    <xf numFmtId="169" fontId="4" fillId="4" borderId="15" xfId="0" applyNumberFormat="1" applyFont="1" applyFill="1" applyBorder="1" applyAlignment="1">
      <alignment vertical="center"/>
    </xf>
    <xf numFmtId="0" fontId="6" fillId="2" borderId="17" xfId="0" applyFont="1" applyFill="1" applyBorder="1" applyAlignment="1">
      <alignment horizontal="center" vertical="center"/>
    </xf>
    <xf numFmtId="0" fontId="4" fillId="2" borderId="18" xfId="0" applyFont="1" applyFill="1" applyBorder="1" applyAlignment="1">
      <alignment horizontal="left" vertical="center" wrapText="1"/>
    </xf>
    <xf numFmtId="0" fontId="14" fillId="2" borderId="18" xfId="0" applyFont="1" applyFill="1" applyBorder="1" applyAlignment="1">
      <alignment horizontal="center" vertical="center" wrapText="1"/>
    </xf>
    <xf numFmtId="168" fontId="4" fillId="4" borderId="18" xfId="1" applyNumberFormat="1" applyFont="1" applyFill="1" applyBorder="1" applyAlignment="1">
      <alignment vertical="center"/>
    </xf>
    <xf numFmtId="168" fontId="4" fillId="4" borderId="19" xfId="1" applyNumberFormat="1" applyFont="1" applyFill="1" applyBorder="1" applyAlignment="1">
      <alignment vertical="center"/>
    </xf>
    <xf numFmtId="169" fontId="4" fillId="4" borderId="18" xfId="1" applyNumberFormat="1" applyFont="1" applyFill="1" applyBorder="1" applyAlignment="1">
      <alignment vertical="center"/>
    </xf>
    <xf numFmtId="0" fontId="10" fillId="7" borderId="6" xfId="0" applyFont="1" applyFill="1" applyBorder="1" applyAlignment="1">
      <alignment vertical="center"/>
    </xf>
    <xf numFmtId="0" fontId="0" fillId="7" borderId="7" xfId="0" applyFill="1" applyBorder="1"/>
    <xf numFmtId="0" fontId="0" fillId="7" borderId="29" xfId="0" applyFill="1" applyBorder="1"/>
    <xf numFmtId="0" fontId="6" fillId="2" borderId="15" xfId="0" applyFont="1" applyFill="1" applyBorder="1" applyAlignment="1">
      <alignment horizontal="center" vertical="center" wrapText="1"/>
    </xf>
    <xf numFmtId="169" fontId="4" fillId="5" borderId="15" xfId="0" applyNumberFormat="1" applyFont="1" applyFill="1" applyBorder="1" applyAlignment="1">
      <alignment vertical="center"/>
    </xf>
    <xf numFmtId="169" fontId="4" fillId="5" borderId="18" xfId="0" applyNumberFormat="1" applyFont="1" applyFill="1" applyBorder="1" applyAlignment="1">
      <alignment vertical="center"/>
    </xf>
    <xf numFmtId="0" fontId="3" fillId="2" borderId="0" xfId="0" applyFont="1" applyFill="1"/>
    <xf numFmtId="0" fontId="0" fillId="2" borderId="12" xfId="0" applyFill="1" applyBorder="1" applyAlignment="1">
      <alignment vertical="center" wrapText="1"/>
    </xf>
    <xf numFmtId="165" fontId="0" fillId="5" borderId="12" xfId="0" applyNumberFormat="1" applyFill="1" applyBorder="1" applyAlignment="1">
      <alignment vertical="center"/>
    </xf>
    <xf numFmtId="168" fontId="0" fillId="4" borderId="12" xfId="1" applyNumberFormat="1" applyFont="1" applyFill="1" applyBorder="1" applyAlignment="1">
      <alignment vertical="center"/>
    </xf>
    <xf numFmtId="0" fontId="0" fillId="2" borderId="54" xfId="0" applyFill="1" applyBorder="1" applyAlignment="1">
      <alignment vertical="center" wrapText="1"/>
    </xf>
    <xf numFmtId="165" fontId="0" fillId="4" borderId="12" xfId="1" applyNumberFormat="1" applyFont="1" applyFill="1" applyBorder="1" applyAlignment="1">
      <alignment vertical="center"/>
    </xf>
    <xf numFmtId="165" fontId="0" fillId="4" borderId="13" xfId="1" applyNumberFormat="1" applyFont="1" applyFill="1" applyBorder="1" applyAlignment="1">
      <alignment vertical="center"/>
    </xf>
    <xf numFmtId="165" fontId="0" fillId="4" borderId="14" xfId="1" applyNumberFormat="1" applyFont="1" applyFill="1" applyBorder="1" applyAlignment="1">
      <alignment vertical="center"/>
    </xf>
    <xf numFmtId="0" fontId="0" fillId="2" borderId="10" xfId="0" applyFill="1" applyBorder="1" applyAlignment="1">
      <alignment vertical="center" wrapText="1"/>
    </xf>
    <xf numFmtId="165" fontId="0" fillId="5" borderId="10" xfId="0" applyNumberFormat="1" applyFill="1" applyBorder="1" applyAlignment="1">
      <alignment vertical="center"/>
    </xf>
    <xf numFmtId="168" fontId="0" fillId="4" borderId="10" xfId="1" applyNumberFormat="1" applyFont="1" applyFill="1" applyBorder="1" applyAlignment="1">
      <alignment vertical="center"/>
    </xf>
    <xf numFmtId="165" fontId="0" fillId="4" borderId="10" xfId="1" applyNumberFormat="1" applyFont="1" applyFill="1" applyBorder="1" applyAlignment="1">
      <alignment vertical="center"/>
    </xf>
    <xf numFmtId="165" fontId="0" fillId="4" borderId="15" xfId="1" applyNumberFormat="1" applyFont="1" applyFill="1" applyBorder="1" applyAlignment="1">
      <alignment vertical="center"/>
    </xf>
    <xf numFmtId="165" fontId="0" fillId="4" borderId="16" xfId="1" applyNumberFormat="1" applyFont="1" applyFill="1" applyBorder="1" applyAlignment="1">
      <alignment vertical="center"/>
    </xf>
    <xf numFmtId="0" fontId="0" fillId="2" borderId="20" xfId="0" applyFill="1" applyBorder="1" applyAlignment="1">
      <alignment vertical="center" wrapText="1"/>
    </xf>
    <xf numFmtId="165" fontId="0" fillId="5" borderId="20" xfId="0" applyNumberFormat="1" applyFill="1" applyBorder="1" applyAlignment="1">
      <alignment vertical="center"/>
    </xf>
    <xf numFmtId="165" fontId="0" fillId="5" borderId="32" xfId="0" applyNumberFormat="1" applyFill="1" applyBorder="1" applyAlignment="1">
      <alignment vertical="center"/>
    </xf>
    <xf numFmtId="165" fontId="0" fillId="5" borderId="33" xfId="0" applyNumberFormat="1" applyFill="1" applyBorder="1" applyAlignment="1">
      <alignment vertical="center"/>
    </xf>
    <xf numFmtId="168" fontId="0" fillId="4" borderId="20" xfId="1" applyNumberFormat="1" applyFont="1" applyFill="1" applyBorder="1" applyAlignment="1">
      <alignment vertical="center"/>
    </xf>
    <xf numFmtId="0" fontId="0" fillId="2" borderId="17" xfId="0" applyFill="1" applyBorder="1" applyAlignment="1">
      <alignment vertical="center" wrapText="1"/>
    </xf>
    <xf numFmtId="165" fontId="0" fillId="5" borderId="17" xfId="0" applyNumberFormat="1" applyFill="1" applyBorder="1" applyAlignment="1">
      <alignment vertical="center"/>
    </xf>
    <xf numFmtId="165" fontId="0" fillId="5" borderId="19" xfId="0" applyNumberFormat="1" applyFill="1" applyBorder="1" applyAlignment="1">
      <alignment vertical="center"/>
    </xf>
    <xf numFmtId="165" fontId="0" fillId="4" borderId="20" xfId="1" applyNumberFormat="1" applyFont="1" applyFill="1" applyBorder="1" applyAlignment="1">
      <alignment vertical="center"/>
    </xf>
    <xf numFmtId="165" fontId="0" fillId="4" borderId="32" xfId="1" applyNumberFormat="1" applyFont="1" applyFill="1" applyBorder="1" applyAlignment="1">
      <alignment vertical="center"/>
    </xf>
    <xf numFmtId="165" fontId="0" fillId="4" borderId="33" xfId="1" applyNumberFormat="1" applyFont="1" applyFill="1" applyBorder="1" applyAlignment="1">
      <alignment vertical="center"/>
    </xf>
    <xf numFmtId="168" fontId="0" fillId="4" borderId="4" xfId="1" applyNumberFormat="1" applyFont="1" applyFill="1" applyBorder="1" applyAlignment="1">
      <alignment vertical="center"/>
    </xf>
    <xf numFmtId="0" fontId="4" fillId="2" borderId="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2" fillId="2" borderId="0" xfId="0" applyFont="1" applyFill="1"/>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7" fillId="2" borderId="0" xfId="0" applyFont="1" applyFill="1"/>
    <xf numFmtId="0" fontId="7" fillId="2" borderId="0" xfId="0" applyFont="1" applyFill="1" applyAlignment="1">
      <alignment horizontal="left" wrapText="1" indent="1"/>
    </xf>
    <xf numFmtId="0" fontId="6" fillId="2" borderId="14" xfId="0" applyFont="1" applyFill="1" applyBorder="1" applyAlignment="1">
      <alignment horizontal="center" vertical="center" wrapText="1"/>
    </xf>
    <xf numFmtId="169" fontId="0" fillId="4" borderId="12" xfId="0" applyNumberFormat="1" applyFill="1" applyBorder="1" applyAlignment="1">
      <alignment vertical="center"/>
    </xf>
    <xf numFmtId="169" fontId="0" fillId="4" borderId="14" xfId="0" applyNumberFormat="1" applyFill="1" applyBorder="1" applyAlignment="1">
      <alignment vertical="center"/>
    </xf>
    <xf numFmtId="0" fontId="6" fillId="2" borderId="16" xfId="0" applyFont="1" applyFill="1" applyBorder="1" applyAlignment="1">
      <alignment horizontal="center" vertical="center" wrapText="1"/>
    </xf>
    <xf numFmtId="169" fontId="0" fillId="4" borderId="10" xfId="0" applyNumberFormat="1" applyFill="1" applyBorder="1" applyAlignment="1">
      <alignment vertical="center"/>
    </xf>
    <xf numFmtId="169" fontId="0" fillId="4" borderId="16" xfId="0" applyNumberFormat="1" applyFill="1" applyBorder="1" applyAlignment="1">
      <alignment vertical="center"/>
    </xf>
    <xf numFmtId="0" fontId="6" fillId="2" borderId="19" xfId="0" applyFont="1" applyFill="1" applyBorder="1" applyAlignment="1">
      <alignment horizontal="center" vertical="center" wrapText="1"/>
    </xf>
    <xf numFmtId="169" fontId="0" fillId="4" borderId="17" xfId="0" applyNumberFormat="1" applyFill="1" applyBorder="1" applyAlignment="1">
      <alignment vertical="center"/>
    </xf>
    <xf numFmtId="169" fontId="0" fillId="4" borderId="19" xfId="0" applyNumberFormat="1" applyFill="1" applyBorder="1" applyAlignment="1">
      <alignment vertical="center"/>
    </xf>
    <xf numFmtId="0" fontId="2" fillId="4" borderId="4" xfId="0" applyFont="1" applyFill="1" applyBorder="1" applyAlignment="1">
      <alignment vertical="center" wrapText="1"/>
    </xf>
    <xf numFmtId="165" fontId="2" fillId="4" borderId="4" xfId="0" applyNumberFormat="1" applyFont="1" applyFill="1" applyBorder="1" applyAlignment="1">
      <alignment vertical="center"/>
    </xf>
    <xf numFmtId="165" fontId="0" fillId="2" borderId="2" xfId="1" applyNumberFormat="1" applyFont="1" applyFill="1" applyBorder="1" applyAlignment="1">
      <alignment vertical="center"/>
    </xf>
    <xf numFmtId="165" fontId="0" fillId="2" borderId="5" xfId="1" applyNumberFormat="1" applyFont="1" applyFill="1" applyBorder="1" applyAlignment="1">
      <alignment vertical="center"/>
    </xf>
    <xf numFmtId="165" fontId="0" fillId="2" borderId="3" xfId="1" applyNumberFormat="1" applyFont="1" applyFill="1" applyBorder="1" applyAlignment="1">
      <alignment vertical="center"/>
    </xf>
    <xf numFmtId="165" fontId="4" fillId="5" borderId="18" xfId="0" applyNumberFormat="1" applyFont="1" applyFill="1" applyBorder="1" applyAlignment="1">
      <alignment vertical="center"/>
    </xf>
    <xf numFmtId="165" fontId="4" fillId="4" borderId="18" xfId="0" applyNumberFormat="1" applyFont="1" applyFill="1" applyBorder="1" applyAlignment="1">
      <alignment vertical="center"/>
    </xf>
    <xf numFmtId="0" fontId="4" fillId="7" borderId="7" xfId="0" applyFont="1" applyFill="1" applyBorder="1" applyAlignment="1">
      <alignment horizontal="left" vertical="top" wrapText="1"/>
    </xf>
    <xf numFmtId="0" fontId="14" fillId="7" borderId="7" xfId="0" applyFont="1" applyFill="1" applyBorder="1" applyAlignment="1">
      <alignment horizontal="center" vertical="center" wrapText="1"/>
    </xf>
    <xf numFmtId="165" fontId="4" fillId="7" borderId="7" xfId="0" applyNumberFormat="1" applyFont="1" applyFill="1" applyBorder="1" applyAlignment="1">
      <alignment vertical="center"/>
    </xf>
    <xf numFmtId="168" fontId="4" fillId="7" borderId="7" xfId="1" applyNumberFormat="1" applyFont="1" applyFill="1" applyBorder="1" applyAlignment="1">
      <alignment vertical="center"/>
    </xf>
    <xf numFmtId="168" fontId="4" fillId="7" borderId="29" xfId="1" applyNumberFormat="1" applyFont="1" applyFill="1" applyBorder="1" applyAlignment="1">
      <alignment vertical="center"/>
    </xf>
    <xf numFmtId="169" fontId="4" fillId="4" borderId="56" xfId="0" applyNumberFormat="1" applyFont="1" applyFill="1" applyBorder="1" applyAlignment="1">
      <alignment vertical="center"/>
    </xf>
    <xf numFmtId="168" fontId="4" fillId="4" borderId="56" xfId="1" applyNumberFormat="1" applyFont="1" applyFill="1" applyBorder="1" applyAlignment="1">
      <alignment vertical="center"/>
    </xf>
    <xf numFmtId="168" fontId="4" fillId="4" borderId="57" xfId="1" applyNumberFormat="1" applyFont="1" applyFill="1" applyBorder="1" applyAlignment="1">
      <alignment vertical="center"/>
    </xf>
    <xf numFmtId="169" fontId="4" fillId="4" borderId="58" xfId="0" applyNumberFormat="1" applyFont="1" applyFill="1" applyBorder="1" applyAlignment="1">
      <alignment vertical="center"/>
    </xf>
    <xf numFmtId="168" fontId="4" fillId="4" borderId="58" xfId="1" applyNumberFormat="1" applyFont="1" applyFill="1" applyBorder="1" applyAlignment="1">
      <alignment vertical="center"/>
    </xf>
    <xf numFmtId="168" fontId="4" fillId="4" borderId="59" xfId="1" applyNumberFormat="1" applyFont="1" applyFill="1" applyBorder="1" applyAlignment="1">
      <alignment vertical="center"/>
    </xf>
    <xf numFmtId="0" fontId="7"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0" fontId="16" fillId="2" borderId="0" xfId="0" applyFont="1" applyFill="1"/>
    <xf numFmtId="0" fontId="10" fillId="7" borderId="60" xfId="0" applyFont="1" applyFill="1" applyBorder="1" applyAlignment="1">
      <alignment vertical="center"/>
    </xf>
    <xf numFmtId="0" fontId="16" fillId="7" borderId="38" xfId="0" applyFont="1" applyFill="1" applyBorder="1"/>
    <xf numFmtId="0" fontId="16" fillId="7" borderId="61" xfId="0" applyFont="1" applyFill="1" applyBorder="1"/>
    <xf numFmtId="0" fontId="4" fillId="2" borderId="4" xfId="2" applyFont="1" applyFill="1" applyBorder="1" applyAlignment="1">
      <alignment horizontal="center" vertical="center" wrapText="1"/>
    </xf>
    <xf numFmtId="0" fontId="4" fillId="2" borderId="4" xfId="2" applyFont="1" applyFill="1" applyBorder="1"/>
    <xf numFmtId="165" fontId="4" fillId="2" borderId="4" xfId="2" applyNumberFormat="1" applyFont="1" applyFill="1" applyBorder="1"/>
    <xf numFmtId="0" fontId="6" fillId="2" borderId="18" xfId="0" applyFont="1" applyFill="1" applyBorder="1" applyAlignment="1">
      <alignment horizontal="center" vertical="center" wrapText="1"/>
    </xf>
    <xf numFmtId="169" fontId="4" fillId="4" borderId="18" xfId="0" applyNumberFormat="1" applyFont="1" applyFill="1" applyBorder="1" applyAlignment="1">
      <alignment vertical="center"/>
    </xf>
    <xf numFmtId="169" fontId="4" fillId="2" borderId="48" xfId="0" applyNumberFormat="1" applyFont="1" applyFill="1" applyBorder="1" applyAlignment="1">
      <alignment vertical="center"/>
    </xf>
    <xf numFmtId="169" fontId="4" fillId="2" borderId="49" xfId="0" applyNumberFormat="1" applyFont="1" applyFill="1" applyBorder="1" applyAlignment="1">
      <alignment vertical="center"/>
    </xf>
    <xf numFmtId="168" fontId="4" fillId="2" borderId="49" xfId="1" applyNumberFormat="1" applyFont="1" applyFill="1" applyBorder="1" applyAlignment="1">
      <alignment vertical="center"/>
    </xf>
    <xf numFmtId="168" fontId="4" fillId="2" borderId="50" xfId="1" applyNumberFormat="1" applyFont="1" applyFill="1" applyBorder="1" applyAlignment="1">
      <alignment vertical="center"/>
    </xf>
    <xf numFmtId="170" fontId="4" fillId="3" borderId="15" xfId="1" applyNumberFormat="1" applyFont="1" applyFill="1" applyBorder="1" applyAlignment="1">
      <alignment vertical="center"/>
    </xf>
    <xf numFmtId="170" fontId="4" fillId="4" borderId="15" xfId="1" applyNumberFormat="1" applyFont="1" applyFill="1" applyBorder="1" applyAlignment="1">
      <alignment vertical="center"/>
    </xf>
    <xf numFmtId="0" fontId="6" fillId="2" borderId="32" xfId="0" applyFont="1" applyFill="1" applyBorder="1" applyAlignment="1">
      <alignment horizontal="center" vertical="center" wrapText="1"/>
    </xf>
    <xf numFmtId="171" fontId="4" fillId="4" borderId="32" xfId="1" applyNumberFormat="1" applyFont="1" applyFill="1" applyBorder="1" applyAlignment="1">
      <alignment vertical="center"/>
    </xf>
    <xf numFmtId="168" fontId="4" fillId="4" borderId="32" xfId="1" applyNumberFormat="1" applyFont="1" applyFill="1" applyBorder="1" applyAlignment="1">
      <alignment vertical="center"/>
    </xf>
    <xf numFmtId="168" fontId="4" fillId="4" borderId="33" xfId="1" applyNumberFormat="1" applyFont="1" applyFill="1" applyBorder="1" applyAlignment="1">
      <alignment vertical="center"/>
    </xf>
    <xf numFmtId="0" fontId="6" fillId="2" borderId="35" xfId="0" applyFont="1" applyFill="1" applyBorder="1" applyAlignment="1">
      <alignment horizontal="center" vertical="center" wrapText="1"/>
    </xf>
    <xf numFmtId="0" fontId="17" fillId="2" borderId="34" xfId="0" applyFont="1" applyFill="1" applyBorder="1" applyAlignment="1">
      <alignment horizontal="left" vertical="center" wrapText="1"/>
    </xf>
    <xf numFmtId="168" fontId="17" fillId="4" borderId="35" xfId="1" applyNumberFormat="1" applyFont="1" applyFill="1" applyBorder="1" applyAlignment="1">
      <alignment vertical="center"/>
    </xf>
    <xf numFmtId="168" fontId="17" fillId="4" borderId="36" xfId="1" applyNumberFormat="1" applyFont="1" applyFill="1" applyBorder="1" applyAlignment="1">
      <alignment vertical="center"/>
    </xf>
    <xf numFmtId="0" fontId="4" fillId="2" borderId="12"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6" fillId="2" borderId="54" xfId="0" applyFont="1" applyFill="1" applyBorder="1" applyAlignment="1">
      <alignment horizontal="center" vertical="center"/>
    </xf>
    <xf numFmtId="0" fontId="4" fillId="2" borderId="56"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16" fontId="6" fillId="2" borderId="10" xfId="0" applyNumberFormat="1" applyFont="1" applyFill="1" applyBorder="1" applyAlignment="1">
      <alignment horizontal="center" vertical="center"/>
    </xf>
    <xf numFmtId="170" fontId="4" fillId="4" borderId="15" xfId="0" applyNumberFormat="1" applyFont="1" applyFill="1" applyBorder="1" applyAlignment="1">
      <alignment vertical="center"/>
    </xf>
    <xf numFmtId="0" fontId="0" fillId="2" borderId="0" xfId="0" applyFill="1" applyAlignment="1">
      <alignment horizontal="center"/>
    </xf>
    <xf numFmtId="165" fontId="0" fillId="2" borderId="25" xfId="0" applyNumberFormat="1" applyFill="1" applyBorder="1" applyAlignment="1">
      <alignment horizontal="center" vertical="center"/>
    </xf>
    <xf numFmtId="165" fontId="0" fillId="2" borderId="26" xfId="0" applyNumberFormat="1" applyFill="1" applyBorder="1" applyAlignment="1">
      <alignment horizontal="center" vertical="center"/>
    </xf>
    <xf numFmtId="165" fontId="0" fillId="2" borderId="41" xfId="0" applyNumberFormat="1" applyFill="1" applyBorder="1" applyAlignment="1">
      <alignment horizontal="center" vertical="center"/>
    </xf>
    <xf numFmtId="165" fontId="0" fillId="2" borderId="0" xfId="0" applyNumberFormat="1" applyFill="1" applyAlignment="1">
      <alignment horizontal="center" vertical="center"/>
    </xf>
    <xf numFmtId="0" fontId="6" fillId="2" borderId="20" xfId="0" applyFont="1" applyFill="1" applyBorder="1" applyAlignment="1">
      <alignment horizontal="center" vertical="center"/>
    </xf>
    <xf numFmtId="0" fontId="4" fillId="2" borderId="32" xfId="0" applyFont="1" applyFill="1" applyBorder="1" applyAlignment="1">
      <alignment horizontal="left" vertical="center" wrapText="1"/>
    </xf>
    <xf numFmtId="165" fontId="4" fillId="5" borderId="32" xfId="0" applyNumberFormat="1" applyFont="1" applyFill="1" applyBorder="1" applyAlignment="1">
      <alignment vertical="center"/>
    </xf>
    <xf numFmtId="169" fontId="4" fillId="4" borderId="32" xfId="0" applyNumberFormat="1" applyFont="1" applyFill="1" applyBorder="1" applyAlignment="1">
      <alignment vertical="center"/>
    </xf>
    <xf numFmtId="0" fontId="6" fillId="2" borderId="34" xfId="0" applyFont="1" applyFill="1" applyBorder="1" applyAlignment="1">
      <alignment horizontal="center" vertical="center"/>
    </xf>
    <xf numFmtId="0" fontId="4" fillId="2" borderId="35" xfId="0" applyFont="1" applyFill="1" applyBorder="1" applyAlignment="1">
      <alignment horizontal="left" vertical="center" wrapText="1"/>
    </xf>
    <xf numFmtId="165" fontId="4" fillId="4" borderId="35" xfId="0" applyNumberFormat="1" applyFont="1" applyFill="1" applyBorder="1" applyAlignment="1">
      <alignment vertical="center"/>
    </xf>
    <xf numFmtId="168" fontId="4" fillId="4" borderId="35" xfId="1" applyNumberFormat="1" applyFont="1" applyFill="1" applyBorder="1" applyAlignment="1">
      <alignment vertical="center"/>
    </xf>
    <xf numFmtId="168" fontId="4" fillId="4" borderId="36" xfId="1" applyNumberFormat="1" applyFont="1" applyFill="1" applyBorder="1" applyAlignment="1">
      <alignment vertical="center"/>
    </xf>
    <xf numFmtId="169" fontId="4" fillId="2" borderId="62" xfId="0" applyNumberFormat="1" applyFont="1" applyFill="1" applyBorder="1" applyAlignment="1">
      <alignment vertical="center"/>
    </xf>
    <xf numFmtId="169" fontId="4" fillId="2" borderId="5" xfId="0" applyNumberFormat="1" applyFont="1" applyFill="1" applyBorder="1" applyAlignment="1">
      <alignment vertical="center"/>
    </xf>
    <xf numFmtId="168" fontId="4" fillId="2" borderId="5" xfId="1" applyNumberFormat="1" applyFont="1" applyFill="1" applyBorder="1" applyAlignment="1">
      <alignment vertical="center"/>
    </xf>
    <xf numFmtId="168" fontId="4" fillId="2" borderId="3" xfId="1" applyNumberFormat="1" applyFont="1" applyFill="1" applyBorder="1" applyAlignment="1">
      <alignment vertical="center"/>
    </xf>
    <xf numFmtId="0" fontId="10" fillId="7" borderId="15" xfId="0" applyFont="1" applyFill="1" applyBorder="1" applyAlignment="1">
      <alignment vertical="center"/>
    </xf>
    <xf numFmtId="0" fontId="16" fillId="7" borderId="15" xfId="0" applyFont="1" applyFill="1" applyBorder="1"/>
    <xf numFmtId="0" fontId="14" fillId="2" borderId="56" xfId="0" applyFont="1" applyFill="1" applyBorder="1" applyAlignment="1">
      <alignment horizontal="center" vertical="center" wrapText="1"/>
    </xf>
    <xf numFmtId="165" fontId="4" fillId="5" borderId="56" xfId="0" applyNumberFormat="1" applyFont="1" applyFill="1" applyBorder="1" applyAlignment="1">
      <alignment vertical="center"/>
    </xf>
    <xf numFmtId="165" fontId="4" fillId="4" borderId="56" xfId="0" applyNumberFormat="1" applyFont="1" applyFill="1" applyBorder="1" applyAlignment="1">
      <alignment vertical="center"/>
    </xf>
    <xf numFmtId="0" fontId="0" fillId="7" borderId="6" xfId="0" applyFill="1" applyBorder="1"/>
    <xf numFmtId="0" fontId="4" fillId="2" borderId="17" xfId="0" applyFont="1" applyFill="1" applyBorder="1" applyAlignment="1">
      <alignment horizontal="left" vertical="center" wrapText="1"/>
    </xf>
    <xf numFmtId="165" fontId="4" fillId="4" borderId="32" xfId="0" applyNumberFormat="1" applyFont="1" applyFill="1" applyBorder="1" applyAlignment="1">
      <alignment vertical="center"/>
    </xf>
    <xf numFmtId="0" fontId="18" fillId="2" borderId="34" xfId="0" applyFont="1" applyFill="1" applyBorder="1" applyAlignment="1">
      <alignment horizontal="center" vertical="center"/>
    </xf>
    <xf numFmtId="0" fontId="17" fillId="2" borderId="35" xfId="0" applyFont="1" applyFill="1" applyBorder="1" applyAlignment="1">
      <alignment horizontal="left" vertical="center" wrapText="1"/>
    </xf>
    <xf numFmtId="0" fontId="19" fillId="2" borderId="35" xfId="0" applyFont="1" applyFill="1" applyBorder="1" applyAlignment="1">
      <alignment horizontal="center" vertical="center" wrapText="1"/>
    </xf>
    <xf numFmtId="165" fontId="4" fillId="3" borderId="15" xfId="0" applyNumberFormat="1" applyFont="1" applyFill="1" applyBorder="1" applyAlignment="1">
      <alignment vertical="center"/>
    </xf>
    <xf numFmtId="0" fontId="4" fillId="2" borderId="0" xfId="0" applyFont="1" applyFill="1" applyAlignment="1">
      <alignment horizontal="left" vertical="center" wrapText="1"/>
    </xf>
    <xf numFmtId="169" fontId="0" fillId="2" borderId="0" xfId="0" applyNumberFormat="1" applyFill="1" applyAlignment="1">
      <alignment horizontal="center"/>
    </xf>
    <xf numFmtId="165" fontId="0" fillId="2" borderId="0" xfId="0" applyNumberFormat="1" applyFill="1" applyAlignment="1">
      <alignment horizontal="center"/>
    </xf>
    <xf numFmtId="0" fontId="4" fillId="2" borderId="15" xfId="0" applyFont="1" applyFill="1" applyBorder="1" applyAlignment="1">
      <alignment horizontal="right" vertical="center" wrapText="1"/>
    </xf>
    <xf numFmtId="0" fontId="4" fillId="2" borderId="32" xfId="0" applyFont="1" applyFill="1" applyBorder="1" applyAlignment="1">
      <alignment horizontal="right" vertical="center" wrapText="1"/>
    </xf>
    <xf numFmtId="0" fontId="14" fillId="2" borderId="46" xfId="0" applyFont="1" applyFill="1" applyBorder="1" applyAlignment="1">
      <alignment horizontal="center" vertical="center" wrapText="1"/>
    </xf>
    <xf numFmtId="168" fontId="4" fillId="4" borderId="46" xfId="1" applyNumberFormat="1" applyFont="1" applyFill="1" applyBorder="1" applyAlignment="1">
      <alignment vertical="center"/>
    </xf>
    <xf numFmtId="169" fontId="4" fillId="3" borderId="15" xfId="0" applyNumberFormat="1" applyFont="1" applyFill="1" applyBorder="1" applyAlignment="1">
      <alignment vertical="center"/>
    </xf>
    <xf numFmtId="0" fontId="14" fillId="8" borderId="4" xfId="0" applyFont="1" applyFill="1" applyBorder="1" applyAlignment="1">
      <alignment horizontal="center" vertical="center" wrapText="1"/>
    </xf>
    <xf numFmtId="0" fontId="4" fillId="8" borderId="47" xfId="0" applyFont="1" applyFill="1" applyBorder="1" applyAlignment="1">
      <alignment vertical="center" wrapText="1"/>
    </xf>
    <xf numFmtId="0" fontId="20" fillId="8" borderId="13" xfId="0" applyFont="1" applyFill="1" applyBorder="1" applyAlignment="1">
      <alignment horizontal="center" vertical="center" wrapText="1"/>
    </xf>
    <xf numFmtId="165" fontId="4" fillId="3" borderId="13" xfId="0" applyNumberFormat="1" applyFont="1" applyFill="1" applyBorder="1" applyAlignment="1">
      <alignment vertical="center"/>
    </xf>
    <xf numFmtId="0" fontId="4" fillId="8" borderId="11" xfId="0" applyFont="1" applyFill="1" applyBorder="1" applyAlignment="1">
      <alignment vertical="center" wrapText="1"/>
    </xf>
    <xf numFmtId="0" fontId="20" fillId="8"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48" xfId="0" applyFont="1" applyFill="1" applyBorder="1" applyAlignment="1">
      <alignment vertical="center" wrapText="1"/>
    </xf>
    <xf numFmtId="0" fontId="4" fillId="8" borderId="18" xfId="0" applyFont="1" applyFill="1" applyBorder="1" applyAlignment="1">
      <alignment horizontal="center" vertical="center" wrapText="1"/>
    </xf>
    <xf numFmtId="0" fontId="14" fillId="8" borderId="64" xfId="0" applyFont="1" applyFill="1" applyBorder="1" applyAlignment="1">
      <alignment horizontal="center" vertical="center" wrapText="1"/>
    </xf>
    <xf numFmtId="0" fontId="4" fillId="8" borderId="70" xfId="0" applyFont="1" applyFill="1" applyBorder="1" applyAlignment="1">
      <alignment vertical="center" wrapText="1"/>
    </xf>
    <xf numFmtId="0" fontId="14" fillId="8" borderId="70" xfId="0" applyFont="1" applyFill="1" applyBorder="1" applyAlignment="1">
      <alignment horizontal="center" vertical="center" wrapText="1"/>
    </xf>
    <xf numFmtId="0" fontId="4" fillId="8" borderId="70" xfId="0" applyFont="1" applyFill="1" applyBorder="1" applyAlignment="1">
      <alignment horizontal="center" vertical="center" wrapText="1"/>
    </xf>
    <xf numFmtId="165" fontId="4" fillId="5" borderId="70" xfId="0" applyNumberFormat="1" applyFont="1" applyFill="1" applyBorder="1" applyAlignment="1">
      <alignment vertical="center"/>
    </xf>
    <xf numFmtId="0" fontId="20" fillId="8" borderId="70" xfId="0" applyFont="1" applyFill="1" applyBorder="1" applyAlignment="1">
      <alignment horizontal="center" vertical="center" wrapText="1"/>
    </xf>
    <xf numFmtId="165" fontId="4" fillId="4" borderId="70" xfId="0" applyNumberFormat="1" applyFont="1" applyFill="1" applyBorder="1" applyAlignment="1">
      <alignment vertical="center"/>
    </xf>
    <xf numFmtId="165" fontId="4" fillId="5" borderId="71" xfId="0" applyNumberFormat="1" applyFont="1" applyFill="1" applyBorder="1" applyAlignment="1">
      <alignment vertical="center"/>
    </xf>
    <xf numFmtId="0" fontId="4" fillId="8" borderId="15" xfId="0" applyFont="1" applyFill="1" applyBorder="1" applyAlignment="1">
      <alignment vertical="center" wrapText="1"/>
    </xf>
    <xf numFmtId="0" fontId="14" fillId="8" borderId="15" xfId="0" applyFont="1" applyFill="1" applyBorder="1" applyAlignment="1">
      <alignment horizontal="center" vertical="center" wrapText="1"/>
    </xf>
    <xf numFmtId="165" fontId="4" fillId="5" borderId="73" xfId="0" applyNumberFormat="1" applyFont="1" applyFill="1" applyBorder="1" applyAlignment="1">
      <alignment vertical="center"/>
    </xf>
    <xf numFmtId="0" fontId="4" fillId="8" borderId="75" xfId="0" applyFont="1" applyFill="1" applyBorder="1" applyAlignment="1">
      <alignment vertical="center" wrapText="1"/>
    </xf>
    <xf numFmtId="0" fontId="14" fillId="8" borderId="75" xfId="0" applyFont="1" applyFill="1" applyBorder="1" applyAlignment="1">
      <alignment horizontal="center" vertical="center" wrapText="1"/>
    </xf>
    <xf numFmtId="0" fontId="4" fillId="8" borderId="75" xfId="0" applyFont="1" applyFill="1" applyBorder="1" applyAlignment="1">
      <alignment horizontal="center" vertical="center" wrapText="1"/>
    </xf>
    <xf numFmtId="165" fontId="4" fillId="5" borderId="75" xfId="0" applyNumberFormat="1" applyFont="1" applyFill="1" applyBorder="1" applyAlignment="1">
      <alignment vertical="center"/>
    </xf>
    <xf numFmtId="165" fontId="4" fillId="4" borderId="75" xfId="0" applyNumberFormat="1" applyFont="1" applyFill="1" applyBorder="1" applyAlignment="1">
      <alignment vertical="center"/>
    </xf>
    <xf numFmtId="165" fontId="4" fillId="5" borderId="76" xfId="0" applyNumberFormat="1" applyFont="1" applyFill="1" applyBorder="1" applyAlignment="1">
      <alignment vertical="center"/>
    </xf>
    <xf numFmtId="0" fontId="14" fillId="8" borderId="12"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69" xfId="0" applyFont="1" applyFill="1" applyBorder="1" applyAlignment="1">
      <alignment horizontal="center" vertical="center" wrapText="1"/>
    </xf>
    <xf numFmtId="0" fontId="14" fillId="8" borderId="72" xfId="0" applyFont="1" applyFill="1" applyBorder="1" applyAlignment="1">
      <alignment horizontal="center" vertical="center" wrapText="1"/>
    </xf>
    <xf numFmtId="0" fontId="14" fillId="8" borderId="7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13" xfId="0" applyFill="1" applyBorder="1" applyAlignment="1">
      <alignment horizontal="left" vertical="center" wrapText="1"/>
    </xf>
    <xf numFmtId="0" fontId="14" fillId="8" borderId="13" xfId="0" applyFont="1" applyFill="1" applyBorder="1" applyAlignment="1">
      <alignment horizontal="center" vertical="center" wrapText="1"/>
    </xf>
    <xf numFmtId="0" fontId="0" fillId="0" borderId="15" xfId="0" applyBorder="1" applyAlignment="1">
      <alignment horizontal="left" vertical="center" wrapText="1"/>
    </xf>
    <xf numFmtId="0" fontId="0" fillId="2" borderId="15" xfId="0" applyFill="1" applyBorder="1" applyAlignment="1">
      <alignment horizontal="left" vertical="center" wrapText="1"/>
    </xf>
    <xf numFmtId="0" fontId="0" fillId="2" borderId="32" xfId="0" applyFill="1" applyBorder="1" applyAlignment="1">
      <alignment horizontal="left" vertical="center" wrapText="1"/>
    </xf>
    <xf numFmtId="0" fontId="14" fillId="8" borderId="32" xfId="0" applyFont="1" applyFill="1" applyBorder="1" applyAlignment="1">
      <alignment horizontal="center" vertical="center" wrapText="1"/>
    </xf>
    <xf numFmtId="165" fontId="0" fillId="4" borderId="32" xfId="0" applyNumberFormat="1" applyFill="1" applyBorder="1" applyAlignment="1">
      <alignment vertical="center"/>
    </xf>
    <xf numFmtId="0" fontId="4" fillId="8" borderId="34"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14" fillId="8" borderId="35"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4" fillId="8" borderId="13" xfId="0" applyFont="1" applyFill="1" applyBorder="1" applyAlignment="1">
      <alignment vertical="center" wrapText="1"/>
    </xf>
    <xf numFmtId="0" fontId="4" fillId="8" borderId="18" xfId="0" applyFont="1" applyFill="1" applyBorder="1" applyAlignment="1">
      <alignment vertical="center" wrapText="1"/>
    </xf>
    <xf numFmtId="0" fontId="4" fillId="8" borderId="13"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0" xfId="0" applyFont="1" applyFill="1" applyBorder="1" applyAlignment="1">
      <alignment horizontal="center" vertical="center" wrapText="1"/>
    </xf>
    <xf numFmtId="169" fontId="20" fillId="8" borderId="15" xfId="0" applyNumberFormat="1" applyFont="1" applyFill="1" applyBorder="1" applyAlignment="1">
      <alignment horizontal="center" vertical="center" wrapText="1"/>
    </xf>
    <xf numFmtId="168" fontId="20" fillId="8" borderId="18" xfId="1" applyNumberFormat="1" applyFont="1" applyFill="1" applyBorder="1" applyAlignment="1">
      <alignment horizontal="center" vertical="center" wrapText="1"/>
    </xf>
    <xf numFmtId="169" fontId="4" fillId="4" borderId="11" xfId="0" applyNumberFormat="1" applyFont="1" applyFill="1" applyBorder="1" applyAlignment="1">
      <alignment vertical="center"/>
    </xf>
    <xf numFmtId="165" fontId="4" fillId="4" borderId="11" xfId="0" applyNumberFormat="1" applyFont="1" applyFill="1" applyBorder="1" applyAlignment="1">
      <alignment vertical="center"/>
    </xf>
    <xf numFmtId="168" fontId="4" fillId="4" borderId="48" xfId="1" applyNumberFormat="1" applyFont="1" applyFill="1" applyBorder="1" applyAlignment="1">
      <alignment vertical="center"/>
    </xf>
    <xf numFmtId="165" fontId="4" fillId="2" borderId="21" xfId="0" applyNumberFormat="1" applyFont="1" applyFill="1" applyBorder="1" applyAlignment="1">
      <alignment vertical="center"/>
    </xf>
    <xf numFmtId="168" fontId="4" fillId="2" borderId="77" xfId="1" applyNumberFormat="1" applyFont="1" applyFill="1" applyBorder="1" applyAlignment="1">
      <alignment vertical="center"/>
    </xf>
    <xf numFmtId="165" fontId="4" fillId="2" borderId="43" xfId="0" applyNumberFormat="1" applyFont="1" applyFill="1" applyBorder="1" applyAlignment="1">
      <alignment vertical="center"/>
    </xf>
    <xf numFmtId="168" fontId="4" fillId="2" borderId="44" xfId="1" applyNumberFormat="1" applyFont="1" applyFill="1" applyBorder="1" applyAlignment="1">
      <alignment vertical="center"/>
    </xf>
    <xf numFmtId="165" fontId="4" fillId="2" borderId="51" xfId="0" applyNumberFormat="1" applyFont="1" applyFill="1" applyBorder="1" applyAlignment="1">
      <alignment vertical="center"/>
    </xf>
    <xf numFmtId="168" fontId="4" fillId="2" borderId="53" xfId="1" applyNumberFormat="1" applyFont="1" applyFill="1" applyBorder="1" applyAlignment="1">
      <alignment vertical="center"/>
    </xf>
    <xf numFmtId="0" fontId="0" fillId="0" borderId="13" xfId="0" applyBorder="1" applyAlignment="1">
      <alignment horizontal="left" vertical="center" wrapText="1"/>
    </xf>
    <xf numFmtId="0" fontId="0" fillId="0" borderId="32" xfId="0" applyBorder="1" applyAlignment="1">
      <alignment horizontal="left" vertical="center" wrapText="1"/>
    </xf>
    <xf numFmtId="0" fontId="19" fillId="8" borderId="34" xfId="0" applyFont="1" applyFill="1" applyBorder="1" applyAlignment="1">
      <alignment horizontal="center" vertical="center" wrapText="1"/>
    </xf>
    <xf numFmtId="0" fontId="2" fillId="0" borderId="35" xfId="0" applyFont="1" applyBorder="1" applyAlignment="1">
      <alignment horizontal="left" vertical="center" wrapText="1"/>
    </xf>
    <xf numFmtId="165" fontId="4" fillId="2" borderId="0" xfId="0" applyNumberFormat="1" applyFont="1" applyFill="1" applyAlignment="1">
      <alignment vertical="center"/>
    </xf>
    <xf numFmtId="168" fontId="4" fillId="2" borderId="0" xfId="1" applyNumberFormat="1" applyFont="1" applyFill="1" applyAlignment="1">
      <alignment vertical="center"/>
    </xf>
    <xf numFmtId="168" fontId="0" fillId="2" borderId="0" xfId="0" applyNumberFormat="1" applyFill="1"/>
    <xf numFmtId="168" fontId="17" fillId="4" borderId="18" xfId="1" applyNumberFormat="1" applyFont="1" applyFill="1" applyBorder="1" applyAlignment="1">
      <alignment vertical="center"/>
    </xf>
    <xf numFmtId="169" fontId="0" fillId="4" borderId="16" xfId="1" applyNumberFormat="1" applyFont="1" applyFill="1" applyBorder="1" applyAlignment="1">
      <alignment vertical="center"/>
    </xf>
    <xf numFmtId="169" fontId="2" fillId="4" borderId="36" xfId="1" applyNumberFormat="1" applyFont="1" applyFill="1" applyBorder="1" applyAlignment="1">
      <alignment vertical="center"/>
    </xf>
    <xf numFmtId="169" fontId="0" fillId="4" borderId="13" xfId="1" applyNumberFormat="1" applyFont="1" applyFill="1" applyBorder="1" applyAlignment="1">
      <alignment vertical="center"/>
    </xf>
    <xf numFmtId="169" fontId="0" fillId="4" borderId="14" xfId="1" applyNumberFormat="1" applyFont="1" applyFill="1" applyBorder="1" applyAlignment="1">
      <alignment vertical="center"/>
    </xf>
    <xf numFmtId="169" fontId="0" fillId="4" borderId="15" xfId="1" applyNumberFormat="1" applyFont="1" applyFill="1" applyBorder="1" applyAlignment="1">
      <alignment vertical="center"/>
    </xf>
    <xf numFmtId="0" fontId="0" fillId="0" borderId="18" xfId="0" applyBorder="1" applyAlignment="1">
      <alignment horizontal="left" vertical="center" wrapText="1"/>
    </xf>
    <xf numFmtId="169" fontId="0" fillId="4" borderId="18" xfId="1" applyNumberFormat="1" applyFont="1" applyFill="1" applyBorder="1" applyAlignment="1">
      <alignment vertical="center"/>
    </xf>
    <xf numFmtId="169" fontId="0" fillId="4" borderId="19" xfId="1" applyNumberFormat="1" applyFont="1" applyFill="1" applyBorder="1" applyAlignment="1">
      <alignment vertical="center"/>
    </xf>
    <xf numFmtId="169" fontId="2" fillId="4" borderId="35" xfId="1" applyNumberFormat="1" applyFont="1" applyFill="1" applyBorder="1" applyAlignment="1">
      <alignment vertical="center"/>
    </xf>
    <xf numFmtId="0" fontId="4" fillId="8" borderId="32" xfId="0" applyFont="1" applyFill="1" applyBorder="1" applyAlignment="1">
      <alignment vertical="center" wrapText="1"/>
    </xf>
    <xf numFmtId="0" fontId="4" fillId="8" borderId="32" xfId="0" applyFont="1" applyFill="1" applyBorder="1" applyAlignment="1">
      <alignment horizontal="center" vertical="center" wrapText="1"/>
    </xf>
    <xf numFmtId="0" fontId="4" fillId="8" borderId="35" xfId="0" applyFont="1" applyFill="1" applyBorder="1" applyAlignment="1">
      <alignment vertical="center" wrapText="1"/>
    </xf>
    <xf numFmtId="0" fontId="4" fillId="8" borderId="35" xfId="0" applyFont="1" applyFill="1" applyBorder="1" applyAlignment="1">
      <alignment horizontal="center" vertical="center" wrapText="1"/>
    </xf>
    <xf numFmtId="0" fontId="20" fillId="8" borderId="35" xfId="0" applyFont="1" applyFill="1" applyBorder="1" applyAlignment="1">
      <alignment horizontal="center" vertical="center" wrapText="1"/>
    </xf>
    <xf numFmtId="0" fontId="4" fillId="2" borderId="15" xfId="0" applyFont="1" applyFill="1" applyBorder="1" applyAlignment="1">
      <alignment horizontal="left" vertical="center" wrapText="1" indent="1"/>
    </xf>
    <xf numFmtId="0" fontId="4" fillId="2" borderId="15" xfId="0" applyFont="1" applyFill="1" applyBorder="1" applyAlignment="1">
      <alignment horizontal="left" vertical="center" wrapText="1" indent="2"/>
    </xf>
    <xf numFmtId="0" fontId="4" fillId="2" borderId="18" xfId="0" applyFont="1" applyFill="1" applyBorder="1" applyAlignment="1">
      <alignment horizontal="left" vertical="center" wrapText="1" indent="1"/>
    </xf>
    <xf numFmtId="168" fontId="4" fillId="2" borderId="15" xfId="1" applyNumberFormat="1" applyFont="1" applyFill="1" applyBorder="1" applyAlignment="1">
      <alignment vertical="center"/>
    </xf>
    <xf numFmtId="168" fontId="4" fillId="2" borderId="16" xfId="1" applyNumberFormat="1" applyFont="1" applyFill="1" applyBorder="1" applyAlignment="1">
      <alignment vertical="center"/>
    </xf>
    <xf numFmtId="165" fontId="4" fillId="2" borderId="15" xfId="0" applyNumberFormat="1" applyFont="1" applyFill="1" applyBorder="1" applyAlignment="1">
      <alignment vertical="center"/>
    </xf>
    <xf numFmtId="168" fontId="4" fillId="2" borderId="21" xfId="1" applyNumberFormat="1" applyFont="1" applyFill="1" applyBorder="1" applyAlignment="1">
      <alignment vertical="center"/>
    </xf>
    <xf numFmtId="168" fontId="4" fillId="2" borderId="78" xfId="1" applyNumberFormat="1" applyFont="1" applyFill="1" applyBorder="1" applyAlignment="1">
      <alignment vertical="center"/>
    </xf>
    <xf numFmtId="173" fontId="4" fillId="2" borderId="43" xfId="0" applyNumberFormat="1" applyFont="1" applyFill="1" applyBorder="1" applyAlignment="1">
      <alignment vertical="center"/>
    </xf>
    <xf numFmtId="173" fontId="4" fillId="2" borderId="0" xfId="0" applyNumberFormat="1" applyFont="1" applyFill="1" applyAlignment="1">
      <alignment vertical="center"/>
    </xf>
    <xf numFmtId="165" fontId="4" fillId="2" borderId="52" xfId="0" applyNumberFormat="1" applyFont="1" applyFill="1" applyBorder="1" applyAlignment="1">
      <alignment vertical="center"/>
    </xf>
    <xf numFmtId="172" fontId="4" fillId="2" borderId="43" xfId="0" applyNumberFormat="1" applyFont="1" applyFill="1" applyBorder="1" applyAlignment="1">
      <alignment vertical="center"/>
    </xf>
    <xf numFmtId="168" fontId="4" fillId="2" borderId="43" xfId="1" applyNumberFormat="1" applyFont="1" applyFill="1" applyBorder="1" applyAlignment="1">
      <alignment vertical="center"/>
    </xf>
    <xf numFmtId="168" fontId="17" fillId="4" borderId="15" xfId="1" applyNumberFormat="1" applyFont="1" applyFill="1" applyBorder="1" applyAlignment="1">
      <alignment vertical="center"/>
    </xf>
    <xf numFmtId="172" fontId="4" fillId="4" borderId="15" xfId="0" applyNumberFormat="1" applyFont="1" applyFill="1" applyBorder="1" applyAlignment="1">
      <alignment vertical="center"/>
    </xf>
    <xf numFmtId="172" fontId="4" fillId="4" borderId="18" xfId="0" applyNumberFormat="1" applyFont="1" applyFill="1" applyBorder="1" applyAlignment="1">
      <alignment vertical="center"/>
    </xf>
    <xf numFmtId="169" fontId="17" fillId="4" borderId="15" xfId="1" applyNumberFormat="1" applyFont="1" applyFill="1" applyBorder="1" applyAlignment="1">
      <alignment vertical="center"/>
    </xf>
    <xf numFmtId="169" fontId="17" fillId="4" borderId="15" xfId="0" applyNumberFormat="1" applyFont="1" applyFill="1" applyBorder="1" applyAlignment="1">
      <alignment vertical="center"/>
    </xf>
    <xf numFmtId="165" fontId="17" fillId="4" borderId="15" xfId="1" applyNumberFormat="1" applyFont="1" applyFill="1" applyBorder="1" applyAlignment="1">
      <alignment vertical="center"/>
    </xf>
    <xf numFmtId="165" fontId="17" fillId="4" borderId="15" xfId="0" applyNumberFormat="1" applyFont="1" applyFill="1" applyBorder="1" applyAlignment="1">
      <alignment vertical="center"/>
    </xf>
    <xf numFmtId="0" fontId="4" fillId="2" borderId="15" xfId="0" applyFont="1" applyFill="1" applyBorder="1" applyAlignment="1">
      <alignment horizontal="left" vertical="center" wrapText="1" indent="3"/>
    </xf>
    <xf numFmtId="0" fontId="4" fillId="2" borderId="18" xfId="0" applyFont="1" applyFill="1" applyBorder="1" applyAlignment="1">
      <alignment horizontal="left" vertical="center" wrapText="1" indent="3"/>
    </xf>
    <xf numFmtId="168" fontId="4" fillId="2" borderId="51" xfId="1" applyNumberFormat="1" applyFont="1" applyFill="1" applyBorder="1" applyAlignment="1">
      <alignment vertical="center"/>
    </xf>
    <xf numFmtId="168" fontId="4" fillId="2" borderId="52" xfId="1" applyNumberFormat="1" applyFont="1" applyFill="1" applyBorder="1" applyAlignment="1">
      <alignment vertical="center"/>
    </xf>
    <xf numFmtId="0" fontId="0" fillId="2" borderId="12" xfId="0" applyFill="1" applyBorder="1"/>
    <xf numFmtId="0" fontId="0" fillId="2" borderId="10" xfId="0" applyFill="1" applyBorder="1"/>
    <xf numFmtId="0" fontId="0" fillId="2" borderId="20" xfId="0" applyFill="1" applyBorder="1"/>
    <xf numFmtId="168" fontId="0" fillId="5" borderId="13" xfId="0" applyNumberFormat="1" applyFill="1" applyBorder="1" applyAlignment="1">
      <alignment vertical="center"/>
    </xf>
    <xf numFmtId="168" fontId="0" fillId="5" borderId="14" xfId="0" applyNumberFormat="1" applyFill="1" applyBorder="1" applyAlignment="1">
      <alignment vertical="center"/>
    </xf>
    <xf numFmtId="168" fontId="0" fillId="5" borderId="15" xfId="0" applyNumberFormat="1" applyFill="1" applyBorder="1" applyAlignment="1">
      <alignment vertical="center"/>
    </xf>
    <xf numFmtId="168" fontId="0" fillId="5" borderId="16" xfId="0" applyNumberFormat="1" applyFill="1" applyBorder="1" applyAlignment="1">
      <alignment vertical="center"/>
    </xf>
    <xf numFmtId="168" fontId="0" fillId="5" borderId="32" xfId="0" applyNumberFormat="1" applyFill="1" applyBorder="1" applyAlignment="1">
      <alignment vertical="center"/>
    </xf>
    <xf numFmtId="168" fontId="0" fillId="5" borderId="33" xfId="0" applyNumberFormat="1" applyFill="1" applyBorder="1" applyAlignment="1">
      <alignment vertical="center"/>
    </xf>
    <xf numFmtId="0" fontId="0" fillId="4" borderId="10" xfId="0" applyFill="1" applyBorder="1"/>
    <xf numFmtId="168" fontId="0" fillId="4" borderId="15" xfId="0" applyNumberFormat="1" applyFill="1" applyBorder="1" applyAlignment="1">
      <alignment vertical="center"/>
    </xf>
    <xf numFmtId="168" fontId="0" fillId="4" borderId="16" xfId="0" applyNumberFormat="1" applyFill="1" applyBorder="1" applyAlignment="1">
      <alignment vertical="center"/>
    </xf>
    <xf numFmtId="0" fontId="2" fillId="4" borderId="34" xfId="0" applyFont="1" applyFill="1" applyBorder="1"/>
    <xf numFmtId="168" fontId="2" fillId="4" borderId="35" xfId="0" applyNumberFormat="1" applyFont="1" applyFill="1" applyBorder="1" applyAlignment="1">
      <alignment vertical="center"/>
    </xf>
    <xf numFmtId="168" fontId="2" fillId="4" borderId="36" xfId="0" applyNumberFormat="1" applyFont="1" applyFill="1" applyBorder="1" applyAlignment="1">
      <alignment vertical="center"/>
    </xf>
    <xf numFmtId="0" fontId="0" fillId="2" borderId="15" xfId="0" applyFill="1" applyBorder="1" applyAlignment="1">
      <alignment horizontal="left" vertical="center" wrapText="1" indent="1"/>
    </xf>
    <xf numFmtId="0" fontId="0" fillId="2" borderId="32" xfId="0" applyFill="1" applyBorder="1" applyAlignment="1">
      <alignment horizontal="left" vertical="center" wrapText="1" indent="1"/>
    </xf>
    <xf numFmtId="168" fontId="0" fillId="4" borderId="13" xfId="1" applyNumberFormat="1" applyFont="1" applyFill="1" applyBorder="1"/>
    <xf numFmtId="168" fontId="0" fillId="4" borderId="15" xfId="1" applyNumberFormat="1" applyFont="1" applyFill="1" applyBorder="1"/>
    <xf numFmtId="168" fontId="0" fillId="4" borderId="32" xfId="1" applyNumberFormat="1" applyFont="1" applyFill="1" applyBorder="1"/>
    <xf numFmtId="168" fontId="0" fillId="4" borderId="14" xfId="1" applyNumberFormat="1" applyFont="1" applyFill="1" applyBorder="1"/>
    <xf numFmtId="168" fontId="0" fillId="4" borderId="16" xfId="1" applyNumberFormat="1" applyFont="1" applyFill="1" applyBorder="1"/>
    <xf numFmtId="168" fontId="0" fillId="4" borderId="33" xfId="1" applyNumberFormat="1" applyFont="1" applyFill="1" applyBorder="1"/>
    <xf numFmtId="166" fontId="2" fillId="4" borderId="35" xfId="0" applyNumberFormat="1" applyFont="1" applyFill="1" applyBorder="1"/>
    <xf numFmtId="168" fontId="2" fillId="4" borderId="35" xfId="1" applyNumberFormat="1" applyFont="1" applyFill="1" applyBorder="1"/>
    <xf numFmtId="166" fontId="2" fillId="4" borderId="36" xfId="0" applyNumberFormat="1" applyFont="1" applyFill="1" applyBorder="1"/>
    <xf numFmtId="165" fontId="0" fillId="4" borderId="13" xfId="0" applyNumberFormat="1" applyFill="1" applyBorder="1"/>
    <xf numFmtId="165" fontId="0" fillId="5" borderId="15" xfId="0" applyNumberFormat="1" applyFill="1" applyBorder="1"/>
    <xf numFmtId="165" fontId="0" fillId="4" borderId="15" xfId="0" applyNumberFormat="1" applyFill="1" applyBorder="1"/>
    <xf numFmtId="165" fontId="0" fillId="5" borderId="32" xfId="0" applyNumberFormat="1" applyFill="1" applyBorder="1"/>
    <xf numFmtId="165" fontId="2" fillId="4" borderId="35" xfId="0" applyNumberFormat="1" applyFont="1" applyFill="1" applyBorder="1"/>
    <xf numFmtId="0" fontId="4" fillId="8" borderId="63" xfId="0" applyFont="1" applyFill="1" applyBorder="1" applyAlignment="1">
      <alignment horizontal="center" vertical="center" wrapText="1"/>
    </xf>
    <xf numFmtId="0" fontId="14" fillId="8" borderId="63" xfId="0" applyFont="1" applyFill="1" applyBorder="1" applyAlignment="1">
      <alignment horizontal="center" vertical="center" wrapText="1"/>
    </xf>
    <xf numFmtId="0" fontId="24" fillId="8" borderId="64" xfId="0" applyFont="1" applyFill="1" applyBorder="1" applyAlignment="1">
      <alignment horizontal="center" vertical="center" wrapText="1"/>
    </xf>
    <xf numFmtId="166" fontId="4" fillId="5" borderId="13" xfId="0" applyNumberFormat="1" applyFont="1" applyFill="1" applyBorder="1" applyAlignment="1">
      <alignment vertical="center"/>
    </xf>
    <xf numFmtId="166" fontId="4" fillId="4" borderId="13" xfId="0" applyNumberFormat="1" applyFont="1" applyFill="1" applyBorder="1" applyAlignment="1">
      <alignment vertical="center"/>
    </xf>
    <xf numFmtId="166" fontId="4" fillId="5" borderId="15" xfId="0" applyNumberFormat="1" applyFont="1" applyFill="1" applyBorder="1" applyAlignment="1">
      <alignment vertical="center"/>
    </xf>
    <xf numFmtId="166" fontId="4" fillId="4" borderId="15" xfId="0" applyNumberFormat="1" applyFont="1" applyFill="1" applyBorder="1" applyAlignment="1">
      <alignment vertical="center"/>
    </xf>
    <xf numFmtId="166" fontId="4" fillId="5" borderId="32" xfId="0" applyNumberFormat="1" applyFont="1" applyFill="1" applyBorder="1" applyAlignment="1">
      <alignment vertical="center"/>
    </xf>
    <xf numFmtId="166" fontId="4" fillId="4" borderId="32" xfId="0" applyNumberFormat="1" applyFont="1" applyFill="1" applyBorder="1" applyAlignment="1">
      <alignment vertical="center"/>
    </xf>
    <xf numFmtId="166" fontId="17" fillId="5" borderId="35" xfId="0" applyNumberFormat="1" applyFont="1" applyFill="1" applyBorder="1" applyAlignment="1">
      <alignment vertical="center"/>
    </xf>
    <xf numFmtId="166" fontId="17" fillId="4" borderId="35" xfId="0" applyNumberFormat="1" applyFont="1" applyFill="1" applyBorder="1" applyAlignment="1">
      <alignment vertical="center"/>
    </xf>
    <xf numFmtId="174" fontId="4" fillId="4" borderId="13" xfId="0" applyNumberFormat="1" applyFont="1" applyFill="1" applyBorder="1" applyAlignment="1">
      <alignment vertical="center"/>
    </xf>
    <xf numFmtId="166" fontId="4" fillId="2" borderId="47" xfId="0" applyNumberFormat="1" applyFont="1" applyFill="1" applyBorder="1" applyAlignment="1">
      <alignment vertical="center"/>
    </xf>
    <xf numFmtId="166" fontId="4" fillId="2" borderId="7" xfId="0" applyNumberFormat="1" applyFont="1" applyFill="1" applyBorder="1" applyAlignment="1">
      <alignment vertical="center"/>
    </xf>
    <xf numFmtId="168" fontId="4" fillId="2" borderId="7" xfId="1" applyNumberFormat="1" applyFont="1" applyFill="1" applyBorder="1" applyAlignment="1">
      <alignment vertical="center"/>
    </xf>
    <xf numFmtId="168" fontId="4" fillId="2" borderId="29" xfId="1" applyNumberFormat="1" applyFont="1" applyFill="1" applyBorder="1" applyAlignment="1">
      <alignment vertical="center"/>
    </xf>
    <xf numFmtId="174" fontId="4" fillId="4" borderId="18" xfId="0" applyNumberFormat="1" applyFont="1" applyFill="1" applyBorder="1" applyAlignment="1">
      <alignment vertical="center"/>
    </xf>
    <xf numFmtId="166" fontId="4" fillId="2" borderId="48" xfId="0" applyNumberFormat="1" applyFont="1" applyFill="1" applyBorder="1" applyAlignment="1">
      <alignment vertical="center"/>
    </xf>
    <xf numFmtId="166" fontId="4" fillId="2" borderId="49" xfId="0" applyNumberFormat="1" applyFont="1" applyFill="1" applyBorder="1" applyAlignment="1">
      <alignment vertical="center"/>
    </xf>
    <xf numFmtId="0" fontId="17" fillId="5" borderId="35" xfId="0" applyFont="1" applyFill="1" applyBorder="1" applyAlignment="1">
      <alignment horizontal="left" vertical="center" wrapText="1"/>
    </xf>
    <xf numFmtId="0" fontId="19" fillId="5" borderId="3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14" fillId="5" borderId="56" xfId="0"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34" xfId="0" applyFont="1" applyFill="1" applyBorder="1" applyAlignment="1">
      <alignment horizontal="center" vertical="center"/>
    </xf>
    <xf numFmtId="0" fontId="6" fillId="2" borderId="0" xfId="0" applyFont="1" applyFill="1" applyAlignment="1">
      <alignment horizontal="right"/>
    </xf>
    <xf numFmtId="166" fontId="0" fillId="5" borderId="10" xfId="0" applyNumberFormat="1" applyFill="1" applyBorder="1" applyAlignment="1">
      <alignment vertical="center"/>
    </xf>
    <xf numFmtId="166" fontId="0" fillId="5" borderId="15" xfId="0" applyNumberFormat="1" applyFill="1" applyBorder="1" applyAlignment="1">
      <alignment vertical="center"/>
    </xf>
    <xf numFmtId="166" fontId="0" fillId="5" borderId="16" xfId="0" applyNumberFormat="1" applyFill="1" applyBorder="1" applyAlignment="1">
      <alignment vertical="center"/>
    </xf>
    <xf numFmtId="10" fontId="4" fillId="4" borderId="15" xfId="1" applyNumberFormat="1" applyFont="1" applyFill="1" applyBorder="1" applyAlignment="1">
      <alignment vertical="center"/>
    </xf>
    <xf numFmtId="10" fontId="4" fillId="4" borderId="18" xfId="1" applyNumberFormat="1" applyFont="1" applyFill="1" applyBorder="1" applyAlignment="1">
      <alignment vertical="center"/>
    </xf>
    <xf numFmtId="164" fontId="0" fillId="2" borderId="0" xfId="4" applyFont="1" applyFill="1"/>
    <xf numFmtId="168" fontId="0" fillId="2" borderId="0" xfId="1" applyNumberFormat="1" applyFont="1" applyFill="1"/>
    <xf numFmtId="0" fontId="7" fillId="2" borderId="13" xfId="0" applyFont="1" applyFill="1" applyBorder="1" applyAlignment="1">
      <alignment horizontal="center" vertical="center" wrapText="1"/>
    </xf>
    <xf numFmtId="168" fontId="4" fillId="5" borderId="15" xfId="1" applyNumberFormat="1" applyFont="1" applyFill="1" applyBorder="1" applyAlignment="1">
      <alignment vertical="center"/>
    </xf>
    <xf numFmtId="168" fontId="0" fillId="4" borderId="19" xfId="1" applyNumberFormat="1" applyFont="1" applyFill="1" applyBorder="1" applyAlignment="1">
      <alignment vertical="center"/>
    </xf>
    <xf numFmtId="168" fontId="4" fillId="3" borderId="15" xfId="1" applyNumberFormat="1" applyFont="1" applyFill="1" applyBorder="1" applyAlignment="1">
      <alignment vertical="center"/>
    </xf>
    <xf numFmtId="0" fontId="4" fillId="8" borderId="56" xfId="0" applyFont="1" applyFill="1" applyBorder="1" applyAlignment="1">
      <alignment vertical="center" wrapText="1"/>
    </xf>
    <xf numFmtId="0" fontId="14" fillId="8" borderId="56" xfId="0" applyFont="1" applyFill="1" applyBorder="1" applyAlignment="1">
      <alignment horizontal="center" vertical="center" wrapText="1"/>
    </xf>
    <xf numFmtId="0" fontId="0" fillId="2" borderId="20" xfId="0" applyFill="1" applyBorder="1" applyAlignment="1">
      <alignment horizontal="left" vertical="center" wrapText="1"/>
    </xf>
    <xf numFmtId="0" fontId="7" fillId="2" borderId="32" xfId="0" applyFont="1" applyFill="1" applyBorder="1" applyAlignment="1">
      <alignment horizontal="center" vertical="center" wrapText="1"/>
    </xf>
    <xf numFmtId="0" fontId="2" fillId="4" borderId="4" xfId="0" applyFont="1" applyFill="1" applyBorder="1" applyAlignment="1">
      <alignment horizontal="right" vertical="center" wrapText="1"/>
    </xf>
    <xf numFmtId="0" fontId="25" fillId="4" borderId="4" xfId="0" applyFont="1" applyFill="1" applyBorder="1" applyAlignment="1">
      <alignment horizontal="center" vertical="center" wrapText="1"/>
    </xf>
    <xf numFmtId="168" fontId="2" fillId="4" borderId="4" xfId="1" applyNumberFormat="1" applyFont="1" applyFill="1" applyBorder="1" applyAlignment="1">
      <alignment vertical="center"/>
    </xf>
    <xf numFmtId="0" fontId="7" fillId="2" borderId="40" xfId="0" applyFont="1" applyFill="1" applyBorder="1" applyAlignment="1">
      <alignment horizontal="left" vertical="center"/>
    </xf>
    <xf numFmtId="0" fontId="7" fillId="2" borderId="8" xfId="0" applyFont="1" applyFill="1" applyBorder="1"/>
    <xf numFmtId="0" fontId="7" fillId="2" borderId="9" xfId="0" applyFont="1" applyFill="1" applyBorder="1"/>
    <xf numFmtId="0" fontId="7" fillId="2" borderId="79" xfId="0" applyFont="1" applyFill="1" applyBorder="1" applyAlignment="1">
      <alignment horizontal="left" vertical="center" indent="2"/>
    </xf>
    <xf numFmtId="0" fontId="7" fillId="2" borderId="44" xfId="0" applyFont="1" applyFill="1" applyBorder="1"/>
    <xf numFmtId="0" fontId="7" fillId="2" borderId="79" xfId="0" applyFont="1" applyFill="1" applyBorder="1" applyAlignment="1">
      <alignment horizontal="left" vertical="center"/>
    </xf>
    <xf numFmtId="0" fontId="0" fillId="2" borderId="44" xfId="0" applyFill="1" applyBorder="1"/>
    <xf numFmtId="0" fontId="0" fillId="9" borderId="4" xfId="0" applyFill="1" applyBorder="1" applyAlignment="1">
      <alignment vertical="center" wrapText="1"/>
    </xf>
    <xf numFmtId="0" fontId="7" fillId="9" borderId="4" xfId="0" applyFont="1" applyFill="1" applyBorder="1" applyAlignment="1">
      <alignment horizontal="center" vertical="center" wrapText="1"/>
    </xf>
    <xf numFmtId="168" fontId="6" fillId="9" borderId="4" xfId="1" applyNumberFormat="1" applyFont="1" applyFill="1" applyBorder="1" applyAlignment="1">
      <alignment horizontal="center" vertical="center"/>
    </xf>
    <xf numFmtId="0" fontId="0" fillId="2" borderId="0" xfId="0" applyFill="1" applyAlignment="1">
      <alignment horizontal="left" vertical="center"/>
    </xf>
    <xf numFmtId="175" fontId="2" fillId="4" borderId="4" xfId="1" applyNumberFormat="1" applyFont="1" applyFill="1" applyBorder="1" applyAlignment="1">
      <alignment vertical="center"/>
    </xf>
    <xf numFmtId="168" fontId="6" fillId="9" borderId="4" xfId="1" applyNumberFormat="1" applyFont="1" applyFill="1" applyBorder="1" applyAlignment="1">
      <alignment horizontal="center" vertical="center" wrapText="1"/>
    </xf>
    <xf numFmtId="169" fontId="0" fillId="5" borderId="13" xfId="0" applyNumberFormat="1" applyFill="1" applyBorder="1" applyAlignment="1">
      <alignment vertical="center"/>
    </xf>
    <xf numFmtId="169" fontId="0" fillId="5" borderId="14" xfId="0" applyNumberFormat="1" applyFill="1" applyBorder="1" applyAlignment="1">
      <alignment vertical="center"/>
    </xf>
    <xf numFmtId="0" fontId="10" fillId="7" borderId="2" xfId="0" applyFont="1" applyFill="1" applyBorder="1" applyAlignment="1">
      <alignment horizontal="left" vertical="center"/>
    </xf>
    <xf numFmtId="0" fontId="16" fillId="7" borderId="5" xfId="0" applyFont="1" applyFill="1" applyBorder="1"/>
    <xf numFmtId="0" fontId="16" fillId="7" borderId="3" xfId="0" applyFont="1" applyFill="1" applyBorder="1"/>
    <xf numFmtId="0" fontId="0" fillId="2" borderId="79" xfId="0" applyFill="1" applyBorder="1" applyAlignment="1">
      <alignment horizontal="left" vertical="center"/>
    </xf>
    <xf numFmtId="0" fontId="27" fillId="2" borderId="0" xfId="0" applyFont="1" applyFill="1"/>
    <xf numFmtId="0" fontId="30" fillId="3" borderId="4" xfId="0" applyFont="1" applyFill="1" applyBorder="1" applyAlignment="1">
      <alignment horizontal="center" vertical="center"/>
    </xf>
    <xf numFmtId="0" fontId="28" fillId="0" borderId="4" xfId="0" applyFont="1" applyBorder="1" applyAlignment="1">
      <alignment horizontal="center" vertical="center" wrapText="1"/>
    </xf>
    <xf numFmtId="0" fontId="28" fillId="0" borderId="0" xfId="0" applyFont="1"/>
    <xf numFmtId="0" fontId="28" fillId="8" borderId="80"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8" borderId="81" xfId="0" applyFont="1" applyFill="1" applyBorder="1" applyAlignment="1">
      <alignment horizontal="center" vertical="center" wrapText="1"/>
    </xf>
    <xf numFmtId="0" fontId="28" fillId="8" borderId="82"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8" fillId="11"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32" fillId="2" borderId="0" xfId="0" applyFont="1" applyFill="1"/>
    <xf numFmtId="0" fontId="29" fillId="0" borderId="0" xfId="0" applyFont="1" applyAlignment="1">
      <alignment horizontal="left" vertical="top"/>
    </xf>
    <xf numFmtId="0" fontId="32" fillId="0" borderId="0" xfId="0" applyFont="1"/>
    <xf numFmtId="0" fontId="29" fillId="12" borderId="4" xfId="0" applyFont="1" applyFill="1" applyBorder="1" applyAlignment="1">
      <alignment horizontal="center" vertical="center" wrapText="1"/>
    </xf>
    <xf numFmtId="0" fontId="33" fillId="2" borderId="0" xfId="0" applyFont="1" applyFill="1"/>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29" fillId="12" borderId="4" xfId="0" applyFont="1" applyFill="1" applyBorder="1" applyAlignment="1">
      <alignment horizontal="center" vertical="center" wrapText="1"/>
    </xf>
    <xf numFmtId="0" fontId="29" fillId="0" borderId="4" xfId="0" applyFont="1" applyBorder="1" applyAlignment="1">
      <alignment horizontal="center" vertical="center" wrapText="1"/>
    </xf>
    <xf numFmtId="0" fontId="29" fillId="12" borderId="3" xfId="0" applyFont="1" applyFill="1" applyBorder="1" applyAlignment="1">
      <alignment horizontal="center" vertical="center" wrapText="1"/>
    </xf>
    <xf numFmtId="0" fontId="29" fillId="12" borderId="25" xfId="0" applyFont="1" applyFill="1" applyBorder="1" applyAlignment="1">
      <alignment horizontal="center" vertical="center" wrapText="1"/>
    </xf>
    <xf numFmtId="0" fontId="29" fillId="12" borderId="41" xfId="0" applyFont="1" applyFill="1" applyBorder="1" applyAlignment="1">
      <alignment horizontal="center" vertical="center" wrapText="1"/>
    </xf>
    <xf numFmtId="0" fontId="26" fillId="0" borderId="4" xfId="0" applyFont="1" applyBorder="1" applyAlignment="1">
      <alignment horizontal="center" vertical="center"/>
    </xf>
    <xf numFmtId="0" fontId="29" fillId="1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0" fillId="2" borderId="4" xfId="0" applyFill="1" applyBorder="1" applyAlignment="1">
      <alignment horizontal="center"/>
    </xf>
    <xf numFmtId="0" fontId="6" fillId="2" borderId="0" xfId="0" applyFont="1" applyFill="1" applyAlignment="1">
      <alignment vertical="center" wrapText="1"/>
    </xf>
    <xf numFmtId="0" fontId="4" fillId="2" borderId="2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2" borderId="0" xfId="0" applyFont="1" applyFill="1" applyAlignment="1">
      <alignment horizontal="lef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4" xfId="2" applyFont="1" applyBorder="1" applyAlignment="1">
      <alignment horizontal="center" vertical="center" wrapText="1"/>
    </xf>
    <xf numFmtId="0" fontId="0" fillId="2" borderId="22" xfId="0" applyFill="1" applyBorder="1" applyAlignment="1">
      <alignment horizontal="left" vertical="center" wrapText="1"/>
    </xf>
    <xf numFmtId="0" fontId="0" fillId="2" borderId="30" xfId="0" applyFill="1" applyBorder="1" applyAlignment="1">
      <alignment horizontal="left" vertical="center" wrapText="1"/>
    </xf>
    <xf numFmtId="0" fontId="0" fillId="2" borderId="55" xfId="0" applyFill="1" applyBorder="1" applyAlignment="1">
      <alignment horizontal="left" vertical="center" wrapText="1"/>
    </xf>
    <xf numFmtId="0" fontId="0" fillId="2" borderId="49" xfId="0" applyFill="1" applyBorder="1" applyAlignment="1">
      <alignment horizontal="left"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28" fillId="6" borderId="4" xfId="0" applyFont="1" applyFill="1" applyBorder="1" applyAlignment="1">
      <alignment horizontal="center" vertical="center"/>
    </xf>
    <xf numFmtId="0" fontId="31" fillId="9" borderId="4" xfId="0" applyFont="1" applyFill="1" applyBorder="1" applyAlignment="1">
      <alignment horizontal="center" vertical="center"/>
    </xf>
    <xf numFmtId="0" fontId="28" fillId="11" borderId="4" xfId="0" applyFont="1" applyFill="1" applyBorder="1" applyAlignment="1">
      <alignment horizontal="center" vertical="center"/>
    </xf>
    <xf numFmtId="4" fontId="28" fillId="11" borderId="4" xfId="0" applyNumberFormat="1" applyFont="1" applyFill="1" applyBorder="1" applyAlignment="1">
      <alignment horizontal="center" vertical="center"/>
    </xf>
    <xf numFmtId="10" fontId="28" fillId="11" borderId="4" xfId="0" applyNumberFormat="1" applyFont="1" applyFill="1" applyBorder="1" applyAlignment="1">
      <alignment horizontal="center" vertical="center"/>
    </xf>
    <xf numFmtId="0" fontId="28" fillId="0" borderId="4" xfId="0" applyFont="1" applyBorder="1" applyAlignment="1">
      <alignment vertical="center" wrapText="1"/>
    </xf>
    <xf numFmtId="0" fontId="28" fillId="10" borderId="4" xfId="0" applyFont="1" applyFill="1" applyBorder="1" applyAlignment="1">
      <alignment horizontal="center" vertical="center" wrapText="1"/>
    </xf>
    <xf numFmtId="0" fontId="28" fillId="0" borderId="4" xfId="0" applyFont="1" applyBorder="1" applyAlignment="1">
      <alignment horizontal="center" vertical="center" wrapText="1"/>
    </xf>
    <xf numFmtId="0" fontId="4" fillId="8" borderId="65"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4" fillId="8" borderId="64" xfId="0" applyFont="1" applyFill="1" applyBorder="1" applyAlignment="1">
      <alignment horizontal="center" vertical="center" wrapText="1"/>
    </xf>
    <xf numFmtId="0" fontId="4" fillId="8" borderId="68" xfId="0" applyFont="1" applyFill="1" applyBorder="1" applyAlignment="1">
      <alignment horizontal="center" vertical="center" wrapText="1"/>
    </xf>
    <xf numFmtId="0" fontId="4" fillId="8" borderId="67"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Border="1" applyAlignment="1">
      <alignment horizontal="center" vertical="center" wrapText="1"/>
    </xf>
    <xf numFmtId="0" fontId="6" fillId="2" borderId="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2" fillId="0" borderId="0" xfId="0" applyFont="1" applyFill="1"/>
    <xf numFmtId="0" fontId="29" fillId="0" borderId="4"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0" xfId="0" applyFont="1" applyFill="1" applyAlignment="1">
      <alignment horizontal="left" vertical="top"/>
    </xf>
    <xf numFmtId="0" fontId="29" fillId="12" borderId="0" xfId="0" applyFont="1" applyFill="1" applyBorder="1" applyAlignment="1">
      <alignment horizontal="center" vertical="center" wrapText="1"/>
    </xf>
    <xf numFmtId="0" fontId="29" fillId="0" borderId="0" xfId="0" applyFont="1" applyBorder="1" applyAlignment="1">
      <alignment horizontal="center" vertical="center" wrapText="1"/>
    </xf>
    <xf numFmtId="9" fontId="29" fillId="0" borderId="0" xfId="0" applyNumberFormat="1" applyFont="1" applyBorder="1" applyAlignment="1">
      <alignment horizontal="center"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justify" vertical="center" wrapText="1"/>
    </xf>
    <xf numFmtId="0" fontId="28" fillId="0" borderId="0" xfId="0" applyFont="1" applyFill="1" applyBorder="1"/>
    <xf numFmtId="0" fontId="29" fillId="0" borderId="0" xfId="0" applyFont="1" applyFill="1" applyBorder="1" applyAlignment="1">
      <alignment vertical="center" wrapText="1"/>
    </xf>
    <xf numFmtId="0" fontId="29" fillId="10" borderId="4"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34" fillId="10" borderId="41" xfId="0" applyFont="1" applyFill="1" applyBorder="1" applyAlignment="1">
      <alignment horizontal="center" vertical="center" wrapText="1"/>
    </xf>
    <xf numFmtId="0" fontId="29" fillId="13" borderId="4" xfId="0" applyFont="1" applyFill="1" applyBorder="1" applyAlignment="1">
      <alignment horizontal="center" vertical="center" wrapText="1"/>
    </xf>
    <xf numFmtId="0" fontId="30" fillId="15" borderId="4" xfId="0" applyFont="1" applyFill="1" applyBorder="1" applyAlignment="1">
      <alignment horizontal="center" vertical="center"/>
    </xf>
    <xf numFmtId="0" fontId="29" fillId="15" borderId="41"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30" fillId="14" borderId="4" xfId="0" applyFont="1" applyFill="1" applyBorder="1" applyAlignment="1">
      <alignment horizontal="center" vertical="center"/>
    </xf>
    <xf numFmtId="0" fontId="34" fillId="14" borderId="3" xfId="0" applyFont="1" applyFill="1" applyBorder="1" applyAlignment="1">
      <alignment horizontal="center" vertical="center" wrapText="1"/>
    </xf>
    <xf numFmtId="0" fontId="34" fillId="14" borderId="4" xfId="0" applyFont="1" applyFill="1" applyBorder="1" applyAlignment="1">
      <alignment horizontal="center" vertical="center" wrapText="1"/>
    </xf>
    <xf numFmtId="0" fontId="30" fillId="13" borderId="4" xfId="0" applyFont="1" applyFill="1" applyBorder="1" applyAlignment="1">
      <alignment horizontal="center" vertical="center"/>
    </xf>
    <xf numFmtId="0" fontId="28" fillId="0" borderId="0" xfId="0" applyFont="1" applyAlignment="1">
      <alignment wrapText="1"/>
    </xf>
  </cellXfs>
  <cellStyles count="5">
    <cellStyle name="Обычный" xfId="0" builtinId="0"/>
    <cellStyle name="Обычный 2" xfId="2"/>
    <cellStyle name="Процентный" xfId="1" builtinId="5"/>
    <cellStyle name="Процентный 2" xfId="3"/>
    <cellStyle name="Финансовый" xfId="4" builtinId="3"/>
  </cellStyles>
  <dxfs count="0"/>
  <tableStyles count="0" defaultTableStyle="TableStyleMedium2" defaultPivotStyle="PivotStyleLight16"/>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b="1" i="0" baseline="0">
                <a:effectLst/>
              </a:rPr>
              <a:t>Структура активов на начало периода</a:t>
            </a:r>
            <a:endParaRPr lang="ru-RU" sz="1400">
              <a:effectLst/>
            </a:endParaRPr>
          </a:p>
        </c:rich>
      </c:tx>
      <c:overlay val="0"/>
    </c:title>
    <c:autoTitleDeleted val="0"/>
    <c:plotArea>
      <c:layout>
        <c:manualLayout>
          <c:layoutTarget val="inner"/>
          <c:xMode val="edge"/>
          <c:yMode val="edge"/>
          <c:x val="0.26880161854768153"/>
          <c:y val="0.22933836395450574"/>
          <c:w val="0.44573031496062993"/>
          <c:h val="0.74288385826771652"/>
        </c:manualLayout>
      </c:layout>
      <c:pie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Струк2!$B$17:$B$18</c:f>
              <c:strCache>
                <c:ptCount val="2"/>
                <c:pt idx="0">
                  <c:v>Внеоборотные активы</c:v>
                </c:pt>
                <c:pt idx="1">
                  <c:v>Оборотные активы</c:v>
                </c:pt>
              </c:strCache>
            </c:strRef>
          </c:cat>
          <c:val>
            <c:numRef>
              <c:f>Струк2!$C$17:$C$18</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0-B0E1-40C2-BF62-4F31E50B9B45}"/>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Структура баланса предприятия</a:t>
            </a:r>
          </a:p>
        </c:rich>
      </c:tx>
      <c:overlay val="0"/>
    </c:title>
    <c:autoTitleDeleted val="0"/>
    <c:plotArea>
      <c:layout/>
      <c:barChart>
        <c:barDir val="col"/>
        <c:grouping val="percentStacked"/>
        <c:varyColors val="0"/>
        <c:ser>
          <c:idx val="0"/>
          <c:order val="0"/>
          <c:tx>
            <c:strRef>
              <c:f>Ликв2!$D$18</c:f>
              <c:strCache>
                <c:ptCount val="1"/>
                <c:pt idx="0">
                  <c:v>Внеоборотные активы / Собственный капитал</c:v>
                </c:pt>
              </c:strCache>
            </c:strRef>
          </c:tx>
          <c:invertIfNegative val="0"/>
          <c:cat>
            <c:numRef>
              <c:f>Ликв2!$E$17:$J$17</c:f>
              <c:numCache>
                <c:formatCode>General</c:formatCode>
                <c:ptCount val="6"/>
                <c:pt idx="0">
                  <c:v>0</c:v>
                </c:pt>
                <c:pt idx="1">
                  <c:v>0</c:v>
                </c:pt>
                <c:pt idx="2">
                  <c:v>0</c:v>
                </c:pt>
                <c:pt idx="3">
                  <c:v>0</c:v>
                </c:pt>
                <c:pt idx="4">
                  <c:v>0</c:v>
                </c:pt>
                <c:pt idx="5">
                  <c:v>0</c:v>
                </c:pt>
              </c:numCache>
            </c:numRef>
          </c:cat>
          <c:val>
            <c:numRef>
              <c:f>Ликв2!$E$18:$J$18</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DE0E-4B73-A90F-72EDE92F244D}"/>
            </c:ext>
          </c:extLst>
        </c:ser>
        <c:ser>
          <c:idx val="1"/>
          <c:order val="1"/>
          <c:tx>
            <c:strRef>
              <c:f>Ликв2!$D$19</c:f>
              <c:strCache>
                <c:ptCount val="1"/>
                <c:pt idx="0">
                  <c:v>Оборотные активы / Долгосрочные обязательства</c:v>
                </c:pt>
              </c:strCache>
            </c:strRef>
          </c:tx>
          <c:invertIfNegative val="0"/>
          <c:cat>
            <c:numRef>
              <c:f>Ликв2!$E$17:$J$17</c:f>
              <c:numCache>
                <c:formatCode>General</c:formatCode>
                <c:ptCount val="6"/>
                <c:pt idx="0">
                  <c:v>0</c:v>
                </c:pt>
                <c:pt idx="1">
                  <c:v>0</c:v>
                </c:pt>
                <c:pt idx="2">
                  <c:v>0</c:v>
                </c:pt>
                <c:pt idx="3">
                  <c:v>0</c:v>
                </c:pt>
                <c:pt idx="4">
                  <c:v>0</c:v>
                </c:pt>
                <c:pt idx="5">
                  <c:v>0</c:v>
                </c:pt>
              </c:numCache>
            </c:numRef>
          </c:cat>
          <c:val>
            <c:numRef>
              <c:f>Ликв2!$E$19:$J$19</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DE0E-4B73-A90F-72EDE92F244D}"/>
            </c:ext>
          </c:extLst>
        </c:ser>
        <c:ser>
          <c:idx val="2"/>
          <c:order val="2"/>
          <c:tx>
            <c:strRef>
              <c:f>Ликв2!$D$20</c:f>
              <c:strCache>
                <c:ptCount val="1"/>
                <c:pt idx="0">
                  <c:v>Краткосрочные обязательства</c:v>
                </c:pt>
              </c:strCache>
            </c:strRef>
          </c:tx>
          <c:invertIfNegative val="0"/>
          <c:cat>
            <c:numRef>
              <c:f>Ликв2!$E$17:$J$17</c:f>
              <c:numCache>
                <c:formatCode>General</c:formatCode>
                <c:ptCount val="6"/>
                <c:pt idx="0">
                  <c:v>0</c:v>
                </c:pt>
                <c:pt idx="1">
                  <c:v>0</c:v>
                </c:pt>
                <c:pt idx="2">
                  <c:v>0</c:v>
                </c:pt>
                <c:pt idx="3">
                  <c:v>0</c:v>
                </c:pt>
                <c:pt idx="4">
                  <c:v>0</c:v>
                </c:pt>
                <c:pt idx="5">
                  <c:v>0</c:v>
                </c:pt>
              </c:numCache>
            </c:numRef>
          </c:cat>
          <c:val>
            <c:numRef>
              <c:f>Ликв2!$E$20:$J$20</c:f>
              <c:numCache>
                <c:formatCode>#\ ##0_ ;[Red]\-#\ ##0\ </c:formatCode>
                <c:ptCount val="6"/>
                <c:pt idx="1">
                  <c:v>0</c:v>
                </c:pt>
                <c:pt idx="3">
                  <c:v>0</c:v>
                </c:pt>
                <c:pt idx="5">
                  <c:v>0</c:v>
                </c:pt>
              </c:numCache>
            </c:numRef>
          </c:val>
          <c:extLst xmlns:c16r2="http://schemas.microsoft.com/office/drawing/2015/06/chart">
            <c:ext xmlns:c16="http://schemas.microsoft.com/office/drawing/2014/chart" uri="{C3380CC4-5D6E-409C-BE32-E72D297353CC}">
              <c16:uniqueId val="{00000002-DE0E-4B73-A90F-72EDE92F244D}"/>
            </c:ext>
          </c:extLst>
        </c:ser>
        <c:dLbls>
          <c:showLegendKey val="0"/>
          <c:showVal val="0"/>
          <c:showCatName val="0"/>
          <c:showSerName val="0"/>
          <c:showPercent val="0"/>
          <c:showBubbleSize val="0"/>
        </c:dLbls>
        <c:gapWidth val="75"/>
        <c:overlap val="100"/>
        <c:axId val="188981696"/>
        <c:axId val="188974640"/>
      </c:barChart>
      <c:catAx>
        <c:axId val="188981696"/>
        <c:scaling>
          <c:orientation val="minMax"/>
        </c:scaling>
        <c:delete val="0"/>
        <c:axPos val="b"/>
        <c:numFmt formatCode="General" sourceLinked="0"/>
        <c:majorTickMark val="none"/>
        <c:minorTickMark val="none"/>
        <c:tickLblPos val="nextTo"/>
        <c:crossAx val="188974640"/>
        <c:crosses val="autoZero"/>
        <c:auto val="1"/>
        <c:lblAlgn val="ctr"/>
        <c:lblOffset val="100"/>
        <c:noMultiLvlLbl val="0"/>
      </c:catAx>
      <c:valAx>
        <c:axId val="188974640"/>
        <c:scaling>
          <c:orientation val="minMax"/>
        </c:scaling>
        <c:delete val="0"/>
        <c:axPos val="l"/>
        <c:majorGridlines/>
        <c:numFmt formatCode="0%" sourceLinked="1"/>
        <c:majorTickMark val="none"/>
        <c:minorTickMark val="none"/>
        <c:tickLblPos val="nextTo"/>
        <c:spPr>
          <a:ln w="9525">
            <a:noFill/>
          </a:ln>
        </c:spPr>
        <c:crossAx val="1889816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1"/>
          <c:order val="1"/>
          <c:tx>
            <c:strRef>
              <c:f>Диаг3!$B$4</c:f>
              <c:strCache>
                <c:ptCount val="1"/>
                <c:pt idx="0">
                  <c:v>Средний срок оборота всех активов</c:v>
                </c:pt>
              </c:strCache>
            </c:strRef>
          </c:tx>
          <c:invertIfNegative val="0"/>
          <c:cat>
            <c:numRef>
              <c:f>Диаг3!$C$2:$E$2</c:f>
              <c:numCache>
                <c:formatCode>General</c:formatCode>
                <c:ptCount val="3"/>
                <c:pt idx="0">
                  <c:v>0</c:v>
                </c:pt>
                <c:pt idx="1">
                  <c:v>0</c:v>
                </c:pt>
                <c:pt idx="2">
                  <c:v>0</c:v>
                </c:pt>
              </c:numCache>
            </c:numRef>
          </c:cat>
          <c:val>
            <c:numRef>
              <c:f>Диаг3!$C$4:$E$4</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01E-4BEB-B8C4-E0FA5E00E5EB}"/>
            </c:ext>
          </c:extLst>
        </c:ser>
        <c:dLbls>
          <c:showLegendKey val="0"/>
          <c:showVal val="0"/>
          <c:showCatName val="0"/>
          <c:showSerName val="0"/>
          <c:showPercent val="0"/>
          <c:showBubbleSize val="0"/>
        </c:dLbls>
        <c:gapWidth val="150"/>
        <c:axId val="189934456"/>
        <c:axId val="189939160"/>
      </c:barChart>
      <c:lineChart>
        <c:grouping val="standard"/>
        <c:varyColors val="0"/>
        <c:ser>
          <c:idx val="0"/>
          <c:order val="0"/>
          <c:tx>
            <c:strRef>
              <c:f>Диаг3!$B$3</c:f>
              <c:strCache>
                <c:ptCount val="1"/>
                <c:pt idx="0">
                  <c:v>Оборачиваемость всех активов</c:v>
                </c:pt>
              </c:strCache>
            </c:strRef>
          </c:tx>
          <c:marker>
            <c:symbol val="none"/>
          </c:marker>
          <c:cat>
            <c:numRef>
              <c:f>Диаг3!$C$2:$E$2</c:f>
              <c:numCache>
                <c:formatCode>General</c:formatCode>
                <c:ptCount val="3"/>
                <c:pt idx="0">
                  <c:v>0</c:v>
                </c:pt>
                <c:pt idx="1">
                  <c:v>0</c:v>
                </c:pt>
                <c:pt idx="2">
                  <c:v>0</c:v>
                </c:pt>
              </c:numCache>
            </c:numRef>
          </c:cat>
          <c:val>
            <c:numRef>
              <c:f>Диаг3!$C$3:$E$3</c:f>
              <c:numCache>
                <c:formatCode>#\ ##0.00_ ;[Red]\-#\ ##0.00\ </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601E-4BEB-B8C4-E0FA5E00E5EB}"/>
            </c:ext>
          </c:extLst>
        </c:ser>
        <c:dLbls>
          <c:showLegendKey val="0"/>
          <c:showVal val="0"/>
          <c:showCatName val="0"/>
          <c:showSerName val="0"/>
          <c:showPercent val="0"/>
          <c:showBubbleSize val="0"/>
        </c:dLbls>
        <c:marker val="1"/>
        <c:smooth val="0"/>
        <c:axId val="189934848"/>
        <c:axId val="189933672"/>
      </c:lineChart>
      <c:catAx>
        <c:axId val="189934456"/>
        <c:scaling>
          <c:orientation val="minMax"/>
        </c:scaling>
        <c:delete val="0"/>
        <c:axPos val="b"/>
        <c:numFmt formatCode="General" sourceLinked="0"/>
        <c:majorTickMark val="none"/>
        <c:minorTickMark val="none"/>
        <c:tickLblPos val="nextTo"/>
        <c:crossAx val="189939160"/>
        <c:crosses val="autoZero"/>
        <c:auto val="1"/>
        <c:lblAlgn val="ctr"/>
        <c:lblOffset val="100"/>
        <c:noMultiLvlLbl val="0"/>
      </c:catAx>
      <c:valAx>
        <c:axId val="189939160"/>
        <c:scaling>
          <c:orientation val="minMax"/>
        </c:scaling>
        <c:delete val="0"/>
        <c:axPos val="l"/>
        <c:majorGridlines/>
        <c:title>
          <c:tx>
            <c:rich>
              <a:bodyPr/>
              <a:lstStyle/>
              <a:p>
                <a:pPr>
                  <a:defRPr/>
                </a:pPr>
                <a:r>
                  <a:rPr lang="ru-RU"/>
                  <a:t>Дни</a:t>
                </a:r>
              </a:p>
            </c:rich>
          </c:tx>
          <c:overlay val="0"/>
        </c:title>
        <c:numFmt formatCode="#\ ##0_ ;[Red]\-#\ ##0\ " sourceLinked="1"/>
        <c:majorTickMark val="none"/>
        <c:minorTickMark val="none"/>
        <c:tickLblPos val="nextTo"/>
        <c:crossAx val="189934456"/>
        <c:crosses val="autoZero"/>
        <c:crossBetween val="between"/>
      </c:valAx>
      <c:valAx>
        <c:axId val="189933672"/>
        <c:scaling>
          <c:orientation val="minMax"/>
        </c:scaling>
        <c:delete val="0"/>
        <c:axPos val="r"/>
        <c:numFmt formatCode="#\ ##0.00_ ;[Red]\-#\ ##0.00\ " sourceLinked="1"/>
        <c:majorTickMark val="out"/>
        <c:minorTickMark val="none"/>
        <c:tickLblPos val="nextTo"/>
        <c:crossAx val="189934848"/>
        <c:crosses val="max"/>
        <c:crossBetween val="between"/>
      </c:valAx>
      <c:catAx>
        <c:axId val="189934848"/>
        <c:scaling>
          <c:orientation val="minMax"/>
        </c:scaling>
        <c:delete val="1"/>
        <c:axPos val="b"/>
        <c:numFmt formatCode="General" sourceLinked="1"/>
        <c:majorTickMark val="out"/>
        <c:minorTickMark val="none"/>
        <c:tickLblPos val="nextTo"/>
        <c:crossAx val="189933672"/>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1"/>
          <c:order val="1"/>
          <c:tx>
            <c:strRef>
              <c:f>Диаг3!$B$7</c:f>
              <c:strCache>
                <c:ptCount val="1"/>
                <c:pt idx="0">
                  <c:v>Средний срок оборота запасов</c:v>
                </c:pt>
              </c:strCache>
            </c:strRef>
          </c:tx>
          <c:invertIfNegative val="0"/>
          <c:cat>
            <c:numRef>
              <c:f>Диаг3!$C$2:$E$2</c:f>
              <c:numCache>
                <c:formatCode>General</c:formatCode>
                <c:ptCount val="3"/>
                <c:pt idx="0">
                  <c:v>0</c:v>
                </c:pt>
                <c:pt idx="1">
                  <c:v>0</c:v>
                </c:pt>
                <c:pt idx="2">
                  <c:v>0</c:v>
                </c:pt>
              </c:numCache>
            </c:numRef>
          </c:cat>
          <c:val>
            <c:numRef>
              <c:f>Диаг3!$C$7:$E$7</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5AC0-4513-BA97-19C3E8D7725E}"/>
            </c:ext>
          </c:extLst>
        </c:ser>
        <c:dLbls>
          <c:showLegendKey val="0"/>
          <c:showVal val="0"/>
          <c:showCatName val="0"/>
          <c:showSerName val="0"/>
          <c:showPercent val="0"/>
          <c:showBubbleSize val="0"/>
        </c:dLbls>
        <c:gapWidth val="150"/>
        <c:axId val="189935240"/>
        <c:axId val="189932888"/>
      </c:barChart>
      <c:lineChart>
        <c:grouping val="standard"/>
        <c:varyColors val="0"/>
        <c:ser>
          <c:idx val="0"/>
          <c:order val="0"/>
          <c:tx>
            <c:strRef>
              <c:f>Диаг3!$B$6</c:f>
              <c:strCache>
                <c:ptCount val="1"/>
                <c:pt idx="0">
                  <c:v>Оборачиваемость запасов</c:v>
                </c:pt>
              </c:strCache>
            </c:strRef>
          </c:tx>
          <c:marker>
            <c:symbol val="none"/>
          </c:marker>
          <c:cat>
            <c:numRef>
              <c:f>Диаг3!$C$2:$E$2</c:f>
              <c:numCache>
                <c:formatCode>General</c:formatCode>
                <c:ptCount val="3"/>
                <c:pt idx="0">
                  <c:v>0</c:v>
                </c:pt>
                <c:pt idx="1">
                  <c:v>0</c:v>
                </c:pt>
                <c:pt idx="2">
                  <c:v>0</c:v>
                </c:pt>
              </c:numCache>
            </c:numRef>
          </c:cat>
          <c:val>
            <c:numRef>
              <c:f>Диаг3!$C$6:$E$6</c:f>
              <c:numCache>
                <c:formatCode>#\ ##0.00_ ;[Red]\-#\ ##0.00\ </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5AC0-4513-BA97-19C3E8D7725E}"/>
            </c:ext>
          </c:extLst>
        </c:ser>
        <c:dLbls>
          <c:showLegendKey val="0"/>
          <c:showVal val="0"/>
          <c:showCatName val="0"/>
          <c:showSerName val="0"/>
          <c:showPercent val="0"/>
          <c:showBubbleSize val="0"/>
        </c:dLbls>
        <c:marker val="1"/>
        <c:smooth val="0"/>
        <c:axId val="189932496"/>
        <c:axId val="189936808"/>
      </c:lineChart>
      <c:catAx>
        <c:axId val="189935240"/>
        <c:scaling>
          <c:orientation val="minMax"/>
        </c:scaling>
        <c:delete val="0"/>
        <c:axPos val="b"/>
        <c:numFmt formatCode="General" sourceLinked="0"/>
        <c:majorTickMark val="none"/>
        <c:minorTickMark val="none"/>
        <c:tickLblPos val="nextTo"/>
        <c:crossAx val="189932888"/>
        <c:crosses val="autoZero"/>
        <c:auto val="1"/>
        <c:lblAlgn val="ctr"/>
        <c:lblOffset val="100"/>
        <c:noMultiLvlLbl val="0"/>
      </c:catAx>
      <c:valAx>
        <c:axId val="189932888"/>
        <c:scaling>
          <c:orientation val="minMax"/>
        </c:scaling>
        <c:delete val="0"/>
        <c:axPos val="l"/>
        <c:majorGridlines/>
        <c:title>
          <c:tx>
            <c:rich>
              <a:bodyPr/>
              <a:lstStyle/>
              <a:p>
                <a:pPr>
                  <a:defRPr/>
                </a:pPr>
                <a:r>
                  <a:rPr lang="ru-RU"/>
                  <a:t>Дни</a:t>
                </a:r>
              </a:p>
            </c:rich>
          </c:tx>
          <c:overlay val="0"/>
        </c:title>
        <c:numFmt formatCode="#\ ##0_ ;[Red]\-#\ ##0\ " sourceLinked="1"/>
        <c:majorTickMark val="none"/>
        <c:minorTickMark val="none"/>
        <c:tickLblPos val="nextTo"/>
        <c:crossAx val="189935240"/>
        <c:crosses val="autoZero"/>
        <c:crossBetween val="between"/>
      </c:valAx>
      <c:valAx>
        <c:axId val="189936808"/>
        <c:scaling>
          <c:orientation val="minMax"/>
        </c:scaling>
        <c:delete val="0"/>
        <c:axPos val="r"/>
        <c:numFmt formatCode="#\ ##0.00_ ;[Red]\-#\ ##0.00\ " sourceLinked="1"/>
        <c:majorTickMark val="out"/>
        <c:minorTickMark val="none"/>
        <c:tickLblPos val="nextTo"/>
        <c:crossAx val="189932496"/>
        <c:crosses val="max"/>
        <c:crossBetween val="between"/>
      </c:valAx>
      <c:catAx>
        <c:axId val="189932496"/>
        <c:scaling>
          <c:orientation val="minMax"/>
        </c:scaling>
        <c:delete val="1"/>
        <c:axPos val="b"/>
        <c:numFmt formatCode="General" sourceLinked="1"/>
        <c:majorTickMark val="out"/>
        <c:minorTickMark val="none"/>
        <c:tickLblPos val="nextTo"/>
        <c:crossAx val="189936808"/>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barChart>
        <c:barDir val="col"/>
        <c:grouping val="clustered"/>
        <c:varyColors val="0"/>
        <c:ser>
          <c:idx val="1"/>
          <c:order val="1"/>
          <c:tx>
            <c:strRef>
              <c:f>Диаг3!$B$10</c:f>
              <c:strCache>
                <c:ptCount val="1"/>
                <c:pt idx="0">
                  <c:v>Средний срок оборота дебиторской задолженности</c:v>
                </c:pt>
              </c:strCache>
            </c:strRef>
          </c:tx>
          <c:invertIfNegative val="0"/>
          <c:cat>
            <c:numRef>
              <c:f>Диаг3!$C$2:$E$2</c:f>
              <c:numCache>
                <c:formatCode>General</c:formatCode>
                <c:ptCount val="3"/>
                <c:pt idx="0">
                  <c:v>0</c:v>
                </c:pt>
                <c:pt idx="1">
                  <c:v>0</c:v>
                </c:pt>
                <c:pt idx="2">
                  <c:v>0</c:v>
                </c:pt>
              </c:numCache>
            </c:numRef>
          </c:cat>
          <c:val>
            <c:numRef>
              <c:f>Диаг3!$C$10:$E$10</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1B77-465D-B354-33EDA136660E}"/>
            </c:ext>
          </c:extLst>
        </c:ser>
        <c:ser>
          <c:idx val="3"/>
          <c:order val="3"/>
          <c:tx>
            <c:strRef>
              <c:f>Диаг3!$B$12</c:f>
              <c:strCache>
                <c:ptCount val="1"/>
                <c:pt idx="0">
                  <c:v>Средний срок оборота кредиторской задолженности</c:v>
                </c:pt>
              </c:strCache>
            </c:strRef>
          </c:tx>
          <c:invertIfNegative val="0"/>
          <c:cat>
            <c:numRef>
              <c:f>Диаг3!$C$2:$E$2</c:f>
              <c:numCache>
                <c:formatCode>General</c:formatCode>
                <c:ptCount val="3"/>
                <c:pt idx="0">
                  <c:v>0</c:v>
                </c:pt>
                <c:pt idx="1">
                  <c:v>0</c:v>
                </c:pt>
                <c:pt idx="2">
                  <c:v>0</c:v>
                </c:pt>
              </c:numCache>
            </c:numRef>
          </c:cat>
          <c:val>
            <c:numRef>
              <c:f>Диаг3!$C$12:$E$12</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1B77-465D-B354-33EDA136660E}"/>
            </c:ext>
          </c:extLst>
        </c:ser>
        <c:dLbls>
          <c:showLegendKey val="0"/>
          <c:showVal val="0"/>
          <c:showCatName val="0"/>
          <c:showSerName val="0"/>
          <c:showPercent val="0"/>
          <c:showBubbleSize val="0"/>
        </c:dLbls>
        <c:gapWidth val="150"/>
        <c:axId val="189938376"/>
        <c:axId val="189932104"/>
      </c:barChart>
      <c:lineChart>
        <c:grouping val="standard"/>
        <c:varyColors val="0"/>
        <c:ser>
          <c:idx val="0"/>
          <c:order val="0"/>
          <c:tx>
            <c:strRef>
              <c:f>Диаг3!$B$9</c:f>
              <c:strCache>
                <c:ptCount val="1"/>
                <c:pt idx="0">
                  <c:v>Оборачиваемость дебиторской задолженности</c:v>
                </c:pt>
              </c:strCache>
            </c:strRef>
          </c:tx>
          <c:marker>
            <c:symbol val="none"/>
          </c:marker>
          <c:cat>
            <c:numRef>
              <c:f>Диаг3!$C$2:$E$2</c:f>
              <c:numCache>
                <c:formatCode>General</c:formatCode>
                <c:ptCount val="3"/>
                <c:pt idx="0">
                  <c:v>0</c:v>
                </c:pt>
                <c:pt idx="1">
                  <c:v>0</c:v>
                </c:pt>
                <c:pt idx="2">
                  <c:v>0</c:v>
                </c:pt>
              </c:numCache>
            </c:numRef>
          </c:cat>
          <c:val>
            <c:numRef>
              <c:f>Диаг3!$C$9:$E$9</c:f>
              <c:numCache>
                <c:formatCode>#\ ##0.00_ ;[Red]\-#\ ##0.00\ </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2-1B77-465D-B354-33EDA136660E}"/>
            </c:ext>
          </c:extLst>
        </c:ser>
        <c:ser>
          <c:idx val="2"/>
          <c:order val="2"/>
          <c:tx>
            <c:strRef>
              <c:f>Диаг3!$B$11</c:f>
              <c:strCache>
                <c:ptCount val="1"/>
                <c:pt idx="0">
                  <c:v>Оборачиваемость кредиторской задолженности</c:v>
                </c:pt>
              </c:strCache>
            </c:strRef>
          </c:tx>
          <c:marker>
            <c:symbol val="none"/>
          </c:marker>
          <c:cat>
            <c:numRef>
              <c:f>Диаг3!$C$2:$E$2</c:f>
              <c:numCache>
                <c:formatCode>General</c:formatCode>
                <c:ptCount val="3"/>
                <c:pt idx="0">
                  <c:v>0</c:v>
                </c:pt>
                <c:pt idx="1">
                  <c:v>0</c:v>
                </c:pt>
                <c:pt idx="2">
                  <c:v>0</c:v>
                </c:pt>
              </c:numCache>
            </c:numRef>
          </c:cat>
          <c:val>
            <c:numRef>
              <c:f>Диаг3!$C$11:$E$11</c:f>
              <c:numCache>
                <c:formatCode>#\ ##0.00_ ;[Red]\-#\ ##0.00\ </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3-1B77-465D-B354-33EDA136660E}"/>
            </c:ext>
          </c:extLst>
        </c:ser>
        <c:dLbls>
          <c:showLegendKey val="0"/>
          <c:showVal val="0"/>
          <c:showCatName val="0"/>
          <c:showSerName val="0"/>
          <c:showPercent val="0"/>
          <c:showBubbleSize val="0"/>
        </c:dLbls>
        <c:marker val="1"/>
        <c:smooth val="0"/>
        <c:axId val="189933280"/>
        <c:axId val="189938768"/>
      </c:lineChart>
      <c:catAx>
        <c:axId val="189938376"/>
        <c:scaling>
          <c:orientation val="minMax"/>
        </c:scaling>
        <c:delete val="0"/>
        <c:axPos val="b"/>
        <c:numFmt formatCode="General" sourceLinked="0"/>
        <c:majorTickMark val="none"/>
        <c:minorTickMark val="none"/>
        <c:tickLblPos val="nextTo"/>
        <c:crossAx val="189932104"/>
        <c:crosses val="autoZero"/>
        <c:auto val="1"/>
        <c:lblAlgn val="ctr"/>
        <c:lblOffset val="100"/>
        <c:noMultiLvlLbl val="0"/>
      </c:catAx>
      <c:valAx>
        <c:axId val="189932104"/>
        <c:scaling>
          <c:orientation val="minMax"/>
        </c:scaling>
        <c:delete val="0"/>
        <c:axPos val="l"/>
        <c:majorGridlines/>
        <c:title>
          <c:tx>
            <c:rich>
              <a:bodyPr/>
              <a:lstStyle/>
              <a:p>
                <a:pPr>
                  <a:defRPr/>
                </a:pPr>
                <a:r>
                  <a:rPr lang="ru-RU"/>
                  <a:t>Дни</a:t>
                </a:r>
              </a:p>
            </c:rich>
          </c:tx>
          <c:overlay val="0"/>
        </c:title>
        <c:numFmt formatCode="#\ ##0_ ;[Red]\-#\ ##0\ " sourceLinked="1"/>
        <c:majorTickMark val="none"/>
        <c:minorTickMark val="none"/>
        <c:tickLblPos val="nextTo"/>
        <c:crossAx val="189938376"/>
        <c:crosses val="autoZero"/>
        <c:crossBetween val="between"/>
      </c:valAx>
      <c:valAx>
        <c:axId val="189938768"/>
        <c:scaling>
          <c:orientation val="minMax"/>
        </c:scaling>
        <c:delete val="0"/>
        <c:axPos val="r"/>
        <c:numFmt formatCode="#\ ##0.00_ ;[Red]\-#\ ##0.00\ " sourceLinked="1"/>
        <c:majorTickMark val="out"/>
        <c:minorTickMark val="none"/>
        <c:tickLblPos val="nextTo"/>
        <c:crossAx val="189933280"/>
        <c:crosses val="max"/>
        <c:crossBetween val="between"/>
      </c:valAx>
      <c:catAx>
        <c:axId val="189933280"/>
        <c:scaling>
          <c:orientation val="minMax"/>
        </c:scaling>
        <c:delete val="1"/>
        <c:axPos val="b"/>
        <c:numFmt formatCode="General" sourceLinked="1"/>
        <c:majorTickMark val="out"/>
        <c:minorTickMark val="none"/>
        <c:tickLblPos val="nextTo"/>
        <c:crossAx val="189938768"/>
        <c:crosses val="autoZero"/>
        <c:auto val="1"/>
        <c:lblAlgn val="ctr"/>
        <c:lblOffset val="100"/>
        <c:noMultiLvlLbl val="0"/>
      </c:cat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Динамика показателей рентабельности</a:t>
            </a:r>
          </a:p>
        </c:rich>
      </c:tx>
      <c:overlay val="0"/>
    </c:title>
    <c:autoTitleDeleted val="0"/>
    <c:plotArea>
      <c:layout/>
      <c:lineChart>
        <c:grouping val="standard"/>
        <c:varyColors val="0"/>
        <c:ser>
          <c:idx val="0"/>
          <c:order val="0"/>
          <c:tx>
            <c:strRef>
              <c:f>Рент!$C$14</c:f>
              <c:strCache>
                <c:ptCount val="1"/>
                <c:pt idx="0">
                  <c:v>Рентабельность активов (ROA)</c:v>
                </c:pt>
              </c:strCache>
            </c:strRef>
          </c:tx>
          <c:marker>
            <c:symbol val="none"/>
          </c:marker>
          <c:cat>
            <c:numRef>
              <c:f>Рент!$E$4:$G$4</c:f>
              <c:numCache>
                <c:formatCode>General</c:formatCode>
                <c:ptCount val="3"/>
                <c:pt idx="0">
                  <c:v>0</c:v>
                </c:pt>
                <c:pt idx="1">
                  <c:v>0</c:v>
                </c:pt>
                <c:pt idx="2">
                  <c:v>0</c:v>
                </c:pt>
              </c:numCache>
            </c:numRef>
          </c:cat>
          <c:val>
            <c:numRef>
              <c:f>Рент!$E$14:$G$14</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600F-4E41-B6ED-6F72C2958B3D}"/>
            </c:ext>
          </c:extLst>
        </c:ser>
        <c:ser>
          <c:idx val="1"/>
          <c:order val="1"/>
          <c:tx>
            <c:strRef>
              <c:f>Рент!$C$15</c:f>
              <c:strCache>
                <c:ptCount val="1"/>
                <c:pt idx="0">
                  <c:v>Коэффициент рентабельности собственного капитала (ROE)</c:v>
                </c:pt>
              </c:strCache>
            </c:strRef>
          </c:tx>
          <c:marker>
            <c:symbol val="none"/>
          </c:marker>
          <c:cat>
            <c:numRef>
              <c:f>Рент!$E$4:$G$4</c:f>
              <c:numCache>
                <c:formatCode>General</c:formatCode>
                <c:ptCount val="3"/>
                <c:pt idx="0">
                  <c:v>0</c:v>
                </c:pt>
                <c:pt idx="1">
                  <c:v>0</c:v>
                </c:pt>
                <c:pt idx="2">
                  <c:v>0</c:v>
                </c:pt>
              </c:numCache>
            </c:numRef>
          </c:cat>
          <c:val>
            <c:numRef>
              <c:f>Рент!$E$15:$G$15</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600F-4E41-B6ED-6F72C2958B3D}"/>
            </c:ext>
          </c:extLst>
        </c:ser>
        <c:ser>
          <c:idx val="2"/>
          <c:order val="2"/>
          <c:tx>
            <c:strRef>
              <c:f>Рент!$C$16</c:f>
              <c:strCache>
                <c:ptCount val="1"/>
                <c:pt idx="0">
                  <c:v>Коэффициент рентабельности продаж (ROS) по чистой прибыли</c:v>
                </c:pt>
              </c:strCache>
            </c:strRef>
          </c:tx>
          <c:marker>
            <c:symbol val="none"/>
          </c:marker>
          <c:cat>
            <c:numRef>
              <c:f>Рент!$E$4:$G$4</c:f>
              <c:numCache>
                <c:formatCode>General</c:formatCode>
                <c:ptCount val="3"/>
                <c:pt idx="0">
                  <c:v>0</c:v>
                </c:pt>
                <c:pt idx="1">
                  <c:v>0</c:v>
                </c:pt>
                <c:pt idx="2">
                  <c:v>0</c:v>
                </c:pt>
              </c:numCache>
            </c:numRef>
          </c:cat>
          <c:val>
            <c:numRef>
              <c:f>Рент!$E$16:$G$16</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2-600F-4E41-B6ED-6F72C2958B3D}"/>
            </c:ext>
          </c:extLst>
        </c:ser>
        <c:ser>
          <c:idx val="3"/>
          <c:order val="3"/>
          <c:tx>
            <c:strRef>
              <c:f>Рент!$C$17</c:f>
              <c:strCache>
                <c:ptCount val="1"/>
                <c:pt idx="0">
                  <c:v>Коэффициент рентабельности продаж (ROS) по прибыли от продаж</c:v>
                </c:pt>
              </c:strCache>
            </c:strRef>
          </c:tx>
          <c:marker>
            <c:symbol val="none"/>
          </c:marker>
          <c:cat>
            <c:numRef>
              <c:f>Рент!$E$4:$G$4</c:f>
              <c:numCache>
                <c:formatCode>General</c:formatCode>
                <c:ptCount val="3"/>
                <c:pt idx="0">
                  <c:v>0</c:v>
                </c:pt>
                <c:pt idx="1">
                  <c:v>0</c:v>
                </c:pt>
                <c:pt idx="2">
                  <c:v>0</c:v>
                </c:pt>
              </c:numCache>
            </c:numRef>
          </c:cat>
          <c:val>
            <c:numRef>
              <c:f>Рент!$E$17:$G$17</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3-600F-4E41-B6ED-6F72C2958B3D}"/>
            </c:ext>
          </c:extLst>
        </c:ser>
        <c:ser>
          <c:idx val="4"/>
          <c:order val="4"/>
          <c:tx>
            <c:strRef>
              <c:f>Рент!$C$18</c:f>
              <c:strCache>
                <c:ptCount val="1"/>
                <c:pt idx="0">
                  <c:v>Рентабельность производства</c:v>
                </c:pt>
              </c:strCache>
            </c:strRef>
          </c:tx>
          <c:marker>
            <c:symbol val="none"/>
          </c:marker>
          <c:cat>
            <c:numRef>
              <c:f>Рент!$E$4:$G$4</c:f>
              <c:numCache>
                <c:formatCode>General</c:formatCode>
                <c:ptCount val="3"/>
                <c:pt idx="0">
                  <c:v>0</c:v>
                </c:pt>
                <c:pt idx="1">
                  <c:v>0</c:v>
                </c:pt>
                <c:pt idx="2">
                  <c:v>0</c:v>
                </c:pt>
              </c:numCache>
            </c:numRef>
          </c:cat>
          <c:val>
            <c:numRef>
              <c:f>Рент!$E$18:$G$18</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4-600F-4E41-B6ED-6F72C2958B3D}"/>
            </c:ext>
          </c:extLst>
        </c:ser>
        <c:dLbls>
          <c:showLegendKey val="0"/>
          <c:showVal val="0"/>
          <c:showCatName val="0"/>
          <c:showSerName val="0"/>
          <c:showPercent val="0"/>
          <c:showBubbleSize val="0"/>
        </c:dLbls>
        <c:smooth val="0"/>
        <c:axId val="189936024"/>
        <c:axId val="189936416"/>
      </c:lineChart>
      <c:catAx>
        <c:axId val="189936024"/>
        <c:scaling>
          <c:orientation val="minMax"/>
        </c:scaling>
        <c:delete val="0"/>
        <c:axPos val="b"/>
        <c:numFmt formatCode="General" sourceLinked="0"/>
        <c:majorTickMark val="none"/>
        <c:minorTickMark val="none"/>
        <c:tickLblPos val="nextTo"/>
        <c:crossAx val="189936416"/>
        <c:crosses val="autoZero"/>
        <c:auto val="1"/>
        <c:lblAlgn val="ctr"/>
        <c:lblOffset val="100"/>
        <c:noMultiLvlLbl val="0"/>
      </c:catAx>
      <c:valAx>
        <c:axId val="189936416"/>
        <c:scaling>
          <c:orientation val="minMax"/>
        </c:scaling>
        <c:delete val="0"/>
        <c:axPos val="l"/>
        <c:majorGridlines/>
        <c:numFmt formatCode="0.0%" sourceLinked="1"/>
        <c:majorTickMark val="none"/>
        <c:minorTickMark val="none"/>
        <c:tickLblPos val="nextTo"/>
        <c:spPr>
          <a:ln w="9525">
            <a:noFill/>
          </a:ln>
        </c:spPr>
        <c:crossAx val="1899360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Доходы предприятия</a:t>
            </a:r>
          </a:p>
        </c:rich>
      </c:tx>
      <c:overlay val="0"/>
    </c:title>
    <c:autoTitleDeleted val="0"/>
    <c:plotArea>
      <c:layout/>
      <c:barChart>
        <c:barDir val="col"/>
        <c:grouping val="stacked"/>
        <c:varyColors val="0"/>
        <c:ser>
          <c:idx val="0"/>
          <c:order val="0"/>
          <c:tx>
            <c:strRef>
              <c:f>Прибыль1!$C$6</c:f>
              <c:strCache>
                <c:ptCount val="1"/>
                <c:pt idx="0">
                  <c:v>доходы от обычных видов деятельности</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(Прибыль1!$D$6,Прибыль1!$F$6,Прибыль1!$H$6)</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CA1E-4F1C-8993-4AB523126449}"/>
            </c:ext>
          </c:extLst>
        </c:ser>
        <c:ser>
          <c:idx val="1"/>
          <c:order val="1"/>
          <c:tx>
            <c:strRef>
              <c:f>Прибыль1!$C$7</c:f>
              <c:strCache>
                <c:ptCount val="1"/>
                <c:pt idx="0">
                  <c:v>проценты к получению</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(Прибыль1!$D$7,Прибыль1!$F$7,Прибыль1!$H$7)</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CA1E-4F1C-8993-4AB523126449}"/>
            </c:ext>
          </c:extLst>
        </c:ser>
        <c:ser>
          <c:idx val="2"/>
          <c:order val="2"/>
          <c:tx>
            <c:strRef>
              <c:f>Прибыль1!$C$8</c:f>
              <c:strCache>
                <c:ptCount val="1"/>
                <c:pt idx="0">
                  <c:v>прочие доходы</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(Прибыль1!$D$8,Прибыль1!$F$8,Прибыль1!$H$8)</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CA1E-4F1C-8993-4AB523126449}"/>
            </c:ext>
          </c:extLst>
        </c:ser>
        <c:dLbls>
          <c:showLegendKey val="0"/>
          <c:showVal val="0"/>
          <c:showCatName val="0"/>
          <c:showSerName val="0"/>
          <c:showPercent val="0"/>
          <c:showBubbleSize val="0"/>
        </c:dLbls>
        <c:gapWidth val="150"/>
        <c:overlap val="100"/>
        <c:axId val="188975424"/>
        <c:axId val="188978952"/>
      </c:barChart>
      <c:catAx>
        <c:axId val="188975424"/>
        <c:scaling>
          <c:orientation val="minMax"/>
        </c:scaling>
        <c:delete val="0"/>
        <c:axPos val="b"/>
        <c:numFmt formatCode="General" sourceLinked="1"/>
        <c:majorTickMark val="none"/>
        <c:minorTickMark val="none"/>
        <c:tickLblPos val="nextTo"/>
        <c:crossAx val="188978952"/>
        <c:crosses val="autoZero"/>
        <c:auto val="1"/>
        <c:lblAlgn val="ctr"/>
        <c:lblOffset val="100"/>
        <c:noMultiLvlLbl val="0"/>
      </c:catAx>
      <c:valAx>
        <c:axId val="188978952"/>
        <c:scaling>
          <c:orientation val="minMax"/>
        </c:scaling>
        <c:delete val="0"/>
        <c:axPos val="l"/>
        <c:majorGridlines/>
        <c:numFmt formatCode="#\ ##0_ ;[Red]\-#\ ##0\ " sourceLinked="1"/>
        <c:majorTickMark val="none"/>
        <c:minorTickMark val="none"/>
        <c:tickLblPos val="nextTo"/>
        <c:crossAx val="188975424"/>
        <c:crosses val="autoZero"/>
        <c:crossBetween val="between"/>
      </c:valAx>
    </c:plotArea>
    <c:legend>
      <c:legendPos val="r"/>
      <c:overlay val="0"/>
      <c:txPr>
        <a:bodyPr/>
        <a:lstStyle/>
        <a:p>
          <a:pPr rtl="0">
            <a:defRPr/>
          </a:pPr>
          <a:endParaRPr lang="ru-RU"/>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Расходы предприятия</a:t>
            </a:r>
          </a:p>
        </c:rich>
      </c:tx>
      <c:overlay val="0"/>
    </c:title>
    <c:autoTitleDeleted val="0"/>
    <c:plotArea>
      <c:layout/>
      <c:barChart>
        <c:barDir val="col"/>
        <c:grouping val="stacked"/>
        <c:varyColors val="0"/>
        <c:ser>
          <c:idx val="0"/>
          <c:order val="0"/>
          <c:tx>
            <c:strRef>
              <c:f>Прибыль1!$C$10</c:f>
              <c:strCache>
                <c:ptCount val="1"/>
                <c:pt idx="0">
                  <c:v>расходы по обычным видам деятельности</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(Прибыль1!$D$10,Прибыль1!$F$10,Прибыль1!$H$10)</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2FA-4975-B13F-693B8B65DDA3}"/>
            </c:ext>
          </c:extLst>
        </c:ser>
        <c:ser>
          <c:idx val="1"/>
          <c:order val="1"/>
          <c:tx>
            <c:strRef>
              <c:f>Прибыль1!$C$11</c:f>
              <c:strCache>
                <c:ptCount val="1"/>
                <c:pt idx="0">
                  <c:v>проценты к уплате</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(Прибыль1!$D$11,Прибыль1!$F$11,Прибыль1!$H$11)</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62FA-4975-B13F-693B8B65DDA3}"/>
            </c:ext>
          </c:extLst>
        </c:ser>
        <c:ser>
          <c:idx val="2"/>
          <c:order val="2"/>
          <c:tx>
            <c:strRef>
              <c:f>Прибыль1!$C$12</c:f>
              <c:strCache>
                <c:ptCount val="1"/>
                <c:pt idx="0">
                  <c:v>прочие расходы</c:v>
                </c:pt>
              </c:strCache>
            </c:strRef>
          </c:tx>
          <c:invertIfNegative val="0"/>
          <c:cat>
            <c:numRef>
              <c:f>(Прибыль1!$D$3,Прибыль1!$F$3,Прибыль1!$H$3)</c:f>
              <c:numCache>
                <c:formatCode>General</c:formatCode>
                <c:ptCount val="3"/>
                <c:pt idx="0">
                  <c:v>0</c:v>
                </c:pt>
                <c:pt idx="1">
                  <c:v>0</c:v>
                </c:pt>
                <c:pt idx="2">
                  <c:v>0</c:v>
                </c:pt>
              </c:numCache>
            </c:numRef>
          </c:cat>
          <c:val>
            <c:numRef>
              <c:f>(Прибыль1!$D$12,Прибыль1!$F$12,Прибыль1!$H$12)</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62FA-4975-B13F-693B8B65DDA3}"/>
            </c:ext>
          </c:extLst>
        </c:ser>
        <c:dLbls>
          <c:showLegendKey val="0"/>
          <c:showVal val="0"/>
          <c:showCatName val="0"/>
          <c:showSerName val="0"/>
          <c:showPercent val="0"/>
          <c:showBubbleSize val="0"/>
        </c:dLbls>
        <c:gapWidth val="150"/>
        <c:overlap val="100"/>
        <c:axId val="190393368"/>
        <c:axId val="190396504"/>
      </c:barChart>
      <c:catAx>
        <c:axId val="190393368"/>
        <c:scaling>
          <c:orientation val="minMax"/>
        </c:scaling>
        <c:delete val="0"/>
        <c:axPos val="b"/>
        <c:numFmt formatCode="General" sourceLinked="0"/>
        <c:majorTickMark val="none"/>
        <c:minorTickMark val="none"/>
        <c:tickLblPos val="nextTo"/>
        <c:crossAx val="190396504"/>
        <c:crosses val="autoZero"/>
        <c:auto val="1"/>
        <c:lblAlgn val="ctr"/>
        <c:lblOffset val="100"/>
        <c:noMultiLvlLbl val="0"/>
      </c:catAx>
      <c:valAx>
        <c:axId val="190396504"/>
        <c:scaling>
          <c:orientation val="minMax"/>
        </c:scaling>
        <c:delete val="0"/>
        <c:axPos val="l"/>
        <c:majorGridlines/>
        <c:numFmt formatCode="#\ ##0_ ;[Red]\-#\ ##0\ " sourceLinked="1"/>
        <c:majorTickMark val="none"/>
        <c:minorTickMark val="none"/>
        <c:tickLblPos val="nextTo"/>
        <c:crossAx val="190393368"/>
        <c:crosses val="autoZero"/>
        <c:crossBetween val="between"/>
      </c:valAx>
    </c:plotArea>
    <c:legend>
      <c:legendPos val="r"/>
      <c:overlay val="0"/>
      <c:txPr>
        <a:bodyPr/>
        <a:lstStyle/>
        <a:p>
          <a:pPr rtl="0">
            <a:defRPr/>
          </a:pPr>
          <a:endParaRPr lang="ru-RU"/>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Изменение совокупных и оборотных активов</a:t>
            </a:r>
          </a:p>
        </c:rich>
      </c:tx>
      <c:overlay val="0"/>
    </c:title>
    <c:autoTitleDeleted val="0"/>
    <c:plotArea>
      <c:layout/>
      <c:lineChart>
        <c:grouping val="standard"/>
        <c:varyColors val="0"/>
        <c:ser>
          <c:idx val="0"/>
          <c:order val="0"/>
          <c:tx>
            <c:strRef>
              <c:f>Диаг5!$B$3</c:f>
              <c:strCache>
                <c:ptCount val="1"/>
                <c:pt idx="0">
                  <c:v>Совокупные активы (пассивы) </c:v>
                </c:pt>
              </c:strCache>
            </c:strRef>
          </c:tx>
          <c:cat>
            <c:numRef>
              <c:f>Диаг5!$C$2:$E$2</c:f>
              <c:numCache>
                <c:formatCode>General</c:formatCode>
                <c:ptCount val="3"/>
                <c:pt idx="0">
                  <c:v>0</c:v>
                </c:pt>
                <c:pt idx="1">
                  <c:v>0</c:v>
                </c:pt>
                <c:pt idx="2">
                  <c:v>0</c:v>
                </c:pt>
              </c:numCache>
            </c:numRef>
          </c:cat>
          <c:val>
            <c:numRef>
              <c:f>Диаг5!$C$3:$E$3</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AAF9-4C56-9CD5-5FC996E9AE0F}"/>
            </c:ext>
          </c:extLst>
        </c:ser>
        <c:ser>
          <c:idx val="1"/>
          <c:order val="1"/>
          <c:tx>
            <c:strRef>
              <c:f>Диаг5!$B$4</c:f>
              <c:strCache>
                <c:ptCount val="1"/>
                <c:pt idx="0">
                  <c:v>Оборотные активы  </c:v>
                </c:pt>
              </c:strCache>
            </c:strRef>
          </c:tx>
          <c:cat>
            <c:numRef>
              <c:f>Диаг5!$C$2:$E$2</c:f>
              <c:numCache>
                <c:formatCode>General</c:formatCode>
                <c:ptCount val="3"/>
                <c:pt idx="0">
                  <c:v>0</c:v>
                </c:pt>
                <c:pt idx="1">
                  <c:v>0</c:v>
                </c:pt>
                <c:pt idx="2">
                  <c:v>0</c:v>
                </c:pt>
              </c:numCache>
            </c:numRef>
          </c:cat>
          <c:val>
            <c:numRef>
              <c:f>Диаг5!$C$4:$E$4</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AAF9-4C56-9CD5-5FC996E9AE0F}"/>
            </c:ext>
          </c:extLst>
        </c:ser>
        <c:dLbls>
          <c:showLegendKey val="0"/>
          <c:showVal val="0"/>
          <c:showCatName val="0"/>
          <c:showSerName val="0"/>
          <c:showPercent val="0"/>
          <c:showBubbleSize val="0"/>
        </c:dLbls>
        <c:marker val="1"/>
        <c:smooth val="0"/>
        <c:axId val="190390624"/>
        <c:axId val="190392976"/>
      </c:lineChart>
      <c:catAx>
        <c:axId val="190390624"/>
        <c:scaling>
          <c:orientation val="minMax"/>
        </c:scaling>
        <c:delete val="0"/>
        <c:axPos val="b"/>
        <c:numFmt formatCode="General" sourceLinked="0"/>
        <c:majorTickMark val="none"/>
        <c:minorTickMark val="none"/>
        <c:tickLblPos val="nextTo"/>
        <c:crossAx val="190392976"/>
        <c:crosses val="autoZero"/>
        <c:auto val="1"/>
        <c:lblAlgn val="ctr"/>
        <c:lblOffset val="100"/>
        <c:noMultiLvlLbl val="0"/>
      </c:catAx>
      <c:valAx>
        <c:axId val="190392976"/>
        <c:scaling>
          <c:orientation val="minMax"/>
        </c:scaling>
        <c:delete val="0"/>
        <c:axPos val="l"/>
        <c:majorGridlines/>
        <c:numFmt formatCode="General" sourceLinked="1"/>
        <c:majorTickMark val="none"/>
        <c:minorTickMark val="none"/>
        <c:tickLblPos val="nextTo"/>
        <c:spPr>
          <a:ln w="9525">
            <a:noFill/>
          </a:ln>
        </c:spPr>
        <c:crossAx val="1903906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Изменение обязательств и собственных средств</a:t>
            </a:r>
          </a:p>
        </c:rich>
      </c:tx>
      <c:overlay val="0"/>
    </c:title>
    <c:autoTitleDeleted val="0"/>
    <c:plotArea>
      <c:layout/>
      <c:lineChart>
        <c:grouping val="standard"/>
        <c:varyColors val="0"/>
        <c:ser>
          <c:idx val="0"/>
          <c:order val="0"/>
          <c:tx>
            <c:strRef>
              <c:f>Диаг5!$B$6</c:f>
              <c:strCache>
                <c:ptCount val="1"/>
                <c:pt idx="0">
                  <c:v>Собственные средства</c:v>
                </c:pt>
              </c:strCache>
            </c:strRef>
          </c:tx>
          <c:cat>
            <c:numRef>
              <c:f>Диаг5!$C$2:$E$2</c:f>
              <c:numCache>
                <c:formatCode>General</c:formatCode>
                <c:ptCount val="3"/>
                <c:pt idx="0">
                  <c:v>0</c:v>
                </c:pt>
                <c:pt idx="1">
                  <c:v>0</c:v>
                </c:pt>
                <c:pt idx="2">
                  <c:v>0</c:v>
                </c:pt>
              </c:numCache>
            </c:numRef>
          </c:cat>
          <c:val>
            <c:numRef>
              <c:f>Диаг5!$C$6:$E$6</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B8AB-4394-A7CC-143C878AB75D}"/>
            </c:ext>
          </c:extLst>
        </c:ser>
        <c:ser>
          <c:idx val="1"/>
          <c:order val="1"/>
          <c:tx>
            <c:strRef>
              <c:f>Диаг5!$B$7</c:f>
              <c:strCache>
                <c:ptCount val="1"/>
                <c:pt idx="0">
                  <c:v>Обязательства должника </c:v>
                </c:pt>
              </c:strCache>
            </c:strRef>
          </c:tx>
          <c:cat>
            <c:numRef>
              <c:f>Диаг5!$C$2:$E$2</c:f>
              <c:numCache>
                <c:formatCode>General</c:formatCode>
                <c:ptCount val="3"/>
                <c:pt idx="0">
                  <c:v>0</c:v>
                </c:pt>
                <c:pt idx="1">
                  <c:v>0</c:v>
                </c:pt>
                <c:pt idx="2">
                  <c:v>0</c:v>
                </c:pt>
              </c:numCache>
            </c:numRef>
          </c:cat>
          <c:val>
            <c:numRef>
              <c:f>Диаг5!$C$7:$E$7</c:f>
              <c:numCache>
                <c:formatCode>General</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B8AB-4394-A7CC-143C878AB75D}"/>
            </c:ext>
          </c:extLst>
        </c:ser>
        <c:dLbls>
          <c:showLegendKey val="0"/>
          <c:showVal val="0"/>
          <c:showCatName val="0"/>
          <c:showSerName val="0"/>
          <c:showPercent val="0"/>
          <c:showBubbleSize val="0"/>
        </c:dLbls>
        <c:marker val="1"/>
        <c:smooth val="0"/>
        <c:axId val="190394152"/>
        <c:axId val="190392192"/>
      </c:lineChart>
      <c:catAx>
        <c:axId val="190394152"/>
        <c:scaling>
          <c:orientation val="minMax"/>
        </c:scaling>
        <c:delete val="0"/>
        <c:axPos val="b"/>
        <c:numFmt formatCode="General" sourceLinked="0"/>
        <c:majorTickMark val="none"/>
        <c:minorTickMark val="none"/>
        <c:tickLblPos val="nextTo"/>
        <c:crossAx val="190392192"/>
        <c:crosses val="autoZero"/>
        <c:auto val="1"/>
        <c:lblAlgn val="ctr"/>
        <c:lblOffset val="100"/>
        <c:noMultiLvlLbl val="0"/>
      </c:catAx>
      <c:valAx>
        <c:axId val="190392192"/>
        <c:scaling>
          <c:orientation val="minMax"/>
        </c:scaling>
        <c:delete val="0"/>
        <c:axPos val="l"/>
        <c:majorGridlines/>
        <c:numFmt formatCode="General" sourceLinked="1"/>
        <c:majorTickMark val="none"/>
        <c:minorTickMark val="none"/>
        <c:tickLblPos val="nextTo"/>
        <c:spPr>
          <a:ln w="9525">
            <a:noFill/>
          </a:ln>
        </c:spPr>
        <c:crossAx val="1903941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Диаг5!$B$21</c:f>
              <c:strCache>
                <c:ptCount val="1"/>
                <c:pt idx="0">
                  <c:v>Коэффициент абсолютной ликвидности</c:v>
                </c:pt>
              </c:strCache>
            </c:strRef>
          </c:tx>
          <c:marker>
            <c:symbol val="none"/>
          </c:marker>
          <c:cat>
            <c:numRef>
              <c:f>Диаг5!$C$20:$E$20</c:f>
              <c:numCache>
                <c:formatCode>General</c:formatCode>
                <c:ptCount val="3"/>
                <c:pt idx="0">
                  <c:v>0</c:v>
                </c:pt>
                <c:pt idx="1">
                  <c:v>0</c:v>
                </c:pt>
                <c:pt idx="2">
                  <c:v>0</c:v>
                </c:pt>
              </c:numCache>
            </c:numRef>
          </c:cat>
          <c:val>
            <c:numRef>
              <c:f>Диаг5!$C$21:$E$21</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EFA1-4FFC-8FF3-9B53A58CB07F}"/>
            </c:ext>
          </c:extLst>
        </c:ser>
        <c:ser>
          <c:idx val="1"/>
          <c:order val="1"/>
          <c:tx>
            <c:strRef>
              <c:f>Диаг5!$B$22</c:f>
              <c:strCache>
                <c:ptCount val="1"/>
                <c:pt idx="0">
                  <c:v>Коэффициент текущей ликвидности</c:v>
                </c:pt>
              </c:strCache>
            </c:strRef>
          </c:tx>
          <c:marker>
            <c:symbol val="none"/>
          </c:marker>
          <c:cat>
            <c:numRef>
              <c:f>Диаг5!$C$20:$E$20</c:f>
              <c:numCache>
                <c:formatCode>General</c:formatCode>
                <c:ptCount val="3"/>
                <c:pt idx="0">
                  <c:v>0</c:v>
                </c:pt>
                <c:pt idx="1">
                  <c:v>0</c:v>
                </c:pt>
                <c:pt idx="2">
                  <c:v>0</c:v>
                </c:pt>
              </c:numCache>
            </c:numRef>
          </c:cat>
          <c:val>
            <c:numRef>
              <c:f>Диаг5!$C$22:$E$22</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EFA1-4FFC-8FF3-9B53A58CB07F}"/>
            </c:ext>
          </c:extLst>
        </c:ser>
        <c:dLbls>
          <c:showLegendKey val="0"/>
          <c:showVal val="0"/>
          <c:showCatName val="0"/>
          <c:showSerName val="0"/>
          <c:showPercent val="0"/>
          <c:showBubbleSize val="0"/>
        </c:dLbls>
        <c:smooth val="0"/>
        <c:axId val="190392584"/>
        <c:axId val="190391408"/>
      </c:lineChart>
      <c:catAx>
        <c:axId val="190392584"/>
        <c:scaling>
          <c:orientation val="minMax"/>
        </c:scaling>
        <c:delete val="0"/>
        <c:axPos val="b"/>
        <c:numFmt formatCode="General" sourceLinked="0"/>
        <c:majorTickMark val="out"/>
        <c:minorTickMark val="none"/>
        <c:tickLblPos val="nextTo"/>
        <c:crossAx val="190391408"/>
        <c:crosses val="autoZero"/>
        <c:auto val="1"/>
        <c:lblAlgn val="ctr"/>
        <c:lblOffset val="100"/>
        <c:noMultiLvlLbl val="0"/>
      </c:catAx>
      <c:valAx>
        <c:axId val="190391408"/>
        <c:scaling>
          <c:orientation val="minMax"/>
        </c:scaling>
        <c:delete val="0"/>
        <c:axPos val="l"/>
        <c:majorGridlines/>
        <c:numFmt formatCode="_-* #\ ##0.00_р_._-;\-* #\ ##0.00_р_._-;_-* &quot;-&quot;??_р_._-;_-@_-" sourceLinked="1"/>
        <c:majorTickMark val="out"/>
        <c:minorTickMark val="none"/>
        <c:tickLblPos val="nextTo"/>
        <c:crossAx val="19039258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b="1" i="0" baseline="0">
                <a:effectLst/>
              </a:rPr>
              <a:t>Структура активов на конец периода</a:t>
            </a:r>
            <a:endParaRPr lang="ru-RU" sz="1400">
              <a:effectLst/>
            </a:endParaRPr>
          </a:p>
        </c:rich>
      </c:tx>
      <c:overlay val="0"/>
    </c:title>
    <c:autoTitleDeleted val="0"/>
    <c:plotArea>
      <c:layout>
        <c:manualLayout>
          <c:layoutTarget val="inner"/>
          <c:xMode val="edge"/>
          <c:yMode val="edge"/>
          <c:x val="0.26880161854768153"/>
          <c:y val="0.22933836395450574"/>
          <c:w val="0.44573031496062993"/>
          <c:h val="0.74288385826771652"/>
        </c:manualLayout>
      </c:layout>
      <c:pie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Струк2!$B$17:$B$18</c:f>
              <c:strCache>
                <c:ptCount val="2"/>
                <c:pt idx="0">
                  <c:v>Внеоборотные активы</c:v>
                </c:pt>
                <c:pt idx="1">
                  <c:v>Оборотные активы</c:v>
                </c:pt>
              </c:strCache>
            </c:strRef>
          </c:cat>
          <c:val>
            <c:numRef>
              <c:f>Струк2!$D$17:$D$18</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0-F749-46F7-A522-6A72A9D7B4FA}"/>
            </c:ext>
          </c:extLst>
        </c:ser>
        <c:dLbls>
          <c:showLegendKey val="0"/>
          <c:showVal val="0"/>
          <c:showCatName val="0"/>
          <c:showSerName val="0"/>
          <c:showPercent val="1"/>
          <c:showBubbleSize val="0"/>
          <c:showLeaderLines val="1"/>
        </c:dLbls>
        <c:firstSliceAng val="0"/>
      </c:pieChart>
    </c:plotArea>
    <c:legend>
      <c:legendPos val="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Диаг5!$B$23</c:f>
              <c:strCache>
                <c:ptCount val="1"/>
                <c:pt idx="0">
                  <c:v>Показатель обеспеченности обязательств должника его активами</c:v>
                </c:pt>
              </c:strCache>
            </c:strRef>
          </c:tx>
          <c:marker>
            <c:symbol val="none"/>
          </c:marker>
          <c:cat>
            <c:numRef>
              <c:f>Диаг5!$C$20:$E$20</c:f>
              <c:numCache>
                <c:formatCode>General</c:formatCode>
                <c:ptCount val="3"/>
                <c:pt idx="0">
                  <c:v>0</c:v>
                </c:pt>
                <c:pt idx="1">
                  <c:v>0</c:v>
                </c:pt>
                <c:pt idx="2">
                  <c:v>0</c:v>
                </c:pt>
              </c:numCache>
            </c:numRef>
          </c:cat>
          <c:val>
            <c:numRef>
              <c:f>Диаг5!$C$23:$E$23</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7109-485B-BD04-10B868EEA54B}"/>
            </c:ext>
          </c:extLst>
        </c:ser>
        <c:dLbls>
          <c:showLegendKey val="0"/>
          <c:showVal val="0"/>
          <c:showCatName val="0"/>
          <c:showSerName val="0"/>
          <c:showPercent val="0"/>
          <c:showBubbleSize val="0"/>
        </c:dLbls>
        <c:smooth val="0"/>
        <c:axId val="190390232"/>
        <c:axId val="190394544"/>
      </c:lineChart>
      <c:catAx>
        <c:axId val="190390232"/>
        <c:scaling>
          <c:orientation val="minMax"/>
        </c:scaling>
        <c:delete val="0"/>
        <c:axPos val="b"/>
        <c:numFmt formatCode="General" sourceLinked="0"/>
        <c:majorTickMark val="out"/>
        <c:minorTickMark val="none"/>
        <c:tickLblPos val="nextTo"/>
        <c:crossAx val="190394544"/>
        <c:crosses val="autoZero"/>
        <c:auto val="1"/>
        <c:lblAlgn val="ctr"/>
        <c:lblOffset val="100"/>
        <c:noMultiLvlLbl val="0"/>
      </c:catAx>
      <c:valAx>
        <c:axId val="190394544"/>
        <c:scaling>
          <c:orientation val="minMax"/>
        </c:scaling>
        <c:delete val="0"/>
        <c:axPos val="l"/>
        <c:majorGridlines/>
        <c:numFmt formatCode="_-* #\ ##0.00_р_._-;\-* #\ ##0.00_р_._-;_-* &quot;-&quot;??_р_._-;_-@_-" sourceLinked="1"/>
        <c:majorTickMark val="out"/>
        <c:minorTickMark val="none"/>
        <c:tickLblPos val="nextTo"/>
        <c:crossAx val="1903902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Диаг5!$B$24</c:f>
              <c:strCache>
                <c:ptCount val="1"/>
                <c:pt idx="0">
                  <c:v>Степень платежеспособности по текущим обязательствам</c:v>
                </c:pt>
              </c:strCache>
            </c:strRef>
          </c:tx>
          <c:marker>
            <c:symbol val="none"/>
          </c:marker>
          <c:cat>
            <c:numRef>
              <c:f>Диаг5!$C$20:$E$20</c:f>
              <c:numCache>
                <c:formatCode>General</c:formatCode>
                <c:ptCount val="3"/>
                <c:pt idx="0">
                  <c:v>0</c:v>
                </c:pt>
                <c:pt idx="1">
                  <c:v>0</c:v>
                </c:pt>
                <c:pt idx="2">
                  <c:v>0</c:v>
                </c:pt>
              </c:numCache>
            </c:numRef>
          </c:cat>
          <c:val>
            <c:numRef>
              <c:f>Диаг5!$C$24:$E$24</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9F71-428A-99CA-F643B70AE911}"/>
            </c:ext>
          </c:extLst>
        </c:ser>
        <c:dLbls>
          <c:showLegendKey val="0"/>
          <c:showVal val="0"/>
          <c:showCatName val="0"/>
          <c:showSerName val="0"/>
          <c:showPercent val="0"/>
          <c:showBubbleSize val="0"/>
        </c:dLbls>
        <c:smooth val="0"/>
        <c:axId val="190396896"/>
        <c:axId val="190395720"/>
      </c:lineChart>
      <c:catAx>
        <c:axId val="190396896"/>
        <c:scaling>
          <c:orientation val="minMax"/>
        </c:scaling>
        <c:delete val="0"/>
        <c:axPos val="b"/>
        <c:numFmt formatCode="General" sourceLinked="0"/>
        <c:majorTickMark val="out"/>
        <c:minorTickMark val="none"/>
        <c:tickLblPos val="nextTo"/>
        <c:crossAx val="190395720"/>
        <c:crosses val="autoZero"/>
        <c:auto val="1"/>
        <c:lblAlgn val="ctr"/>
        <c:lblOffset val="100"/>
        <c:noMultiLvlLbl val="0"/>
      </c:catAx>
      <c:valAx>
        <c:axId val="190395720"/>
        <c:scaling>
          <c:orientation val="minMax"/>
        </c:scaling>
        <c:delete val="0"/>
        <c:axPos val="l"/>
        <c:majorGridlines/>
        <c:numFmt formatCode="_-* #\ ##0.00_р_._-;\-* #\ ##0.00_р_._-;_-* &quot;-&quot;??_р_._-;_-@_-" sourceLinked="1"/>
        <c:majorTickMark val="out"/>
        <c:minorTickMark val="none"/>
        <c:tickLblPos val="nextTo"/>
        <c:crossAx val="1903968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Диаг5!$B$53</c:f>
              <c:strCache>
                <c:ptCount val="1"/>
                <c:pt idx="0">
                  <c:v>Коэффициент автономии</c:v>
                </c:pt>
              </c:strCache>
            </c:strRef>
          </c:tx>
          <c:marker>
            <c:symbol val="none"/>
          </c:marker>
          <c:cat>
            <c:strRef>
              <c:f>Диаг5!$C$52:$E$52</c:f>
              <c:strCache>
                <c:ptCount val="3"/>
                <c:pt idx="0">
                  <c:v>2013г.</c:v>
                </c:pt>
                <c:pt idx="1">
                  <c:v>2014г.</c:v>
                </c:pt>
                <c:pt idx="2">
                  <c:v>2015г.</c:v>
                </c:pt>
              </c:strCache>
            </c:strRef>
          </c:cat>
          <c:val>
            <c:numRef>
              <c:f>Диаг5!$C$53:$E$53</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B011-4FC9-B597-82C029D62B52}"/>
            </c:ext>
          </c:extLst>
        </c:ser>
        <c:ser>
          <c:idx val="1"/>
          <c:order val="1"/>
          <c:tx>
            <c:strRef>
              <c:f>Диаг5!$B$54</c:f>
              <c:strCache>
                <c:ptCount val="1"/>
                <c:pt idx="0">
                  <c:v>Коэффициент обеспеченности собственными оборотными средствами</c:v>
                </c:pt>
              </c:strCache>
            </c:strRef>
          </c:tx>
          <c:marker>
            <c:symbol val="none"/>
          </c:marker>
          <c:cat>
            <c:strRef>
              <c:f>Диаг5!$C$52:$E$52</c:f>
              <c:strCache>
                <c:ptCount val="3"/>
                <c:pt idx="0">
                  <c:v>2013г.</c:v>
                </c:pt>
                <c:pt idx="1">
                  <c:v>2014г.</c:v>
                </c:pt>
                <c:pt idx="2">
                  <c:v>2015г.</c:v>
                </c:pt>
              </c:strCache>
            </c:strRef>
          </c:cat>
          <c:val>
            <c:numRef>
              <c:f>Диаг5!$C$54:$E$54</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B011-4FC9-B597-82C029D62B52}"/>
            </c:ext>
          </c:extLst>
        </c:ser>
        <c:dLbls>
          <c:showLegendKey val="0"/>
          <c:showVal val="0"/>
          <c:showCatName val="0"/>
          <c:showSerName val="0"/>
          <c:showPercent val="0"/>
          <c:showBubbleSize val="0"/>
        </c:dLbls>
        <c:smooth val="0"/>
        <c:axId val="191546640"/>
        <c:axId val="191549384"/>
      </c:lineChart>
      <c:catAx>
        <c:axId val="191546640"/>
        <c:scaling>
          <c:orientation val="minMax"/>
        </c:scaling>
        <c:delete val="0"/>
        <c:axPos val="b"/>
        <c:numFmt formatCode="General" sourceLinked="0"/>
        <c:majorTickMark val="out"/>
        <c:minorTickMark val="none"/>
        <c:tickLblPos val="nextTo"/>
        <c:crossAx val="191549384"/>
        <c:crosses val="autoZero"/>
        <c:auto val="1"/>
        <c:lblAlgn val="ctr"/>
        <c:lblOffset val="100"/>
        <c:noMultiLvlLbl val="0"/>
      </c:catAx>
      <c:valAx>
        <c:axId val="191549384"/>
        <c:scaling>
          <c:orientation val="minMax"/>
        </c:scaling>
        <c:delete val="0"/>
        <c:axPos val="l"/>
        <c:majorGridlines/>
        <c:numFmt formatCode="_-* #\ ##0.00_р_._-;\-* #\ ##0.00_р_._-;_-* &quot;-&quot;??_р_._-;_-@_-" sourceLinked="1"/>
        <c:majorTickMark val="out"/>
        <c:minorTickMark val="none"/>
        <c:tickLblPos val="nextTo"/>
        <c:crossAx val="1915466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Диаг5!$B$55</c:f>
              <c:strCache>
                <c:ptCount val="1"/>
                <c:pt idx="0">
                  <c:v>Доля просроченной кредиторской задолженности в пассивах</c:v>
                </c:pt>
              </c:strCache>
            </c:strRef>
          </c:tx>
          <c:marker>
            <c:symbol val="none"/>
          </c:marker>
          <c:cat>
            <c:strRef>
              <c:f>Диаг5!$C$52:$E$52</c:f>
              <c:strCache>
                <c:ptCount val="3"/>
                <c:pt idx="0">
                  <c:v>2013г.</c:v>
                </c:pt>
                <c:pt idx="1">
                  <c:v>2014г.</c:v>
                </c:pt>
                <c:pt idx="2">
                  <c:v>2015г.</c:v>
                </c:pt>
              </c:strCache>
            </c:strRef>
          </c:cat>
          <c:val>
            <c:numRef>
              <c:f>Диаг5!$C$55:$E$55</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FD15-4E0B-AE33-B991D9EFE84A}"/>
            </c:ext>
          </c:extLst>
        </c:ser>
        <c:dLbls>
          <c:showLegendKey val="0"/>
          <c:showVal val="0"/>
          <c:showCatName val="0"/>
          <c:showSerName val="0"/>
          <c:showPercent val="0"/>
          <c:showBubbleSize val="0"/>
        </c:dLbls>
        <c:smooth val="0"/>
        <c:axId val="191545856"/>
        <c:axId val="191547424"/>
      </c:lineChart>
      <c:catAx>
        <c:axId val="191545856"/>
        <c:scaling>
          <c:orientation val="minMax"/>
        </c:scaling>
        <c:delete val="0"/>
        <c:axPos val="b"/>
        <c:numFmt formatCode="General" sourceLinked="0"/>
        <c:majorTickMark val="out"/>
        <c:minorTickMark val="none"/>
        <c:tickLblPos val="nextTo"/>
        <c:crossAx val="191547424"/>
        <c:crosses val="autoZero"/>
        <c:auto val="1"/>
        <c:lblAlgn val="ctr"/>
        <c:lblOffset val="100"/>
        <c:noMultiLvlLbl val="0"/>
      </c:catAx>
      <c:valAx>
        <c:axId val="191547424"/>
        <c:scaling>
          <c:orientation val="minMax"/>
        </c:scaling>
        <c:delete val="0"/>
        <c:axPos val="l"/>
        <c:majorGridlines/>
        <c:numFmt formatCode="_-* #\ ##0.00_р_._-;\-* #\ ##0.00_р_._-;_-* &quot;-&quot;??_р_._-;_-@_-" sourceLinked="1"/>
        <c:majorTickMark val="out"/>
        <c:minorTickMark val="none"/>
        <c:tickLblPos val="nextTo"/>
        <c:crossAx val="191545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Диаг5!$B$56</c:f>
              <c:strCache>
                <c:ptCount val="1"/>
                <c:pt idx="0">
                  <c:v>Показатель отношения дебиторской задолженности к совокупным активам</c:v>
                </c:pt>
              </c:strCache>
            </c:strRef>
          </c:tx>
          <c:marker>
            <c:symbol val="none"/>
          </c:marker>
          <c:cat>
            <c:strRef>
              <c:f>Диаг5!$C$52:$E$52</c:f>
              <c:strCache>
                <c:ptCount val="3"/>
                <c:pt idx="0">
                  <c:v>2013г.</c:v>
                </c:pt>
                <c:pt idx="1">
                  <c:v>2014г.</c:v>
                </c:pt>
                <c:pt idx="2">
                  <c:v>2015г.</c:v>
                </c:pt>
              </c:strCache>
            </c:strRef>
          </c:cat>
          <c:val>
            <c:numRef>
              <c:f>Диаг5!$C$56:$E$56</c:f>
              <c:numCache>
                <c:formatCode>_-* #\ ##0.00_р_._-;\-* #\ ##0.00_р_._-;_-* "-"??_р_._-;_-@_-</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CEE2-4D2C-A306-BED23EE6CF2F}"/>
            </c:ext>
          </c:extLst>
        </c:ser>
        <c:dLbls>
          <c:showLegendKey val="0"/>
          <c:showVal val="0"/>
          <c:showCatName val="0"/>
          <c:showSerName val="0"/>
          <c:showPercent val="0"/>
          <c:showBubbleSize val="0"/>
        </c:dLbls>
        <c:smooth val="0"/>
        <c:axId val="191546248"/>
        <c:axId val="191551736"/>
      </c:lineChart>
      <c:catAx>
        <c:axId val="191546248"/>
        <c:scaling>
          <c:orientation val="minMax"/>
        </c:scaling>
        <c:delete val="0"/>
        <c:axPos val="b"/>
        <c:numFmt formatCode="General" sourceLinked="0"/>
        <c:majorTickMark val="out"/>
        <c:minorTickMark val="none"/>
        <c:tickLblPos val="nextTo"/>
        <c:crossAx val="191551736"/>
        <c:crosses val="autoZero"/>
        <c:auto val="1"/>
        <c:lblAlgn val="ctr"/>
        <c:lblOffset val="100"/>
        <c:noMultiLvlLbl val="0"/>
      </c:catAx>
      <c:valAx>
        <c:axId val="191551736"/>
        <c:scaling>
          <c:orientation val="minMax"/>
        </c:scaling>
        <c:delete val="0"/>
        <c:axPos val="l"/>
        <c:majorGridlines/>
        <c:numFmt formatCode="_-* #\ ##0.00_р_._-;\-* #\ ##0.00_р_._-;_-* &quot;-&quot;??_р_._-;_-@_-" sourceLinked="1"/>
        <c:majorTickMark val="out"/>
        <c:minorTickMark val="none"/>
        <c:tickLblPos val="nextTo"/>
        <c:crossAx val="1915462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Диаг5!$B$84</c:f>
              <c:strCache>
                <c:ptCount val="1"/>
                <c:pt idx="0">
                  <c:v>Рентабельность активов</c:v>
                </c:pt>
              </c:strCache>
            </c:strRef>
          </c:tx>
          <c:marker>
            <c:symbol val="none"/>
          </c:marker>
          <c:cat>
            <c:strRef>
              <c:f>Диаг5!$C$83:$E$83</c:f>
              <c:strCache>
                <c:ptCount val="3"/>
                <c:pt idx="0">
                  <c:v>2013г.</c:v>
                </c:pt>
                <c:pt idx="1">
                  <c:v>2014г.</c:v>
                </c:pt>
                <c:pt idx="2">
                  <c:v>2015г.</c:v>
                </c:pt>
              </c:strCache>
            </c:strRef>
          </c:cat>
          <c:val>
            <c:numRef>
              <c:f>Диаг5!$C$84:$E$84</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0-8222-469E-82E2-5EEC3B132205}"/>
            </c:ext>
          </c:extLst>
        </c:ser>
        <c:ser>
          <c:idx val="1"/>
          <c:order val="1"/>
          <c:tx>
            <c:strRef>
              <c:f>Диаг5!$B$85</c:f>
              <c:strCache>
                <c:ptCount val="1"/>
                <c:pt idx="0">
                  <c:v>Норма чистой прибыли</c:v>
                </c:pt>
              </c:strCache>
            </c:strRef>
          </c:tx>
          <c:marker>
            <c:symbol val="none"/>
          </c:marker>
          <c:cat>
            <c:strRef>
              <c:f>Диаг5!$C$83:$E$83</c:f>
              <c:strCache>
                <c:ptCount val="3"/>
                <c:pt idx="0">
                  <c:v>2013г.</c:v>
                </c:pt>
                <c:pt idx="1">
                  <c:v>2014г.</c:v>
                </c:pt>
                <c:pt idx="2">
                  <c:v>2015г.</c:v>
                </c:pt>
              </c:strCache>
            </c:strRef>
          </c:cat>
          <c:val>
            <c:numRef>
              <c:f>Диаг5!$C$85:$E$85</c:f>
              <c:numCache>
                <c:formatCode>0.0%</c:formatCode>
                <c:ptCount val="3"/>
                <c:pt idx="0">
                  <c:v>0</c:v>
                </c:pt>
                <c:pt idx="1">
                  <c:v>0</c:v>
                </c:pt>
                <c:pt idx="2">
                  <c:v>0</c:v>
                </c:pt>
              </c:numCache>
            </c:numRef>
          </c:val>
          <c:smooth val="0"/>
          <c:extLst xmlns:c16r2="http://schemas.microsoft.com/office/drawing/2015/06/chart">
            <c:ext xmlns:c16="http://schemas.microsoft.com/office/drawing/2014/chart" uri="{C3380CC4-5D6E-409C-BE32-E72D297353CC}">
              <c16:uniqueId val="{00000001-8222-469E-82E2-5EEC3B132205}"/>
            </c:ext>
          </c:extLst>
        </c:ser>
        <c:dLbls>
          <c:showLegendKey val="0"/>
          <c:showVal val="0"/>
          <c:showCatName val="0"/>
          <c:showSerName val="0"/>
          <c:showPercent val="0"/>
          <c:showBubbleSize val="0"/>
        </c:dLbls>
        <c:smooth val="0"/>
        <c:axId val="191545464"/>
        <c:axId val="191547032"/>
      </c:lineChart>
      <c:catAx>
        <c:axId val="191545464"/>
        <c:scaling>
          <c:orientation val="minMax"/>
        </c:scaling>
        <c:delete val="0"/>
        <c:axPos val="b"/>
        <c:numFmt formatCode="General" sourceLinked="0"/>
        <c:majorTickMark val="out"/>
        <c:minorTickMark val="none"/>
        <c:tickLblPos val="nextTo"/>
        <c:crossAx val="191547032"/>
        <c:crosses val="autoZero"/>
        <c:auto val="1"/>
        <c:lblAlgn val="ctr"/>
        <c:lblOffset val="100"/>
        <c:noMultiLvlLbl val="0"/>
      </c:catAx>
      <c:valAx>
        <c:axId val="191547032"/>
        <c:scaling>
          <c:orientation val="minMax"/>
        </c:scaling>
        <c:delete val="0"/>
        <c:axPos val="l"/>
        <c:majorGridlines/>
        <c:numFmt formatCode="0.0%" sourceLinked="1"/>
        <c:majorTickMark val="out"/>
        <c:minorTickMark val="none"/>
        <c:tickLblPos val="nextTo"/>
        <c:crossAx val="1915454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view3D>
    <c:floor>
      <c:thickness val="0"/>
    </c:floor>
    <c:sideWall>
      <c:thickness val="0"/>
    </c:sideWall>
    <c:backWall>
      <c:thickness val="0"/>
    </c:backWall>
    <c:plotArea>
      <c:layout/>
      <c:bar3DChart>
        <c:barDir val="col"/>
        <c:grouping val="clustered"/>
        <c:varyColors val="0"/>
        <c:ser>
          <c:idx val="0"/>
          <c:order val="0"/>
          <c:invertIfNegative val="0"/>
          <c:cat>
            <c:strRef>
              <c:f>Фактор1!$H$22:$H$26</c:f>
              <c:strCache>
                <c:ptCount val="5"/>
                <c:pt idx="0">
                  <c:v>Dр1</c:v>
                </c:pt>
                <c:pt idx="1">
                  <c:v>Dр2</c:v>
                </c:pt>
                <c:pt idx="2">
                  <c:v>Dр3</c:v>
                </c:pt>
                <c:pt idx="3">
                  <c:v>Dр4</c:v>
                </c:pt>
                <c:pt idx="4">
                  <c:v>Dр5</c:v>
                </c:pt>
              </c:strCache>
            </c:strRef>
          </c:cat>
          <c:val>
            <c:numRef>
              <c:f>Фактор1!$I$22:$I$26</c:f>
              <c:numCache>
                <c:formatCode>#\ ##0_ ;[Red]\-#\ ##0\ </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20-45E5-B63D-0A6513C44521}"/>
            </c:ext>
          </c:extLst>
        </c:ser>
        <c:dLbls>
          <c:showLegendKey val="0"/>
          <c:showVal val="0"/>
          <c:showCatName val="0"/>
          <c:showSerName val="0"/>
          <c:showPercent val="0"/>
          <c:showBubbleSize val="0"/>
        </c:dLbls>
        <c:gapWidth val="150"/>
        <c:shape val="cylinder"/>
        <c:axId val="191547816"/>
        <c:axId val="191548208"/>
        <c:axId val="0"/>
      </c:bar3DChart>
      <c:catAx>
        <c:axId val="191547816"/>
        <c:scaling>
          <c:orientation val="minMax"/>
        </c:scaling>
        <c:delete val="0"/>
        <c:axPos val="b"/>
        <c:majorGridlines/>
        <c:numFmt formatCode="General" sourceLinked="0"/>
        <c:majorTickMark val="out"/>
        <c:minorTickMark val="none"/>
        <c:tickLblPos val="nextTo"/>
        <c:crossAx val="191548208"/>
        <c:crosses val="autoZero"/>
        <c:auto val="1"/>
        <c:lblAlgn val="ctr"/>
        <c:lblOffset val="100"/>
        <c:noMultiLvlLbl val="0"/>
      </c:catAx>
      <c:valAx>
        <c:axId val="191548208"/>
        <c:scaling>
          <c:orientation val="minMax"/>
        </c:scaling>
        <c:delete val="0"/>
        <c:axPos val="l"/>
        <c:majorGridlines/>
        <c:numFmt formatCode="#\ ##0_ ;[Red]\-#\ ##0\ " sourceLinked="1"/>
        <c:majorTickMark val="out"/>
        <c:minorTickMark val="none"/>
        <c:tickLblPos val="nextTo"/>
        <c:crossAx val="191547816"/>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Фактор2!$H$16:$H$20</c:f>
              <c:strCache>
                <c:ptCount val="5"/>
                <c:pt idx="0">
                  <c:v>Dр1</c:v>
                </c:pt>
                <c:pt idx="1">
                  <c:v>Dр2</c:v>
                </c:pt>
                <c:pt idx="2">
                  <c:v>Dр3</c:v>
                </c:pt>
                <c:pt idx="3">
                  <c:v>Dр4</c:v>
                </c:pt>
                <c:pt idx="4">
                  <c:v>Dр5</c:v>
                </c:pt>
              </c:strCache>
            </c:strRef>
          </c:cat>
          <c:val>
            <c:numRef>
              <c:f>Фактор2!$I$16:$I$20</c:f>
              <c:numCache>
                <c:formatCode>#\ ##0_ ;[Red]\-#\ ##0\ </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C5-41F4-A023-9FDECDFD60B1}"/>
            </c:ext>
          </c:extLst>
        </c:ser>
        <c:dLbls>
          <c:showLegendKey val="0"/>
          <c:showVal val="0"/>
          <c:showCatName val="0"/>
          <c:showSerName val="0"/>
          <c:showPercent val="0"/>
          <c:showBubbleSize val="0"/>
        </c:dLbls>
        <c:gapWidth val="150"/>
        <c:shape val="cylinder"/>
        <c:axId val="191548992"/>
        <c:axId val="191551344"/>
        <c:axId val="0"/>
      </c:bar3DChart>
      <c:catAx>
        <c:axId val="191548992"/>
        <c:scaling>
          <c:orientation val="minMax"/>
        </c:scaling>
        <c:delete val="0"/>
        <c:axPos val="b"/>
        <c:numFmt formatCode="General" sourceLinked="0"/>
        <c:majorTickMark val="out"/>
        <c:minorTickMark val="none"/>
        <c:tickLblPos val="nextTo"/>
        <c:crossAx val="191551344"/>
        <c:crosses val="autoZero"/>
        <c:auto val="1"/>
        <c:lblAlgn val="ctr"/>
        <c:lblOffset val="100"/>
        <c:noMultiLvlLbl val="0"/>
      </c:catAx>
      <c:valAx>
        <c:axId val="191551344"/>
        <c:scaling>
          <c:orientation val="minMax"/>
        </c:scaling>
        <c:delete val="0"/>
        <c:axPos val="l"/>
        <c:majorGridlines/>
        <c:numFmt formatCode="#\ ##0_ ;[Red]\-#\ ##0\ " sourceLinked="1"/>
        <c:majorTickMark val="out"/>
        <c:minorTickMark val="none"/>
        <c:tickLblPos val="nextTo"/>
        <c:crossAx val="19154899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Фактор3!$G$21:$G$24</c:f>
              <c:strCache>
                <c:ptCount val="4"/>
                <c:pt idx="0">
                  <c:v>DRx</c:v>
                </c:pt>
                <c:pt idx="1">
                  <c:v>DRy</c:v>
                </c:pt>
                <c:pt idx="2">
                  <c:v>DRz</c:v>
                </c:pt>
                <c:pt idx="3">
                  <c:v>DRl</c:v>
                </c:pt>
              </c:strCache>
            </c:strRef>
          </c:cat>
          <c:val>
            <c:numRef>
              <c:f>Фактор3!$H$21:$H$24</c:f>
              <c:numCache>
                <c:formatCode>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88E1-4C3A-A892-245207AA7093}"/>
            </c:ext>
          </c:extLst>
        </c:ser>
        <c:dLbls>
          <c:showLegendKey val="0"/>
          <c:showVal val="0"/>
          <c:showCatName val="0"/>
          <c:showSerName val="0"/>
          <c:showPercent val="0"/>
          <c:showBubbleSize val="0"/>
        </c:dLbls>
        <c:gapWidth val="150"/>
        <c:shape val="cylinder"/>
        <c:axId val="191544680"/>
        <c:axId val="191545072"/>
        <c:axId val="0"/>
      </c:bar3DChart>
      <c:catAx>
        <c:axId val="191544680"/>
        <c:scaling>
          <c:orientation val="minMax"/>
        </c:scaling>
        <c:delete val="0"/>
        <c:axPos val="b"/>
        <c:numFmt formatCode="General" sourceLinked="0"/>
        <c:majorTickMark val="out"/>
        <c:minorTickMark val="none"/>
        <c:tickLblPos val="nextTo"/>
        <c:crossAx val="191545072"/>
        <c:crosses val="autoZero"/>
        <c:auto val="1"/>
        <c:lblAlgn val="ctr"/>
        <c:lblOffset val="100"/>
        <c:noMultiLvlLbl val="0"/>
      </c:catAx>
      <c:valAx>
        <c:axId val="191545072"/>
        <c:scaling>
          <c:orientation val="minMax"/>
        </c:scaling>
        <c:delete val="0"/>
        <c:axPos val="l"/>
        <c:majorGridlines/>
        <c:numFmt formatCode="0.0%" sourceLinked="1"/>
        <c:majorTickMark val="out"/>
        <c:minorTickMark val="none"/>
        <c:tickLblPos val="nextTo"/>
        <c:crossAx val="19154468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Фактор5!$G$32:$G$33</c:f>
              <c:strCache>
                <c:ptCount val="2"/>
                <c:pt idx="0">
                  <c:v>DRп</c:v>
                </c:pt>
                <c:pt idx="1">
                  <c:v>DRск</c:v>
                </c:pt>
              </c:strCache>
            </c:strRef>
          </c:cat>
          <c:val>
            <c:numRef>
              <c:f>Фактор5!$H$32:$H$33</c:f>
              <c:numCache>
                <c:formatCode>0.0%</c:formatCode>
                <c:ptCount val="2"/>
                <c:pt idx="0">
                  <c:v>0</c:v>
                </c:pt>
                <c:pt idx="1">
                  <c:v>0</c:v>
                </c:pt>
              </c:numCache>
            </c:numRef>
          </c:val>
          <c:extLst xmlns:c16r2="http://schemas.microsoft.com/office/drawing/2015/06/chart">
            <c:ext xmlns:c16="http://schemas.microsoft.com/office/drawing/2014/chart" uri="{C3380CC4-5D6E-409C-BE32-E72D297353CC}">
              <c16:uniqueId val="{00000000-2256-4324-9861-F7AFB2096DF9}"/>
            </c:ext>
          </c:extLst>
        </c:ser>
        <c:dLbls>
          <c:showLegendKey val="0"/>
          <c:showVal val="0"/>
          <c:showCatName val="0"/>
          <c:showSerName val="0"/>
          <c:showPercent val="0"/>
          <c:showBubbleSize val="0"/>
        </c:dLbls>
        <c:gapWidth val="150"/>
        <c:shape val="cylinder"/>
        <c:axId val="191991032"/>
        <c:axId val="191988288"/>
        <c:axId val="0"/>
      </c:bar3DChart>
      <c:catAx>
        <c:axId val="191991032"/>
        <c:scaling>
          <c:orientation val="minMax"/>
        </c:scaling>
        <c:delete val="0"/>
        <c:axPos val="b"/>
        <c:numFmt formatCode="General" sourceLinked="0"/>
        <c:majorTickMark val="out"/>
        <c:minorTickMark val="none"/>
        <c:tickLblPos val="nextTo"/>
        <c:crossAx val="191988288"/>
        <c:crosses val="autoZero"/>
        <c:auto val="1"/>
        <c:lblAlgn val="ctr"/>
        <c:lblOffset val="100"/>
        <c:noMultiLvlLbl val="0"/>
      </c:catAx>
      <c:valAx>
        <c:axId val="191988288"/>
        <c:scaling>
          <c:orientation val="minMax"/>
        </c:scaling>
        <c:delete val="0"/>
        <c:axPos val="l"/>
        <c:majorGridlines/>
        <c:numFmt formatCode="0.0%" sourceLinked="1"/>
        <c:majorTickMark val="out"/>
        <c:minorTickMark val="none"/>
        <c:tickLblPos val="nextTo"/>
        <c:crossAx val="19199103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ru-RU" sz="1200"/>
              <a:t>Структура внеоборотных активов</a:t>
            </a:r>
          </a:p>
        </c:rich>
      </c:tx>
      <c:overlay val="0"/>
    </c:title>
    <c:autoTitleDeleted val="0"/>
    <c:plotArea>
      <c:layout/>
      <c:barChart>
        <c:barDir val="col"/>
        <c:grouping val="stacked"/>
        <c:varyColors val="0"/>
        <c:ser>
          <c:idx val="0"/>
          <c:order val="0"/>
          <c:tx>
            <c:strRef>
              <c:f>Струк2!$B$26</c:f>
              <c:strCache>
                <c:ptCount val="1"/>
                <c:pt idx="0">
                  <c:v>Нематериальные активы</c:v>
                </c:pt>
              </c:strCache>
            </c:strRef>
          </c:tx>
          <c:invertIfNegative val="0"/>
          <c:cat>
            <c:strRef>
              <c:f>Струк2!$C$25:$D$25</c:f>
              <c:strCache>
                <c:ptCount val="2"/>
                <c:pt idx="0">
                  <c:v>на начало года</c:v>
                </c:pt>
                <c:pt idx="1">
                  <c:v>на конец года</c:v>
                </c:pt>
              </c:strCache>
            </c:strRef>
          </c:cat>
          <c:val>
            <c:numRef>
              <c:f>Струк2!$C$26:$D$26</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0-1904-4360-83DA-2792E464C66A}"/>
            </c:ext>
          </c:extLst>
        </c:ser>
        <c:ser>
          <c:idx val="1"/>
          <c:order val="1"/>
          <c:tx>
            <c:strRef>
              <c:f>Струк2!$B$27</c:f>
              <c:strCache>
                <c:ptCount val="1"/>
                <c:pt idx="0">
                  <c:v>Основные средства</c:v>
                </c:pt>
              </c:strCache>
            </c:strRef>
          </c:tx>
          <c:invertIfNegative val="0"/>
          <c:cat>
            <c:strRef>
              <c:f>Струк2!$C$25:$D$25</c:f>
              <c:strCache>
                <c:ptCount val="2"/>
                <c:pt idx="0">
                  <c:v>на начало года</c:v>
                </c:pt>
                <c:pt idx="1">
                  <c:v>на конец года</c:v>
                </c:pt>
              </c:strCache>
            </c:strRef>
          </c:cat>
          <c:val>
            <c:numRef>
              <c:f>Струк2!$C$27:$D$27</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1-1904-4360-83DA-2792E464C66A}"/>
            </c:ext>
          </c:extLst>
        </c:ser>
        <c:ser>
          <c:idx val="2"/>
          <c:order val="2"/>
          <c:tx>
            <c:strRef>
              <c:f>Струк2!$B$28</c:f>
              <c:strCache>
                <c:ptCount val="1"/>
                <c:pt idx="0">
                  <c:v>Долгосрочные финансовые вложения </c:v>
                </c:pt>
              </c:strCache>
            </c:strRef>
          </c:tx>
          <c:invertIfNegative val="0"/>
          <c:cat>
            <c:strRef>
              <c:f>Струк2!$C$25:$D$25</c:f>
              <c:strCache>
                <c:ptCount val="2"/>
                <c:pt idx="0">
                  <c:v>на начало года</c:v>
                </c:pt>
                <c:pt idx="1">
                  <c:v>на конец года</c:v>
                </c:pt>
              </c:strCache>
            </c:strRef>
          </c:cat>
          <c:val>
            <c:numRef>
              <c:f>Струк2!$C$28:$D$28</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2-1904-4360-83DA-2792E464C66A}"/>
            </c:ext>
          </c:extLst>
        </c:ser>
        <c:ser>
          <c:idx val="3"/>
          <c:order val="3"/>
          <c:tx>
            <c:strRef>
              <c:f>Струк2!$B$29</c:f>
              <c:strCache>
                <c:ptCount val="1"/>
                <c:pt idx="0">
                  <c:v>Прочие внеоборотные активы</c:v>
                </c:pt>
              </c:strCache>
            </c:strRef>
          </c:tx>
          <c:invertIfNegative val="0"/>
          <c:cat>
            <c:strRef>
              <c:f>Струк2!$C$25:$D$25</c:f>
              <c:strCache>
                <c:ptCount val="2"/>
                <c:pt idx="0">
                  <c:v>на начало года</c:v>
                </c:pt>
                <c:pt idx="1">
                  <c:v>на конец года</c:v>
                </c:pt>
              </c:strCache>
            </c:strRef>
          </c:cat>
          <c:val>
            <c:numRef>
              <c:f>Струк2!$C$29:$D$29</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3-1904-4360-83DA-2792E464C66A}"/>
            </c:ext>
          </c:extLst>
        </c:ser>
        <c:dLbls>
          <c:showLegendKey val="0"/>
          <c:showVal val="0"/>
          <c:showCatName val="0"/>
          <c:showSerName val="0"/>
          <c:showPercent val="0"/>
          <c:showBubbleSize val="0"/>
        </c:dLbls>
        <c:gapWidth val="75"/>
        <c:overlap val="100"/>
        <c:axId val="138392856"/>
        <c:axId val="138393248"/>
      </c:barChart>
      <c:catAx>
        <c:axId val="138392856"/>
        <c:scaling>
          <c:orientation val="minMax"/>
        </c:scaling>
        <c:delete val="0"/>
        <c:axPos val="b"/>
        <c:numFmt formatCode="General" sourceLinked="0"/>
        <c:majorTickMark val="none"/>
        <c:minorTickMark val="none"/>
        <c:tickLblPos val="nextTo"/>
        <c:crossAx val="138393248"/>
        <c:crosses val="autoZero"/>
        <c:auto val="1"/>
        <c:lblAlgn val="ctr"/>
        <c:lblOffset val="100"/>
        <c:noMultiLvlLbl val="0"/>
      </c:catAx>
      <c:valAx>
        <c:axId val="138393248"/>
        <c:scaling>
          <c:orientation val="minMax"/>
        </c:scaling>
        <c:delete val="0"/>
        <c:axPos val="l"/>
        <c:majorGridlines/>
        <c:numFmt formatCode="#\ ##0_ ;[Red]\-#\ ##0\ " sourceLinked="1"/>
        <c:majorTickMark val="none"/>
        <c:minorTickMark val="none"/>
        <c:tickLblPos val="nextTo"/>
        <c:spPr>
          <a:ln w="9525">
            <a:noFill/>
          </a:ln>
        </c:spPr>
        <c:crossAx val="138392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Фактор5!$G$20:$G$23</c:f>
              <c:strCache>
                <c:ptCount val="4"/>
                <c:pt idx="0">
                  <c:v>DRчп</c:v>
                </c:pt>
                <c:pt idx="1">
                  <c:v>DRмк</c:v>
                </c:pt>
                <c:pt idx="2">
                  <c:v>DRКоб</c:v>
                </c:pt>
                <c:pt idx="3">
                  <c:v>DRоб</c:v>
                </c:pt>
              </c:strCache>
            </c:strRef>
          </c:cat>
          <c:val>
            <c:numRef>
              <c:f>Фактор5!$H$20:$H$23</c:f>
              <c:numCache>
                <c:formatCode>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AC55-49FD-9E7B-A631B8AF9B8B}"/>
            </c:ext>
          </c:extLst>
        </c:ser>
        <c:dLbls>
          <c:showLegendKey val="0"/>
          <c:showVal val="0"/>
          <c:showCatName val="0"/>
          <c:showSerName val="0"/>
          <c:showPercent val="0"/>
          <c:showBubbleSize val="0"/>
        </c:dLbls>
        <c:gapWidth val="150"/>
        <c:shape val="cylinder"/>
        <c:axId val="191984760"/>
        <c:axId val="191991816"/>
        <c:axId val="0"/>
      </c:bar3DChart>
      <c:catAx>
        <c:axId val="191984760"/>
        <c:scaling>
          <c:orientation val="minMax"/>
        </c:scaling>
        <c:delete val="0"/>
        <c:axPos val="b"/>
        <c:numFmt formatCode="General" sourceLinked="0"/>
        <c:majorTickMark val="out"/>
        <c:minorTickMark val="none"/>
        <c:tickLblPos val="nextTo"/>
        <c:crossAx val="191991816"/>
        <c:crosses val="autoZero"/>
        <c:auto val="1"/>
        <c:lblAlgn val="ctr"/>
        <c:lblOffset val="100"/>
        <c:noMultiLvlLbl val="0"/>
      </c:catAx>
      <c:valAx>
        <c:axId val="191991816"/>
        <c:scaling>
          <c:orientation val="minMax"/>
        </c:scaling>
        <c:delete val="0"/>
        <c:axPos val="l"/>
        <c:majorGridlines/>
        <c:numFmt formatCode="0.0%" sourceLinked="1"/>
        <c:majorTickMark val="out"/>
        <c:minorTickMark val="none"/>
        <c:tickLblPos val="nextTo"/>
        <c:crossAx val="19198476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ru-RU" sz="1200"/>
              <a:t>Структура оборотных активов</a:t>
            </a:r>
          </a:p>
        </c:rich>
      </c:tx>
      <c:overlay val="0"/>
    </c:title>
    <c:autoTitleDeleted val="0"/>
    <c:plotArea>
      <c:layout/>
      <c:barChart>
        <c:barDir val="col"/>
        <c:grouping val="stacked"/>
        <c:varyColors val="0"/>
        <c:ser>
          <c:idx val="0"/>
          <c:order val="0"/>
          <c:tx>
            <c:strRef>
              <c:f>Струк2!$B$35</c:f>
              <c:strCache>
                <c:ptCount val="1"/>
                <c:pt idx="0">
                  <c:v>Запасы и затраты, в т.ч. НДС</c:v>
                </c:pt>
              </c:strCache>
            </c:strRef>
          </c:tx>
          <c:invertIfNegative val="0"/>
          <c:cat>
            <c:strRef>
              <c:f>Струк2!$C$34:$D$34</c:f>
              <c:strCache>
                <c:ptCount val="2"/>
                <c:pt idx="0">
                  <c:v>на начало года</c:v>
                </c:pt>
                <c:pt idx="1">
                  <c:v>на конец года</c:v>
                </c:pt>
              </c:strCache>
            </c:strRef>
          </c:cat>
          <c:val>
            <c:numRef>
              <c:f>Струк2!$C$35:$D$35</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0-FA32-43AF-B503-02771F4EB83C}"/>
            </c:ext>
          </c:extLst>
        </c:ser>
        <c:ser>
          <c:idx val="1"/>
          <c:order val="1"/>
          <c:tx>
            <c:strRef>
              <c:f>Струк2!$B$36</c:f>
              <c:strCache>
                <c:ptCount val="1"/>
                <c:pt idx="0">
                  <c:v>Дебиторская задолженность</c:v>
                </c:pt>
              </c:strCache>
            </c:strRef>
          </c:tx>
          <c:invertIfNegative val="0"/>
          <c:cat>
            <c:strRef>
              <c:f>Струк2!$C$34:$D$34</c:f>
              <c:strCache>
                <c:ptCount val="2"/>
                <c:pt idx="0">
                  <c:v>на начало года</c:v>
                </c:pt>
                <c:pt idx="1">
                  <c:v>на конец года</c:v>
                </c:pt>
              </c:strCache>
            </c:strRef>
          </c:cat>
          <c:val>
            <c:numRef>
              <c:f>Струк2!$C$36:$D$36</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1-FA32-43AF-B503-02771F4EB83C}"/>
            </c:ext>
          </c:extLst>
        </c:ser>
        <c:ser>
          <c:idx val="2"/>
          <c:order val="2"/>
          <c:tx>
            <c:strRef>
              <c:f>Струк2!$B$37</c:f>
              <c:strCache>
                <c:ptCount val="1"/>
                <c:pt idx="0">
                  <c:v>Краткосрочные финансовые вложения</c:v>
                </c:pt>
              </c:strCache>
            </c:strRef>
          </c:tx>
          <c:invertIfNegative val="0"/>
          <c:cat>
            <c:strRef>
              <c:f>Струк2!$C$34:$D$34</c:f>
              <c:strCache>
                <c:ptCount val="2"/>
                <c:pt idx="0">
                  <c:v>на начало года</c:v>
                </c:pt>
                <c:pt idx="1">
                  <c:v>на конец года</c:v>
                </c:pt>
              </c:strCache>
            </c:strRef>
          </c:cat>
          <c:val>
            <c:numRef>
              <c:f>Струк2!$C$37:$D$37</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2-FA32-43AF-B503-02771F4EB83C}"/>
            </c:ext>
          </c:extLst>
        </c:ser>
        <c:ser>
          <c:idx val="3"/>
          <c:order val="3"/>
          <c:tx>
            <c:strRef>
              <c:f>Струк2!$B$38</c:f>
              <c:strCache>
                <c:ptCount val="1"/>
                <c:pt idx="0">
                  <c:v>Денежные средства</c:v>
                </c:pt>
              </c:strCache>
            </c:strRef>
          </c:tx>
          <c:invertIfNegative val="0"/>
          <c:cat>
            <c:strRef>
              <c:f>Струк2!$C$34:$D$34</c:f>
              <c:strCache>
                <c:ptCount val="2"/>
                <c:pt idx="0">
                  <c:v>на начало года</c:v>
                </c:pt>
                <c:pt idx="1">
                  <c:v>на конец года</c:v>
                </c:pt>
              </c:strCache>
            </c:strRef>
          </c:cat>
          <c:val>
            <c:numRef>
              <c:f>Струк2!$C$38:$D$38</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3-FA32-43AF-B503-02771F4EB83C}"/>
            </c:ext>
          </c:extLst>
        </c:ser>
        <c:ser>
          <c:idx val="4"/>
          <c:order val="4"/>
          <c:tx>
            <c:strRef>
              <c:f>Струк2!$B$39</c:f>
              <c:strCache>
                <c:ptCount val="1"/>
                <c:pt idx="0">
                  <c:v>Прочие оборотные активы</c:v>
                </c:pt>
              </c:strCache>
            </c:strRef>
          </c:tx>
          <c:invertIfNegative val="0"/>
          <c:cat>
            <c:strRef>
              <c:f>Струк2!$C$34:$D$34</c:f>
              <c:strCache>
                <c:ptCount val="2"/>
                <c:pt idx="0">
                  <c:v>на начало года</c:v>
                </c:pt>
                <c:pt idx="1">
                  <c:v>на конец года</c:v>
                </c:pt>
              </c:strCache>
            </c:strRef>
          </c:cat>
          <c:val>
            <c:numRef>
              <c:f>Струк2!$C$39:$D$39</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4-FA32-43AF-B503-02771F4EB83C}"/>
            </c:ext>
          </c:extLst>
        </c:ser>
        <c:dLbls>
          <c:showLegendKey val="0"/>
          <c:showVal val="0"/>
          <c:showCatName val="0"/>
          <c:showSerName val="0"/>
          <c:showPercent val="0"/>
          <c:showBubbleSize val="0"/>
        </c:dLbls>
        <c:gapWidth val="75"/>
        <c:overlap val="100"/>
        <c:axId val="188979736"/>
        <c:axId val="188975816"/>
      </c:barChart>
      <c:catAx>
        <c:axId val="188979736"/>
        <c:scaling>
          <c:orientation val="minMax"/>
        </c:scaling>
        <c:delete val="0"/>
        <c:axPos val="b"/>
        <c:numFmt formatCode="General" sourceLinked="0"/>
        <c:majorTickMark val="none"/>
        <c:minorTickMark val="none"/>
        <c:tickLblPos val="nextTo"/>
        <c:crossAx val="188975816"/>
        <c:crosses val="autoZero"/>
        <c:auto val="1"/>
        <c:lblAlgn val="ctr"/>
        <c:lblOffset val="100"/>
        <c:noMultiLvlLbl val="0"/>
      </c:catAx>
      <c:valAx>
        <c:axId val="188975816"/>
        <c:scaling>
          <c:orientation val="minMax"/>
        </c:scaling>
        <c:delete val="0"/>
        <c:axPos val="l"/>
        <c:majorGridlines/>
        <c:numFmt formatCode="#\ ##0_ ;[Red]\-#\ ##0\ " sourceLinked="1"/>
        <c:majorTickMark val="none"/>
        <c:minorTickMark val="none"/>
        <c:tickLblPos val="nextTo"/>
        <c:spPr>
          <a:ln w="9525">
            <a:noFill/>
          </a:ln>
        </c:spPr>
        <c:crossAx val="188979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b="1" i="0" baseline="0">
                <a:effectLst/>
              </a:rPr>
              <a:t>Структура пассивов на начало периода</a:t>
            </a:r>
            <a:endParaRPr lang="ru-RU" sz="1400">
              <a:effectLst/>
            </a:endParaRPr>
          </a:p>
        </c:rich>
      </c:tx>
      <c:overlay val="0"/>
    </c:title>
    <c:autoTitleDeleted val="0"/>
    <c:plotArea>
      <c:layout>
        <c:manualLayout>
          <c:layoutTarget val="inner"/>
          <c:xMode val="edge"/>
          <c:yMode val="edge"/>
          <c:x val="8.6857174103237095E-2"/>
          <c:y val="0.15989391951006124"/>
          <c:w val="0.47906364829396325"/>
          <c:h val="0.79380978419364245"/>
        </c:manualLayout>
      </c:layout>
      <c:pie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Струк2!$B$59:$B$61</c:f>
              <c:strCache>
                <c:ptCount val="3"/>
                <c:pt idx="0">
                  <c:v>Собственный капитал</c:v>
                </c:pt>
                <c:pt idx="1">
                  <c:v>Заемные долгосрочные средства</c:v>
                </c:pt>
                <c:pt idx="2">
                  <c:v>Заемные краткосрочные средства</c:v>
                </c:pt>
              </c:strCache>
            </c:strRef>
          </c:cat>
          <c:val>
            <c:numRef>
              <c:f>Струк2!$C$59:$C$61</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C5A5-41DC-A7F9-C946B6B3194E}"/>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b="1" i="0" baseline="0">
                <a:effectLst/>
              </a:rPr>
              <a:t>Структура пассивов на конец периода</a:t>
            </a:r>
            <a:endParaRPr lang="ru-RU" sz="1400">
              <a:effectLst/>
            </a:endParaRPr>
          </a:p>
        </c:rich>
      </c:tx>
      <c:overlay val="0"/>
    </c:title>
    <c:autoTitleDeleted val="0"/>
    <c:plotArea>
      <c:layout>
        <c:manualLayout>
          <c:layoutTarget val="inner"/>
          <c:xMode val="edge"/>
          <c:yMode val="edge"/>
          <c:x val="8.6857174103237095E-2"/>
          <c:y val="0.15989391951006124"/>
          <c:w val="0.47906364829396325"/>
          <c:h val="0.79380978419364245"/>
        </c:manualLayout>
      </c:layout>
      <c:pieChart>
        <c:varyColors val="1"/>
        <c:ser>
          <c:idx val="0"/>
          <c:order val="0"/>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Струк2!$B$59:$B$61</c:f>
              <c:strCache>
                <c:ptCount val="3"/>
                <c:pt idx="0">
                  <c:v>Собственный капитал</c:v>
                </c:pt>
                <c:pt idx="1">
                  <c:v>Заемные долгосрочные средства</c:v>
                </c:pt>
                <c:pt idx="2">
                  <c:v>Заемные краткосрочные средства</c:v>
                </c:pt>
              </c:strCache>
            </c:strRef>
          </c:cat>
          <c:val>
            <c:numRef>
              <c:f>Струк2!$D$59:$D$61</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474C-41EC-8934-35614E5D9C86}"/>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ru-RU" sz="1200"/>
              <a:t>Структура заемных средств</a:t>
            </a:r>
          </a:p>
        </c:rich>
      </c:tx>
      <c:overlay val="0"/>
    </c:title>
    <c:autoTitleDeleted val="0"/>
    <c:plotArea>
      <c:layout/>
      <c:barChart>
        <c:barDir val="col"/>
        <c:grouping val="stacked"/>
        <c:varyColors val="0"/>
        <c:ser>
          <c:idx val="0"/>
          <c:order val="0"/>
          <c:tx>
            <c:strRef>
              <c:f>Струк2!$B$70</c:f>
              <c:strCache>
                <c:ptCount val="1"/>
                <c:pt idx="0">
                  <c:v>Долгосрочные заемные средства</c:v>
                </c:pt>
              </c:strCache>
            </c:strRef>
          </c:tx>
          <c:invertIfNegative val="0"/>
          <c:cat>
            <c:strRef>
              <c:f>Струк2!$C$69:$D$69</c:f>
              <c:strCache>
                <c:ptCount val="2"/>
                <c:pt idx="0">
                  <c:v>на начало года</c:v>
                </c:pt>
                <c:pt idx="1">
                  <c:v>на конец года</c:v>
                </c:pt>
              </c:strCache>
            </c:strRef>
          </c:cat>
          <c:val>
            <c:numRef>
              <c:f>Струк2!$C$70:$D$70</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0-9090-47B9-B24F-635692ED5B69}"/>
            </c:ext>
          </c:extLst>
        </c:ser>
        <c:ser>
          <c:idx val="1"/>
          <c:order val="1"/>
          <c:tx>
            <c:strRef>
              <c:f>Струк2!$B$71</c:f>
              <c:strCache>
                <c:ptCount val="1"/>
                <c:pt idx="0">
                  <c:v>Другие долгосрочные обязательства</c:v>
                </c:pt>
              </c:strCache>
            </c:strRef>
          </c:tx>
          <c:invertIfNegative val="0"/>
          <c:cat>
            <c:strRef>
              <c:f>Струк2!$C$69:$D$69</c:f>
              <c:strCache>
                <c:ptCount val="2"/>
                <c:pt idx="0">
                  <c:v>на начало года</c:v>
                </c:pt>
                <c:pt idx="1">
                  <c:v>на конец года</c:v>
                </c:pt>
              </c:strCache>
            </c:strRef>
          </c:cat>
          <c:val>
            <c:numRef>
              <c:f>Струк2!$C$71:$D$71</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1-9090-47B9-B24F-635692ED5B69}"/>
            </c:ext>
          </c:extLst>
        </c:ser>
        <c:ser>
          <c:idx val="2"/>
          <c:order val="2"/>
          <c:tx>
            <c:strRef>
              <c:f>Струк2!$B$72</c:f>
              <c:strCache>
                <c:ptCount val="1"/>
                <c:pt idx="0">
                  <c:v>Краткосрочные заемные средства</c:v>
                </c:pt>
              </c:strCache>
            </c:strRef>
          </c:tx>
          <c:invertIfNegative val="0"/>
          <c:cat>
            <c:strRef>
              <c:f>Струк2!$C$69:$D$69</c:f>
              <c:strCache>
                <c:ptCount val="2"/>
                <c:pt idx="0">
                  <c:v>на начало года</c:v>
                </c:pt>
                <c:pt idx="1">
                  <c:v>на конец года</c:v>
                </c:pt>
              </c:strCache>
            </c:strRef>
          </c:cat>
          <c:val>
            <c:numRef>
              <c:f>Струк2!$C$72:$D$72</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2-9090-47B9-B24F-635692ED5B69}"/>
            </c:ext>
          </c:extLst>
        </c:ser>
        <c:ser>
          <c:idx val="3"/>
          <c:order val="3"/>
          <c:tx>
            <c:strRef>
              <c:f>Струк2!$B$73</c:f>
              <c:strCache>
                <c:ptCount val="1"/>
                <c:pt idx="0">
                  <c:v>Краткосрочная кредиторская задолженность</c:v>
                </c:pt>
              </c:strCache>
            </c:strRef>
          </c:tx>
          <c:invertIfNegative val="0"/>
          <c:cat>
            <c:strRef>
              <c:f>Струк2!$C$69:$D$69</c:f>
              <c:strCache>
                <c:ptCount val="2"/>
                <c:pt idx="0">
                  <c:v>на начало года</c:v>
                </c:pt>
                <c:pt idx="1">
                  <c:v>на конец года</c:v>
                </c:pt>
              </c:strCache>
            </c:strRef>
          </c:cat>
          <c:val>
            <c:numRef>
              <c:f>Струк2!$C$73:$D$73</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3-9090-47B9-B24F-635692ED5B69}"/>
            </c:ext>
          </c:extLst>
        </c:ser>
        <c:ser>
          <c:idx val="4"/>
          <c:order val="4"/>
          <c:tx>
            <c:strRef>
              <c:f>Струк2!$B$74</c:f>
              <c:strCache>
                <c:ptCount val="1"/>
                <c:pt idx="0">
                  <c:v>Другие краткосрочные обязательства</c:v>
                </c:pt>
              </c:strCache>
            </c:strRef>
          </c:tx>
          <c:invertIfNegative val="0"/>
          <c:cat>
            <c:strRef>
              <c:f>Струк2!$C$69:$D$69</c:f>
              <c:strCache>
                <c:ptCount val="2"/>
                <c:pt idx="0">
                  <c:v>на начало года</c:v>
                </c:pt>
                <c:pt idx="1">
                  <c:v>на конец года</c:v>
                </c:pt>
              </c:strCache>
            </c:strRef>
          </c:cat>
          <c:val>
            <c:numRef>
              <c:f>Струк2!$C$74:$D$74</c:f>
              <c:numCache>
                <c:formatCode>#\ ##0_ ;[Red]\-#\ ##0\ </c:formatCode>
                <c:ptCount val="2"/>
                <c:pt idx="0">
                  <c:v>0</c:v>
                </c:pt>
                <c:pt idx="1">
                  <c:v>0</c:v>
                </c:pt>
              </c:numCache>
            </c:numRef>
          </c:val>
          <c:extLst xmlns:c16r2="http://schemas.microsoft.com/office/drawing/2015/06/chart">
            <c:ext xmlns:c16="http://schemas.microsoft.com/office/drawing/2014/chart" uri="{C3380CC4-5D6E-409C-BE32-E72D297353CC}">
              <c16:uniqueId val="{00000004-9090-47B9-B24F-635692ED5B69}"/>
            </c:ext>
          </c:extLst>
        </c:ser>
        <c:dLbls>
          <c:showLegendKey val="0"/>
          <c:showVal val="0"/>
          <c:showCatName val="0"/>
          <c:showSerName val="0"/>
          <c:showPercent val="0"/>
          <c:showBubbleSize val="0"/>
        </c:dLbls>
        <c:gapWidth val="75"/>
        <c:overlap val="100"/>
        <c:axId val="188976208"/>
        <c:axId val="188976600"/>
      </c:barChart>
      <c:catAx>
        <c:axId val="188976208"/>
        <c:scaling>
          <c:orientation val="minMax"/>
        </c:scaling>
        <c:delete val="0"/>
        <c:axPos val="b"/>
        <c:numFmt formatCode="General" sourceLinked="0"/>
        <c:majorTickMark val="none"/>
        <c:minorTickMark val="none"/>
        <c:tickLblPos val="nextTo"/>
        <c:crossAx val="188976600"/>
        <c:crosses val="autoZero"/>
        <c:auto val="1"/>
        <c:lblAlgn val="ctr"/>
        <c:lblOffset val="100"/>
        <c:noMultiLvlLbl val="0"/>
      </c:catAx>
      <c:valAx>
        <c:axId val="188976600"/>
        <c:scaling>
          <c:orientation val="minMax"/>
        </c:scaling>
        <c:delete val="0"/>
        <c:axPos val="l"/>
        <c:majorGridlines/>
        <c:numFmt formatCode="#\ ##0_ ;[Red]\-#\ ##0\ " sourceLinked="1"/>
        <c:majorTickMark val="none"/>
        <c:minorTickMark val="none"/>
        <c:tickLblPos val="nextTo"/>
        <c:spPr>
          <a:ln w="9525">
            <a:noFill/>
          </a:ln>
        </c:spPr>
        <c:crossAx val="1889762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Струк4!$C$7</c:f>
              <c:strCache>
                <c:ptCount val="1"/>
                <c:pt idx="0">
                  <c:v>Уставный капитал</c:v>
                </c:pt>
              </c:strCache>
            </c:strRef>
          </c:tx>
          <c:invertIfNegative val="0"/>
          <c:cat>
            <c:numRef>
              <c:f>Струк4!$E$4:$G$4</c:f>
              <c:numCache>
                <c:formatCode>General</c:formatCode>
                <c:ptCount val="3"/>
                <c:pt idx="0">
                  <c:v>0</c:v>
                </c:pt>
                <c:pt idx="1">
                  <c:v>0</c:v>
                </c:pt>
                <c:pt idx="2">
                  <c:v>0</c:v>
                </c:pt>
              </c:numCache>
            </c:numRef>
          </c:cat>
          <c:val>
            <c:numRef>
              <c:f>Струк4!$E$7:$G$7</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6E2-4621-9B64-CAFB328417A8}"/>
            </c:ext>
          </c:extLst>
        </c:ser>
        <c:ser>
          <c:idx val="1"/>
          <c:order val="1"/>
          <c:tx>
            <c:strRef>
              <c:f>Струк4!$C$8</c:f>
              <c:strCache>
                <c:ptCount val="1"/>
                <c:pt idx="0">
                  <c:v>Сумма чистых активов (на конец периода)</c:v>
                </c:pt>
              </c:strCache>
            </c:strRef>
          </c:tx>
          <c:invertIfNegative val="0"/>
          <c:cat>
            <c:numRef>
              <c:f>Струк4!$E$4:$G$4</c:f>
              <c:numCache>
                <c:formatCode>General</c:formatCode>
                <c:ptCount val="3"/>
                <c:pt idx="0">
                  <c:v>0</c:v>
                </c:pt>
                <c:pt idx="1">
                  <c:v>0</c:v>
                </c:pt>
                <c:pt idx="2">
                  <c:v>0</c:v>
                </c:pt>
              </c:numCache>
            </c:numRef>
          </c:cat>
          <c:val>
            <c:numRef>
              <c:f>Струк4!$E$8:$G$8</c:f>
              <c:numCache>
                <c:formatCode>#\ ##0_ ;[Red]\-#\ ##0\ </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E6E2-4621-9B64-CAFB328417A8}"/>
            </c:ext>
          </c:extLst>
        </c:ser>
        <c:dLbls>
          <c:showLegendKey val="0"/>
          <c:showVal val="0"/>
          <c:showCatName val="0"/>
          <c:showSerName val="0"/>
          <c:showPercent val="0"/>
          <c:showBubbleSize val="0"/>
        </c:dLbls>
        <c:gapWidth val="150"/>
        <c:axId val="188976992"/>
        <c:axId val="188980128"/>
      </c:barChart>
      <c:catAx>
        <c:axId val="188976992"/>
        <c:scaling>
          <c:orientation val="minMax"/>
        </c:scaling>
        <c:delete val="0"/>
        <c:axPos val="b"/>
        <c:numFmt formatCode="General" sourceLinked="0"/>
        <c:majorTickMark val="out"/>
        <c:minorTickMark val="none"/>
        <c:tickLblPos val="nextTo"/>
        <c:crossAx val="188980128"/>
        <c:crosses val="autoZero"/>
        <c:auto val="1"/>
        <c:lblAlgn val="ctr"/>
        <c:lblOffset val="100"/>
        <c:noMultiLvlLbl val="0"/>
      </c:catAx>
      <c:valAx>
        <c:axId val="188980128"/>
        <c:scaling>
          <c:orientation val="minMax"/>
        </c:scaling>
        <c:delete val="0"/>
        <c:axPos val="l"/>
        <c:majorGridlines/>
        <c:numFmt formatCode="#\ ##0_ ;[Red]\-#\ ##0\ " sourceLinked="1"/>
        <c:majorTickMark val="out"/>
        <c:minorTickMark val="none"/>
        <c:tickLblPos val="nextTo"/>
        <c:crossAx val="188976992"/>
        <c:crosses val="autoZero"/>
        <c:crossBetween val="between"/>
        <c:majorUnit val="100000"/>
      </c:valAx>
    </c:plotArea>
    <c:legend>
      <c:legendPos val="b"/>
      <c:overlay val="0"/>
    </c:legend>
    <c:plotVisOnly val="1"/>
    <c:dispBlanksAs val="zero"/>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ru-RU" sz="1400"/>
              <a:t>Показатели</a:t>
            </a:r>
            <a:r>
              <a:rPr lang="ru-RU" sz="1400" baseline="0"/>
              <a:t> ликвидности баланса</a:t>
            </a:r>
            <a:endParaRPr lang="ru-RU" sz="1400"/>
          </a:p>
        </c:rich>
      </c:tx>
      <c:overlay val="0"/>
    </c:title>
    <c:autoTitleDeleted val="0"/>
    <c:plotArea>
      <c:layout/>
      <c:barChart>
        <c:barDir val="col"/>
        <c:grouping val="stacked"/>
        <c:varyColors val="0"/>
        <c:ser>
          <c:idx val="0"/>
          <c:order val="0"/>
          <c:tx>
            <c:strRef>
              <c:f>Диаг2!$B$3</c:f>
              <c:strCache>
                <c:ptCount val="1"/>
                <c:pt idx="0">
                  <c:v>Группа 1</c:v>
                </c:pt>
              </c:strCache>
            </c:strRef>
          </c:tx>
          <c:invertIfNegative val="0"/>
          <c:cat>
            <c:numRef>
              <c:f>Диаг2!$C$2:$H$2</c:f>
              <c:numCache>
                <c:formatCode>General</c:formatCode>
                <c:ptCount val="6"/>
                <c:pt idx="0">
                  <c:v>0</c:v>
                </c:pt>
                <c:pt idx="1">
                  <c:v>0</c:v>
                </c:pt>
                <c:pt idx="2">
                  <c:v>0</c:v>
                </c:pt>
                <c:pt idx="3">
                  <c:v>0</c:v>
                </c:pt>
                <c:pt idx="4">
                  <c:v>0</c:v>
                </c:pt>
                <c:pt idx="5">
                  <c:v>0</c:v>
                </c:pt>
              </c:numCache>
            </c:numRef>
          </c:cat>
          <c:val>
            <c:numRef>
              <c:f>Диаг2!$C$3:$H$3</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15E-4435-AE32-0C6F84767E2D}"/>
            </c:ext>
          </c:extLst>
        </c:ser>
        <c:ser>
          <c:idx val="1"/>
          <c:order val="1"/>
          <c:tx>
            <c:strRef>
              <c:f>Диаг2!$B$4</c:f>
              <c:strCache>
                <c:ptCount val="1"/>
                <c:pt idx="0">
                  <c:v>Группа 2</c:v>
                </c:pt>
              </c:strCache>
            </c:strRef>
          </c:tx>
          <c:invertIfNegative val="0"/>
          <c:cat>
            <c:numRef>
              <c:f>Диаг2!$C$2:$H$2</c:f>
              <c:numCache>
                <c:formatCode>General</c:formatCode>
                <c:ptCount val="6"/>
                <c:pt idx="0">
                  <c:v>0</c:v>
                </c:pt>
                <c:pt idx="1">
                  <c:v>0</c:v>
                </c:pt>
                <c:pt idx="2">
                  <c:v>0</c:v>
                </c:pt>
                <c:pt idx="3">
                  <c:v>0</c:v>
                </c:pt>
                <c:pt idx="4">
                  <c:v>0</c:v>
                </c:pt>
                <c:pt idx="5">
                  <c:v>0</c:v>
                </c:pt>
              </c:numCache>
            </c:numRef>
          </c:cat>
          <c:val>
            <c:numRef>
              <c:f>Диаг2!$C$4:$H$4</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15E-4435-AE32-0C6F84767E2D}"/>
            </c:ext>
          </c:extLst>
        </c:ser>
        <c:ser>
          <c:idx val="2"/>
          <c:order val="2"/>
          <c:tx>
            <c:strRef>
              <c:f>Диаг2!$B$5</c:f>
              <c:strCache>
                <c:ptCount val="1"/>
                <c:pt idx="0">
                  <c:v>Группа 3</c:v>
                </c:pt>
              </c:strCache>
            </c:strRef>
          </c:tx>
          <c:invertIfNegative val="0"/>
          <c:cat>
            <c:numRef>
              <c:f>Диаг2!$C$2:$H$2</c:f>
              <c:numCache>
                <c:formatCode>General</c:formatCode>
                <c:ptCount val="6"/>
                <c:pt idx="0">
                  <c:v>0</c:v>
                </c:pt>
                <c:pt idx="1">
                  <c:v>0</c:v>
                </c:pt>
                <c:pt idx="2">
                  <c:v>0</c:v>
                </c:pt>
                <c:pt idx="3">
                  <c:v>0</c:v>
                </c:pt>
                <c:pt idx="4">
                  <c:v>0</c:v>
                </c:pt>
                <c:pt idx="5">
                  <c:v>0</c:v>
                </c:pt>
              </c:numCache>
            </c:numRef>
          </c:cat>
          <c:val>
            <c:numRef>
              <c:f>Диаг2!$C$5:$H$5</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15E-4435-AE32-0C6F84767E2D}"/>
            </c:ext>
          </c:extLst>
        </c:ser>
        <c:ser>
          <c:idx val="3"/>
          <c:order val="3"/>
          <c:tx>
            <c:strRef>
              <c:f>Диаг2!$B$6</c:f>
              <c:strCache>
                <c:ptCount val="1"/>
                <c:pt idx="0">
                  <c:v>Группа 4</c:v>
                </c:pt>
              </c:strCache>
            </c:strRef>
          </c:tx>
          <c:invertIfNegative val="0"/>
          <c:cat>
            <c:numRef>
              <c:f>Диаг2!$C$2:$H$2</c:f>
              <c:numCache>
                <c:formatCode>General</c:formatCode>
                <c:ptCount val="6"/>
                <c:pt idx="0">
                  <c:v>0</c:v>
                </c:pt>
                <c:pt idx="1">
                  <c:v>0</c:v>
                </c:pt>
                <c:pt idx="2">
                  <c:v>0</c:v>
                </c:pt>
                <c:pt idx="3">
                  <c:v>0</c:v>
                </c:pt>
                <c:pt idx="4">
                  <c:v>0</c:v>
                </c:pt>
                <c:pt idx="5">
                  <c:v>0</c:v>
                </c:pt>
              </c:numCache>
            </c:numRef>
          </c:cat>
          <c:val>
            <c:numRef>
              <c:f>Диаг2!$C$6:$H$6</c:f>
              <c:numCache>
                <c:formatCode>#\ ##0_ ;[Red]\-#\ ##0\ </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615E-4435-AE32-0C6F84767E2D}"/>
            </c:ext>
          </c:extLst>
        </c:ser>
        <c:dLbls>
          <c:showLegendKey val="0"/>
          <c:showVal val="0"/>
          <c:showCatName val="0"/>
          <c:showSerName val="0"/>
          <c:showPercent val="0"/>
          <c:showBubbleSize val="0"/>
        </c:dLbls>
        <c:gapWidth val="300"/>
        <c:axId val="188980912"/>
        <c:axId val="188977384"/>
      </c:barChart>
      <c:catAx>
        <c:axId val="188980912"/>
        <c:scaling>
          <c:orientation val="minMax"/>
        </c:scaling>
        <c:delete val="0"/>
        <c:axPos val="b"/>
        <c:numFmt formatCode="General" sourceLinked="0"/>
        <c:majorTickMark val="none"/>
        <c:minorTickMark val="none"/>
        <c:tickLblPos val="nextTo"/>
        <c:crossAx val="188977384"/>
        <c:crosses val="autoZero"/>
        <c:auto val="1"/>
        <c:lblAlgn val="ctr"/>
        <c:lblOffset val="100"/>
        <c:noMultiLvlLbl val="0"/>
      </c:catAx>
      <c:valAx>
        <c:axId val="188977384"/>
        <c:scaling>
          <c:orientation val="minMax"/>
        </c:scaling>
        <c:delete val="0"/>
        <c:axPos val="l"/>
        <c:majorGridlines/>
        <c:numFmt formatCode="#\ ##0_ ;[Red]\-#\ ##0\ " sourceLinked="1"/>
        <c:majorTickMark val="none"/>
        <c:minorTickMark val="none"/>
        <c:tickLblPos val="nextTo"/>
        <c:crossAx val="1889809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 Id="rId9"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100012</xdr:rowOff>
    </xdr:from>
    <xdr:to>
      <xdr:col>7</xdr:col>
      <xdr:colOff>447675</xdr:colOff>
      <xdr:row>14</xdr:row>
      <xdr:rowOff>176212</xdr:rowOff>
    </xdr:to>
    <xdr:graphicFrame macro="">
      <xdr:nvGraphicFramePr>
        <xdr:cNvPr id="4" name="Диаграмма 3">
          <a:extLst>
            <a:ext uri="{FF2B5EF4-FFF2-40B4-BE49-F238E27FC236}">
              <a16:creationId xmlns=""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514350</xdr:colOff>
      <xdr:row>0</xdr:row>
      <xdr:rowOff>95250</xdr:rowOff>
    </xdr:from>
    <xdr:to>
      <xdr:col>15</xdr:col>
      <xdr:colOff>209550</xdr:colOff>
      <xdr:row>14</xdr:row>
      <xdr:rowOff>171450</xdr:rowOff>
    </xdr:to>
    <xdr:graphicFrame macro="">
      <xdr:nvGraphicFramePr>
        <xdr:cNvPr id="5" name="Диаграмма 4">
          <a:extLst>
            <a:ext uri="{FF2B5EF4-FFF2-40B4-BE49-F238E27FC236}">
              <a16:creationId xmlns=""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133350</xdr:colOff>
      <xdr:row>15</xdr:row>
      <xdr:rowOff>128586</xdr:rowOff>
    </xdr:from>
    <xdr:to>
      <xdr:col>7</xdr:col>
      <xdr:colOff>438150</xdr:colOff>
      <xdr:row>44</xdr:row>
      <xdr:rowOff>76200</xdr:rowOff>
    </xdr:to>
    <xdr:graphicFrame macro="">
      <xdr:nvGraphicFramePr>
        <xdr:cNvPr id="6" name="Диаграмма 5">
          <a:extLst>
            <a:ext uri="{FF2B5EF4-FFF2-40B4-BE49-F238E27FC236}">
              <a16:creationId xmlns=""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514350</xdr:colOff>
      <xdr:row>15</xdr:row>
      <xdr:rowOff>123825</xdr:rowOff>
    </xdr:from>
    <xdr:to>
      <xdr:col>15</xdr:col>
      <xdr:colOff>209550</xdr:colOff>
      <xdr:row>44</xdr:row>
      <xdr:rowOff>71439</xdr:rowOff>
    </xdr:to>
    <xdr:graphicFrame macro="">
      <xdr:nvGraphicFramePr>
        <xdr:cNvPr id="7" name="Диаграмма 6">
          <a:extLst>
            <a:ext uri="{FF2B5EF4-FFF2-40B4-BE49-F238E27FC236}">
              <a16:creationId xmlns=""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45</xdr:row>
      <xdr:rowOff>66675</xdr:rowOff>
    </xdr:from>
    <xdr:to>
      <xdr:col>7</xdr:col>
      <xdr:colOff>428625</xdr:colOff>
      <xdr:row>59</xdr:row>
      <xdr:rowOff>142875</xdr:rowOff>
    </xdr:to>
    <xdr:graphicFrame macro="">
      <xdr:nvGraphicFramePr>
        <xdr:cNvPr id="8" name="Диаграмма 7">
          <a:extLst>
            <a:ext uri="{FF2B5EF4-FFF2-40B4-BE49-F238E27FC236}">
              <a16:creationId xmlns=""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514350</xdr:colOff>
      <xdr:row>45</xdr:row>
      <xdr:rowOff>66675</xdr:rowOff>
    </xdr:from>
    <xdr:to>
      <xdr:col>15</xdr:col>
      <xdr:colOff>209550</xdr:colOff>
      <xdr:row>59</xdr:row>
      <xdr:rowOff>142875</xdr:rowOff>
    </xdr:to>
    <xdr:graphicFrame macro="">
      <xdr:nvGraphicFramePr>
        <xdr:cNvPr id="9" name="Диаграмма 8">
          <a:extLst>
            <a:ext uri="{FF2B5EF4-FFF2-40B4-BE49-F238E27FC236}">
              <a16:creationId xmlns=""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60</xdr:row>
      <xdr:rowOff>142875</xdr:rowOff>
    </xdr:from>
    <xdr:to>
      <xdr:col>7</xdr:col>
      <xdr:colOff>428625</xdr:colOff>
      <xdr:row>89</xdr:row>
      <xdr:rowOff>90489</xdr:rowOff>
    </xdr:to>
    <xdr:graphicFrame macro="">
      <xdr:nvGraphicFramePr>
        <xdr:cNvPr id="10" name="Диаграмма 9">
          <a:extLst>
            <a:ext uri="{FF2B5EF4-FFF2-40B4-BE49-F238E27FC236}">
              <a16:creationId xmlns=""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114300</xdr:colOff>
      <xdr:row>20</xdr:row>
      <xdr:rowOff>4761</xdr:rowOff>
    </xdr:from>
    <xdr:to>
      <xdr:col>10</xdr:col>
      <xdr:colOff>666750</xdr:colOff>
      <xdr:row>26</xdr:row>
      <xdr:rowOff>190499</xdr:rowOff>
    </xdr:to>
    <xdr:graphicFrame macro="">
      <xdr:nvGraphicFramePr>
        <xdr:cNvPr id="2" name="Диаграмма 1">
          <a:extLst>
            <a:ext uri="{FF2B5EF4-FFF2-40B4-BE49-F238E27FC236}">
              <a16:creationId xmlns=""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142875</xdr:colOff>
      <xdr:row>13</xdr:row>
      <xdr:rowOff>195262</xdr:rowOff>
    </xdr:from>
    <xdr:to>
      <xdr:col>10</xdr:col>
      <xdr:colOff>704850</xdr:colOff>
      <xdr:row>25</xdr:row>
      <xdr:rowOff>0</xdr:rowOff>
    </xdr:to>
    <xdr:graphicFrame macro="">
      <xdr:nvGraphicFramePr>
        <xdr:cNvPr id="3" name="Диаграмма 2">
          <a:extLst>
            <a:ext uri="{FF2B5EF4-FFF2-40B4-BE49-F238E27FC236}">
              <a16:creationId xmlns="" xmlns:a16="http://schemas.microsoft.com/office/drawing/2014/main" id="{00000000-0008-0000-2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104775</xdr:colOff>
      <xdr:row>17</xdr:row>
      <xdr:rowOff>138112</xdr:rowOff>
    </xdr:from>
    <xdr:to>
      <xdr:col>10</xdr:col>
      <xdr:colOff>704850</xdr:colOff>
      <xdr:row>28</xdr:row>
      <xdr:rowOff>0</xdr:rowOff>
    </xdr:to>
    <xdr:graphicFrame macro="">
      <xdr:nvGraphicFramePr>
        <xdr:cNvPr id="7" name="Диаграмма 6">
          <a:extLst>
            <a:ext uri="{FF2B5EF4-FFF2-40B4-BE49-F238E27FC236}">
              <a16:creationId xmlns="" xmlns:a16="http://schemas.microsoft.com/office/drawing/2014/main" id="{00000000-0008-0000-2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85725</xdr:colOff>
      <xdr:row>30</xdr:row>
      <xdr:rowOff>0</xdr:rowOff>
    </xdr:from>
    <xdr:to>
      <xdr:col>10</xdr:col>
      <xdr:colOff>685800</xdr:colOff>
      <xdr:row>39</xdr:row>
      <xdr:rowOff>0</xdr:rowOff>
    </xdr:to>
    <xdr:graphicFrame macro="">
      <xdr:nvGraphicFramePr>
        <xdr:cNvPr id="2" name="Диаграмма 1">
          <a:extLst>
            <a:ext uri="{FF2B5EF4-FFF2-40B4-BE49-F238E27FC236}">
              <a16:creationId xmlns=""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18</xdr:row>
      <xdr:rowOff>0</xdr:rowOff>
    </xdr:from>
    <xdr:to>
      <xdr:col>11</xdr:col>
      <xdr:colOff>19050</xdr:colOff>
      <xdr:row>27</xdr:row>
      <xdr:rowOff>138113</xdr:rowOff>
    </xdr:to>
    <xdr:graphicFrame macro="">
      <xdr:nvGraphicFramePr>
        <xdr:cNvPr id="3" name="Диаграмма 2">
          <a:extLst>
            <a:ext uri="{FF2B5EF4-FFF2-40B4-BE49-F238E27FC236}">
              <a16:creationId xmlns="" xmlns:a16="http://schemas.microsoft.com/office/drawing/2014/main" id="{00000000-0008-0000-2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14</xdr:row>
      <xdr:rowOff>109537</xdr:rowOff>
    </xdr:from>
    <xdr:to>
      <xdr:col>4</xdr:col>
      <xdr:colOff>276225</xdr:colOff>
      <xdr:row>28</xdr:row>
      <xdr:rowOff>185737</xdr:rowOff>
    </xdr:to>
    <xdr:graphicFrame macro="">
      <xdr:nvGraphicFramePr>
        <xdr:cNvPr id="2" name="Диаграмма 1">
          <a:extLst>
            <a:ext uri="{FF2B5EF4-FFF2-40B4-BE49-F238E27FC236}">
              <a16:creationId xmlns=""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80961</xdr:rowOff>
    </xdr:from>
    <xdr:to>
      <xdr:col>11</xdr:col>
      <xdr:colOff>152400</xdr:colOff>
      <xdr:row>30</xdr:row>
      <xdr:rowOff>9524</xdr:rowOff>
    </xdr:to>
    <xdr:graphicFrame macro="">
      <xdr:nvGraphicFramePr>
        <xdr:cNvPr id="2" name="Диаграмма 1">
          <a:extLst>
            <a:ext uri="{FF2B5EF4-FFF2-40B4-BE49-F238E27FC236}">
              <a16:creationId xmlns=""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15</xdr:row>
      <xdr:rowOff>147637</xdr:rowOff>
    </xdr:from>
    <xdr:to>
      <xdr:col>11</xdr:col>
      <xdr:colOff>0</xdr:colOff>
      <xdr:row>32</xdr:row>
      <xdr:rowOff>76200</xdr:rowOff>
    </xdr:to>
    <xdr:graphicFrame macro="">
      <xdr:nvGraphicFramePr>
        <xdr:cNvPr id="5" name="Диаграмма 4">
          <a:extLst>
            <a:ext uri="{FF2B5EF4-FFF2-40B4-BE49-F238E27FC236}">
              <a16:creationId xmlns="" xmlns:a16="http://schemas.microsoft.com/office/drawing/2014/main" id="{00000000-0008-0000-1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1571625</xdr:colOff>
      <xdr:row>1</xdr:row>
      <xdr:rowOff>114300</xdr:rowOff>
    </xdr:from>
    <xdr:to>
      <xdr:col>5</xdr:col>
      <xdr:colOff>333375</xdr:colOff>
      <xdr:row>19</xdr:row>
      <xdr:rowOff>38100</xdr:rowOff>
    </xdr:to>
    <xdr:cxnSp macro="">
      <xdr:nvCxnSpPr>
        <xdr:cNvPr id="3" name="Прямая со стрелкой 2"/>
        <xdr:cNvCxnSpPr/>
      </xdr:nvCxnSpPr>
      <xdr:spPr>
        <a:xfrm>
          <a:off x="1571625" y="590550"/>
          <a:ext cx="4695825" cy="5400675"/>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1733550</xdr:colOff>
      <xdr:row>2</xdr:row>
      <xdr:rowOff>0</xdr:rowOff>
    </xdr:from>
    <xdr:to>
      <xdr:col>7</xdr:col>
      <xdr:colOff>304800</xdr:colOff>
      <xdr:row>17</xdr:row>
      <xdr:rowOff>114300</xdr:rowOff>
    </xdr:to>
    <xdr:cxnSp macro="">
      <xdr:nvCxnSpPr>
        <xdr:cNvPr id="5" name="Прямая со стрелкой 4"/>
        <xdr:cNvCxnSpPr/>
      </xdr:nvCxnSpPr>
      <xdr:spPr>
        <a:xfrm>
          <a:off x="3400425" y="666750"/>
          <a:ext cx="5000625" cy="4457700"/>
        </a:xfrm>
        <a:prstGeom prst="straightConnector1">
          <a:avLst/>
        </a:prstGeom>
        <a:ln w="38100">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1485900</xdr:colOff>
      <xdr:row>8</xdr:row>
      <xdr:rowOff>161925</xdr:rowOff>
    </xdr:from>
    <xdr:to>
      <xdr:col>7</xdr:col>
      <xdr:colOff>180975</xdr:colOff>
      <xdr:row>23</xdr:row>
      <xdr:rowOff>95250</xdr:rowOff>
    </xdr:to>
    <xdr:cxnSp macro="">
      <xdr:nvCxnSpPr>
        <xdr:cNvPr id="7" name="Прямая со стрелкой 6"/>
        <xdr:cNvCxnSpPr/>
      </xdr:nvCxnSpPr>
      <xdr:spPr>
        <a:xfrm>
          <a:off x="1485900" y="2495550"/>
          <a:ext cx="6791325" cy="4314825"/>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8</xdr:row>
      <xdr:rowOff>180975</xdr:rowOff>
    </xdr:from>
    <xdr:to>
      <xdr:col>7</xdr:col>
      <xdr:colOff>228600</xdr:colOff>
      <xdr:row>19</xdr:row>
      <xdr:rowOff>133350</xdr:rowOff>
    </xdr:to>
    <xdr:cxnSp macro="">
      <xdr:nvCxnSpPr>
        <xdr:cNvPr id="9" name="Прямая со стрелкой 8"/>
        <xdr:cNvCxnSpPr/>
      </xdr:nvCxnSpPr>
      <xdr:spPr>
        <a:xfrm>
          <a:off x="3486150" y="2514600"/>
          <a:ext cx="4838700" cy="3571875"/>
        </a:xfrm>
        <a:prstGeom prst="straightConnector1">
          <a:avLst/>
        </a:prstGeom>
        <a:ln w="38100">
          <a:solidFill>
            <a:srgbClr val="FFFF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0</xdr:row>
      <xdr:rowOff>95250</xdr:rowOff>
    </xdr:from>
    <xdr:to>
      <xdr:col>7</xdr:col>
      <xdr:colOff>542925</xdr:colOff>
      <xdr:row>12</xdr:row>
      <xdr:rowOff>76200</xdr:rowOff>
    </xdr:to>
    <xdr:graphicFrame macro="">
      <xdr:nvGraphicFramePr>
        <xdr:cNvPr id="4" name="Диаграмма 3">
          <a:extLst>
            <a:ext uri="{FF2B5EF4-FFF2-40B4-BE49-F238E27FC236}">
              <a16:creationId xmlns=""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0</xdr:row>
      <xdr:rowOff>95250</xdr:rowOff>
    </xdr:from>
    <xdr:to>
      <xdr:col>15</xdr:col>
      <xdr:colOff>428625</xdr:colOff>
      <xdr:row>12</xdr:row>
      <xdr:rowOff>76200</xdr:rowOff>
    </xdr:to>
    <xdr:graphicFrame macro="">
      <xdr:nvGraphicFramePr>
        <xdr:cNvPr id="5" name="Диаграмма 4">
          <a:extLst>
            <a:ext uri="{FF2B5EF4-FFF2-40B4-BE49-F238E27FC236}">
              <a16:creationId xmlns="" xmlns:a16="http://schemas.microsoft.com/office/drawing/2014/main" id="{00000000-0008-0000-1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57149</xdr:colOff>
      <xdr:row>13</xdr:row>
      <xdr:rowOff>76199</xdr:rowOff>
    </xdr:from>
    <xdr:to>
      <xdr:col>15</xdr:col>
      <xdr:colOff>428624</xdr:colOff>
      <xdr:row>38</xdr:row>
      <xdr:rowOff>123824</xdr:rowOff>
    </xdr:to>
    <xdr:graphicFrame macro="">
      <xdr:nvGraphicFramePr>
        <xdr:cNvPr id="6" name="Диаграмма 5">
          <a:extLst>
            <a:ext uri="{FF2B5EF4-FFF2-40B4-BE49-F238E27FC236}">
              <a16:creationId xmlns="" xmlns:a16="http://schemas.microsoft.com/office/drawing/2014/main" id="{00000000-0008-0000-1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85724</xdr:colOff>
      <xdr:row>0</xdr:row>
      <xdr:rowOff>100011</xdr:rowOff>
    </xdr:from>
    <xdr:to>
      <xdr:col>10</xdr:col>
      <xdr:colOff>571499</xdr:colOff>
      <xdr:row>29</xdr:row>
      <xdr:rowOff>142874</xdr:rowOff>
    </xdr:to>
    <xdr:graphicFrame macro="">
      <xdr:nvGraphicFramePr>
        <xdr:cNvPr id="2" name="Диаграмма 1">
          <a:extLst>
            <a:ext uri="{FF2B5EF4-FFF2-40B4-BE49-F238E27FC236}">
              <a16:creationId xmlns=""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15</xdr:row>
      <xdr:rowOff>14287</xdr:rowOff>
    </xdr:from>
    <xdr:to>
      <xdr:col>4</xdr:col>
      <xdr:colOff>0</xdr:colOff>
      <xdr:row>29</xdr:row>
      <xdr:rowOff>90487</xdr:rowOff>
    </xdr:to>
    <xdr:graphicFrame macro="">
      <xdr:nvGraphicFramePr>
        <xdr:cNvPr id="2" name="Диаграмма 1">
          <a:extLst>
            <a:ext uri="{FF2B5EF4-FFF2-40B4-BE49-F238E27FC236}">
              <a16:creationId xmlns=""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285750</xdr:colOff>
      <xdr:row>15</xdr:row>
      <xdr:rowOff>0</xdr:rowOff>
    </xdr:from>
    <xdr:to>
      <xdr:col>10</xdr:col>
      <xdr:colOff>323850</xdr:colOff>
      <xdr:row>29</xdr:row>
      <xdr:rowOff>76200</xdr:rowOff>
    </xdr:to>
    <xdr:graphicFrame macro="">
      <xdr:nvGraphicFramePr>
        <xdr:cNvPr id="3" name="Диаграмма 2">
          <a:extLst>
            <a:ext uri="{FF2B5EF4-FFF2-40B4-BE49-F238E27FC236}">
              <a16:creationId xmlns=""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0</xdr:row>
      <xdr:rowOff>147637</xdr:rowOff>
    </xdr:from>
    <xdr:to>
      <xdr:col>5</xdr:col>
      <xdr:colOff>400050</xdr:colOff>
      <xdr:row>15</xdr:row>
      <xdr:rowOff>33337</xdr:rowOff>
    </xdr:to>
    <xdr:graphicFrame macro="">
      <xdr:nvGraphicFramePr>
        <xdr:cNvPr id="2" name="Диаграмма 1">
          <a:extLst>
            <a:ext uri="{FF2B5EF4-FFF2-40B4-BE49-F238E27FC236}">
              <a16:creationId xmlns=""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495300</xdr:colOff>
      <xdr:row>0</xdr:row>
      <xdr:rowOff>147637</xdr:rowOff>
    </xdr:from>
    <xdr:to>
      <xdr:col>13</xdr:col>
      <xdr:colOff>190500</xdr:colOff>
      <xdr:row>15</xdr:row>
      <xdr:rowOff>33337</xdr:rowOff>
    </xdr:to>
    <xdr:graphicFrame macro="">
      <xdr:nvGraphicFramePr>
        <xdr:cNvPr id="3" name="Диаграмма 2">
          <a:extLst>
            <a:ext uri="{FF2B5EF4-FFF2-40B4-BE49-F238E27FC236}">
              <a16:creationId xmlns=""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18</xdr:row>
      <xdr:rowOff>33337</xdr:rowOff>
    </xdr:from>
    <xdr:to>
      <xdr:col>5</xdr:col>
      <xdr:colOff>371475</xdr:colOff>
      <xdr:row>32</xdr:row>
      <xdr:rowOff>109537</xdr:rowOff>
    </xdr:to>
    <xdr:graphicFrame macro="">
      <xdr:nvGraphicFramePr>
        <xdr:cNvPr id="4" name="Диаграмма 3">
          <a:extLst>
            <a:ext uri="{FF2B5EF4-FFF2-40B4-BE49-F238E27FC236}">
              <a16:creationId xmlns="" xmlns:a16="http://schemas.microsoft.com/office/drawing/2014/main" id="{00000000-0008-0000-1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33</xdr:row>
      <xdr:rowOff>23812</xdr:rowOff>
    </xdr:from>
    <xdr:to>
      <xdr:col>5</xdr:col>
      <xdr:colOff>361950</xdr:colOff>
      <xdr:row>47</xdr:row>
      <xdr:rowOff>100012</xdr:rowOff>
    </xdr:to>
    <xdr:graphicFrame macro="">
      <xdr:nvGraphicFramePr>
        <xdr:cNvPr id="5" name="Диаграмма 4">
          <a:extLst>
            <a:ext uri="{FF2B5EF4-FFF2-40B4-BE49-F238E27FC236}">
              <a16:creationId xmlns="" xmlns:a16="http://schemas.microsoft.com/office/drawing/2014/main" id="{00000000-0008-0000-1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447675</xdr:colOff>
      <xdr:row>33</xdr:row>
      <xdr:rowOff>19050</xdr:rowOff>
    </xdr:from>
    <xdr:to>
      <xdr:col>13</xdr:col>
      <xdr:colOff>142875</xdr:colOff>
      <xdr:row>47</xdr:row>
      <xdr:rowOff>95250</xdr:rowOff>
    </xdr:to>
    <xdr:graphicFrame macro="">
      <xdr:nvGraphicFramePr>
        <xdr:cNvPr id="6" name="Диаграмма 5">
          <a:extLst>
            <a:ext uri="{FF2B5EF4-FFF2-40B4-BE49-F238E27FC236}">
              <a16:creationId xmlns="" xmlns:a16="http://schemas.microsoft.com/office/drawing/2014/main" id="{00000000-0008-0000-1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114300</xdr:colOff>
      <xdr:row>50</xdr:row>
      <xdr:rowOff>4762</xdr:rowOff>
    </xdr:from>
    <xdr:to>
      <xdr:col>5</xdr:col>
      <xdr:colOff>342900</xdr:colOff>
      <xdr:row>64</xdr:row>
      <xdr:rowOff>80962</xdr:rowOff>
    </xdr:to>
    <xdr:graphicFrame macro="">
      <xdr:nvGraphicFramePr>
        <xdr:cNvPr id="7" name="Диаграмма 6">
          <a:extLst>
            <a:ext uri="{FF2B5EF4-FFF2-40B4-BE49-F238E27FC236}">
              <a16:creationId xmlns="" xmlns:a16="http://schemas.microsoft.com/office/drawing/2014/main" id="{00000000-0008-0000-1F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114300</xdr:colOff>
      <xdr:row>64</xdr:row>
      <xdr:rowOff>185737</xdr:rowOff>
    </xdr:from>
    <xdr:to>
      <xdr:col>5</xdr:col>
      <xdr:colOff>342900</xdr:colOff>
      <xdr:row>79</xdr:row>
      <xdr:rowOff>71437</xdr:rowOff>
    </xdr:to>
    <xdr:graphicFrame macro="">
      <xdr:nvGraphicFramePr>
        <xdr:cNvPr id="8" name="Диаграмма 7">
          <a:extLst>
            <a:ext uri="{FF2B5EF4-FFF2-40B4-BE49-F238E27FC236}">
              <a16:creationId xmlns="" xmlns:a16="http://schemas.microsoft.com/office/drawing/2014/main" id="{00000000-0008-0000-1F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447675</xdr:colOff>
      <xdr:row>64</xdr:row>
      <xdr:rowOff>171450</xdr:rowOff>
    </xdr:from>
    <xdr:to>
      <xdr:col>13</xdr:col>
      <xdr:colOff>142875</xdr:colOff>
      <xdr:row>79</xdr:row>
      <xdr:rowOff>57150</xdr:rowOff>
    </xdr:to>
    <xdr:graphicFrame macro="">
      <xdr:nvGraphicFramePr>
        <xdr:cNvPr id="9" name="Диаграмма 8">
          <a:extLst>
            <a:ext uri="{FF2B5EF4-FFF2-40B4-BE49-F238E27FC236}">
              <a16:creationId xmlns="" xmlns:a16="http://schemas.microsoft.com/office/drawing/2014/main" id="{00000000-0008-0000-1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95250</xdr:colOff>
      <xdr:row>81</xdr:row>
      <xdr:rowOff>233362</xdr:rowOff>
    </xdr:from>
    <xdr:to>
      <xdr:col>5</xdr:col>
      <xdr:colOff>323850</xdr:colOff>
      <xdr:row>96</xdr:row>
      <xdr:rowOff>71437</xdr:rowOff>
    </xdr:to>
    <xdr:graphicFrame macro="">
      <xdr:nvGraphicFramePr>
        <xdr:cNvPr id="10" name="Диаграмма 9">
          <a:extLst>
            <a:ext uri="{FF2B5EF4-FFF2-40B4-BE49-F238E27FC236}">
              <a16:creationId xmlns="" xmlns:a16="http://schemas.microsoft.com/office/drawing/2014/main" id="{00000000-0008-0000-1F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I63"/>
  <sheetViews>
    <sheetView topLeftCell="A34" zoomScaleNormal="100" zoomScaleSheetLayoutView="100" workbookViewId="0">
      <selection activeCell="I54" sqref="I54"/>
    </sheetView>
  </sheetViews>
  <sheetFormatPr defaultRowHeight="15" x14ac:dyDescent="0.25"/>
  <cols>
    <col min="1" max="1" width="1.7109375" style="1" customWidth="1"/>
    <col min="2" max="2" width="42.5703125" style="1" customWidth="1"/>
    <col min="3" max="3" width="8.42578125" style="1" customWidth="1"/>
    <col min="4" max="6" width="12.7109375" style="1" customWidth="1"/>
    <col min="7" max="8" width="1.7109375" style="1" customWidth="1"/>
    <col min="9" max="9" width="40.5703125" style="1" customWidth="1"/>
    <col min="10" max="16384" width="9.140625" style="1"/>
  </cols>
  <sheetData>
    <row r="1" spans="1:6" s="3" customFormat="1" ht="18.75" x14ac:dyDescent="0.3">
      <c r="A1" s="3" t="s">
        <v>76</v>
      </c>
    </row>
    <row r="2" spans="1:6" x14ac:dyDescent="0.25">
      <c r="F2" s="469" t="e">
        <f>"("&amp;#REF!&amp;")"</f>
        <v>#REF!</v>
      </c>
    </row>
    <row r="3" spans="1:6" ht="45" x14ac:dyDescent="0.25">
      <c r="B3" s="4" t="s">
        <v>16</v>
      </c>
      <c r="C3" s="4" t="s">
        <v>17</v>
      </c>
      <c r="D3" s="4" t="e">
        <f>CONCATENATE("На 31 декабря ",#REF!)</f>
        <v>#REF!</v>
      </c>
      <c r="E3" s="4" t="e">
        <f>CONCATENATE("На 31 декабря ",#REF!)</f>
        <v>#REF!</v>
      </c>
      <c r="F3" s="4" t="e">
        <f>CONCATENATE("На 31 декабря ",#REF!)</f>
        <v>#REF!</v>
      </c>
    </row>
    <row r="4" spans="1:6" x14ac:dyDescent="0.25">
      <c r="B4" s="14" t="s">
        <v>77</v>
      </c>
      <c r="C4" s="15">
        <v>5610</v>
      </c>
      <c r="D4" s="6"/>
      <c r="E4" s="7"/>
      <c r="F4" s="8"/>
    </row>
    <row r="5" spans="1:6" x14ac:dyDescent="0.25">
      <c r="B5" s="14" t="s">
        <v>78</v>
      </c>
      <c r="C5" s="15">
        <v>5620</v>
      </c>
      <c r="D5" s="9"/>
      <c r="E5" s="10"/>
      <c r="F5" s="11"/>
    </row>
    <row r="6" spans="1:6" x14ac:dyDescent="0.25">
      <c r="B6" s="14" t="s">
        <v>79</v>
      </c>
      <c r="C6" s="15">
        <v>5630</v>
      </c>
      <c r="D6" s="9"/>
      <c r="E6" s="9"/>
      <c r="F6" s="11"/>
    </row>
    <row r="7" spans="1:6" x14ac:dyDescent="0.25">
      <c r="B7" s="14" t="s">
        <v>80</v>
      </c>
      <c r="C7" s="15">
        <v>5640</v>
      </c>
      <c r="D7" s="9"/>
      <c r="E7" s="10"/>
      <c r="F7" s="11"/>
    </row>
    <row r="8" spans="1:6" x14ac:dyDescent="0.25">
      <c r="B8" s="14" t="s">
        <v>81</v>
      </c>
      <c r="C8" s="15">
        <v>5650</v>
      </c>
      <c r="D8" s="9"/>
      <c r="E8" s="10"/>
      <c r="F8" s="11"/>
    </row>
    <row r="9" spans="1:6" x14ac:dyDescent="0.25">
      <c r="B9" s="14" t="s">
        <v>82</v>
      </c>
      <c r="C9" s="15">
        <v>5660</v>
      </c>
      <c r="D9" s="16">
        <f>SUM(D4:D8)</f>
        <v>0</v>
      </c>
      <c r="E9" s="17">
        <f t="shared" ref="E9:F9" si="0">SUM(E4:E8)</f>
        <v>0</v>
      </c>
      <c r="F9" s="18">
        <f t="shared" si="0"/>
        <v>0</v>
      </c>
    </row>
    <row r="10" spans="1:6" x14ac:dyDescent="0.25">
      <c r="B10" s="14" t="s">
        <v>708</v>
      </c>
      <c r="C10" s="15">
        <v>5501</v>
      </c>
      <c r="D10" s="9"/>
      <c r="E10" s="10"/>
      <c r="F10" s="11"/>
    </row>
    <row r="11" spans="1:6" x14ac:dyDescent="0.25">
      <c r="B11" s="14"/>
      <c r="C11" s="15"/>
      <c r="D11" s="9"/>
      <c r="E11" s="10"/>
      <c r="F11" s="11"/>
    </row>
    <row r="12" spans="1:6" x14ac:dyDescent="0.25">
      <c r="B12" s="14"/>
      <c r="C12" s="15"/>
      <c r="D12" s="9"/>
      <c r="E12" s="10"/>
      <c r="F12" s="11"/>
    </row>
    <row r="13" spans="1:6" x14ac:dyDescent="0.25">
      <c r="B13" s="14"/>
      <c r="C13" s="15"/>
      <c r="D13" s="9"/>
      <c r="E13" s="10"/>
      <c r="F13" s="11"/>
    </row>
    <row r="14" spans="1:6" x14ac:dyDescent="0.25">
      <c r="D14" s="13"/>
      <c r="E14" s="13"/>
    </row>
    <row r="15" spans="1:6" s="3" customFormat="1" ht="18.75" x14ac:dyDescent="0.3">
      <c r="A15" s="3" t="s">
        <v>83</v>
      </c>
    </row>
    <row r="16" spans="1:6" x14ac:dyDescent="0.25">
      <c r="F16" s="469" t="e">
        <f>"("&amp;#REF!&amp;")"</f>
        <v>#REF!</v>
      </c>
    </row>
    <row r="17" spans="1:9" ht="45" x14ac:dyDescent="0.25">
      <c r="B17" s="4" t="s">
        <v>16</v>
      </c>
      <c r="C17" s="4" t="s">
        <v>17</v>
      </c>
      <c r="D17" s="4" t="e">
        <f>CONCATENATE("На 31 декабря ",#REF!)</f>
        <v>#REF!</v>
      </c>
      <c r="E17" s="4" t="e">
        <f>CONCATENATE("На 31 декабря ",#REF!)</f>
        <v>#REF!</v>
      </c>
      <c r="F17" s="4" t="e">
        <f>CONCATENATE("На 31 декабря ",#REF!)</f>
        <v>#REF!</v>
      </c>
      <c r="I17" s="4" t="s">
        <v>84</v>
      </c>
    </row>
    <row r="18" spans="1:9" ht="30" x14ac:dyDescent="0.25">
      <c r="B18" s="14" t="s">
        <v>85</v>
      </c>
      <c r="C18" s="19"/>
      <c r="D18" s="6">
        <v>0</v>
      </c>
      <c r="E18" s="7">
        <v>0</v>
      </c>
      <c r="F18" s="8">
        <v>0</v>
      </c>
      <c r="I18" s="20" t="s">
        <v>712</v>
      </c>
    </row>
    <row r="19" spans="1:9" ht="24" x14ac:dyDescent="0.25">
      <c r="B19" s="14" t="s">
        <v>86</v>
      </c>
      <c r="C19" s="19"/>
      <c r="D19" s="9">
        <v>0</v>
      </c>
      <c r="E19" s="10">
        <v>0</v>
      </c>
      <c r="F19" s="11">
        <v>0</v>
      </c>
      <c r="I19" s="21" t="s">
        <v>87</v>
      </c>
    </row>
    <row r="20" spans="1:9" ht="30" x14ac:dyDescent="0.25">
      <c r="B20" s="14" t="s">
        <v>88</v>
      </c>
      <c r="C20" s="19"/>
      <c r="D20" s="9">
        <v>0</v>
      </c>
      <c r="E20" s="10">
        <v>0</v>
      </c>
      <c r="F20" s="11">
        <v>0</v>
      </c>
      <c r="I20" s="21" t="s">
        <v>713</v>
      </c>
    </row>
    <row r="21" spans="1:9" ht="60" x14ac:dyDescent="0.25">
      <c r="B21" s="14" t="s">
        <v>89</v>
      </c>
      <c r="C21" s="19"/>
      <c r="D21" s="9">
        <v>0</v>
      </c>
      <c r="E21" s="10">
        <v>0</v>
      </c>
      <c r="F21" s="11">
        <v>0</v>
      </c>
      <c r="I21" s="21" t="s">
        <v>90</v>
      </c>
    </row>
    <row r="22" spans="1:9" ht="45" x14ac:dyDescent="0.25">
      <c r="B22" s="14" t="s">
        <v>399</v>
      </c>
      <c r="C22" s="19"/>
      <c r="D22" s="9"/>
      <c r="E22" s="10"/>
      <c r="F22" s="11"/>
      <c r="I22" s="21"/>
    </row>
    <row r="23" spans="1:9" x14ac:dyDescent="0.25">
      <c r="B23" s="14" t="s">
        <v>468</v>
      </c>
      <c r="C23" s="19"/>
      <c r="D23" s="9">
        <v>0</v>
      </c>
      <c r="E23" s="10">
        <v>0</v>
      </c>
      <c r="F23" s="11">
        <v>0</v>
      </c>
      <c r="I23" s="21" t="s">
        <v>469</v>
      </c>
    </row>
    <row r="24" spans="1:9" ht="45" x14ac:dyDescent="0.25">
      <c r="B24" s="14" t="s">
        <v>822</v>
      </c>
      <c r="C24" s="19"/>
      <c r="D24" s="9"/>
      <c r="E24" s="10"/>
      <c r="F24" s="11"/>
      <c r="I24" s="21"/>
    </row>
    <row r="25" spans="1:9" x14ac:dyDescent="0.25">
      <c r="B25" s="14"/>
      <c r="C25" s="19"/>
      <c r="D25" s="9"/>
      <c r="E25" s="10"/>
      <c r="F25" s="11"/>
      <c r="I25" s="21"/>
    </row>
    <row r="26" spans="1:9" x14ac:dyDescent="0.25">
      <c r="B26" s="14"/>
      <c r="C26" s="19"/>
      <c r="D26" s="9"/>
      <c r="E26" s="10"/>
      <c r="F26" s="11"/>
      <c r="I26" s="21"/>
    </row>
    <row r="27" spans="1:9" x14ac:dyDescent="0.25">
      <c r="B27" s="14"/>
      <c r="C27" s="19"/>
      <c r="D27" s="9"/>
      <c r="E27" s="10"/>
      <c r="F27" s="11"/>
      <c r="I27" s="21"/>
    </row>
    <row r="29" spans="1:9" s="3" customFormat="1" ht="18.75" x14ac:dyDescent="0.3">
      <c r="A29" s="3" t="s">
        <v>709</v>
      </c>
    </row>
    <row r="30" spans="1:9" x14ac:dyDescent="0.25">
      <c r="F30" s="469" t="e">
        <f>"("&amp;#REF!&amp;")"</f>
        <v>#REF!</v>
      </c>
    </row>
    <row r="31" spans="1:9" ht="45" x14ac:dyDescent="0.25">
      <c r="B31" s="4" t="s">
        <v>16</v>
      </c>
      <c r="C31" s="4" t="s">
        <v>17</v>
      </c>
      <c r="D31" s="4" t="e">
        <f>CONCATENATE("На 31 декабря ",#REF!)</f>
        <v>#REF!</v>
      </c>
      <c r="E31" s="4" t="e">
        <f>CONCATENATE("На 31 декабря ",#REF!)</f>
        <v>#REF!</v>
      </c>
      <c r="F31" s="4" t="e">
        <f>CONCATENATE("На 31 декабря ",#REF!)</f>
        <v>#REF!</v>
      </c>
      <c r="I31" s="4" t="s">
        <v>84</v>
      </c>
    </row>
    <row r="32" spans="1:9" ht="30" x14ac:dyDescent="0.25">
      <c r="B32" s="14" t="s">
        <v>704</v>
      </c>
      <c r="C32" s="19"/>
      <c r="D32" s="9">
        <v>0</v>
      </c>
      <c r="E32" s="10">
        <v>0</v>
      </c>
      <c r="F32" s="11">
        <v>0</v>
      </c>
      <c r="I32" s="21" t="s">
        <v>714</v>
      </c>
    </row>
    <row r="33" spans="1:9" ht="30" x14ac:dyDescent="0.25">
      <c r="B33" s="14" t="s">
        <v>707</v>
      </c>
      <c r="C33" s="19"/>
      <c r="D33" s="9">
        <v>0</v>
      </c>
      <c r="E33" s="10">
        <v>0</v>
      </c>
      <c r="F33" s="11">
        <v>0</v>
      </c>
      <c r="I33" s="21" t="s">
        <v>715</v>
      </c>
    </row>
    <row r="34" spans="1:9" ht="48" x14ac:dyDescent="0.25">
      <c r="B34" s="14" t="s">
        <v>706</v>
      </c>
      <c r="C34" s="19"/>
      <c r="D34" s="9">
        <v>0</v>
      </c>
      <c r="E34" s="10">
        <v>0</v>
      </c>
      <c r="F34" s="11">
        <v>0</v>
      </c>
      <c r="I34" s="21" t="s">
        <v>716</v>
      </c>
    </row>
    <row r="35" spans="1:9" ht="30" x14ac:dyDescent="0.25">
      <c r="B35" s="14" t="s">
        <v>705</v>
      </c>
      <c r="C35" s="19"/>
      <c r="D35" s="9">
        <v>0</v>
      </c>
      <c r="E35" s="10">
        <v>0</v>
      </c>
      <c r="F35" s="11">
        <v>0</v>
      </c>
      <c r="I35" s="21" t="s">
        <v>715</v>
      </c>
    </row>
    <row r="36" spans="1:9" x14ac:dyDescent="0.25">
      <c r="B36" s="14" t="s">
        <v>710</v>
      </c>
      <c r="C36" s="19"/>
      <c r="D36" s="9"/>
      <c r="E36" s="10"/>
      <c r="F36" s="11"/>
      <c r="I36" s="21" t="s">
        <v>711</v>
      </c>
    </row>
    <row r="37" spans="1:9" x14ac:dyDescent="0.25">
      <c r="B37" s="14" t="s">
        <v>708</v>
      </c>
      <c r="C37" s="19">
        <v>5501</v>
      </c>
      <c r="D37" s="470">
        <f>D10</f>
        <v>0</v>
      </c>
      <c r="E37" s="471">
        <f t="shared" ref="E37:F37" si="1">E10</f>
        <v>0</v>
      </c>
      <c r="F37" s="472">
        <f t="shared" si="1"/>
        <v>0</v>
      </c>
      <c r="I37" s="21" t="s">
        <v>715</v>
      </c>
    </row>
    <row r="38" spans="1:9" x14ac:dyDescent="0.25">
      <c r="B38" s="14" t="s">
        <v>125</v>
      </c>
      <c r="C38" s="19">
        <v>5305</v>
      </c>
      <c r="D38" s="9"/>
      <c r="E38" s="10"/>
      <c r="F38" s="11"/>
      <c r="I38" s="21" t="s">
        <v>715</v>
      </c>
    </row>
    <row r="39" spans="1:9" x14ac:dyDescent="0.25">
      <c r="B39" s="14" t="s">
        <v>689</v>
      </c>
      <c r="C39" s="19">
        <v>5510</v>
      </c>
      <c r="D39" s="9">
        <v>0</v>
      </c>
      <c r="E39" s="10"/>
      <c r="F39" s="11"/>
      <c r="I39" s="21" t="s">
        <v>715</v>
      </c>
    </row>
    <row r="40" spans="1:9" ht="30" x14ac:dyDescent="0.25">
      <c r="B40" s="14" t="s">
        <v>88</v>
      </c>
      <c r="C40" s="19"/>
      <c r="D40" s="470">
        <f>D20</f>
        <v>0</v>
      </c>
      <c r="E40" s="471">
        <f t="shared" ref="E40:F40" si="2">E20</f>
        <v>0</v>
      </c>
      <c r="F40" s="472">
        <f t="shared" si="2"/>
        <v>0</v>
      </c>
      <c r="I40" s="21"/>
    </row>
    <row r="41" spans="1:9" ht="30" x14ac:dyDescent="0.25">
      <c r="B41" s="14" t="s">
        <v>717</v>
      </c>
      <c r="C41" s="19"/>
      <c r="D41" s="9"/>
      <c r="E41" s="10"/>
      <c r="F41" s="11"/>
      <c r="I41" s="21" t="s">
        <v>719</v>
      </c>
    </row>
    <row r="42" spans="1:9" x14ac:dyDescent="0.25">
      <c r="B42" s="14" t="s">
        <v>718</v>
      </c>
      <c r="C42" s="19"/>
      <c r="D42" s="9"/>
      <c r="E42" s="10"/>
      <c r="F42" s="11"/>
      <c r="I42" s="21" t="s">
        <v>715</v>
      </c>
    </row>
    <row r="43" spans="1:9" ht="36" x14ac:dyDescent="0.25">
      <c r="B43" s="14" t="s">
        <v>696</v>
      </c>
      <c r="C43" s="19"/>
      <c r="D43" s="9" t="e">
        <f>#REF!</f>
        <v>#REF!</v>
      </c>
      <c r="E43" s="10" t="e">
        <f>#REF!</f>
        <v>#REF!</v>
      </c>
      <c r="F43" s="11" t="e">
        <f>#REF!</f>
        <v>#REF!</v>
      </c>
      <c r="I43" s="21" t="s">
        <v>720</v>
      </c>
    </row>
    <row r="44" spans="1:9" ht="15" customHeight="1" x14ac:dyDescent="0.25">
      <c r="B44" s="14" t="s">
        <v>729</v>
      </c>
      <c r="C44" s="19"/>
      <c r="D44" s="9"/>
      <c r="E44" s="10"/>
      <c r="F44" s="11"/>
      <c r="I44" s="21" t="s">
        <v>730</v>
      </c>
    </row>
    <row r="45" spans="1:9" x14ac:dyDescent="0.25">
      <c r="B45" s="14"/>
      <c r="C45" s="19"/>
      <c r="D45" s="9"/>
      <c r="E45" s="10"/>
      <c r="F45" s="11"/>
      <c r="I45" s="21"/>
    </row>
    <row r="46" spans="1:9" x14ac:dyDescent="0.25">
      <c r="B46" s="14"/>
      <c r="C46" s="19"/>
      <c r="D46" s="9"/>
      <c r="E46" s="10"/>
      <c r="F46" s="11"/>
      <c r="I46" s="21"/>
    </row>
    <row r="48" spans="1:9" s="3" customFormat="1" ht="18.75" x14ac:dyDescent="0.3">
      <c r="A48" s="3" t="s">
        <v>91</v>
      </c>
    </row>
    <row r="49" spans="2:7" x14ac:dyDescent="0.25">
      <c r="F49" s="469" t="e">
        <f>"("&amp;#REF!&amp;")"</f>
        <v>#REF!</v>
      </c>
    </row>
    <row r="50" spans="2:7" s="22" customFormat="1" x14ac:dyDescent="0.25">
      <c r="B50" s="535" t="s">
        <v>92</v>
      </c>
      <c r="C50" s="536" t="s">
        <v>17</v>
      </c>
      <c r="D50" s="535" t="e">
        <f>#REF!</f>
        <v>#REF!</v>
      </c>
      <c r="E50" s="535" t="e">
        <f>#REF!</f>
        <v>#REF!</v>
      </c>
      <c r="F50" s="535" t="e">
        <f>#REF!</f>
        <v>#REF!</v>
      </c>
      <c r="G50" s="23"/>
    </row>
    <row r="51" spans="2:7" s="22" customFormat="1" x14ac:dyDescent="0.25">
      <c r="B51" s="535"/>
      <c r="C51" s="537"/>
      <c r="D51" s="535"/>
      <c r="E51" s="535"/>
      <c r="F51" s="535"/>
      <c r="G51" s="23"/>
    </row>
    <row r="52" spans="2:7" x14ac:dyDescent="0.25">
      <c r="B52" s="24" t="s">
        <v>93</v>
      </c>
      <c r="C52" s="25">
        <v>1600</v>
      </c>
      <c r="D52" s="26" t="e">
        <f>(#REF!+#REF!)/2</f>
        <v>#REF!</v>
      </c>
      <c r="E52" s="27" t="e">
        <f>(#REF!+#REF!)/2</f>
        <v>#REF!</v>
      </c>
      <c r="F52" s="28" t="e">
        <f>(#REF!+#REF!)/2</f>
        <v>#REF!</v>
      </c>
    </row>
    <row r="53" spans="2:7" ht="30" x14ac:dyDescent="0.25">
      <c r="B53" s="29" t="s">
        <v>94</v>
      </c>
      <c r="C53" s="30">
        <v>1300</v>
      </c>
      <c r="D53" s="31" t="e">
        <f>(#REF!+#REF!)/2</f>
        <v>#REF!</v>
      </c>
      <c r="E53" s="32" t="e">
        <f>(#REF!+#REF!)/2</f>
        <v>#REF!</v>
      </c>
      <c r="F53" s="33" t="e">
        <f>(#REF!+#REF!)/2</f>
        <v>#REF!</v>
      </c>
    </row>
    <row r="54" spans="2:7" ht="30" x14ac:dyDescent="0.25">
      <c r="B54" s="29" t="s">
        <v>95</v>
      </c>
      <c r="C54" s="30" t="s">
        <v>96</v>
      </c>
      <c r="D54" s="31" t="e">
        <f>((#REF!+#REF!)/2+(#REF!+#REF!)/2)</f>
        <v>#REF!</v>
      </c>
      <c r="E54" s="32" t="e">
        <f>((#REF!+#REF!)/2+(#REF!+#REF!)/2)</f>
        <v>#REF!</v>
      </c>
      <c r="F54" s="33" t="e">
        <f>((#REF!+#REF!)/2+(#REF!+#REF!)/2)</f>
        <v>#REF!</v>
      </c>
    </row>
    <row r="55" spans="2:7" x14ac:dyDescent="0.25">
      <c r="B55" s="29" t="s">
        <v>97</v>
      </c>
      <c r="C55" s="30">
        <v>1150</v>
      </c>
      <c r="D55" s="31" t="e">
        <f>(#REF!+#REF!)/2</f>
        <v>#REF!</v>
      </c>
      <c r="E55" s="32" t="e">
        <f>(#REF!+#REF!)/2</f>
        <v>#REF!</v>
      </c>
      <c r="F55" s="33" t="e">
        <f>(#REF!+#REF!)/2</f>
        <v>#REF!</v>
      </c>
    </row>
    <row r="56" spans="2:7" x14ac:dyDescent="0.25">
      <c r="B56" s="29" t="s">
        <v>98</v>
      </c>
      <c r="C56" s="30">
        <v>1100</v>
      </c>
      <c r="D56" s="31" t="e">
        <f>(#REF!+#REF!)/2</f>
        <v>#REF!</v>
      </c>
      <c r="E56" s="32" t="e">
        <f>(#REF!+#REF!)/2</f>
        <v>#REF!</v>
      </c>
      <c r="F56" s="33" t="e">
        <f>(#REF!+#REF!)/2</f>
        <v>#REF!</v>
      </c>
    </row>
    <row r="57" spans="2:7" x14ac:dyDescent="0.25">
      <c r="B57" s="29" t="s">
        <v>99</v>
      </c>
      <c r="C57" s="30">
        <v>1200</v>
      </c>
      <c r="D57" s="31" t="e">
        <f>(#REF!+#REF!)/2</f>
        <v>#REF!</v>
      </c>
      <c r="E57" s="32" t="e">
        <f>(#REF!+#REF!)/2</f>
        <v>#REF!</v>
      </c>
      <c r="F57" s="33" t="e">
        <f>(#REF!+#REF!)/2</f>
        <v>#REF!</v>
      </c>
    </row>
    <row r="58" spans="2:7" ht="25.5" x14ac:dyDescent="0.25">
      <c r="B58" s="29" t="s">
        <v>100</v>
      </c>
      <c r="C58" s="30" t="s">
        <v>101</v>
      </c>
      <c r="D58" s="31" t="e">
        <f>(#REF!+#REF!)/2+(#REF!+#REF!)/2</f>
        <v>#REF!</v>
      </c>
      <c r="E58" s="32" t="e">
        <f>(#REF!+#REF!)/2+(#REF!+#REF!)/2</f>
        <v>#REF!</v>
      </c>
      <c r="F58" s="33" t="e">
        <f>(#REF!+#REF!)/2+(#REF!+#REF!)/2</f>
        <v>#REF!</v>
      </c>
    </row>
    <row r="59" spans="2:7" ht="30" x14ac:dyDescent="0.25">
      <c r="B59" s="29" t="s">
        <v>102</v>
      </c>
      <c r="C59" s="30">
        <v>1230</v>
      </c>
      <c r="D59" s="31" t="e">
        <f>(#REF!+#REF!)/2</f>
        <v>#REF!</v>
      </c>
      <c r="E59" s="32" t="e">
        <f>(#REF!+#REF!)/2</f>
        <v>#REF!</v>
      </c>
      <c r="F59" s="33" t="e">
        <f>(#REF!+#REF!)/2</f>
        <v>#REF!</v>
      </c>
    </row>
    <row r="60" spans="2:7" ht="30" x14ac:dyDescent="0.25">
      <c r="B60" s="29" t="s">
        <v>103</v>
      </c>
      <c r="C60" s="30">
        <v>1520</v>
      </c>
      <c r="D60" s="31" t="e">
        <f>(#REF!+#REF!)/2</f>
        <v>#REF!</v>
      </c>
      <c r="E60" s="32" t="e">
        <f>(#REF!+#REF!)/2</f>
        <v>#REF!</v>
      </c>
      <c r="F60" s="33" t="e">
        <f>(#REF!+#REF!)/2</f>
        <v>#REF!</v>
      </c>
    </row>
    <row r="61" spans="2:7" ht="30" x14ac:dyDescent="0.25">
      <c r="B61" s="29" t="s">
        <v>627</v>
      </c>
      <c r="C61" s="30" t="s">
        <v>628</v>
      </c>
      <c r="D61" s="31" t="e">
        <f>D57-(#REF!+#REF!)/2</f>
        <v>#REF!</v>
      </c>
      <c r="E61" s="32" t="e">
        <f>E57-(#REF!+#REF!)/2</f>
        <v>#REF!</v>
      </c>
      <c r="F61" s="33" t="e">
        <f>F57-(#REF!+#REF!)/2</f>
        <v>#REF!</v>
      </c>
    </row>
    <row r="62" spans="2:7" x14ac:dyDescent="0.25">
      <c r="B62" s="29"/>
      <c r="C62" s="30"/>
      <c r="D62" s="31"/>
      <c r="E62" s="32"/>
      <c r="F62" s="33"/>
    </row>
    <row r="63" spans="2:7" x14ac:dyDescent="0.25">
      <c r="B63" s="29"/>
      <c r="C63" s="30"/>
      <c r="D63" s="31"/>
      <c r="E63" s="32"/>
      <c r="F63" s="33"/>
    </row>
  </sheetData>
  <mergeCells count="5">
    <mergeCell ref="B50:B51"/>
    <mergeCell ref="C50:C51"/>
    <mergeCell ref="D50:D51"/>
    <mergeCell ref="E50:E51"/>
    <mergeCell ref="F50:F51"/>
  </mergeCells>
  <printOptions horizontalCentered="1"/>
  <pageMargins left="0.59055118110236227" right="0.19685039370078741" top="0.78740157480314965" bottom="0.39370078740157483" header="0.31496062992125984" footer="0.31496062992125984"/>
  <pageSetup paperSize="9" fitToHeight="1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N17"/>
  <sheetViews>
    <sheetView zoomScaleNormal="100" zoomScaleSheetLayoutView="100" workbookViewId="0">
      <selection activeCell="A19" sqref="A19:XFD21"/>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3" customFormat="1" ht="18.75" x14ac:dyDescent="0.3">
      <c r="A1" s="3" t="s">
        <v>659</v>
      </c>
    </row>
    <row r="3" spans="1:14" ht="30" customHeight="1" x14ac:dyDescent="0.25">
      <c r="B3" s="542" t="s">
        <v>170</v>
      </c>
      <c r="C3" s="550" t="s">
        <v>92</v>
      </c>
      <c r="D3" s="542" t="s">
        <v>164</v>
      </c>
      <c r="E3" s="550" t="s">
        <v>172</v>
      </c>
      <c r="F3" s="550"/>
      <c r="G3" s="550"/>
      <c r="H3" s="548" t="e">
        <f>"Изменение, "&amp;#REF!</f>
        <v>#REF!</v>
      </c>
      <c r="I3" s="549"/>
      <c r="J3" s="548" t="s">
        <v>174</v>
      </c>
      <c r="K3" s="549"/>
    </row>
    <row r="4" spans="1:14"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c r="N4" s="22"/>
    </row>
    <row r="5" spans="1:14" ht="15.75" x14ac:dyDescent="0.25">
      <c r="B5" s="147" t="s">
        <v>271</v>
      </c>
      <c r="C5" s="148"/>
      <c r="D5" s="148"/>
      <c r="E5" s="148"/>
      <c r="F5" s="148"/>
      <c r="G5" s="148"/>
      <c r="H5" s="148"/>
      <c r="I5" s="148"/>
      <c r="J5" s="148"/>
      <c r="K5" s="149"/>
    </row>
    <row r="6" spans="1:14" ht="30" x14ac:dyDescent="0.25">
      <c r="B6" s="15" t="s">
        <v>3</v>
      </c>
      <c r="C6" s="128" t="s">
        <v>272</v>
      </c>
      <c r="D6" s="150" t="s">
        <v>274</v>
      </c>
      <c r="E6" s="151" t="e">
        <f>(#REF!+#REF!+#REF!-#REF!)/#REF!</f>
        <v>#REF!</v>
      </c>
      <c r="F6" s="151" t="e">
        <f>(#REF!+#REF!+#REF!-#REF!)/#REF!</f>
        <v>#REF!</v>
      </c>
      <c r="G6" s="151" t="e">
        <f>(#REF!+#REF!+#REF!-#REF!)/#REF!</f>
        <v>#REF!</v>
      </c>
      <c r="H6" s="140" t="e">
        <f t="shared" ref="H6:H11" si="0">E6-F6</f>
        <v>#REF!</v>
      </c>
      <c r="I6" s="140" t="e">
        <f t="shared" ref="I6:I11" si="1">E6-G6</f>
        <v>#REF!</v>
      </c>
      <c r="J6" s="132" t="str">
        <f t="shared" ref="J6:J11" si="2">IFERROR(E6/F6,"")</f>
        <v/>
      </c>
      <c r="K6" s="133" t="str">
        <f t="shared" ref="K6:K11" si="3">IFERROR(E6/G6,"")</f>
        <v/>
      </c>
    </row>
    <row r="7" spans="1:14" ht="30" x14ac:dyDescent="0.25">
      <c r="B7" s="15" t="s">
        <v>4</v>
      </c>
      <c r="C7" s="128" t="s">
        <v>277</v>
      </c>
      <c r="D7" s="150" t="s">
        <v>275</v>
      </c>
      <c r="E7" s="151" t="e">
        <f>(#REF!+#REF!+#REF!-#REF!)/#REF!</f>
        <v>#REF!</v>
      </c>
      <c r="F7" s="151" t="e">
        <f>(#REF!+#REF!+#REF!-#REF!)/#REF!</f>
        <v>#REF!</v>
      </c>
      <c r="G7" s="151" t="e">
        <f>(#REF!+#REF!+#REF!-#REF!)/#REF!</f>
        <v>#REF!</v>
      </c>
      <c r="H7" s="140" t="e">
        <f t="shared" si="0"/>
        <v>#REF!</v>
      </c>
      <c r="I7" s="140" t="e">
        <f t="shared" si="1"/>
        <v>#REF!</v>
      </c>
      <c r="J7" s="132" t="str">
        <f t="shared" si="2"/>
        <v/>
      </c>
      <c r="K7" s="133" t="str">
        <f t="shared" si="3"/>
        <v/>
      </c>
    </row>
    <row r="8" spans="1:14" ht="15" customHeight="1" x14ac:dyDescent="0.25">
      <c r="B8" s="15" t="s">
        <v>5</v>
      </c>
      <c r="C8" s="128" t="s">
        <v>278</v>
      </c>
      <c r="D8" s="150" t="s">
        <v>280</v>
      </c>
      <c r="E8" s="151" t="e">
        <f>(#REF!+#REF!+#REF!-#REF!)/(#REF!+#REF!+#REF!)</f>
        <v>#REF!</v>
      </c>
      <c r="F8" s="151" t="e">
        <f>(#REF!+#REF!+#REF!-#REF!)/(#REF!+#REF!+#REF!)</f>
        <v>#REF!</v>
      </c>
      <c r="G8" s="151" t="e">
        <f>(#REF!+#REF!+#REF!-#REF!)/(#REF!+#REF!+#REF!)</f>
        <v>#REF!</v>
      </c>
      <c r="H8" s="140" t="e">
        <f t="shared" si="0"/>
        <v>#REF!</v>
      </c>
      <c r="I8" s="140" t="e">
        <f t="shared" si="1"/>
        <v>#REF!</v>
      </c>
      <c r="J8" s="132" t="str">
        <f t="shared" si="2"/>
        <v/>
      </c>
      <c r="K8" s="133" t="str">
        <f t="shared" si="3"/>
        <v/>
      </c>
    </row>
    <row r="9" spans="1:14" ht="15.75" x14ac:dyDescent="0.25">
      <c r="B9" s="147" t="s">
        <v>281</v>
      </c>
      <c r="C9" s="148"/>
      <c r="D9" s="148"/>
      <c r="E9" s="148"/>
      <c r="F9" s="148"/>
      <c r="G9" s="148"/>
      <c r="H9" s="148"/>
      <c r="I9" s="148"/>
      <c r="J9" s="148"/>
      <c r="K9" s="149"/>
    </row>
    <row r="10" spans="1:14" x14ac:dyDescent="0.25">
      <c r="B10" s="15" t="s">
        <v>7</v>
      </c>
      <c r="C10" s="128" t="s">
        <v>282</v>
      </c>
      <c r="D10" s="150"/>
      <c r="E10" s="151" t="e">
        <f>#REF!/(#REF!+#REF!+#REF!)</f>
        <v>#REF!</v>
      </c>
      <c r="F10" s="151" t="e">
        <f>#REF!/(#REF!+#REF!+#REF!)</f>
        <v>#REF!</v>
      </c>
      <c r="G10" s="151" t="e">
        <f>#REF!/(#REF!+#REF!+#REF!)</f>
        <v>#REF!</v>
      </c>
      <c r="H10" s="140" t="e">
        <f t="shared" si="0"/>
        <v>#REF!</v>
      </c>
      <c r="I10" s="140" t="e">
        <f t="shared" si="1"/>
        <v>#REF!</v>
      </c>
      <c r="J10" s="132" t="str">
        <f t="shared" si="2"/>
        <v/>
      </c>
      <c r="K10" s="133" t="str">
        <f t="shared" si="3"/>
        <v/>
      </c>
    </row>
    <row r="11" spans="1:14" ht="30" x14ac:dyDescent="0.25">
      <c r="B11" s="15" t="s">
        <v>8</v>
      </c>
      <c r="C11" s="128" t="s">
        <v>288</v>
      </c>
      <c r="D11" s="150"/>
      <c r="E11" s="151" t="e">
        <f>#REF!/(#REF!+#REF!+#REF!+#REF!)</f>
        <v>#REF!</v>
      </c>
      <c r="F11" s="151" t="e">
        <f>#REF!/(#REF!+#REF!+#REF!+#REF!)</f>
        <v>#REF!</v>
      </c>
      <c r="G11" s="151" t="e">
        <f>#REF!/(#REF!+#REF!+#REF!+#REF!)</f>
        <v>#REF!</v>
      </c>
      <c r="H11" s="140" t="e">
        <f t="shared" si="0"/>
        <v>#REF!</v>
      </c>
      <c r="I11" s="140" t="e">
        <f t="shared" si="1"/>
        <v>#REF!</v>
      </c>
      <c r="J11" s="132" t="str">
        <f t="shared" si="2"/>
        <v/>
      </c>
      <c r="K11" s="133" t="str">
        <f t="shared" si="3"/>
        <v/>
      </c>
    </row>
    <row r="12" spans="1:14" ht="25.5" x14ac:dyDescent="0.25">
      <c r="B12" s="15" t="s">
        <v>9</v>
      </c>
      <c r="C12" s="128" t="s">
        <v>290</v>
      </c>
      <c r="D12" s="150" t="s">
        <v>291</v>
      </c>
      <c r="E12" s="151" t="e">
        <f>(#REF!+#REF!)/#REF!</f>
        <v>#REF!</v>
      </c>
      <c r="F12" s="151" t="e">
        <f>(#REF!+#REF!)/#REF!</f>
        <v>#REF!</v>
      </c>
      <c r="G12" s="151" t="e">
        <f>(#REF!+#REF!)/#REF!</f>
        <v>#REF!</v>
      </c>
      <c r="H12" s="140" t="e">
        <f t="shared" ref="H12:H16" si="4">E12-F12</f>
        <v>#REF!</v>
      </c>
      <c r="I12" s="140" t="e">
        <f t="shared" ref="I12:I16" si="5">E12-G12</f>
        <v>#REF!</v>
      </c>
      <c r="J12" s="132" t="str">
        <f t="shared" ref="J12:J16" si="6">IFERROR(E12/F12,"")</f>
        <v/>
      </c>
      <c r="K12" s="133" t="str">
        <f t="shared" ref="K12:K16" si="7">IFERROR(E12/G12,"")</f>
        <v/>
      </c>
    </row>
    <row r="13" spans="1:14" ht="15.75" x14ac:dyDescent="0.25">
      <c r="B13" s="147" t="s">
        <v>293</v>
      </c>
      <c r="C13" s="148"/>
      <c r="D13" s="148"/>
      <c r="E13" s="148"/>
      <c r="F13" s="148"/>
      <c r="G13" s="148"/>
      <c r="H13" s="148"/>
      <c r="I13" s="148"/>
      <c r="J13" s="148"/>
      <c r="K13" s="149"/>
    </row>
    <row r="14" spans="1:14" ht="25.5" x14ac:dyDescent="0.25">
      <c r="B14" s="15" t="s">
        <v>12</v>
      </c>
      <c r="C14" s="128" t="s">
        <v>139</v>
      </c>
      <c r="D14" s="150" t="s">
        <v>168</v>
      </c>
      <c r="E14" s="151" t="e">
        <f>#REF!/#REF!</f>
        <v>#REF!</v>
      </c>
      <c r="F14" s="151" t="e">
        <f>#REF!/#REF!</f>
        <v>#REF!</v>
      </c>
      <c r="G14" s="151" t="e">
        <f>#REF!/#REF!</f>
        <v>#REF!</v>
      </c>
      <c r="H14" s="140" t="e">
        <f t="shared" si="4"/>
        <v>#REF!</v>
      </c>
      <c r="I14" s="140" t="e">
        <f t="shared" si="5"/>
        <v>#REF!</v>
      </c>
      <c r="J14" s="132" t="str">
        <f t="shared" si="6"/>
        <v/>
      </c>
      <c r="K14" s="133" t="str">
        <f t="shared" si="7"/>
        <v/>
      </c>
    </row>
    <row r="15" spans="1:14" ht="25.5" x14ac:dyDescent="0.25">
      <c r="B15" s="15" t="s">
        <v>13</v>
      </c>
      <c r="C15" s="128" t="s">
        <v>294</v>
      </c>
      <c r="D15" s="150" t="s">
        <v>194</v>
      </c>
      <c r="E15" s="151" t="e">
        <f>(#REF!+#REF!)/#REF!</f>
        <v>#REF!</v>
      </c>
      <c r="F15" s="151" t="e">
        <f>(#REF!+#REF!)/#REF!</f>
        <v>#REF!</v>
      </c>
      <c r="G15" s="151" t="e">
        <f>(#REF!+#REF!)/#REF!</f>
        <v>#REF!</v>
      </c>
      <c r="H15" s="140" t="e">
        <f t="shared" si="4"/>
        <v>#REF!</v>
      </c>
      <c r="I15" s="140" t="e">
        <f t="shared" si="5"/>
        <v>#REF!</v>
      </c>
      <c r="J15" s="132" t="str">
        <f t="shared" si="6"/>
        <v/>
      </c>
      <c r="K15" s="133" t="str">
        <f t="shared" si="7"/>
        <v/>
      </c>
    </row>
    <row r="16" spans="1:14" ht="25.5" x14ac:dyDescent="0.25">
      <c r="B16" s="15" t="s">
        <v>244</v>
      </c>
      <c r="C16" s="128" t="s">
        <v>295</v>
      </c>
      <c r="D16" s="150" t="s">
        <v>297</v>
      </c>
      <c r="E16" s="151" t="e">
        <f>(#REF!+#REF!-#REF!-#REF!)/(#REF!+#REF!+#REF!)</f>
        <v>#REF!</v>
      </c>
      <c r="F16" s="151" t="e">
        <f>(#REF!+#REF!-#REF!-#REF!)/(#REF!+#REF!+#REF!)</f>
        <v>#REF!</v>
      </c>
      <c r="G16" s="151" t="e">
        <f>(#REF!+#REF!-#REF!-#REF!)/(#REF!+#REF!+#REF!)</f>
        <v>#REF!</v>
      </c>
      <c r="H16" s="140" t="e">
        <f t="shared" si="4"/>
        <v>#REF!</v>
      </c>
      <c r="I16" s="140" t="e">
        <f t="shared" si="5"/>
        <v>#REF!</v>
      </c>
      <c r="J16" s="132" t="str">
        <f t="shared" si="6"/>
        <v/>
      </c>
      <c r="K16" s="133" t="str">
        <f t="shared" si="7"/>
        <v/>
      </c>
    </row>
    <row r="17" spans="2:11" ht="25.5" x14ac:dyDescent="0.25">
      <c r="B17" s="141" t="s">
        <v>247</v>
      </c>
      <c r="C17" s="142" t="s">
        <v>192</v>
      </c>
      <c r="D17" s="240" t="s">
        <v>193</v>
      </c>
      <c r="E17" s="152" t="e">
        <f>(#REF!+#REF!+#REF!)/(#REF!+#REF!)</f>
        <v>#REF!</v>
      </c>
      <c r="F17" s="152" t="e">
        <f>(#REF!+#REF!+#REF!)/(#REF!+#REF!)</f>
        <v>#REF!</v>
      </c>
      <c r="G17" s="152" t="e">
        <f>(#REF!+#REF!+#REF!)/(#REF!+#REF!)</f>
        <v>#REF!</v>
      </c>
      <c r="H17" s="241" t="e">
        <f t="shared" ref="H17" si="8">E17-F17</f>
        <v>#REF!</v>
      </c>
      <c r="I17" s="241" t="e">
        <f t="shared" ref="I17" si="9">E17-G17</f>
        <v>#REF!</v>
      </c>
      <c r="J17" s="144" t="str">
        <f t="shared" ref="J17" si="10">IFERROR(E17/F17,"")</f>
        <v/>
      </c>
      <c r="K17" s="145" t="str">
        <f t="shared" ref="K17" si="11">IFERROR(E17/G17,"")</f>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N22"/>
  <sheetViews>
    <sheetView zoomScaleNormal="100" zoomScaleSheetLayoutView="100" workbookViewId="0">
      <selection activeCell="A24" sqref="A24:XFD25"/>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3" customFormat="1" ht="18.75" x14ac:dyDescent="0.3">
      <c r="A1" s="3" t="s">
        <v>660</v>
      </c>
    </row>
    <row r="3" spans="1:14" ht="30" customHeight="1" x14ac:dyDescent="0.25">
      <c r="B3" s="542" t="s">
        <v>170</v>
      </c>
      <c r="C3" s="550" t="s">
        <v>92</v>
      </c>
      <c r="D3" s="542" t="s">
        <v>164</v>
      </c>
      <c r="E3" s="550" t="s">
        <v>172</v>
      </c>
      <c r="F3" s="550"/>
      <c r="G3" s="550"/>
      <c r="H3" s="548" t="e">
        <f>"Изменение, "&amp;#REF!</f>
        <v>#REF!</v>
      </c>
      <c r="I3" s="549"/>
      <c r="J3" s="548" t="s">
        <v>174</v>
      </c>
      <c r="K3" s="549"/>
    </row>
    <row r="4" spans="1:14"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c r="N4" s="22"/>
    </row>
    <row r="5" spans="1:14" ht="15.75" x14ac:dyDescent="0.25">
      <c r="B5" s="147" t="s">
        <v>299</v>
      </c>
      <c r="C5" s="148"/>
      <c r="D5" s="148"/>
      <c r="E5" s="148"/>
      <c r="F5" s="148"/>
      <c r="G5" s="148"/>
      <c r="H5" s="148"/>
      <c r="I5" s="148"/>
      <c r="J5" s="148"/>
      <c r="K5" s="149"/>
    </row>
    <row r="6" spans="1:14" x14ac:dyDescent="0.25">
      <c r="B6" s="15" t="s">
        <v>3</v>
      </c>
      <c r="C6" s="128" t="s">
        <v>300</v>
      </c>
      <c r="D6" s="150" t="e">
        <f>#REF!</f>
        <v>#REF!</v>
      </c>
      <c r="E6" s="130" t="e">
        <f>Струк4!E8</f>
        <v>#REF!</v>
      </c>
      <c r="F6" s="130" t="e">
        <f>Струк4!F8</f>
        <v>#REF!</v>
      </c>
      <c r="G6" s="130" t="e">
        <f>Струк4!G8</f>
        <v>#REF!</v>
      </c>
      <c r="H6" s="131" t="e">
        <f t="shared" ref="H6:H16" si="0">E6-F6</f>
        <v>#REF!</v>
      </c>
      <c r="I6" s="131" t="e">
        <f t="shared" ref="I6:I16" si="1">E6-G6</f>
        <v>#REF!</v>
      </c>
      <c r="J6" s="132" t="str">
        <f t="shared" ref="J6:J16" si="2">IFERROR(E6/F6,"")</f>
        <v/>
      </c>
      <c r="K6" s="133" t="str">
        <f t="shared" ref="K6:K16" si="3">IFERROR(E6/G6,"")</f>
        <v/>
      </c>
    </row>
    <row r="7" spans="1:14" x14ac:dyDescent="0.25">
      <c r="B7" s="15" t="s">
        <v>4</v>
      </c>
      <c r="C7" s="128" t="s">
        <v>117</v>
      </c>
      <c r="D7" s="150" t="e">
        <f>#REF!</f>
        <v>#REF!</v>
      </c>
      <c r="E7" s="130" t="e">
        <f>#REF!+Пояснения!D10</f>
        <v>#REF!</v>
      </c>
      <c r="F7" s="130" t="e">
        <f>#REF!+Пояснения!E10</f>
        <v>#REF!</v>
      </c>
      <c r="G7" s="130" t="e">
        <f>#REF!+Пояснения!F10</f>
        <v>#REF!</v>
      </c>
      <c r="H7" s="131" t="e">
        <f t="shared" si="0"/>
        <v>#REF!</v>
      </c>
      <c r="I7" s="131" t="e">
        <f t="shared" si="1"/>
        <v>#REF!</v>
      </c>
      <c r="J7" s="132" t="str">
        <f t="shared" si="2"/>
        <v/>
      </c>
      <c r="K7" s="133" t="str">
        <f t="shared" si="3"/>
        <v/>
      </c>
    </row>
    <row r="8" spans="1:14" ht="30" x14ac:dyDescent="0.25">
      <c r="B8" s="15" t="s">
        <v>5</v>
      </c>
      <c r="C8" s="128" t="s">
        <v>301</v>
      </c>
      <c r="D8" s="150" t="e">
        <f>#REF!</f>
        <v>#REF!</v>
      </c>
      <c r="E8" s="131" t="e">
        <f>E6-E7</f>
        <v>#REF!</v>
      </c>
      <c r="F8" s="131" t="e">
        <f t="shared" ref="F8:G8" si="4">F6-F7</f>
        <v>#REF!</v>
      </c>
      <c r="G8" s="131" t="e">
        <f t="shared" si="4"/>
        <v>#REF!</v>
      </c>
      <c r="H8" s="131" t="e">
        <f t="shared" si="0"/>
        <v>#REF!</v>
      </c>
      <c r="I8" s="131" t="e">
        <f t="shared" si="1"/>
        <v>#REF!</v>
      </c>
      <c r="J8" s="132" t="str">
        <f t="shared" si="2"/>
        <v/>
      </c>
      <c r="K8" s="133" t="str">
        <f t="shared" si="3"/>
        <v/>
      </c>
    </row>
    <row r="9" spans="1:14" x14ac:dyDescent="0.25">
      <c r="B9" s="15" t="s">
        <v>6</v>
      </c>
      <c r="C9" s="128" t="s">
        <v>310</v>
      </c>
      <c r="D9" s="150" t="e">
        <f>#REF!</f>
        <v>#REF!</v>
      </c>
      <c r="E9" s="130" t="e">
        <f>#REF!</f>
        <v>#REF!</v>
      </c>
      <c r="F9" s="130" t="e">
        <f>#REF!</f>
        <v>#REF!</v>
      </c>
      <c r="G9" s="130" t="e">
        <f>#REF!</f>
        <v>#REF!</v>
      </c>
      <c r="H9" s="131" t="e">
        <f t="shared" si="0"/>
        <v>#REF!</v>
      </c>
      <c r="I9" s="131" t="e">
        <f t="shared" si="1"/>
        <v>#REF!</v>
      </c>
      <c r="J9" s="132" t="str">
        <f t="shared" si="2"/>
        <v/>
      </c>
      <c r="K9" s="133" t="str">
        <f t="shared" si="3"/>
        <v/>
      </c>
    </row>
    <row r="10" spans="1:14" ht="30" x14ac:dyDescent="0.25">
      <c r="B10" s="15" t="s">
        <v>189</v>
      </c>
      <c r="C10" s="128" t="s">
        <v>302</v>
      </c>
      <c r="D10" s="150" t="e">
        <f>#REF!</f>
        <v>#REF!</v>
      </c>
      <c r="E10" s="131" t="e">
        <f>E9+E8</f>
        <v>#REF!</v>
      </c>
      <c r="F10" s="131" t="e">
        <f t="shared" ref="F10:G10" si="5">F9+F8</f>
        <v>#REF!</v>
      </c>
      <c r="G10" s="131" t="e">
        <f t="shared" si="5"/>
        <v>#REF!</v>
      </c>
      <c r="H10" s="131" t="e">
        <f t="shared" si="0"/>
        <v>#REF!</v>
      </c>
      <c r="I10" s="131" t="e">
        <f t="shared" si="1"/>
        <v>#REF!</v>
      </c>
      <c r="J10" s="132" t="str">
        <f t="shared" si="2"/>
        <v/>
      </c>
      <c r="K10" s="133" t="str">
        <f t="shared" si="3"/>
        <v/>
      </c>
    </row>
    <row r="11" spans="1:14" x14ac:dyDescent="0.25">
      <c r="B11" s="15" t="s">
        <v>312</v>
      </c>
      <c r="C11" s="128" t="s">
        <v>303</v>
      </c>
      <c r="D11" s="150" t="e">
        <f>#REF!</f>
        <v>#REF!</v>
      </c>
      <c r="E11" s="130" t="e">
        <f>#REF!</f>
        <v>#REF!</v>
      </c>
      <c r="F11" s="130" t="e">
        <f>#REF!</f>
        <v>#REF!</v>
      </c>
      <c r="G11" s="130" t="e">
        <f>#REF!</f>
        <v>#REF!</v>
      </c>
      <c r="H11" s="131" t="e">
        <f t="shared" si="0"/>
        <v>#REF!</v>
      </c>
      <c r="I11" s="131" t="e">
        <f t="shared" si="1"/>
        <v>#REF!</v>
      </c>
      <c r="J11" s="132" t="str">
        <f t="shared" si="2"/>
        <v/>
      </c>
      <c r="K11" s="133" t="str">
        <f t="shared" si="3"/>
        <v/>
      </c>
    </row>
    <row r="12" spans="1:14" ht="30" x14ac:dyDescent="0.25">
      <c r="B12" s="15" t="s">
        <v>313</v>
      </c>
      <c r="C12" s="128" t="s">
        <v>304</v>
      </c>
      <c r="D12" s="150" t="e">
        <f>#REF!</f>
        <v>#REF!</v>
      </c>
      <c r="E12" s="131" t="e">
        <f>E10+E11</f>
        <v>#REF!</v>
      </c>
      <c r="F12" s="131" t="e">
        <f t="shared" ref="F12:G12" si="6">F10+F11</f>
        <v>#REF!</v>
      </c>
      <c r="G12" s="131" t="e">
        <f t="shared" si="6"/>
        <v>#REF!</v>
      </c>
      <c r="H12" s="131" t="e">
        <f t="shared" si="0"/>
        <v>#REF!</v>
      </c>
      <c r="I12" s="131" t="e">
        <f t="shared" si="1"/>
        <v>#REF!</v>
      </c>
      <c r="J12" s="132" t="str">
        <f t="shared" si="2"/>
        <v/>
      </c>
      <c r="K12" s="133" t="str">
        <f t="shared" si="3"/>
        <v/>
      </c>
    </row>
    <row r="13" spans="1:14" ht="30" x14ac:dyDescent="0.25">
      <c r="B13" s="15" t="s">
        <v>314</v>
      </c>
      <c r="C13" s="128" t="s">
        <v>305</v>
      </c>
      <c r="D13" s="150" t="e">
        <f>#REF!</f>
        <v>#REF!</v>
      </c>
      <c r="E13" s="130" t="e">
        <f>#REF!+#REF!</f>
        <v>#REF!</v>
      </c>
      <c r="F13" s="130" t="e">
        <f>#REF!+#REF!</f>
        <v>#REF!</v>
      </c>
      <c r="G13" s="130" t="e">
        <f>#REF!+#REF!</f>
        <v>#REF!</v>
      </c>
      <c r="H13" s="131" t="e">
        <f t="shared" si="0"/>
        <v>#REF!</v>
      </c>
      <c r="I13" s="131" t="e">
        <f t="shared" si="1"/>
        <v>#REF!</v>
      </c>
      <c r="J13" s="132" t="str">
        <f t="shared" si="2"/>
        <v/>
      </c>
      <c r="K13" s="133" t="str">
        <f t="shared" si="3"/>
        <v/>
      </c>
    </row>
    <row r="14" spans="1:14" ht="30" x14ac:dyDescent="0.25">
      <c r="B14" s="15" t="s">
        <v>315</v>
      </c>
      <c r="C14" s="128" t="s">
        <v>306</v>
      </c>
      <c r="D14" s="150" t="e">
        <f>#REF!</f>
        <v>#REF!</v>
      </c>
      <c r="E14" s="131" t="e">
        <f>E8-E13</f>
        <v>#REF!</v>
      </c>
      <c r="F14" s="131" t="e">
        <f t="shared" ref="F14:G14" si="7">F8-F13</f>
        <v>#REF!</v>
      </c>
      <c r="G14" s="131" t="e">
        <f t="shared" si="7"/>
        <v>#REF!</v>
      </c>
      <c r="H14" s="131" t="e">
        <f t="shared" si="0"/>
        <v>#REF!</v>
      </c>
      <c r="I14" s="131" t="e">
        <f t="shared" si="1"/>
        <v>#REF!</v>
      </c>
      <c r="J14" s="132" t="str">
        <f t="shared" si="2"/>
        <v/>
      </c>
      <c r="K14" s="133" t="str">
        <f t="shared" si="3"/>
        <v/>
      </c>
    </row>
    <row r="15" spans="1:14" ht="30" x14ac:dyDescent="0.25">
      <c r="B15" s="15" t="s">
        <v>316</v>
      </c>
      <c r="C15" s="128" t="s">
        <v>307</v>
      </c>
      <c r="D15" s="150" t="e">
        <f>#REF!</f>
        <v>#REF!</v>
      </c>
      <c r="E15" s="131" t="e">
        <f>E10-E13</f>
        <v>#REF!</v>
      </c>
      <c r="F15" s="131" t="e">
        <f t="shared" ref="F15:G15" si="8">F10-F13</f>
        <v>#REF!</v>
      </c>
      <c r="G15" s="131" t="e">
        <f t="shared" si="8"/>
        <v>#REF!</v>
      </c>
      <c r="H15" s="131" t="e">
        <f t="shared" si="0"/>
        <v>#REF!</v>
      </c>
      <c r="I15" s="131" t="e">
        <f t="shared" si="1"/>
        <v>#REF!</v>
      </c>
      <c r="J15" s="132" t="str">
        <f t="shared" si="2"/>
        <v/>
      </c>
      <c r="K15" s="133" t="str">
        <f t="shared" si="3"/>
        <v/>
      </c>
    </row>
    <row r="16" spans="1:14" ht="30" x14ac:dyDescent="0.25">
      <c r="B16" s="15" t="s">
        <v>317</v>
      </c>
      <c r="C16" s="128" t="s">
        <v>308</v>
      </c>
      <c r="D16" s="150" t="e">
        <f>#REF!</f>
        <v>#REF!</v>
      </c>
      <c r="E16" s="131" t="e">
        <f>E12-E13</f>
        <v>#REF!</v>
      </c>
      <c r="F16" s="131" t="e">
        <f t="shared" ref="F16:G16" si="9">F12-F13</f>
        <v>#REF!</v>
      </c>
      <c r="G16" s="131" t="e">
        <f t="shared" si="9"/>
        <v>#REF!</v>
      </c>
      <c r="H16" s="131" t="e">
        <f t="shared" si="0"/>
        <v>#REF!</v>
      </c>
      <c r="I16" s="131" t="e">
        <f t="shared" si="1"/>
        <v>#REF!</v>
      </c>
      <c r="J16" s="132" t="str">
        <f t="shared" si="2"/>
        <v/>
      </c>
      <c r="K16" s="133" t="str">
        <f t="shared" si="3"/>
        <v/>
      </c>
    </row>
    <row r="17" spans="2:11" x14ac:dyDescent="0.25">
      <c r="B17" s="15" t="s">
        <v>318</v>
      </c>
      <c r="C17" s="128" t="s">
        <v>309</v>
      </c>
      <c r="D17" s="150"/>
      <c r="E17" s="140" t="e">
        <f>IF(AND(E$14&gt;0,E$15&gt;0,E$16),"Абсолютная",IF(AND(E$14&lt;0,E$15&gt;0,E$16&gt;0),"Нормальная",IF(AND(E$14&lt;0,E$15&lt;0,E$16&gt;0),"Недостаточная","Кризисная")))</f>
        <v>#REF!</v>
      </c>
      <c r="F17" s="140" t="e">
        <f t="shared" ref="F17:G17" si="10">IF(AND(F$14&gt;0,F$15&gt;0,F$16),"Абсолютная",IF(AND(F$14&lt;0,F$15&gt;0,F$16&gt;0),"Нормальная",IF(AND(F$14&lt;0,F$15&lt;0,F$16&gt;0),"Недостаточная","Кризисная")))</f>
        <v>#REF!</v>
      </c>
      <c r="G17" s="140" t="e">
        <f t="shared" si="10"/>
        <v>#REF!</v>
      </c>
      <c r="H17" s="242"/>
      <c r="I17" s="243"/>
      <c r="J17" s="244"/>
      <c r="K17" s="245"/>
    </row>
    <row r="18" spans="2:11" ht="15.75" x14ac:dyDescent="0.25">
      <c r="B18" s="147" t="s">
        <v>311</v>
      </c>
      <c r="C18" s="148"/>
      <c r="D18" s="148"/>
      <c r="E18" s="148"/>
      <c r="F18" s="148"/>
      <c r="G18" s="148"/>
      <c r="H18" s="148"/>
      <c r="I18" s="148"/>
      <c r="J18" s="148"/>
      <c r="K18" s="149"/>
    </row>
    <row r="19" spans="2:11" x14ac:dyDescent="0.25">
      <c r="B19" s="15" t="s">
        <v>7</v>
      </c>
      <c r="C19" s="128" t="s">
        <v>263</v>
      </c>
      <c r="D19" s="150" t="s">
        <v>280</v>
      </c>
      <c r="E19" s="151" t="e">
        <f>(Струк4!E8-#REF!-Пояснения!D10)/Струк4!E8</f>
        <v>#REF!</v>
      </c>
      <c r="F19" s="151" t="e">
        <f>(Струк4!F8-#REF!-Пояснения!E10)/Струк4!F8</f>
        <v>#REF!</v>
      </c>
      <c r="G19" s="151" t="e">
        <f>(Струк4!G8-#REF!-Пояснения!F10)/Струк4!G8</f>
        <v>#REF!</v>
      </c>
      <c r="H19" s="140" t="e">
        <f t="shared" ref="H19:H22" si="11">E19-F19</f>
        <v>#REF!</v>
      </c>
      <c r="I19" s="140" t="e">
        <f t="shared" ref="I19:I22" si="12">E19-G19</f>
        <v>#REF!</v>
      </c>
      <c r="J19" s="132" t="str">
        <f t="shared" ref="J19:J22" si="13">IFERROR(E19/F19,"")</f>
        <v/>
      </c>
      <c r="K19" s="133" t="str">
        <f t="shared" ref="K19:K22" si="14">IFERROR(E19/G19,"")</f>
        <v/>
      </c>
    </row>
    <row r="20" spans="2:11" ht="30" x14ac:dyDescent="0.25">
      <c r="B20" s="15" t="s">
        <v>8</v>
      </c>
      <c r="C20" s="128" t="s">
        <v>265</v>
      </c>
      <c r="D20" s="150"/>
      <c r="E20" s="151" t="e">
        <f>(Струк4!E8-#REF!-Пояснения!D10)/((Струк4!E8-#REF!-Пояснения!D10)+#REF!+#REF!)</f>
        <v>#REF!</v>
      </c>
      <c r="F20" s="151" t="e">
        <f>(Струк4!F8-#REF!-Пояснения!E10)/((Струк4!F8-#REF!-Пояснения!E10)+#REF!+#REF!)</f>
        <v>#REF!</v>
      </c>
      <c r="G20" s="151" t="e">
        <f>(Струк4!G8-#REF!-Пояснения!F10)/((Струк4!G8-#REF!-Пояснения!F10)+#REF!+#REF!)</f>
        <v>#REF!</v>
      </c>
      <c r="H20" s="140" t="e">
        <f t="shared" si="11"/>
        <v>#REF!</v>
      </c>
      <c r="I20" s="140" t="e">
        <f t="shared" si="12"/>
        <v>#REF!</v>
      </c>
      <c r="J20" s="132" t="str">
        <f t="shared" si="13"/>
        <v/>
      </c>
      <c r="K20" s="133" t="str">
        <f t="shared" si="14"/>
        <v/>
      </c>
    </row>
    <row r="21" spans="2:11" ht="30" x14ac:dyDescent="0.25">
      <c r="B21" s="15" t="s">
        <v>9</v>
      </c>
      <c r="C21" s="128" t="s">
        <v>319</v>
      </c>
      <c r="D21" s="150" t="s">
        <v>190</v>
      </c>
      <c r="E21" s="151" t="e">
        <f>(Струк4!E8-#REF!-Пояснения!D10)/#REF!</f>
        <v>#REF!</v>
      </c>
      <c r="F21" s="151" t="e">
        <f>(Струк4!F8-#REF!-Пояснения!E10)/#REF!</f>
        <v>#REF!</v>
      </c>
      <c r="G21" s="151" t="e">
        <f>(Струк4!G8-#REF!-Пояснения!F10)/#REF!</f>
        <v>#REF!</v>
      </c>
      <c r="H21" s="140" t="e">
        <f t="shared" si="11"/>
        <v>#REF!</v>
      </c>
      <c r="I21" s="140" t="e">
        <f t="shared" si="12"/>
        <v>#REF!</v>
      </c>
      <c r="J21" s="132" t="str">
        <f t="shared" si="13"/>
        <v/>
      </c>
      <c r="K21" s="133" t="str">
        <f t="shared" si="14"/>
        <v/>
      </c>
    </row>
    <row r="22" spans="2:11" ht="30" x14ac:dyDescent="0.25">
      <c r="B22" s="141" t="s">
        <v>10</v>
      </c>
      <c r="C22" s="142" t="s">
        <v>231</v>
      </c>
      <c r="D22" s="240" t="s">
        <v>188</v>
      </c>
      <c r="E22" s="152" t="e">
        <f>(Струк4!E8-#REF!-Пояснения!D10)/(#REF!+#REF!+#REF!+#REF!-Пояснения!D10)</f>
        <v>#REF!</v>
      </c>
      <c r="F22" s="152" t="e">
        <f>(Струк4!F8-#REF!-Пояснения!E10)/(#REF!+#REF!+#REF!+#REF!-Пояснения!E10)</f>
        <v>#REF!</v>
      </c>
      <c r="G22" s="152" t="e">
        <f>(Струк4!G8-#REF!-Пояснения!F10)/(#REF!+#REF!+#REF!+#REF!-Пояснения!F10)</f>
        <v>#REF!</v>
      </c>
      <c r="H22" s="241" t="e">
        <f t="shared" si="11"/>
        <v>#REF!</v>
      </c>
      <c r="I22" s="241" t="e">
        <f t="shared" si="12"/>
        <v>#REF!</v>
      </c>
      <c r="J22" s="144" t="str">
        <f t="shared" si="13"/>
        <v/>
      </c>
      <c r="K22" s="145" t="str">
        <f t="shared" si="14"/>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N6"/>
  <sheetViews>
    <sheetView zoomScaleNormal="100" zoomScaleSheetLayoutView="100" workbookViewId="0">
      <selection activeCell="F22" sqref="F22"/>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507" customFormat="1" ht="18.75" x14ac:dyDescent="0.3">
      <c r="A1" s="507" t="e">
        <f>CONCATENATE("Оценка абсолютных показателей финансовой устойчивости ",#REF!)</f>
        <v>#REF!</v>
      </c>
    </row>
    <row r="2" spans="1:14" ht="30" customHeight="1" x14ac:dyDescent="0.25">
      <c r="B2" s="542" t="s">
        <v>170</v>
      </c>
      <c r="C2" s="550" t="s">
        <v>92</v>
      </c>
      <c r="D2" s="542" t="s">
        <v>171</v>
      </c>
      <c r="E2" s="550" t="s">
        <v>172</v>
      </c>
      <c r="F2" s="550"/>
      <c r="G2" s="550"/>
      <c r="H2" s="548" t="e">
        <f>"Изменение, "&amp;#REF!</f>
        <v>#REF!</v>
      </c>
      <c r="I2" s="549"/>
      <c r="J2" s="548" t="s">
        <v>174</v>
      </c>
      <c r="K2" s="549"/>
    </row>
    <row r="3" spans="1:14" ht="24" x14ac:dyDescent="0.25">
      <c r="B3" s="543"/>
      <c r="C3" s="550"/>
      <c r="D3" s="543"/>
      <c r="E3" s="34" t="e">
        <f>#REF!</f>
        <v>#REF!</v>
      </c>
      <c r="F3" s="34" t="e">
        <f>#REF!</f>
        <v>#REF!</v>
      </c>
      <c r="G3" s="34" t="e">
        <f>#REF!</f>
        <v>#REF!</v>
      </c>
      <c r="H3" s="34" t="e">
        <f>#REF!&amp;" - "&amp;#REF!</f>
        <v>#REF!</v>
      </c>
      <c r="I3" s="34" t="e">
        <f>#REF!&amp;" - "&amp;#REF!</f>
        <v>#REF!</v>
      </c>
      <c r="J3" s="34" t="e">
        <f>#REF!&amp;" / "&amp;#REF!</f>
        <v>#REF!</v>
      </c>
      <c r="K3" s="34" t="e">
        <f>#REF!&amp;" / "&amp;#REF!</f>
        <v>#REF!</v>
      </c>
      <c r="M3" s="22"/>
      <c r="N3" s="22"/>
    </row>
    <row r="4" spans="1:14" ht="30" x14ac:dyDescent="0.25">
      <c r="B4" s="15" t="s">
        <v>3</v>
      </c>
      <c r="C4" s="128" t="s">
        <v>391</v>
      </c>
      <c r="D4" s="150" t="e">
        <f>#REF!</f>
        <v>#REF!</v>
      </c>
      <c r="E4" s="130" t="e">
        <f>Струк4!E8</f>
        <v>#REF!</v>
      </c>
      <c r="F4" s="130" t="e">
        <f>Струк4!F8</f>
        <v>#REF!</v>
      </c>
      <c r="G4" s="130" t="e">
        <f>Струк4!G8</f>
        <v>#REF!</v>
      </c>
      <c r="H4" s="140" t="e">
        <f t="shared" ref="H4:H5" si="0">E4-F4</f>
        <v>#REF!</v>
      </c>
      <c r="I4" s="140" t="e">
        <f t="shared" ref="I4:I5" si="1">E4-G4</f>
        <v>#REF!</v>
      </c>
      <c r="J4" s="132" t="str">
        <f t="shared" ref="J4:J5" si="2">IFERROR(E4/F4,"")</f>
        <v/>
      </c>
      <c r="K4" s="133" t="str">
        <f t="shared" ref="K4:K5" si="3">IFERROR(E4/G4,"")</f>
        <v/>
      </c>
    </row>
    <row r="5" spans="1:14" x14ac:dyDescent="0.25">
      <c r="B5" s="272" t="s">
        <v>4</v>
      </c>
      <c r="C5" s="273" t="s">
        <v>392</v>
      </c>
      <c r="D5" s="248" t="e">
        <f>#REF!</f>
        <v>#REF!</v>
      </c>
      <c r="E5" s="274" t="e">
        <f>#REF!+#REF!+Пояснения!D7</f>
        <v>#REF!</v>
      </c>
      <c r="F5" s="274" t="e">
        <f>#REF!+#REF!+Пояснения!E7</f>
        <v>#REF!</v>
      </c>
      <c r="G5" s="274" t="e">
        <f>#REF!+#REF!+Пояснения!F7</f>
        <v>#REF!</v>
      </c>
      <c r="H5" s="275" t="e">
        <f t="shared" si="0"/>
        <v>#REF!</v>
      </c>
      <c r="I5" s="275" t="e">
        <f t="shared" si="1"/>
        <v>#REF!</v>
      </c>
      <c r="J5" s="250" t="str">
        <f t="shared" si="2"/>
        <v/>
      </c>
      <c r="K5" s="251" t="str">
        <f t="shared" si="3"/>
        <v/>
      </c>
    </row>
    <row r="6" spans="1:14" ht="30" x14ac:dyDescent="0.25">
      <c r="B6" s="276"/>
      <c r="C6" s="277" t="s">
        <v>393</v>
      </c>
      <c r="D6" s="252"/>
      <c r="E6" s="278" t="e">
        <f>IF(AND(E$4&gt;0,E$5&gt;0),"Выполняется","Условие невыполнено")</f>
        <v>#REF!</v>
      </c>
      <c r="F6" s="278" t="e">
        <f t="shared" ref="F6:G6" si="4">IF(AND(F$4&gt;0,F$5&gt;0),"Выполняется","Условие невыполнено")</f>
        <v>#REF!</v>
      </c>
      <c r="G6" s="278" t="e">
        <f t="shared" si="4"/>
        <v>#REF!</v>
      </c>
      <c r="H6" s="281"/>
      <c r="I6" s="282"/>
      <c r="J6" s="283"/>
      <c r="K6" s="284"/>
    </row>
  </sheetData>
  <mergeCells count="6">
    <mergeCell ref="J2:K2"/>
    <mergeCell ref="B2:B3"/>
    <mergeCell ref="C2:C3"/>
    <mergeCell ref="D2:D3"/>
    <mergeCell ref="E2:G2"/>
    <mergeCell ref="H2:I2"/>
  </mergeCells>
  <printOptions horizontalCentered="1"/>
  <pageMargins left="0.19685039370078741" right="0.19685039370078741" top="0.78740157480314965" bottom="0.3937007874015748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pageSetUpPr fitToPage="1"/>
  </sheetPr>
  <dimension ref="A1:R34"/>
  <sheetViews>
    <sheetView zoomScaleNormal="100" zoomScaleSheetLayoutView="100" workbookViewId="0">
      <selection activeCell="U19" sqref="U19"/>
    </sheetView>
  </sheetViews>
  <sheetFormatPr defaultRowHeight="15" x14ac:dyDescent="0.25"/>
  <cols>
    <col min="1" max="1" width="1.7109375" style="1" customWidth="1"/>
    <col min="2" max="2" width="21" style="1" customWidth="1"/>
    <col min="3" max="8" width="9.7109375" style="1" customWidth="1"/>
    <col min="9" max="9" width="21" style="1" customWidth="1"/>
    <col min="10" max="18" width="9.7109375" style="1" customWidth="1"/>
    <col min="19" max="19" width="1.7109375" style="1" customWidth="1"/>
    <col min="20" max="16384" width="9.140625" style="1"/>
  </cols>
  <sheetData>
    <row r="1" spans="1:18" s="507" customFormat="1" ht="18.75" x14ac:dyDescent="0.3">
      <c r="A1" s="507" t="e">
        <f>CONCATENATE("Анализ ликвидности баланса ",#REF!)</f>
        <v>#REF!</v>
      </c>
    </row>
    <row r="3" spans="1:18" ht="30" customHeight="1" x14ac:dyDescent="0.25">
      <c r="B3" s="550" t="s">
        <v>198</v>
      </c>
      <c r="C3" s="559" t="e">
        <f>"Абсолютные величины, "&amp;#REF!</f>
        <v>#REF!</v>
      </c>
      <c r="D3" s="559"/>
      <c r="E3" s="559"/>
      <c r="F3" s="559" t="s">
        <v>110</v>
      </c>
      <c r="G3" s="559"/>
      <c r="H3" s="559"/>
      <c r="I3" s="550" t="s">
        <v>199</v>
      </c>
      <c r="J3" s="559" t="e">
        <f>"Абсолютные величины, "&amp;#REF!</f>
        <v>#REF!</v>
      </c>
      <c r="K3" s="559"/>
      <c r="L3" s="559"/>
      <c r="M3" s="559" t="s">
        <v>110</v>
      </c>
      <c r="N3" s="559"/>
      <c r="O3" s="559"/>
      <c r="P3" s="556" t="s">
        <v>200</v>
      </c>
      <c r="Q3" s="557"/>
      <c r="R3" s="558"/>
    </row>
    <row r="4" spans="1:18" x14ac:dyDescent="0.25">
      <c r="B4" s="550"/>
      <c r="C4" s="34" t="e">
        <f>#REF!</f>
        <v>#REF!</v>
      </c>
      <c r="D4" s="34" t="e">
        <f>#REF!</f>
        <v>#REF!</v>
      </c>
      <c r="E4" s="34" t="e">
        <f>#REF!</f>
        <v>#REF!</v>
      </c>
      <c r="F4" s="34" t="e">
        <f>C4</f>
        <v>#REF!</v>
      </c>
      <c r="G4" s="34" t="e">
        <f>D4</f>
        <v>#REF!</v>
      </c>
      <c r="H4" s="34" t="e">
        <f>E4</f>
        <v>#REF!</v>
      </c>
      <c r="I4" s="550"/>
      <c r="J4" s="34" t="e">
        <f>C4</f>
        <v>#REF!</v>
      </c>
      <c r="K4" s="34" t="e">
        <f>D4</f>
        <v>#REF!</v>
      </c>
      <c r="L4" s="34" t="e">
        <f>E4</f>
        <v>#REF!</v>
      </c>
      <c r="M4" s="34" t="e">
        <f>C4</f>
        <v>#REF!</v>
      </c>
      <c r="N4" s="34" t="e">
        <f>D4</f>
        <v>#REF!</v>
      </c>
      <c r="O4" s="34" t="e">
        <f>E4</f>
        <v>#REF!</v>
      </c>
      <c r="P4" s="34" t="e">
        <f>C4</f>
        <v>#REF!</v>
      </c>
      <c r="Q4" s="34" t="e">
        <f>D4</f>
        <v>#REF!</v>
      </c>
      <c r="R4" s="34" t="e">
        <f>E4</f>
        <v>#REF!</v>
      </c>
    </row>
    <row r="5" spans="1:18" ht="45" x14ac:dyDescent="0.25">
      <c r="B5" s="154" t="s">
        <v>201</v>
      </c>
      <c r="C5" s="155" t="e">
        <f>#REF!+#REF!</f>
        <v>#REF!</v>
      </c>
      <c r="D5" s="27" t="e">
        <f>#REF!+#REF!</f>
        <v>#REF!</v>
      </c>
      <c r="E5" s="28" t="e">
        <f>#REF!+#REF!</f>
        <v>#REF!</v>
      </c>
      <c r="F5" s="156" t="str">
        <f>IFERROR(C5/C$9,"")</f>
        <v/>
      </c>
      <c r="G5" s="65" t="str">
        <f t="shared" ref="G5:H9" si="0">IFERROR(D5/D$9,"")</f>
        <v/>
      </c>
      <c r="H5" s="66" t="str">
        <f t="shared" si="0"/>
        <v/>
      </c>
      <c r="I5" s="157" t="s">
        <v>202</v>
      </c>
      <c r="J5" s="155" t="e">
        <f>#REF!</f>
        <v>#REF!</v>
      </c>
      <c r="K5" s="27" t="e">
        <f>#REF!</f>
        <v>#REF!</v>
      </c>
      <c r="L5" s="28" t="e">
        <f>#REF!</f>
        <v>#REF!</v>
      </c>
      <c r="M5" s="156" t="str">
        <f>IFERROR(J5/J$9,"")</f>
        <v/>
      </c>
      <c r="N5" s="65" t="str">
        <f t="shared" ref="N5:O9" si="1">IFERROR(K5/K$9,"")</f>
        <v/>
      </c>
      <c r="O5" s="66" t="str">
        <f t="shared" si="1"/>
        <v/>
      </c>
      <c r="P5" s="158" t="e">
        <f>C5-J5</f>
        <v>#REF!</v>
      </c>
      <c r="Q5" s="159" t="e">
        <f t="shared" ref="Q5:R8" si="2">D5-K5</f>
        <v>#REF!</v>
      </c>
      <c r="R5" s="160" t="e">
        <f t="shared" si="2"/>
        <v>#REF!</v>
      </c>
    </row>
    <row r="6" spans="1:18" ht="30" x14ac:dyDescent="0.25">
      <c r="B6" s="161" t="s">
        <v>203</v>
      </c>
      <c r="C6" s="162" t="e">
        <f>#REF!-Пояснения!D10</f>
        <v>#REF!</v>
      </c>
      <c r="D6" s="32" t="e">
        <f>#REF!-Пояснения!E10</f>
        <v>#REF!</v>
      </c>
      <c r="E6" s="33" t="e">
        <f>#REF!-Пояснения!F10</f>
        <v>#REF!</v>
      </c>
      <c r="F6" s="163" t="str">
        <f t="shared" ref="F6:F9" si="3">IFERROR(C6/C$9,"")</f>
        <v/>
      </c>
      <c r="G6" s="44" t="str">
        <f t="shared" si="0"/>
        <v/>
      </c>
      <c r="H6" s="45" t="str">
        <f t="shared" si="0"/>
        <v/>
      </c>
      <c r="I6" s="161" t="s">
        <v>204</v>
      </c>
      <c r="J6" s="162" t="e">
        <f>#REF!+#REF!+#REF!</f>
        <v>#REF!</v>
      </c>
      <c r="K6" s="32" t="e">
        <f>#REF!+#REF!+#REF!</f>
        <v>#REF!</v>
      </c>
      <c r="L6" s="33" t="e">
        <f>#REF!+#REF!+#REF!</f>
        <v>#REF!</v>
      </c>
      <c r="M6" s="163" t="str">
        <f t="shared" ref="M6:M9" si="4">IFERROR(J6/J$9,"")</f>
        <v/>
      </c>
      <c r="N6" s="44" t="str">
        <f t="shared" si="1"/>
        <v/>
      </c>
      <c r="O6" s="45" t="str">
        <f t="shared" si="1"/>
        <v/>
      </c>
      <c r="P6" s="164" t="e">
        <f t="shared" ref="P6:P8" si="5">C6-J6</f>
        <v>#REF!</v>
      </c>
      <c r="Q6" s="165" t="e">
        <f t="shared" si="2"/>
        <v>#REF!</v>
      </c>
      <c r="R6" s="166" t="e">
        <f t="shared" si="2"/>
        <v>#REF!</v>
      </c>
    </row>
    <row r="7" spans="1:18" ht="45" x14ac:dyDescent="0.25">
      <c r="B7" s="161" t="s">
        <v>205</v>
      </c>
      <c r="C7" s="162" t="e">
        <f>#REF!+#REF!+#REF!-Пояснения!D19</f>
        <v>#REF!</v>
      </c>
      <c r="D7" s="32" t="e">
        <f>#REF!+#REF!+#REF!-Пояснения!E19</f>
        <v>#REF!</v>
      </c>
      <c r="E7" s="33" t="e">
        <f>#REF!+#REF!+#REF!-Пояснения!F19</f>
        <v>#REF!</v>
      </c>
      <c r="F7" s="163" t="str">
        <f t="shared" si="3"/>
        <v/>
      </c>
      <c r="G7" s="44" t="str">
        <f t="shared" si="0"/>
        <v/>
      </c>
      <c r="H7" s="45" t="str">
        <f t="shared" si="0"/>
        <v/>
      </c>
      <c r="I7" s="161" t="s">
        <v>206</v>
      </c>
      <c r="J7" s="162" t="e">
        <f>#REF!</f>
        <v>#REF!</v>
      </c>
      <c r="K7" s="32" t="e">
        <f>#REF!</f>
        <v>#REF!</v>
      </c>
      <c r="L7" s="33" t="e">
        <f>#REF!</f>
        <v>#REF!</v>
      </c>
      <c r="M7" s="163" t="str">
        <f t="shared" si="4"/>
        <v/>
      </c>
      <c r="N7" s="44" t="str">
        <f t="shared" si="1"/>
        <v/>
      </c>
      <c r="O7" s="45" t="str">
        <f t="shared" si="1"/>
        <v/>
      </c>
      <c r="P7" s="164" t="e">
        <f t="shared" si="5"/>
        <v>#REF!</v>
      </c>
      <c r="Q7" s="165" t="e">
        <f t="shared" si="2"/>
        <v>#REF!</v>
      </c>
      <c r="R7" s="166" t="e">
        <f t="shared" si="2"/>
        <v>#REF!</v>
      </c>
    </row>
    <row r="8" spans="1:18" ht="30" x14ac:dyDescent="0.25">
      <c r="B8" s="167" t="s">
        <v>207</v>
      </c>
      <c r="C8" s="168" t="e">
        <f>#REF!+Пояснения!D10</f>
        <v>#REF!</v>
      </c>
      <c r="D8" s="169" t="e">
        <f>#REF!+Пояснения!E10</f>
        <v>#REF!</v>
      </c>
      <c r="E8" s="170" t="e">
        <f>#REF!+Пояснения!F10</f>
        <v>#REF!</v>
      </c>
      <c r="F8" s="171" t="str">
        <f t="shared" si="3"/>
        <v/>
      </c>
      <c r="G8" s="50" t="str">
        <f t="shared" si="0"/>
        <v/>
      </c>
      <c r="H8" s="51" t="str">
        <f t="shared" si="0"/>
        <v/>
      </c>
      <c r="I8" s="172" t="s">
        <v>208</v>
      </c>
      <c r="J8" s="173" t="e">
        <f>#REF!+#REF!-Пояснения!D19</f>
        <v>#REF!</v>
      </c>
      <c r="K8" s="97" t="e">
        <f>#REF!+#REF!-Пояснения!E19</f>
        <v>#REF!</v>
      </c>
      <c r="L8" s="174" t="e">
        <f>#REF!+#REF!-Пояснения!F19</f>
        <v>#REF!</v>
      </c>
      <c r="M8" s="171" t="str">
        <f t="shared" si="4"/>
        <v/>
      </c>
      <c r="N8" s="50" t="str">
        <f t="shared" si="1"/>
        <v/>
      </c>
      <c r="O8" s="51" t="str">
        <f t="shared" si="1"/>
        <v/>
      </c>
      <c r="P8" s="175" t="e">
        <f t="shared" si="5"/>
        <v>#REF!</v>
      </c>
      <c r="Q8" s="176" t="e">
        <f t="shared" si="2"/>
        <v>#REF!</v>
      </c>
      <c r="R8" s="177" t="e">
        <f t="shared" si="2"/>
        <v>#REF!</v>
      </c>
    </row>
    <row r="9" spans="1:18" x14ac:dyDescent="0.25">
      <c r="B9" s="213" t="s">
        <v>209</v>
      </c>
      <c r="C9" s="214" t="e">
        <f>SUM(C5:C8)</f>
        <v>#REF!</v>
      </c>
      <c r="D9" s="214" t="e">
        <f t="shared" ref="D9:E9" si="6">SUM(D5:D8)</f>
        <v>#REF!</v>
      </c>
      <c r="E9" s="214" t="e">
        <f t="shared" si="6"/>
        <v>#REF!</v>
      </c>
      <c r="F9" s="178" t="str">
        <f t="shared" si="3"/>
        <v/>
      </c>
      <c r="G9" s="178" t="str">
        <f t="shared" si="0"/>
        <v/>
      </c>
      <c r="H9" s="178" t="str">
        <f t="shared" si="0"/>
        <v/>
      </c>
      <c r="I9" s="213" t="s">
        <v>210</v>
      </c>
      <c r="J9" s="214" t="e">
        <f>SUM(J5:J8)</f>
        <v>#REF!</v>
      </c>
      <c r="K9" s="214" t="e">
        <f t="shared" ref="K9:L9" si="7">SUM(K5:K8)</f>
        <v>#REF!</v>
      </c>
      <c r="L9" s="214" t="e">
        <f t="shared" si="7"/>
        <v>#REF!</v>
      </c>
      <c r="M9" s="178" t="str">
        <f t="shared" si="4"/>
        <v/>
      </c>
      <c r="N9" s="178" t="str">
        <f t="shared" si="1"/>
        <v/>
      </c>
      <c r="O9" s="178" t="str">
        <f t="shared" si="1"/>
        <v/>
      </c>
      <c r="P9" s="215"/>
      <c r="Q9" s="216"/>
      <c r="R9" s="217"/>
    </row>
    <row r="11" spans="1:18" ht="15.75" x14ac:dyDescent="0.25">
      <c r="A11" s="59" t="s">
        <v>211</v>
      </c>
      <c r="J11" s="12"/>
      <c r="K11" s="12"/>
      <c r="L11" s="12"/>
    </row>
    <row r="12" spans="1:18" ht="15" hidden="1" customHeight="1" x14ac:dyDescent="0.25">
      <c r="B12" s="559" t="s">
        <v>212</v>
      </c>
      <c r="C12" s="559" t="s">
        <v>213</v>
      </c>
      <c r="D12" s="559"/>
      <c r="E12" s="559"/>
    </row>
    <row r="13" spans="1:18" hidden="1" x14ac:dyDescent="0.25">
      <c r="B13" s="559"/>
      <c r="C13" s="4" t="e">
        <f>C4</f>
        <v>#REF!</v>
      </c>
      <c r="D13" s="4" t="e">
        <f t="shared" ref="D13:E13" si="8">D4</f>
        <v>#REF!</v>
      </c>
      <c r="E13" s="4" t="e">
        <f t="shared" si="8"/>
        <v>#REF!</v>
      </c>
    </row>
    <row r="14" spans="1:18" hidden="1" x14ac:dyDescent="0.25">
      <c r="B14" s="179" t="s">
        <v>214</v>
      </c>
      <c r="C14" s="180" t="e">
        <f>IF(C5&gt;=J5,"А1=&gt;П1","А1&lt;П1")</f>
        <v>#REF!</v>
      </c>
      <c r="D14" s="181" t="e">
        <f>IF(D5&gt;=K5,"А1=&gt;П1","А1&lt;П1")</f>
        <v>#REF!</v>
      </c>
      <c r="E14" s="182" t="e">
        <f>IF(E5&gt;=L5,"А1=&gt;П1","А1&lt;П1")</f>
        <v>#REF!</v>
      </c>
    </row>
    <row r="15" spans="1:18" hidden="1" x14ac:dyDescent="0.25">
      <c r="B15" s="183" t="s">
        <v>215</v>
      </c>
      <c r="C15" s="184" t="e">
        <f>IF(C6&gt;=J6,"А2=&gt;П2","А2&lt;П2")</f>
        <v>#REF!</v>
      </c>
      <c r="D15" s="185" t="e">
        <f>IF(D6&gt;=K6,"А2=&gt;П2","А2&lt;П2")</f>
        <v>#REF!</v>
      </c>
      <c r="E15" s="186" t="e">
        <f>IF(E6&gt;=L6,"А2=&gt;П2","А2&lt;П2")</f>
        <v>#REF!</v>
      </c>
    </row>
    <row r="16" spans="1:18" hidden="1" x14ac:dyDescent="0.25">
      <c r="B16" s="183" t="s">
        <v>216</v>
      </c>
      <c r="C16" s="184" t="e">
        <f>IF(C7&gt;=J7,"А3=&gt;П3","А3&lt;П3")</f>
        <v>#REF!</v>
      </c>
      <c r="D16" s="185" t="e">
        <f>IF(D7&gt;=K7,"А3=&gt;П3","А3&lt;П3")</f>
        <v>#REF!</v>
      </c>
      <c r="E16" s="186" t="e">
        <f>IF(E7&gt;=L7,"А3=&gt;П3","А3&lt;П3")</f>
        <v>#REF!</v>
      </c>
    </row>
    <row r="17" spans="1:18" s="191" customFormat="1" hidden="1" x14ac:dyDescent="0.25">
      <c r="A17" s="1"/>
      <c r="B17" s="187" t="s">
        <v>217</v>
      </c>
      <c r="C17" s="188" t="e">
        <f>IF(C8&lt;J8,"А4&lt;П4","А1=&gt;П1")</f>
        <v>#REF!</v>
      </c>
      <c r="D17" s="189" t="e">
        <f>IF(D8&lt;K8,"А4&lt;П4","А1=&gt;П1")</f>
        <v>#REF!</v>
      </c>
      <c r="E17" s="190" t="e">
        <f>IF(E8&lt;L8,"А4&lt;П4","А1=&gt;П1")</f>
        <v>#REF!</v>
      </c>
    </row>
    <row r="18" spans="1:18" ht="33" customHeight="1" x14ac:dyDescent="0.25">
      <c r="B18" s="192" t="s">
        <v>218</v>
      </c>
      <c r="C18" s="4" t="e">
        <f>C13</f>
        <v>#REF!</v>
      </c>
      <c r="D18" s="4" t="e">
        <f>D13</f>
        <v>#REF!</v>
      </c>
      <c r="E18" s="4" t="e">
        <f>E13</f>
        <v>#REF!</v>
      </c>
      <c r="J18" s="12"/>
      <c r="K18" s="12"/>
      <c r="L18" s="12"/>
    </row>
    <row r="19" spans="1:18" ht="15.75" customHeight="1" x14ac:dyDescent="0.25">
      <c r="B19" s="179" t="str">
        <f>"Условие "&amp;B14</f>
        <v>Условие А1=&gt;П1</v>
      </c>
      <c r="C19" s="193" t="e">
        <f>IF(C14=$B14,"+","-")</f>
        <v>#REF!</v>
      </c>
      <c r="D19" s="194" t="e">
        <f t="shared" ref="D19:E19" si="9">IF(D14=$B14,"+","-")</f>
        <v>#REF!</v>
      </c>
      <c r="E19" s="195" t="e">
        <f t="shared" si="9"/>
        <v>#REF!</v>
      </c>
    </row>
    <row r="20" spans="1:18" x14ac:dyDescent="0.25">
      <c r="B20" s="183" t="str">
        <f t="shared" ref="B20:B22" si="10">"Условие "&amp;B15</f>
        <v>Условие А2=&gt;П2</v>
      </c>
      <c r="C20" s="196" t="e">
        <f t="shared" ref="C20:E22" si="11">IF(C15=$B15,"+","-")</f>
        <v>#REF!</v>
      </c>
      <c r="D20" s="197" t="e">
        <f t="shared" si="11"/>
        <v>#REF!</v>
      </c>
      <c r="E20" s="198" t="e">
        <f t="shared" si="11"/>
        <v>#REF!</v>
      </c>
    </row>
    <row r="21" spans="1:18" x14ac:dyDescent="0.25">
      <c r="B21" s="183" t="str">
        <f t="shared" si="10"/>
        <v>Условие А3=&gt;П3</v>
      </c>
      <c r="C21" s="196" t="e">
        <f t="shared" si="11"/>
        <v>#REF!</v>
      </c>
      <c r="D21" s="197" t="e">
        <f t="shared" si="11"/>
        <v>#REF!</v>
      </c>
      <c r="E21" s="198" t="e">
        <f t="shared" si="11"/>
        <v>#REF!</v>
      </c>
    </row>
    <row r="22" spans="1:18" x14ac:dyDescent="0.25">
      <c r="B22" s="187" t="str">
        <f t="shared" si="10"/>
        <v>Условие А4&lt;П4</v>
      </c>
      <c r="C22" s="199" t="e">
        <f t="shared" si="11"/>
        <v>#REF!</v>
      </c>
      <c r="D22" s="200" t="e">
        <f t="shared" si="11"/>
        <v>#REF!</v>
      </c>
      <c r="E22" s="201" t="e">
        <f t="shared" si="11"/>
        <v>#REF!</v>
      </c>
    </row>
    <row r="23" spans="1:18" x14ac:dyDescent="0.25">
      <c r="B23" s="202" t="s">
        <v>219</v>
      </c>
      <c r="D23" s="12"/>
    </row>
    <row r="24" spans="1:18" x14ac:dyDescent="0.25">
      <c r="B24" s="202" t="s">
        <v>220</v>
      </c>
      <c r="C24" s="202"/>
      <c r="D24" s="202"/>
      <c r="E24" s="202"/>
      <c r="F24" s="202"/>
      <c r="G24" s="203"/>
      <c r="H24" s="203"/>
      <c r="I24" s="203"/>
      <c r="J24" s="203"/>
      <c r="K24" s="203"/>
      <c r="L24" s="203"/>
      <c r="M24" s="203"/>
      <c r="N24" s="203"/>
      <c r="O24" s="203"/>
      <c r="P24" s="203"/>
      <c r="Q24" s="203"/>
      <c r="R24" s="203"/>
    </row>
    <row r="25" spans="1:18" x14ac:dyDescent="0.25">
      <c r="B25" s="202" t="s">
        <v>221</v>
      </c>
      <c r="C25" s="202"/>
      <c r="D25" s="202"/>
      <c r="E25" s="202"/>
      <c r="F25" s="202"/>
      <c r="G25" s="203"/>
      <c r="H25" s="203"/>
      <c r="I25" s="203"/>
      <c r="J25" s="203"/>
      <c r="K25" s="203"/>
      <c r="L25" s="203"/>
      <c r="M25" s="203"/>
      <c r="N25" s="203"/>
      <c r="O25" s="203"/>
      <c r="P25" s="203"/>
      <c r="Q25" s="203"/>
      <c r="R25" s="203"/>
    </row>
    <row r="27" spans="1:18" ht="15.75" x14ac:dyDescent="0.25">
      <c r="A27" s="59" t="s">
        <v>222</v>
      </c>
    </row>
    <row r="28" spans="1:18" ht="45" x14ac:dyDescent="0.25">
      <c r="B28" s="556" t="s">
        <v>16</v>
      </c>
      <c r="C28" s="557"/>
      <c r="D28" s="558"/>
      <c r="E28" s="4" t="s">
        <v>164</v>
      </c>
      <c r="F28" s="4" t="e">
        <f>C18</f>
        <v>#REF!</v>
      </c>
      <c r="G28" s="4" t="e">
        <f>D18</f>
        <v>#REF!</v>
      </c>
      <c r="H28" s="4" t="e">
        <f>E18</f>
        <v>#REF!</v>
      </c>
    </row>
    <row r="29" spans="1:18" ht="25.5" x14ac:dyDescent="0.25">
      <c r="B29" s="560" t="s">
        <v>223</v>
      </c>
      <c r="C29" s="561"/>
      <c r="D29" s="561"/>
      <c r="E29" s="204" t="s">
        <v>224</v>
      </c>
      <c r="F29" s="205" t="e">
        <f>(C5+C6+C7)/(J5+J6)</f>
        <v>#REF!</v>
      </c>
      <c r="G29" s="105" t="e">
        <f t="shared" ref="G29:H29" si="12">(D5+D6+D7)/(K5+K6)</f>
        <v>#REF!</v>
      </c>
      <c r="H29" s="206" t="e">
        <f t="shared" si="12"/>
        <v>#REF!</v>
      </c>
    </row>
    <row r="30" spans="1:18" ht="25.5" x14ac:dyDescent="0.25">
      <c r="B30" s="552" t="s">
        <v>225</v>
      </c>
      <c r="C30" s="553"/>
      <c r="D30" s="553"/>
      <c r="E30" s="207" t="s">
        <v>226</v>
      </c>
      <c r="F30" s="208" t="e">
        <f>(C5+C6)/(J5+J6)</f>
        <v>#REF!</v>
      </c>
      <c r="G30" s="89" t="e">
        <f t="shared" ref="G30:H30" si="13">(D5+D6)/(K5+K6)</f>
        <v>#REF!</v>
      </c>
      <c r="H30" s="209" t="e">
        <f t="shared" si="13"/>
        <v>#REF!</v>
      </c>
    </row>
    <row r="31" spans="1:18" x14ac:dyDescent="0.25">
      <c r="B31" s="552" t="s">
        <v>227</v>
      </c>
      <c r="C31" s="553"/>
      <c r="D31" s="553"/>
      <c r="E31" s="207" t="s">
        <v>228</v>
      </c>
      <c r="F31" s="208" t="e">
        <f>C5/(J5+J6)</f>
        <v>#REF!</v>
      </c>
      <c r="G31" s="89" t="e">
        <f t="shared" ref="G31:H31" si="14">D5/(K5+K6)</f>
        <v>#REF!</v>
      </c>
      <c r="H31" s="209" t="e">
        <f t="shared" si="14"/>
        <v>#REF!</v>
      </c>
    </row>
    <row r="32" spans="1:18" ht="30" customHeight="1" x14ac:dyDescent="0.25">
      <c r="B32" s="552" t="s">
        <v>229</v>
      </c>
      <c r="C32" s="553"/>
      <c r="D32" s="553"/>
      <c r="E32" s="207" t="s">
        <v>230</v>
      </c>
      <c r="F32" s="208" t="e">
        <f>(C5+0.5*C6+0.3*C7)/(J5+0.5*J6+0.3*J7)</f>
        <v>#REF!</v>
      </c>
      <c r="G32" s="89" t="e">
        <f t="shared" ref="G32:H32" si="15">(D5+0.5*D6+0.3*D7)/(K5+0.5*K6+0.3*K7)</f>
        <v>#REF!</v>
      </c>
      <c r="H32" s="209" t="e">
        <f t="shared" si="15"/>
        <v>#REF!</v>
      </c>
    </row>
    <row r="33" spans="2:8" ht="30.75" customHeight="1" x14ac:dyDescent="0.25">
      <c r="B33" s="552" t="s">
        <v>231</v>
      </c>
      <c r="C33" s="553"/>
      <c r="D33" s="553"/>
      <c r="E33" s="207" t="s">
        <v>232</v>
      </c>
      <c r="F33" s="208" t="e">
        <f>(J8-C8)/(C5+C6+C7)</f>
        <v>#REF!</v>
      </c>
      <c r="G33" s="89" t="e">
        <f t="shared" ref="G33:H33" si="16">(K8-D8)/(D5+D6+D7)</f>
        <v>#REF!</v>
      </c>
      <c r="H33" s="209" t="e">
        <f t="shared" si="16"/>
        <v>#REF!</v>
      </c>
    </row>
    <row r="34" spans="2:8" ht="31.5" customHeight="1" x14ac:dyDescent="0.25">
      <c r="B34" s="554" t="s">
        <v>233</v>
      </c>
      <c r="C34" s="555"/>
      <c r="D34" s="555"/>
      <c r="E34" s="210"/>
      <c r="F34" s="211" t="e">
        <f>C7/((C5+C6+C7)-(J5+J6))</f>
        <v>#REF!</v>
      </c>
      <c r="G34" s="76" t="e">
        <f t="shared" ref="G34:H34" si="17">D7/((D5+D6+D7)-(K5+K6))</f>
        <v>#REF!</v>
      </c>
      <c r="H34" s="212" t="e">
        <f t="shared" si="17"/>
        <v>#REF!</v>
      </c>
    </row>
  </sheetData>
  <mergeCells count="16">
    <mergeCell ref="B31:D31"/>
    <mergeCell ref="B32:D32"/>
    <mergeCell ref="B33:D33"/>
    <mergeCell ref="B34:D34"/>
    <mergeCell ref="P3:R3"/>
    <mergeCell ref="B12:B13"/>
    <mergeCell ref="C12:E12"/>
    <mergeCell ref="B28:D28"/>
    <mergeCell ref="B29:D29"/>
    <mergeCell ref="B30:D30"/>
    <mergeCell ref="B3:B4"/>
    <mergeCell ref="C3:E3"/>
    <mergeCell ref="F3:H3"/>
    <mergeCell ref="I3:I4"/>
    <mergeCell ref="J3:L3"/>
    <mergeCell ref="M3:O3"/>
  </mergeCells>
  <printOptions horizontalCentered="1"/>
  <pageMargins left="0.19685039370078741" right="0.19685039370078741" top="0.78740157480314965" bottom="0.39370078740157483"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dimension ref="B2:H6"/>
  <sheetViews>
    <sheetView workbookViewId="0"/>
  </sheetViews>
  <sheetFormatPr defaultRowHeight="15" x14ac:dyDescent="0.25"/>
  <cols>
    <col min="1" max="16384" width="9.140625" style="1"/>
  </cols>
  <sheetData>
    <row r="2" spans="2:8" ht="30" x14ac:dyDescent="0.25">
      <c r="B2" s="237"/>
      <c r="C2" s="237" t="e">
        <f>"Актив "&amp;#REF!</f>
        <v>#REF!</v>
      </c>
      <c r="D2" s="237" t="e">
        <f>"Пассив "&amp;#REF!</f>
        <v>#REF!</v>
      </c>
      <c r="E2" s="237" t="e">
        <f>"Актив "&amp;#REF!</f>
        <v>#REF!</v>
      </c>
      <c r="F2" s="237" t="e">
        <f>"Пассив "&amp;#REF!</f>
        <v>#REF!</v>
      </c>
      <c r="G2" s="237" t="e">
        <f>"Актив "&amp;#REF!</f>
        <v>#REF!</v>
      </c>
      <c r="H2" s="237" t="e">
        <f>"Пассив "&amp;#REF!</f>
        <v>#REF!</v>
      </c>
    </row>
    <row r="3" spans="2:8" x14ac:dyDescent="0.25">
      <c r="B3" s="238" t="s">
        <v>284</v>
      </c>
      <c r="C3" s="239" t="e">
        <f>Ликв!C5</f>
        <v>#REF!</v>
      </c>
      <c r="D3" s="239" t="e">
        <f>Ликв!J5</f>
        <v>#REF!</v>
      </c>
      <c r="E3" s="239" t="e">
        <f>Ликв!D5</f>
        <v>#REF!</v>
      </c>
      <c r="F3" s="239" t="e">
        <f>Ликв!K5</f>
        <v>#REF!</v>
      </c>
      <c r="G3" s="239" t="e">
        <f>Ликв!E5</f>
        <v>#REF!</v>
      </c>
      <c r="H3" s="239" t="e">
        <f>Ликв!L5</f>
        <v>#REF!</v>
      </c>
    </row>
    <row r="4" spans="2:8" x14ac:dyDescent="0.25">
      <c r="B4" s="238" t="s">
        <v>285</v>
      </c>
      <c r="C4" s="239" t="e">
        <f>Ликв!C6</f>
        <v>#REF!</v>
      </c>
      <c r="D4" s="239" t="e">
        <f>Ликв!J6</f>
        <v>#REF!</v>
      </c>
      <c r="E4" s="239" t="e">
        <f>Ликв!D6</f>
        <v>#REF!</v>
      </c>
      <c r="F4" s="239" t="e">
        <f>Ликв!K6</f>
        <v>#REF!</v>
      </c>
      <c r="G4" s="239" t="e">
        <f>Ликв!E6</f>
        <v>#REF!</v>
      </c>
      <c r="H4" s="239" t="e">
        <f>Ликв!L6</f>
        <v>#REF!</v>
      </c>
    </row>
    <row r="5" spans="2:8" x14ac:dyDescent="0.25">
      <c r="B5" s="238" t="s">
        <v>286</v>
      </c>
      <c r="C5" s="239" t="e">
        <f>Ликв!C7</f>
        <v>#REF!</v>
      </c>
      <c r="D5" s="239" t="e">
        <f>Ликв!J7</f>
        <v>#REF!</v>
      </c>
      <c r="E5" s="239" t="e">
        <f>Ликв!D7</f>
        <v>#REF!</v>
      </c>
      <c r="F5" s="239" t="e">
        <f>Ликв!K7</f>
        <v>#REF!</v>
      </c>
      <c r="G5" s="239" t="e">
        <f>Ликв!E7</f>
        <v>#REF!</v>
      </c>
      <c r="H5" s="239" t="e">
        <f>Ликв!L7</f>
        <v>#REF!</v>
      </c>
    </row>
    <row r="6" spans="2:8" x14ac:dyDescent="0.25">
      <c r="B6" s="238" t="s">
        <v>287</v>
      </c>
      <c r="C6" s="239" t="e">
        <f>Ликв!C8</f>
        <v>#REF!</v>
      </c>
      <c r="D6" s="239" t="e">
        <f>Ликв!J8</f>
        <v>#REF!</v>
      </c>
      <c r="E6" s="239" t="e">
        <f>Ликв!D8</f>
        <v>#REF!</v>
      </c>
      <c r="F6" s="239" t="e">
        <f>Ликв!K8</f>
        <v>#REF!</v>
      </c>
      <c r="G6" s="239" t="e">
        <f>Ликв!E8</f>
        <v>#REF!</v>
      </c>
      <c r="H6" s="239" t="e">
        <f>Ликв!L8</f>
        <v>#REF!</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N20"/>
  <sheetViews>
    <sheetView zoomScaleNormal="100" zoomScaleSheetLayoutView="100" workbookViewId="0">
      <selection activeCell="P12" sqref="P12:P13"/>
    </sheetView>
  </sheetViews>
  <sheetFormatPr defaultRowHeight="15" x14ac:dyDescent="0.25"/>
  <cols>
    <col min="1" max="1" width="1.7109375" style="1" customWidth="1"/>
    <col min="2" max="2" width="4.7109375" style="1" customWidth="1"/>
    <col min="3" max="3" width="50.42578125" style="1" customWidth="1"/>
    <col min="4" max="4" width="9.140625" style="1"/>
    <col min="5" max="7" width="12.7109375" style="1" customWidth="1"/>
    <col min="8" max="11" width="9.28515625" style="1" customWidth="1"/>
    <col min="12" max="12" width="1.7109375" style="1" customWidth="1"/>
    <col min="13" max="16384" width="9.140625" style="1"/>
  </cols>
  <sheetData>
    <row r="1" spans="1:14" s="507" customFormat="1" ht="18.75" x14ac:dyDescent="0.3">
      <c r="A1" s="507" t="e">
        <f>CONCATENATE("Анализ платежеспособности ",#REF!)</f>
        <v>#REF!</v>
      </c>
    </row>
    <row r="3" spans="1:14" ht="30" customHeight="1" x14ac:dyDescent="0.25">
      <c r="B3" s="542" t="s">
        <v>170</v>
      </c>
      <c r="C3" s="550" t="s">
        <v>92</v>
      </c>
      <c r="D3" s="550" t="s">
        <v>171</v>
      </c>
      <c r="E3" s="550" t="s">
        <v>172</v>
      </c>
      <c r="F3" s="550"/>
      <c r="G3" s="550"/>
      <c r="H3" s="548" t="s">
        <v>173</v>
      </c>
      <c r="I3" s="549"/>
      <c r="J3" s="548" t="s">
        <v>174</v>
      </c>
      <c r="K3" s="549"/>
    </row>
    <row r="4" spans="1:14" ht="24" x14ac:dyDescent="0.25">
      <c r="B4" s="543"/>
      <c r="C4" s="550"/>
      <c r="D4" s="550"/>
      <c r="E4" s="34" t="e">
        <f>#REF!</f>
        <v>#REF!</v>
      </c>
      <c r="F4" s="34" t="e">
        <f>#REF!</f>
        <v>#REF!</v>
      </c>
      <c r="G4" s="34" t="e">
        <f>#REF!</f>
        <v>#REF!</v>
      </c>
      <c r="H4" s="34" t="e">
        <f>#REF!&amp;" - "&amp;#REF!</f>
        <v>#REF!</v>
      </c>
      <c r="I4" s="34" t="e">
        <f>#REF!&amp;" - "&amp;#REF!</f>
        <v>#REF!</v>
      </c>
      <c r="J4" s="34" t="e">
        <f>#REF!&amp;" / "&amp;#REF!</f>
        <v>#REF!</v>
      </c>
      <c r="K4" s="34" t="e">
        <f>#REF!&amp;" / "&amp;#REF!</f>
        <v>#REF!</v>
      </c>
      <c r="M4" s="22"/>
      <c r="N4" s="22"/>
    </row>
    <row r="5" spans="1:14" ht="15.75" x14ac:dyDescent="0.25">
      <c r="B5" s="147" t="s">
        <v>234</v>
      </c>
      <c r="C5" s="148"/>
      <c r="D5" s="148"/>
      <c r="E5" s="148"/>
      <c r="F5" s="148"/>
      <c r="G5" s="148"/>
      <c r="H5" s="148"/>
      <c r="I5" s="148"/>
      <c r="J5" s="148"/>
      <c r="K5" s="149"/>
    </row>
    <row r="6" spans="1:14" ht="30" x14ac:dyDescent="0.25">
      <c r="B6" s="15" t="s">
        <v>3</v>
      </c>
      <c r="C6" s="128" t="s">
        <v>197</v>
      </c>
      <c r="D6" s="129" t="e">
        <f>#REF!</f>
        <v>#REF!</v>
      </c>
      <c r="E6" s="130" t="e">
        <f>#REF!+#REF!</f>
        <v>#REF!</v>
      </c>
      <c r="F6" s="130" t="e">
        <f>#REF!+#REF!</f>
        <v>#REF!</v>
      </c>
      <c r="G6" s="130" t="e">
        <f>#REF!+#REF!</f>
        <v>#REF!</v>
      </c>
      <c r="H6" s="131" t="e">
        <f>E6-F6</f>
        <v>#REF!</v>
      </c>
      <c r="I6" s="131" t="e">
        <f>E6-G6</f>
        <v>#REF!</v>
      </c>
      <c r="J6" s="132" t="str">
        <f t="shared" ref="J6:J14" si="0">IFERROR(E6/F6,"")</f>
        <v/>
      </c>
      <c r="K6" s="133" t="str">
        <f t="shared" ref="K6:K14" si="1">IFERROR(E6/G6,"")</f>
        <v/>
      </c>
    </row>
    <row r="7" spans="1:14" ht="45" x14ac:dyDescent="0.25">
      <c r="B7" s="15" t="s">
        <v>4</v>
      </c>
      <c r="C7" s="128" t="s">
        <v>235</v>
      </c>
      <c r="D7" s="129" t="e">
        <f>#REF!</f>
        <v>#REF!</v>
      </c>
      <c r="E7" s="130" t="e">
        <f>E6+#REF!+#REF!-Пояснения!D10</f>
        <v>#REF!</v>
      </c>
      <c r="F7" s="130" t="e">
        <f>F6+#REF!+#REF!-Пояснения!E10</f>
        <v>#REF!</v>
      </c>
      <c r="G7" s="130" t="e">
        <f>G6+#REF!+#REF!-Пояснения!F10</f>
        <v>#REF!</v>
      </c>
      <c r="H7" s="131" t="e">
        <f t="shared" ref="H7:H10" si="2">E7-F7</f>
        <v>#REF!</v>
      </c>
      <c r="I7" s="131" t="e">
        <f t="shared" ref="I7:I10" si="3">E7-G7</f>
        <v>#REF!</v>
      </c>
      <c r="J7" s="132" t="str">
        <f t="shared" si="0"/>
        <v/>
      </c>
      <c r="K7" s="133" t="str">
        <f t="shared" si="1"/>
        <v/>
      </c>
    </row>
    <row r="8" spans="1:14" ht="30" x14ac:dyDescent="0.25">
      <c r="B8" s="15" t="s">
        <v>5</v>
      </c>
      <c r="C8" s="128" t="s">
        <v>236</v>
      </c>
      <c r="D8" s="129" t="e">
        <f>#REF!</f>
        <v>#REF!</v>
      </c>
      <c r="E8" s="130" t="e">
        <f>Пояснения!D57</f>
        <v>#REF!</v>
      </c>
      <c r="F8" s="130" t="e">
        <f>Пояснения!E57</f>
        <v>#REF!</v>
      </c>
      <c r="G8" s="130" t="e">
        <f>Пояснения!F57</f>
        <v>#REF!</v>
      </c>
      <c r="H8" s="131" t="e">
        <f t="shared" si="2"/>
        <v>#REF!</v>
      </c>
      <c r="I8" s="131" t="e">
        <f t="shared" si="3"/>
        <v>#REF!</v>
      </c>
      <c r="J8" s="132" t="str">
        <f t="shared" si="0"/>
        <v/>
      </c>
      <c r="K8" s="133" t="str">
        <f t="shared" si="1"/>
        <v/>
      </c>
    </row>
    <row r="9" spans="1:14" x14ac:dyDescent="0.25">
      <c r="B9" s="15" t="s">
        <v>6</v>
      </c>
      <c r="C9" s="128" t="s">
        <v>93</v>
      </c>
      <c r="D9" s="129" t="e">
        <f>#REF!</f>
        <v>#REF!</v>
      </c>
      <c r="E9" s="130" t="e">
        <f>Пояснения!D52</f>
        <v>#REF!</v>
      </c>
      <c r="F9" s="130" t="e">
        <f>Пояснения!E52</f>
        <v>#REF!</v>
      </c>
      <c r="G9" s="130" t="e">
        <f>Пояснения!F52</f>
        <v>#REF!</v>
      </c>
      <c r="H9" s="131" t="e">
        <f t="shared" si="2"/>
        <v>#REF!</v>
      </c>
      <c r="I9" s="131" t="e">
        <f t="shared" si="3"/>
        <v>#REF!</v>
      </c>
      <c r="J9" s="132" t="str">
        <f t="shared" si="0"/>
        <v/>
      </c>
      <c r="K9" s="133" t="str">
        <f t="shared" si="1"/>
        <v/>
      </c>
    </row>
    <row r="10" spans="1:14" x14ac:dyDescent="0.25">
      <c r="B10" s="141" t="s">
        <v>189</v>
      </c>
      <c r="C10" s="142" t="s">
        <v>179</v>
      </c>
      <c r="D10" s="143" t="e">
        <f>#REF!</f>
        <v>#REF!</v>
      </c>
      <c r="E10" s="218" t="e">
        <f>Струк4!E8</f>
        <v>#REF!</v>
      </c>
      <c r="F10" s="218" t="e">
        <f>Струк4!F8</f>
        <v>#REF!</v>
      </c>
      <c r="G10" s="218" t="e">
        <f>Струк4!G8</f>
        <v>#REF!</v>
      </c>
      <c r="H10" s="219" t="e">
        <f t="shared" si="2"/>
        <v>#REF!</v>
      </c>
      <c r="I10" s="219" t="e">
        <f t="shared" si="3"/>
        <v>#REF!</v>
      </c>
      <c r="J10" s="144" t="str">
        <f t="shared" si="0"/>
        <v/>
      </c>
      <c r="K10" s="145" t="str">
        <f t="shared" si="1"/>
        <v/>
      </c>
    </row>
    <row r="11" spans="1:14" ht="15.75" x14ac:dyDescent="0.25">
      <c r="B11" s="147" t="s">
        <v>237</v>
      </c>
      <c r="C11" s="220"/>
      <c r="D11" s="221"/>
      <c r="E11" s="222"/>
      <c r="F11" s="222"/>
      <c r="G11" s="222"/>
      <c r="H11" s="222"/>
      <c r="I11" s="222"/>
      <c r="J11" s="223"/>
      <c r="K11" s="224"/>
    </row>
    <row r="12" spans="1:14" ht="30" x14ac:dyDescent="0.25">
      <c r="B12" s="15" t="s">
        <v>7</v>
      </c>
      <c r="C12" s="128" t="s">
        <v>238</v>
      </c>
      <c r="D12" s="129" t="s">
        <v>228</v>
      </c>
      <c r="E12" s="151" t="e">
        <f>(#REF!+#REF!)/(#REF!+#REF!+#REF!)</f>
        <v>#REF!</v>
      </c>
      <c r="F12" s="151" t="e">
        <f>(#REF!+#REF!)/(#REF!+#REF!+#REF!)</f>
        <v>#REF!</v>
      </c>
      <c r="G12" s="151" t="e">
        <f>(#REF!+#REF!)/(#REF!+#REF!+#REF!)</f>
        <v>#REF!</v>
      </c>
      <c r="H12" s="225" t="e">
        <f t="shared" ref="H12:H14" si="4">E12-F12</f>
        <v>#REF!</v>
      </c>
      <c r="I12" s="225" t="e">
        <f t="shared" ref="I12:I14" si="5">E12-G12</f>
        <v>#REF!</v>
      </c>
      <c r="J12" s="226" t="str">
        <f t="shared" si="0"/>
        <v/>
      </c>
      <c r="K12" s="227" t="str">
        <f t="shared" si="1"/>
        <v/>
      </c>
    </row>
    <row r="13" spans="1:14" ht="30" x14ac:dyDescent="0.25">
      <c r="B13" s="15" t="s">
        <v>8</v>
      </c>
      <c r="C13" s="128" t="s">
        <v>239</v>
      </c>
      <c r="D13" s="129" t="s">
        <v>240</v>
      </c>
      <c r="E13" s="151" t="e">
        <f>(#REF!+#REF!+#REF!)/(#REF!+#REF!+#REF!)</f>
        <v>#REF!</v>
      </c>
      <c r="F13" s="151" t="e">
        <f>(#REF!+#REF!+#REF!)/(#REF!+#REF!+#REF!)</f>
        <v>#REF!</v>
      </c>
      <c r="G13" s="151" t="e">
        <f>(#REF!+#REF!+#REF!)/(#REF!+#REF!+#REF!)</f>
        <v>#REF!</v>
      </c>
      <c r="H13" s="225" t="e">
        <f t="shared" si="4"/>
        <v>#REF!</v>
      </c>
      <c r="I13" s="225" t="e">
        <f t="shared" si="5"/>
        <v>#REF!</v>
      </c>
      <c r="J13" s="226" t="str">
        <f t="shared" si="0"/>
        <v/>
      </c>
      <c r="K13" s="227" t="str">
        <f t="shared" si="1"/>
        <v/>
      </c>
    </row>
    <row r="14" spans="1:14" ht="30" x14ac:dyDescent="0.25">
      <c r="B14" s="15" t="s">
        <v>9</v>
      </c>
      <c r="C14" s="128" t="s">
        <v>241</v>
      </c>
      <c r="D14" s="129" t="s">
        <v>224</v>
      </c>
      <c r="E14" s="151" t="e">
        <f>#REF!/(#REF!+#REF!+#REF!)</f>
        <v>#REF!</v>
      </c>
      <c r="F14" s="151" t="e">
        <f>#REF!/(#REF!+#REF!+#REF!)</f>
        <v>#REF!</v>
      </c>
      <c r="G14" s="151" t="e">
        <f>#REF!/(#REF!+#REF!+#REF!)</f>
        <v>#REF!</v>
      </c>
      <c r="H14" s="225" t="e">
        <f t="shared" si="4"/>
        <v>#REF!</v>
      </c>
      <c r="I14" s="225" t="e">
        <f t="shared" si="5"/>
        <v>#REF!</v>
      </c>
      <c r="J14" s="226" t="str">
        <f t="shared" si="0"/>
        <v/>
      </c>
      <c r="K14" s="227" t="str">
        <f t="shared" si="1"/>
        <v/>
      </c>
    </row>
    <row r="15" spans="1:14" ht="15.75" x14ac:dyDescent="0.25">
      <c r="B15" s="147" t="s">
        <v>242</v>
      </c>
      <c r="C15" s="220"/>
      <c r="D15" s="221"/>
      <c r="E15" s="222"/>
      <c r="F15" s="222"/>
      <c r="G15" s="222"/>
      <c r="H15" s="222"/>
      <c r="I15" s="222"/>
      <c r="J15" s="223"/>
      <c r="K15" s="224"/>
    </row>
    <row r="16" spans="1:14" ht="30" x14ac:dyDescent="0.25">
      <c r="B16" s="15" t="s">
        <v>12</v>
      </c>
      <c r="C16" s="128" t="s">
        <v>231</v>
      </c>
      <c r="D16" s="129" t="s">
        <v>188</v>
      </c>
      <c r="E16" s="151" t="e">
        <f>(#REF!-#REF!)/#REF!</f>
        <v>#REF!</v>
      </c>
      <c r="F16" s="151" t="e">
        <f>(#REF!-#REF!)/#REF!</f>
        <v>#REF!</v>
      </c>
      <c r="G16" s="151" t="e">
        <f>(#REF!-#REF!)/#REF!</f>
        <v>#REF!</v>
      </c>
      <c r="H16" s="225" t="e">
        <f t="shared" ref="H16:H20" si="6">E16-F16</f>
        <v>#REF!</v>
      </c>
      <c r="I16" s="225" t="e">
        <f t="shared" ref="I16:I20" si="7">E16-G16</f>
        <v>#REF!</v>
      </c>
      <c r="J16" s="226" t="str">
        <f t="shared" ref="J16:J20" si="8">IFERROR(E16/F16,"")</f>
        <v/>
      </c>
      <c r="K16" s="227" t="str">
        <f t="shared" ref="K16:K20" si="9">IFERROR(E16/G16,"")</f>
        <v/>
      </c>
    </row>
    <row r="17" spans="2:11" ht="30" x14ac:dyDescent="0.25">
      <c r="B17" s="15" t="s">
        <v>13</v>
      </c>
      <c r="C17" s="128" t="s">
        <v>243</v>
      </c>
      <c r="D17" s="129" t="s">
        <v>187</v>
      </c>
      <c r="E17" s="151" t="e">
        <f>(#REF!-#REF!)/#REF!</f>
        <v>#REF!</v>
      </c>
      <c r="F17" s="151" t="e">
        <f>(#REF!-#REF!)/#REF!</f>
        <v>#REF!</v>
      </c>
      <c r="G17" s="151" t="e">
        <f>(#REF!-#REF!)/#REF!</f>
        <v>#REF!</v>
      </c>
      <c r="H17" s="225" t="e">
        <f t="shared" si="6"/>
        <v>#REF!</v>
      </c>
      <c r="I17" s="225" t="e">
        <f t="shared" si="7"/>
        <v>#REF!</v>
      </c>
      <c r="J17" s="226" t="str">
        <f t="shared" si="8"/>
        <v/>
      </c>
      <c r="K17" s="227" t="str">
        <f t="shared" si="9"/>
        <v/>
      </c>
    </row>
    <row r="18" spans="2:11" ht="25.5" x14ac:dyDescent="0.25">
      <c r="B18" s="15" t="s">
        <v>244</v>
      </c>
      <c r="C18" s="128" t="s">
        <v>245</v>
      </c>
      <c r="D18" s="129" t="s">
        <v>246</v>
      </c>
      <c r="E18" s="151" t="e">
        <f>#REF!/#REF!</f>
        <v>#REF!</v>
      </c>
      <c r="F18" s="151" t="e">
        <f>#REF!/#REF!</f>
        <v>#REF!</v>
      </c>
      <c r="G18" s="151" t="e">
        <f>#REF!/#REF!</f>
        <v>#REF!</v>
      </c>
      <c r="H18" s="225" t="e">
        <f t="shared" si="6"/>
        <v>#REF!</v>
      </c>
      <c r="I18" s="225" t="e">
        <f t="shared" si="7"/>
        <v>#REF!</v>
      </c>
      <c r="J18" s="226" t="str">
        <f t="shared" si="8"/>
        <v/>
      </c>
      <c r="K18" s="227" t="str">
        <f t="shared" si="9"/>
        <v/>
      </c>
    </row>
    <row r="19" spans="2:11" ht="25.5" x14ac:dyDescent="0.25">
      <c r="B19" s="15" t="s">
        <v>247</v>
      </c>
      <c r="C19" s="128" t="s">
        <v>248</v>
      </c>
      <c r="D19" s="129" t="s">
        <v>249</v>
      </c>
      <c r="E19" s="151" t="e">
        <f>(E14+6/12*(E14-F14))/2</f>
        <v>#REF!</v>
      </c>
      <c r="F19" s="151" t="e">
        <f t="shared" ref="F19" si="10">(F14+6/12*(F14-G14))/2</f>
        <v>#REF!</v>
      </c>
      <c r="G19" s="151" t="e">
        <f>(G14+6/12*(G14-(#REF!/(#REF!+#REF!+#REF!))))/2</f>
        <v>#REF!</v>
      </c>
      <c r="H19" s="225" t="e">
        <f t="shared" si="6"/>
        <v>#REF!</v>
      </c>
      <c r="I19" s="225" t="e">
        <f t="shared" si="7"/>
        <v>#REF!</v>
      </c>
      <c r="J19" s="226" t="str">
        <f t="shared" si="8"/>
        <v/>
      </c>
      <c r="K19" s="227" t="str">
        <f t="shared" si="9"/>
        <v/>
      </c>
    </row>
    <row r="20" spans="2:11" ht="25.5" x14ac:dyDescent="0.25">
      <c r="B20" s="141" t="s">
        <v>250</v>
      </c>
      <c r="C20" s="142" t="s">
        <v>251</v>
      </c>
      <c r="D20" s="143" t="s">
        <v>193</v>
      </c>
      <c r="E20" s="152" t="e">
        <f>(E14+3/12*(E14-F14))/2</f>
        <v>#REF!</v>
      </c>
      <c r="F20" s="152" t="e">
        <f t="shared" ref="F20" si="11">(F14+3/12*(F14-G14))/2</f>
        <v>#REF!</v>
      </c>
      <c r="G20" s="152" t="e">
        <f>(G14+3/12*(G14-(#REF!/(#REF!+#REF!+#REF!))))/2</f>
        <v>#REF!</v>
      </c>
      <c r="H20" s="228" t="e">
        <f t="shared" si="6"/>
        <v>#REF!</v>
      </c>
      <c r="I20" s="228" t="e">
        <f t="shared" si="7"/>
        <v>#REF!</v>
      </c>
      <c r="J20" s="229" t="str">
        <f t="shared" si="8"/>
        <v/>
      </c>
      <c r="K20" s="230" t="str">
        <f t="shared" si="9"/>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N33"/>
  <sheetViews>
    <sheetView zoomScaleNormal="100" zoomScaleSheetLayoutView="100" workbookViewId="0">
      <selection activeCell="A34" sqref="A34:XFD35"/>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3" customFormat="1" ht="18.75" x14ac:dyDescent="0.3">
      <c r="A1" s="3" t="s">
        <v>369</v>
      </c>
    </row>
    <row r="3" spans="1:14" ht="30" customHeight="1" x14ac:dyDescent="0.25">
      <c r="B3" s="542" t="s">
        <v>170</v>
      </c>
      <c r="C3" s="550" t="s">
        <v>92</v>
      </c>
      <c r="D3" s="542" t="s">
        <v>164</v>
      </c>
      <c r="E3" s="550" t="s">
        <v>172</v>
      </c>
      <c r="F3" s="550"/>
      <c r="G3" s="550"/>
      <c r="H3" s="548" t="e">
        <f>"Изменение, "&amp;#REF!</f>
        <v>#REF!</v>
      </c>
      <c r="I3" s="549"/>
      <c r="J3" s="548" t="s">
        <v>174</v>
      </c>
      <c r="K3" s="549"/>
    </row>
    <row r="4" spans="1:14"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c r="N4" s="22"/>
    </row>
    <row r="5" spans="1:14" ht="15.75" x14ac:dyDescent="0.25">
      <c r="B5" s="147" t="s">
        <v>234</v>
      </c>
      <c r="C5" s="148"/>
      <c r="D5" s="148"/>
      <c r="E5" s="148"/>
      <c r="F5" s="148"/>
      <c r="G5" s="148"/>
      <c r="H5" s="148"/>
      <c r="I5" s="148"/>
      <c r="J5" s="148"/>
      <c r="K5" s="149"/>
    </row>
    <row r="6" spans="1:14" x14ac:dyDescent="0.25">
      <c r="B6" s="15" t="s">
        <v>3</v>
      </c>
      <c r="C6" s="128" t="s">
        <v>135</v>
      </c>
      <c r="D6" s="150" t="e">
        <f>#REF!</f>
        <v>#REF!</v>
      </c>
      <c r="E6" s="130" t="e">
        <f>#REF!</f>
        <v>#REF!</v>
      </c>
      <c r="F6" s="130" t="e">
        <f>#REF!</f>
        <v>#REF!</v>
      </c>
      <c r="G6" s="130" t="e">
        <f>#REF!</f>
        <v>#REF!</v>
      </c>
      <c r="H6" s="131" t="e">
        <f t="shared" ref="H6:H10" si="0">E6-F6</f>
        <v>#REF!</v>
      </c>
      <c r="I6" s="131" t="e">
        <f t="shared" ref="I6:I10" si="1">E6-G6</f>
        <v>#REF!</v>
      </c>
      <c r="J6" s="132" t="str">
        <f t="shared" ref="J6:J10" si="2">IFERROR(E6/F6,"")</f>
        <v/>
      </c>
      <c r="K6" s="133" t="str">
        <f t="shared" ref="K6:K10" si="3">IFERROR(E6/G6,"")</f>
        <v/>
      </c>
    </row>
    <row r="7" spans="1:14" x14ac:dyDescent="0.25">
      <c r="B7" s="15" t="s">
        <v>4</v>
      </c>
      <c r="C7" s="128" t="s">
        <v>370</v>
      </c>
      <c r="D7" s="150" t="e">
        <f>#REF!</f>
        <v>#REF!</v>
      </c>
      <c r="E7" s="130" t="e">
        <f>#REF!</f>
        <v>#REF!</v>
      </c>
      <c r="F7" s="130" t="e">
        <f>#REF!</f>
        <v>#REF!</v>
      </c>
      <c r="G7" s="130" t="e">
        <f>#REF!</f>
        <v>#REF!</v>
      </c>
      <c r="H7" s="131" t="e">
        <f t="shared" si="0"/>
        <v>#REF!</v>
      </c>
      <c r="I7" s="131" t="e">
        <f t="shared" si="1"/>
        <v>#REF!</v>
      </c>
      <c r="J7" s="132" t="str">
        <f t="shared" si="2"/>
        <v/>
      </c>
      <c r="K7" s="133" t="str">
        <f t="shared" si="3"/>
        <v/>
      </c>
    </row>
    <row r="8" spans="1:14" x14ac:dyDescent="0.25">
      <c r="B8" s="15" t="s">
        <v>5</v>
      </c>
      <c r="C8" s="128" t="s">
        <v>371</v>
      </c>
      <c r="D8" s="150" t="e">
        <f>#REF!</f>
        <v>#REF!</v>
      </c>
      <c r="E8" s="130" t="e">
        <f>#REF!</f>
        <v>#REF!</v>
      </c>
      <c r="F8" s="130" t="e">
        <f>#REF!</f>
        <v>#REF!</v>
      </c>
      <c r="G8" s="130" t="e">
        <f>#REF!</f>
        <v>#REF!</v>
      </c>
      <c r="H8" s="131" t="e">
        <f t="shared" si="0"/>
        <v>#REF!</v>
      </c>
      <c r="I8" s="131" t="e">
        <f t="shared" si="1"/>
        <v>#REF!</v>
      </c>
      <c r="J8" s="132" t="str">
        <f t="shared" si="2"/>
        <v/>
      </c>
      <c r="K8" s="133" t="str">
        <f t="shared" si="3"/>
        <v/>
      </c>
    </row>
    <row r="9" spans="1:14" x14ac:dyDescent="0.25">
      <c r="B9" s="15" t="s">
        <v>6</v>
      </c>
      <c r="C9" s="128" t="s">
        <v>338</v>
      </c>
      <c r="D9" s="150" t="e">
        <f>#REF!</f>
        <v>#REF!</v>
      </c>
      <c r="E9" s="131" t="e">
        <f>E7+E8</f>
        <v>#REF!</v>
      </c>
      <c r="F9" s="131" t="e">
        <f t="shared" ref="F9:G9" si="4">F7+F8</f>
        <v>#REF!</v>
      </c>
      <c r="G9" s="131" t="e">
        <f t="shared" si="4"/>
        <v>#REF!</v>
      </c>
      <c r="H9" s="131" t="e">
        <f t="shared" si="0"/>
        <v>#REF!</v>
      </c>
      <c r="I9" s="131" t="e">
        <f t="shared" si="1"/>
        <v>#REF!</v>
      </c>
      <c r="J9" s="132" t="str">
        <f t="shared" si="2"/>
        <v/>
      </c>
      <c r="K9" s="133" t="str">
        <f t="shared" si="3"/>
        <v/>
      </c>
    </row>
    <row r="10" spans="1:14" x14ac:dyDescent="0.25">
      <c r="B10" s="15" t="s">
        <v>189</v>
      </c>
      <c r="C10" s="128" t="s">
        <v>372</v>
      </c>
      <c r="D10" s="150" t="e">
        <f>#REF!</f>
        <v>#REF!</v>
      </c>
      <c r="E10" s="131" t="e">
        <f>E9+E6</f>
        <v>#REF!</v>
      </c>
      <c r="F10" s="131" t="e">
        <f t="shared" ref="F10:G10" si="5">F9+F6</f>
        <v>#REF!</v>
      </c>
      <c r="G10" s="131" t="e">
        <f t="shared" si="5"/>
        <v>#REF!</v>
      </c>
      <c r="H10" s="131" t="e">
        <f t="shared" si="0"/>
        <v>#REF!</v>
      </c>
      <c r="I10" s="131" t="e">
        <f t="shared" si="1"/>
        <v>#REF!</v>
      </c>
      <c r="J10" s="132" t="str">
        <f t="shared" si="2"/>
        <v/>
      </c>
      <c r="K10" s="133" t="str">
        <f t="shared" si="3"/>
        <v/>
      </c>
    </row>
    <row r="11" spans="1:14" ht="15.75" x14ac:dyDescent="0.25">
      <c r="B11" s="147" t="s">
        <v>374</v>
      </c>
      <c r="C11" s="148"/>
      <c r="D11" s="148"/>
      <c r="E11" s="148"/>
      <c r="F11" s="148"/>
      <c r="G11" s="148"/>
      <c r="H11" s="148"/>
      <c r="I11" s="148"/>
      <c r="J11" s="148"/>
      <c r="K11" s="149"/>
    </row>
    <row r="12" spans="1:14" ht="25.5" x14ac:dyDescent="0.25">
      <c r="B12" s="265" t="s">
        <v>7</v>
      </c>
      <c r="C12" s="128" t="s">
        <v>373</v>
      </c>
      <c r="D12" s="150" t="s">
        <v>168</v>
      </c>
      <c r="E12" s="151" t="e">
        <f>#REF!/#REF!</f>
        <v>#REF!</v>
      </c>
      <c r="F12" s="151" t="e">
        <f>#REF!/#REF!</f>
        <v>#REF!</v>
      </c>
      <c r="G12" s="151" t="e">
        <f>#REF!/#REF!</f>
        <v>#REF!</v>
      </c>
      <c r="H12" s="140" t="e">
        <f t="shared" ref="H12:H15" si="6">E12-F12</f>
        <v>#REF!</v>
      </c>
      <c r="I12" s="140" t="e">
        <f t="shared" ref="I12:I15" si="7">E12-G12</f>
        <v>#REF!</v>
      </c>
      <c r="J12" s="132" t="str">
        <f t="shared" ref="J12:J15" si="8">IFERROR(E12/F12,"")</f>
        <v/>
      </c>
      <c r="K12" s="133" t="str">
        <f t="shared" ref="K12:K15" si="9">IFERROR(E12/G12,"")</f>
        <v/>
      </c>
    </row>
    <row r="13" spans="1:14" ht="25.5" x14ac:dyDescent="0.25">
      <c r="B13" s="15" t="s">
        <v>8</v>
      </c>
      <c r="C13" s="128" t="s">
        <v>294</v>
      </c>
      <c r="D13" s="150" t="s">
        <v>194</v>
      </c>
      <c r="E13" s="151" t="e">
        <f>(#REF!+#REF!)/#REF!</f>
        <v>#REF!</v>
      </c>
      <c r="F13" s="151" t="e">
        <f>(#REF!+#REF!)/#REF!</f>
        <v>#REF!</v>
      </c>
      <c r="G13" s="151" t="e">
        <f>(#REF!+#REF!)/#REF!</f>
        <v>#REF!</v>
      </c>
      <c r="H13" s="140" t="e">
        <f t="shared" si="6"/>
        <v>#REF!</v>
      </c>
      <c r="I13" s="140" t="e">
        <f t="shared" si="7"/>
        <v>#REF!</v>
      </c>
      <c r="J13" s="132" t="str">
        <f t="shared" si="8"/>
        <v/>
      </c>
      <c r="K13" s="133" t="str">
        <f t="shared" si="9"/>
        <v/>
      </c>
    </row>
    <row r="14" spans="1:14" ht="25.5" x14ac:dyDescent="0.25">
      <c r="B14" s="15" t="s">
        <v>9</v>
      </c>
      <c r="C14" s="128" t="s">
        <v>192</v>
      </c>
      <c r="D14" s="150" t="s">
        <v>357</v>
      </c>
      <c r="E14" s="151" t="e">
        <f>#REF!/(#REF!+#REF!)</f>
        <v>#REF!</v>
      </c>
      <c r="F14" s="151" t="e">
        <f>#REF!/(#REF!+#REF!)</f>
        <v>#REF!</v>
      </c>
      <c r="G14" s="151" t="e">
        <f>#REF!/(#REF!+#REF!)</f>
        <v>#REF!</v>
      </c>
      <c r="H14" s="140" t="e">
        <f t="shared" si="6"/>
        <v>#REF!</v>
      </c>
      <c r="I14" s="140" t="e">
        <f t="shared" si="7"/>
        <v>#REF!</v>
      </c>
      <c r="J14" s="132" t="str">
        <f t="shared" si="8"/>
        <v/>
      </c>
      <c r="K14" s="133" t="str">
        <f t="shared" si="9"/>
        <v/>
      </c>
    </row>
    <row r="15" spans="1:14" x14ac:dyDescent="0.25">
      <c r="B15" s="141" t="s">
        <v>10</v>
      </c>
      <c r="C15" s="142" t="s">
        <v>375</v>
      </c>
      <c r="D15" s="240" t="s">
        <v>269</v>
      </c>
      <c r="E15" s="152" t="e">
        <f>(#REF!+#REF!)/#REF!</f>
        <v>#REF!</v>
      </c>
      <c r="F15" s="152" t="e">
        <f>(#REF!+#REF!)/#REF!</f>
        <v>#REF!</v>
      </c>
      <c r="G15" s="152" t="e">
        <f>(#REF!+#REF!)/#REF!</f>
        <v>#REF!</v>
      </c>
      <c r="H15" s="241" t="e">
        <f t="shared" si="6"/>
        <v>#REF!</v>
      </c>
      <c r="I15" s="241" t="e">
        <f t="shared" si="7"/>
        <v>#REF!</v>
      </c>
      <c r="J15" s="144" t="str">
        <f t="shared" si="8"/>
        <v/>
      </c>
      <c r="K15" s="145" t="str">
        <f t="shared" si="9"/>
        <v/>
      </c>
    </row>
    <row r="17" spans="4:10" ht="30" x14ac:dyDescent="0.25">
      <c r="E17" s="4" t="e">
        <f>"Актив, "&amp;$E$4</f>
        <v>#REF!</v>
      </c>
      <c r="F17" s="4" t="e">
        <f>"Пассив, "&amp;$E$4</f>
        <v>#REF!</v>
      </c>
      <c r="G17" s="4" t="e">
        <f>"Актив, "&amp;$F$4</f>
        <v>#REF!</v>
      </c>
      <c r="H17" s="4" t="e">
        <f>"Пассив, "&amp;$F$4</f>
        <v>#REF!</v>
      </c>
      <c r="I17" s="4" t="e">
        <f>"Актив, "&amp;$G$4</f>
        <v>#REF!</v>
      </c>
      <c r="J17" s="4" t="e">
        <f>"Пассив, "&amp;$G$4</f>
        <v>#REF!</v>
      </c>
    </row>
    <row r="18" spans="4:10" x14ac:dyDescent="0.25">
      <c r="D18" s="2" t="s">
        <v>376</v>
      </c>
      <c r="E18" s="268" t="e">
        <f>#REF!</f>
        <v>#REF!</v>
      </c>
      <c r="F18" s="268" t="e">
        <f>E6</f>
        <v>#REF!</v>
      </c>
      <c r="G18" s="268" t="e">
        <f>#REF!</f>
        <v>#REF!</v>
      </c>
      <c r="H18" s="268" t="e">
        <f>F6</f>
        <v>#REF!</v>
      </c>
      <c r="I18" s="268" t="e">
        <f>#REF!</f>
        <v>#REF!</v>
      </c>
      <c r="J18" s="268" t="e">
        <f>G6</f>
        <v>#REF!</v>
      </c>
    </row>
    <row r="19" spans="4:10" x14ac:dyDescent="0.25">
      <c r="D19" s="2" t="s">
        <v>377</v>
      </c>
      <c r="E19" s="269" t="e">
        <f>#REF!</f>
        <v>#REF!</v>
      </c>
      <c r="F19" s="269" t="e">
        <f>E7</f>
        <v>#REF!</v>
      </c>
      <c r="G19" s="269" t="e">
        <f>#REF!</f>
        <v>#REF!</v>
      </c>
      <c r="H19" s="269" t="e">
        <f>F7</f>
        <v>#REF!</v>
      </c>
      <c r="I19" s="269" t="e">
        <f>#REF!</f>
        <v>#REF!</v>
      </c>
      <c r="J19" s="269" t="e">
        <f>G7</f>
        <v>#REF!</v>
      </c>
    </row>
    <row r="20" spans="4:10" x14ac:dyDescent="0.25">
      <c r="D20" s="2" t="s">
        <v>371</v>
      </c>
      <c r="E20" s="270"/>
      <c r="F20" s="270" t="e">
        <f>E8</f>
        <v>#REF!</v>
      </c>
      <c r="G20" s="270"/>
      <c r="H20" s="270" t="e">
        <f>F8</f>
        <v>#REF!</v>
      </c>
      <c r="I20" s="270"/>
      <c r="J20" s="270" t="e">
        <f>G8</f>
        <v>#REF!</v>
      </c>
    </row>
    <row r="21" spans="4:10" x14ac:dyDescent="0.25">
      <c r="D21" s="2"/>
      <c r="E21" s="271"/>
      <c r="F21" s="271"/>
      <c r="G21" s="271"/>
      <c r="H21" s="271"/>
      <c r="I21" s="271"/>
      <c r="J21" s="271"/>
    </row>
    <row r="22" spans="4:10" x14ac:dyDescent="0.25">
      <c r="D22" s="2"/>
      <c r="E22" s="271"/>
      <c r="F22" s="271"/>
      <c r="G22" s="271"/>
      <c r="H22" s="271"/>
      <c r="I22" s="271"/>
      <c r="J22" s="271"/>
    </row>
    <row r="23" spans="4:10" x14ac:dyDescent="0.25">
      <c r="D23" s="2"/>
      <c r="E23" s="271"/>
      <c r="F23" s="271"/>
      <c r="G23" s="271"/>
      <c r="H23" s="271"/>
      <c r="I23" s="271"/>
      <c r="J23" s="271"/>
    </row>
    <row r="24" spans="4:10" x14ac:dyDescent="0.25">
      <c r="D24" s="2"/>
      <c r="E24" s="271"/>
      <c r="F24" s="271"/>
      <c r="G24" s="271"/>
      <c r="H24" s="271"/>
      <c r="I24" s="271"/>
      <c r="J24" s="271"/>
    </row>
    <row r="25" spans="4:10" x14ac:dyDescent="0.25">
      <c r="D25" s="2"/>
      <c r="E25" s="271"/>
      <c r="F25" s="271"/>
      <c r="G25" s="271"/>
      <c r="H25" s="271"/>
      <c r="I25" s="271"/>
      <c r="J25" s="271"/>
    </row>
    <row r="26" spans="4:10" x14ac:dyDescent="0.25">
      <c r="D26" s="2"/>
      <c r="E26" s="271"/>
      <c r="F26" s="271"/>
      <c r="G26" s="271"/>
      <c r="H26" s="271"/>
      <c r="I26" s="271"/>
      <c r="J26" s="271"/>
    </row>
    <row r="27" spans="4:10" x14ac:dyDescent="0.25">
      <c r="D27" s="2"/>
      <c r="E27" s="271"/>
      <c r="F27" s="271"/>
      <c r="G27" s="271"/>
      <c r="H27" s="271"/>
      <c r="I27" s="271"/>
      <c r="J27" s="271"/>
    </row>
    <row r="28" spans="4:10" x14ac:dyDescent="0.25">
      <c r="D28" s="2"/>
      <c r="E28" s="271"/>
      <c r="F28" s="271"/>
      <c r="G28" s="271"/>
      <c r="H28" s="271"/>
      <c r="I28" s="271"/>
      <c r="J28" s="271"/>
    </row>
    <row r="29" spans="4:10" x14ac:dyDescent="0.25">
      <c r="D29" s="2"/>
      <c r="E29" s="271"/>
      <c r="F29" s="271"/>
      <c r="G29" s="271"/>
      <c r="H29" s="271"/>
      <c r="I29" s="271"/>
      <c r="J29" s="271"/>
    </row>
    <row r="30" spans="4:10" x14ac:dyDescent="0.25">
      <c r="D30" s="2"/>
      <c r="E30" s="271"/>
      <c r="F30" s="271"/>
      <c r="G30" s="271"/>
      <c r="H30" s="271"/>
      <c r="I30" s="271"/>
      <c r="J30" s="271"/>
    </row>
    <row r="31" spans="4:10" x14ac:dyDescent="0.25">
      <c r="D31" s="2"/>
      <c r="E31" s="271"/>
      <c r="F31" s="271"/>
      <c r="G31" s="271"/>
      <c r="H31" s="271"/>
      <c r="I31" s="271"/>
      <c r="J31" s="271"/>
    </row>
    <row r="32" spans="4:10" x14ac:dyDescent="0.25">
      <c r="D32" s="2"/>
      <c r="E32" s="271"/>
      <c r="F32" s="271"/>
      <c r="G32" s="271"/>
      <c r="H32" s="271"/>
      <c r="I32" s="271"/>
      <c r="J32" s="271"/>
    </row>
    <row r="33" spans="4:10" x14ac:dyDescent="0.25">
      <c r="D33" s="2"/>
      <c r="E33" s="271"/>
      <c r="F33" s="271"/>
      <c r="G33" s="271"/>
      <c r="H33" s="271"/>
      <c r="I33" s="271"/>
      <c r="J33" s="271"/>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8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P30"/>
  <sheetViews>
    <sheetView workbookViewId="0">
      <selection activeCell="H3" sqref="H3:J29"/>
    </sheetView>
  </sheetViews>
  <sheetFormatPr defaultRowHeight="15" x14ac:dyDescent="0.25"/>
  <cols>
    <col min="1" max="1" width="30.5703125" style="510" customWidth="1"/>
    <col min="2" max="2" width="22" style="510" customWidth="1"/>
    <col min="3" max="3" width="17.28515625" style="510" customWidth="1"/>
    <col min="4" max="4" width="10.5703125" style="510" customWidth="1"/>
    <col min="5" max="7" width="9.7109375" style="510" customWidth="1"/>
    <col min="8" max="13" width="10.5703125" style="510" customWidth="1"/>
    <col min="14" max="14" width="9.140625" style="510"/>
    <col min="15" max="15" width="24.140625" style="510" customWidth="1"/>
    <col min="16" max="16" width="24" style="510" customWidth="1"/>
    <col min="17" max="16384" width="9.140625" style="510"/>
  </cols>
  <sheetData>
    <row r="1" spans="1:16" ht="48" customHeight="1" thickBot="1" x14ac:dyDescent="0.3">
      <c r="A1" s="509" t="s">
        <v>850</v>
      </c>
      <c r="B1" s="509" t="s">
        <v>823</v>
      </c>
      <c r="C1" s="509" t="s">
        <v>824</v>
      </c>
      <c r="D1" s="515" t="s">
        <v>825</v>
      </c>
      <c r="E1" s="516" t="e">
        <f>#REF!</f>
        <v>#REF!</v>
      </c>
      <c r="F1" s="516" t="e">
        <f>#REF!</f>
        <v>#REF!</v>
      </c>
      <c r="G1" s="516" t="e">
        <f>#REF!</f>
        <v>#REF!</v>
      </c>
      <c r="H1" s="517" t="e">
        <f>E1</f>
        <v>#REF!</v>
      </c>
      <c r="I1" s="517" t="e">
        <f>F1</f>
        <v>#REF!</v>
      </c>
      <c r="J1" s="517" t="e">
        <f>G1</f>
        <v>#REF!</v>
      </c>
      <c r="K1" s="518" t="e">
        <f>H1</f>
        <v>#REF!</v>
      </c>
      <c r="L1" s="518" t="e">
        <f t="shared" ref="L1:M1" si="0">I1</f>
        <v>#REF!</v>
      </c>
      <c r="M1" s="518" t="e">
        <f t="shared" si="0"/>
        <v>#REF!</v>
      </c>
      <c r="O1" s="511" t="s">
        <v>854</v>
      </c>
      <c r="P1" s="512" t="s">
        <v>855</v>
      </c>
    </row>
    <row r="2" spans="1:16" ht="33" customHeight="1" thickBot="1" x14ac:dyDescent="0.3">
      <c r="A2" s="509"/>
      <c r="B2" s="509"/>
      <c r="C2" s="509"/>
      <c r="D2" s="515">
        <f>D3+D9+D14+D20+D25</f>
        <v>1</v>
      </c>
      <c r="E2" s="516"/>
      <c r="F2" s="516"/>
      <c r="G2" s="516"/>
      <c r="H2" s="517" t="s">
        <v>866</v>
      </c>
      <c r="I2" s="517" t="s">
        <v>866</v>
      </c>
      <c r="J2" s="517" t="s">
        <v>866</v>
      </c>
      <c r="K2" s="518" t="s">
        <v>865</v>
      </c>
      <c r="L2" s="518" t="s">
        <v>865</v>
      </c>
      <c r="M2" s="518" t="s">
        <v>865</v>
      </c>
      <c r="O2" s="513"/>
      <c r="P2" s="514"/>
    </row>
    <row r="3" spans="1:16" ht="15.75" thickBot="1" x14ac:dyDescent="0.3">
      <c r="A3" s="569" t="s">
        <v>851</v>
      </c>
      <c r="B3" s="509" t="s">
        <v>826</v>
      </c>
      <c r="C3" s="509">
        <v>0</v>
      </c>
      <c r="D3" s="568">
        <v>0.3</v>
      </c>
      <c r="E3" s="564" t="e">
        <f>Струк4!E10</f>
        <v>#REF!</v>
      </c>
      <c r="F3" s="564" t="e">
        <f>Струк4!F10</f>
        <v>#REF!</v>
      </c>
      <c r="G3" s="564" t="e">
        <f>Струк4!G10</f>
        <v>#REF!</v>
      </c>
      <c r="H3" s="563"/>
      <c r="I3" s="563"/>
      <c r="J3" s="563"/>
      <c r="K3" s="562">
        <f>H3*D3</f>
        <v>0</v>
      </c>
      <c r="L3" s="562">
        <f>I3*D3</f>
        <v>0</v>
      </c>
      <c r="M3" s="562">
        <f>J3*D3</f>
        <v>0</v>
      </c>
      <c r="O3" s="513" t="s">
        <v>856</v>
      </c>
      <c r="P3" s="514" t="s">
        <v>857</v>
      </c>
    </row>
    <row r="4" spans="1:16" ht="15.75" thickBot="1" x14ac:dyDescent="0.3">
      <c r="A4" s="569"/>
      <c r="B4" s="509" t="s">
        <v>827</v>
      </c>
      <c r="C4" s="509">
        <v>25</v>
      </c>
      <c r="D4" s="568"/>
      <c r="E4" s="564"/>
      <c r="F4" s="564"/>
      <c r="G4" s="564"/>
      <c r="H4" s="563"/>
      <c r="I4" s="563"/>
      <c r="J4" s="563"/>
      <c r="K4" s="562"/>
      <c r="L4" s="562"/>
      <c r="M4" s="562"/>
      <c r="O4" s="513" t="s">
        <v>860</v>
      </c>
      <c r="P4" s="514" t="s">
        <v>858</v>
      </c>
    </row>
    <row r="5" spans="1:16" ht="15.75" thickBot="1" x14ac:dyDescent="0.3">
      <c r="A5" s="569"/>
      <c r="B5" s="509" t="s">
        <v>828</v>
      </c>
      <c r="C5" s="509">
        <v>50</v>
      </c>
      <c r="D5" s="568"/>
      <c r="E5" s="564"/>
      <c r="F5" s="564"/>
      <c r="G5" s="564"/>
      <c r="H5" s="563"/>
      <c r="I5" s="563"/>
      <c r="J5" s="563"/>
      <c r="K5" s="562"/>
      <c r="L5" s="562"/>
      <c r="M5" s="562"/>
      <c r="O5" s="513" t="s">
        <v>861</v>
      </c>
      <c r="P5" s="514" t="s">
        <v>859</v>
      </c>
    </row>
    <row r="6" spans="1:16" x14ac:dyDescent="0.25">
      <c r="A6" s="569"/>
      <c r="B6" s="509" t="s">
        <v>829</v>
      </c>
      <c r="C6" s="509">
        <v>70</v>
      </c>
      <c r="D6" s="568"/>
      <c r="E6" s="564"/>
      <c r="F6" s="564"/>
      <c r="G6" s="564"/>
      <c r="H6" s="563"/>
      <c r="I6" s="563"/>
      <c r="J6" s="563"/>
      <c r="K6" s="562"/>
      <c r="L6" s="562"/>
      <c r="M6" s="562"/>
    </row>
    <row r="7" spans="1:16" x14ac:dyDescent="0.25">
      <c r="A7" s="569"/>
      <c r="B7" s="509" t="s">
        <v>830</v>
      </c>
      <c r="C7" s="509">
        <v>85</v>
      </c>
      <c r="D7" s="568"/>
      <c r="E7" s="564"/>
      <c r="F7" s="564"/>
      <c r="G7" s="564"/>
      <c r="H7" s="563"/>
      <c r="I7" s="563"/>
      <c r="J7" s="563"/>
      <c r="K7" s="562"/>
      <c r="L7" s="562"/>
      <c r="M7" s="562"/>
    </row>
    <row r="8" spans="1:16" x14ac:dyDescent="0.25">
      <c r="A8" s="569"/>
      <c r="B8" s="509" t="s">
        <v>831</v>
      </c>
      <c r="C8" s="509">
        <v>100</v>
      </c>
      <c r="D8" s="568"/>
      <c r="E8" s="564"/>
      <c r="F8" s="564"/>
      <c r="G8" s="564"/>
      <c r="H8" s="563"/>
      <c r="I8" s="563"/>
      <c r="J8" s="563"/>
      <c r="K8" s="562"/>
      <c r="L8" s="562"/>
      <c r="M8" s="562"/>
    </row>
    <row r="9" spans="1:16" x14ac:dyDescent="0.25">
      <c r="A9" s="569" t="s">
        <v>852</v>
      </c>
      <c r="B9" s="509" t="s">
        <v>832</v>
      </c>
      <c r="C9" s="509">
        <v>0</v>
      </c>
      <c r="D9" s="568">
        <v>0.2</v>
      </c>
      <c r="E9" s="565" t="e">
        <f>#REF!</f>
        <v>#REF!</v>
      </c>
      <c r="F9" s="565" t="e">
        <f>#REF!</f>
        <v>#REF!</v>
      </c>
      <c r="G9" s="565" t="e">
        <f>#REF!</f>
        <v>#REF!</v>
      </c>
      <c r="H9" s="563"/>
      <c r="I9" s="563"/>
      <c r="J9" s="563"/>
      <c r="K9" s="562">
        <f>H9*D9</f>
        <v>0</v>
      </c>
      <c r="L9" s="562">
        <f>I9*D9</f>
        <v>0</v>
      </c>
      <c r="M9" s="562">
        <f>J9*D9</f>
        <v>0</v>
      </c>
    </row>
    <row r="10" spans="1:16" x14ac:dyDescent="0.25">
      <c r="A10" s="569"/>
      <c r="B10" s="509" t="s">
        <v>833</v>
      </c>
      <c r="C10" s="509">
        <v>25</v>
      </c>
      <c r="D10" s="568"/>
      <c r="E10" s="565"/>
      <c r="F10" s="565"/>
      <c r="G10" s="565"/>
      <c r="H10" s="563"/>
      <c r="I10" s="563"/>
      <c r="J10" s="563"/>
      <c r="K10" s="562"/>
      <c r="L10" s="562"/>
      <c r="M10" s="562"/>
    </row>
    <row r="11" spans="1:16" x14ac:dyDescent="0.25">
      <c r="A11" s="569"/>
      <c r="B11" s="509" t="s">
        <v>834</v>
      </c>
      <c r="C11" s="509">
        <v>50</v>
      </c>
      <c r="D11" s="568"/>
      <c r="E11" s="565"/>
      <c r="F11" s="565"/>
      <c r="G11" s="565"/>
      <c r="H11" s="563"/>
      <c r="I11" s="563"/>
      <c r="J11" s="563"/>
      <c r="K11" s="562"/>
      <c r="L11" s="562"/>
      <c r="M11" s="562"/>
    </row>
    <row r="12" spans="1:16" x14ac:dyDescent="0.25">
      <c r="A12" s="569"/>
      <c r="B12" s="509" t="s">
        <v>835</v>
      </c>
      <c r="C12" s="509">
        <v>80</v>
      </c>
      <c r="D12" s="568"/>
      <c r="E12" s="565"/>
      <c r="F12" s="565"/>
      <c r="G12" s="565"/>
      <c r="H12" s="563"/>
      <c r="I12" s="563"/>
      <c r="J12" s="563"/>
      <c r="K12" s="562"/>
      <c r="L12" s="562"/>
      <c r="M12" s="562"/>
    </row>
    <row r="13" spans="1:16" x14ac:dyDescent="0.25">
      <c r="A13" s="569"/>
      <c r="B13" s="509" t="s">
        <v>836</v>
      </c>
      <c r="C13" s="509">
        <v>100</v>
      </c>
      <c r="D13" s="568"/>
      <c r="E13" s="565"/>
      <c r="F13" s="565"/>
      <c r="G13" s="565"/>
      <c r="H13" s="563"/>
      <c r="I13" s="563"/>
      <c r="J13" s="563"/>
      <c r="K13" s="562"/>
      <c r="L13" s="562"/>
      <c r="M13" s="562"/>
    </row>
    <row r="14" spans="1:16" x14ac:dyDescent="0.25">
      <c r="A14" s="569" t="s">
        <v>853</v>
      </c>
      <c r="B14" s="509" t="s">
        <v>837</v>
      </c>
      <c r="C14" s="509">
        <v>0</v>
      </c>
      <c r="D14" s="568">
        <v>0.2</v>
      </c>
      <c r="E14" s="565" t="e">
        <f>#REF!</f>
        <v>#REF!</v>
      </c>
      <c r="F14" s="565" t="e">
        <f>#REF!</f>
        <v>#REF!</v>
      </c>
      <c r="G14" s="565" t="e">
        <f>#REF!</f>
        <v>#REF!</v>
      </c>
      <c r="H14" s="563"/>
      <c r="I14" s="563"/>
      <c r="J14" s="563"/>
      <c r="K14" s="562">
        <f>H14*D14</f>
        <v>0</v>
      </c>
      <c r="L14" s="562">
        <f>I14*D14</f>
        <v>0</v>
      </c>
      <c r="M14" s="562">
        <f>J14*D14</f>
        <v>0</v>
      </c>
    </row>
    <row r="15" spans="1:16" x14ac:dyDescent="0.25">
      <c r="A15" s="569"/>
      <c r="B15" s="509" t="s">
        <v>838</v>
      </c>
      <c r="C15" s="509">
        <v>25</v>
      </c>
      <c r="D15" s="568"/>
      <c r="E15" s="565"/>
      <c r="F15" s="565"/>
      <c r="G15" s="565"/>
      <c r="H15" s="563"/>
      <c r="I15" s="563"/>
      <c r="J15" s="563"/>
      <c r="K15" s="562"/>
      <c r="L15" s="562"/>
      <c r="M15" s="562"/>
    </row>
    <row r="16" spans="1:16" x14ac:dyDescent="0.25">
      <c r="A16" s="569"/>
      <c r="B16" s="509" t="s">
        <v>839</v>
      </c>
      <c r="C16" s="509">
        <v>75</v>
      </c>
      <c r="D16" s="568"/>
      <c r="E16" s="565"/>
      <c r="F16" s="565"/>
      <c r="G16" s="565"/>
      <c r="H16" s="563"/>
      <c r="I16" s="563"/>
      <c r="J16" s="563"/>
      <c r="K16" s="562"/>
      <c r="L16" s="562"/>
      <c r="M16" s="562"/>
    </row>
    <row r="17" spans="1:13" x14ac:dyDescent="0.25">
      <c r="A17" s="569"/>
      <c r="B17" s="509" t="s">
        <v>840</v>
      </c>
      <c r="C17" s="509">
        <v>100</v>
      </c>
      <c r="D17" s="568"/>
      <c r="E17" s="565"/>
      <c r="F17" s="565"/>
      <c r="G17" s="565"/>
      <c r="H17" s="563"/>
      <c r="I17" s="563"/>
      <c r="J17" s="563"/>
      <c r="K17" s="562"/>
      <c r="L17" s="562"/>
      <c r="M17" s="562"/>
    </row>
    <row r="18" spans="1:13" x14ac:dyDescent="0.25">
      <c r="A18" s="569"/>
      <c r="B18" s="509" t="s">
        <v>841</v>
      </c>
      <c r="C18" s="509">
        <v>95</v>
      </c>
      <c r="D18" s="568"/>
      <c r="E18" s="565"/>
      <c r="F18" s="565"/>
      <c r="G18" s="565"/>
      <c r="H18" s="563"/>
      <c r="I18" s="563"/>
      <c r="J18" s="563"/>
      <c r="K18" s="562"/>
      <c r="L18" s="562"/>
      <c r="M18" s="562"/>
    </row>
    <row r="19" spans="1:13" x14ac:dyDescent="0.25">
      <c r="A19" s="569"/>
      <c r="B19" s="509" t="s">
        <v>842</v>
      </c>
      <c r="C19" s="509">
        <v>85</v>
      </c>
      <c r="D19" s="568"/>
      <c r="E19" s="565"/>
      <c r="F19" s="565"/>
      <c r="G19" s="565"/>
      <c r="H19" s="563"/>
      <c r="I19" s="563"/>
      <c r="J19" s="563"/>
      <c r="K19" s="562"/>
      <c r="L19" s="562"/>
      <c r="M19" s="562"/>
    </row>
    <row r="20" spans="1:13" x14ac:dyDescent="0.25">
      <c r="A20" s="567" t="s">
        <v>843</v>
      </c>
      <c r="B20" s="509" t="s">
        <v>844</v>
      </c>
      <c r="C20" s="509">
        <v>0</v>
      </c>
      <c r="D20" s="568">
        <v>0.15</v>
      </c>
      <c r="E20" s="566" t="e">
        <f>#REF!/#REF!</f>
        <v>#REF!</v>
      </c>
      <c r="F20" s="566" t="e">
        <f>#REF!/#REF!</f>
        <v>#REF!</v>
      </c>
      <c r="G20" s="566" t="e">
        <f>#REF!/#REF!</f>
        <v>#REF!</v>
      </c>
      <c r="H20" s="563"/>
      <c r="I20" s="563"/>
      <c r="J20" s="563"/>
      <c r="K20" s="562">
        <f>H20*D20</f>
        <v>0</v>
      </c>
      <c r="L20" s="562">
        <f>I20*D20</f>
        <v>0</v>
      </c>
      <c r="M20" s="562">
        <f>J20*D20</f>
        <v>0</v>
      </c>
    </row>
    <row r="21" spans="1:13" x14ac:dyDescent="0.25">
      <c r="A21" s="567"/>
      <c r="B21" s="509" t="s">
        <v>845</v>
      </c>
      <c r="C21" s="509">
        <v>25</v>
      </c>
      <c r="D21" s="568"/>
      <c r="E21" s="566"/>
      <c r="F21" s="566"/>
      <c r="G21" s="566"/>
      <c r="H21" s="563"/>
      <c r="I21" s="563"/>
      <c r="J21" s="563"/>
      <c r="K21" s="562"/>
      <c r="L21" s="562"/>
      <c r="M21" s="562"/>
    </row>
    <row r="22" spans="1:13" x14ac:dyDescent="0.25">
      <c r="A22" s="567"/>
      <c r="B22" s="509" t="s">
        <v>846</v>
      </c>
      <c r="C22" s="509">
        <v>50</v>
      </c>
      <c r="D22" s="568"/>
      <c r="E22" s="566"/>
      <c r="F22" s="566"/>
      <c r="G22" s="566"/>
      <c r="H22" s="563"/>
      <c r="I22" s="563"/>
      <c r="J22" s="563"/>
      <c r="K22" s="562"/>
      <c r="L22" s="562"/>
      <c r="M22" s="562"/>
    </row>
    <row r="23" spans="1:13" x14ac:dyDescent="0.25">
      <c r="A23" s="567"/>
      <c r="B23" s="509" t="s">
        <v>847</v>
      </c>
      <c r="C23" s="509">
        <v>75</v>
      </c>
      <c r="D23" s="568"/>
      <c r="E23" s="566"/>
      <c r="F23" s="566"/>
      <c r="G23" s="566"/>
      <c r="H23" s="563"/>
      <c r="I23" s="563"/>
      <c r="J23" s="563"/>
      <c r="K23" s="562"/>
      <c r="L23" s="562"/>
      <c r="M23" s="562"/>
    </row>
    <row r="24" spans="1:13" x14ac:dyDescent="0.25">
      <c r="A24" s="567"/>
      <c r="B24" s="509" t="s">
        <v>848</v>
      </c>
      <c r="C24" s="509">
        <v>100</v>
      </c>
      <c r="D24" s="568"/>
      <c r="E24" s="566"/>
      <c r="F24" s="566"/>
      <c r="G24" s="566"/>
      <c r="H24" s="563"/>
      <c r="I24" s="563"/>
      <c r="J24" s="563"/>
      <c r="K24" s="562"/>
      <c r="L24" s="562"/>
      <c r="M24" s="562"/>
    </row>
    <row r="25" spans="1:13" x14ac:dyDescent="0.25">
      <c r="A25" s="567" t="s">
        <v>849</v>
      </c>
      <c r="B25" s="509" t="s">
        <v>844</v>
      </c>
      <c r="C25" s="509">
        <v>0</v>
      </c>
      <c r="D25" s="568">
        <v>0.15</v>
      </c>
      <c r="E25" s="566" t="e">
        <f>#REF!/#REF!</f>
        <v>#REF!</v>
      </c>
      <c r="F25" s="566" t="e">
        <f>#REF!/#REF!</f>
        <v>#REF!</v>
      </c>
      <c r="G25" s="566" t="e">
        <f>#REF!/#REF!</f>
        <v>#REF!</v>
      </c>
      <c r="H25" s="563"/>
      <c r="I25" s="563"/>
      <c r="J25" s="563"/>
      <c r="K25" s="562">
        <f>H25*D25</f>
        <v>0</v>
      </c>
      <c r="L25" s="562">
        <f>I25*D25</f>
        <v>0</v>
      </c>
      <c r="M25" s="562">
        <f>J25*D25</f>
        <v>0</v>
      </c>
    </row>
    <row r="26" spans="1:13" x14ac:dyDescent="0.25">
      <c r="A26" s="567"/>
      <c r="B26" s="509" t="s">
        <v>845</v>
      </c>
      <c r="C26" s="509">
        <v>25</v>
      </c>
      <c r="D26" s="568"/>
      <c r="E26" s="566"/>
      <c r="F26" s="566"/>
      <c r="G26" s="566"/>
      <c r="H26" s="563"/>
      <c r="I26" s="563"/>
      <c r="J26" s="563"/>
      <c r="K26" s="562"/>
      <c r="L26" s="562"/>
      <c r="M26" s="562"/>
    </row>
    <row r="27" spans="1:13" x14ac:dyDescent="0.25">
      <c r="A27" s="567"/>
      <c r="B27" s="509" t="s">
        <v>846</v>
      </c>
      <c r="C27" s="509">
        <v>50</v>
      </c>
      <c r="D27" s="568"/>
      <c r="E27" s="566"/>
      <c r="F27" s="566"/>
      <c r="G27" s="566"/>
      <c r="H27" s="563"/>
      <c r="I27" s="563"/>
      <c r="J27" s="563"/>
      <c r="K27" s="562"/>
      <c r="L27" s="562"/>
      <c r="M27" s="562"/>
    </row>
    <row r="28" spans="1:13" x14ac:dyDescent="0.25">
      <c r="A28" s="567"/>
      <c r="B28" s="509" t="s">
        <v>847</v>
      </c>
      <c r="C28" s="509">
        <v>75</v>
      </c>
      <c r="D28" s="568"/>
      <c r="E28" s="566"/>
      <c r="F28" s="566"/>
      <c r="G28" s="566"/>
      <c r="H28" s="563"/>
      <c r="I28" s="563"/>
      <c r="J28" s="563"/>
      <c r="K28" s="562"/>
      <c r="L28" s="562"/>
      <c r="M28" s="562"/>
    </row>
    <row r="29" spans="1:13" x14ac:dyDescent="0.25">
      <c r="A29" s="567"/>
      <c r="B29" s="509" t="s">
        <v>848</v>
      </c>
      <c r="C29" s="509">
        <v>100</v>
      </c>
      <c r="D29" s="568"/>
      <c r="E29" s="566"/>
      <c r="F29" s="566"/>
      <c r="G29" s="566"/>
      <c r="H29" s="563"/>
      <c r="I29" s="563"/>
      <c r="J29" s="563"/>
      <c r="K29" s="562"/>
      <c r="L29" s="562"/>
      <c r="M29" s="562"/>
    </row>
    <row r="30" spans="1:13" x14ac:dyDescent="0.25">
      <c r="A30" s="510" t="s">
        <v>867</v>
      </c>
      <c r="K30" s="510">
        <f>(K3+K9+K14+K20+K25)/D2</f>
        <v>0</v>
      </c>
      <c r="L30" s="510">
        <f>(L3+L9+L14+L20+L25)/D2</f>
        <v>0</v>
      </c>
      <c r="M30" s="510">
        <f>(M3+M9+M14+M20+M25)/D2</f>
        <v>0</v>
      </c>
    </row>
  </sheetData>
  <mergeCells count="55">
    <mergeCell ref="F3:F8"/>
    <mergeCell ref="F9:F13"/>
    <mergeCell ref="A20:A24"/>
    <mergeCell ref="D20:D24"/>
    <mergeCell ref="A25:A29"/>
    <mergeCell ref="D25:D29"/>
    <mergeCell ref="A3:A8"/>
    <mergeCell ref="A9:A13"/>
    <mergeCell ref="A14:A19"/>
    <mergeCell ref="D3:D8"/>
    <mergeCell ref="D9:D13"/>
    <mergeCell ref="D14:D19"/>
    <mergeCell ref="E3:E8"/>
    <mergeCell ref="E9:E13"/>
    <mergeCell ref="E14:E19"/>
    <mergeCell ref="E20:E24"/>
    <mergeCell ref="E25:E29"/>
    <mergeCell ref="F14:F19"/>
    <mergeCell ref="G14:G19"/>
    <mergeCell ref="F20:F24"/>
    <mergeCell ref="G20:G24"/>
    <mergeCell ref="F25:F29"/>
    <mergeCell ref="G25:G29"/>
    <mergeCell ref="G3:G8"/>
    <mergeCell ref="H3:H8"/>
    <mergeCell ref="I3:I8"/>
    <mergeCell ref="J3:J8"/>
    <mergeCell ref="H9:H13"/>
    <mergeCell ref="I9:I13"/>
    <mergeCell ref="J9:J13"/>
    <mergeCell ref="G9:G13"/>
    <mergeCell ref="H14:H19"/>
    <mergeCell ref="H20:H24"/>
    <mergeCell ref="H25:H29"/>
    <mergeCell ref="I14:I19"/>
    <mergeCell ref="J14:J19"/>
    <mergeCell ref="I20:I24"/>
    <mergeCell ref="J20:J24"/>
    <mergeCell ref="I25:I29"/>
    <mergeCell ref="J25:J29"/>
    <mergeCell ref="K3:K8"/>
    <mergeCell ref="K9:K13"/>
    <mergeCell ref="K14:K19"/>
    <mergeCell ref="K20:K24"/>
    <mergeCell ref="K25:K29"/>
    <mergeCell ref="M25:M29"/>
    <mergeCell ref="M3:M8"/>
    <mergeCell ref="L9:L13"/>
    <mergeCell ref="M9:M13"/>
    <mergeCell ref="L14:L19"/>
    <mergeCell ref="M14:M19"/>
    <mergeCell ref="L20:L24"/>
    <mergeCell ref="M20:M24"/>
    <mergeCell ref="L3:L8"/>
    <mergeCell ref="L25:L2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rgb="FFFF0000"/>
    <pageSetUpPr fitToPage="1"/>
  </sheetPr>
  <dimension ref="A1:O25"/>
  <sheetViews>
    <sheetView tabSelected="1" workbookViewId="0">
      <selection activeCell="G1" sqref="G1"/>
    </sheetView>
  </sheetViews>
  <sheetFormatPr defaultRowHeight="15" x14ac:dyDescent="0.25"/>
  <cols>
    <col min="1" max="1" width="25" style="510" customWidth="1"/>
    <col min="2" max="2" width="27.85546875" style="510" customWidth="1"/>
    <col min="3" max="3" width="27" style="510" customWidth="1"/>
    <col min="4" max="4" width="9.140625" style="510"/>
    <col min="5" max="5" width="0" style="510" hidden="1" customWidth="1"/>
    <col min="6" max="6" width="25.42578125" style="520" customWidth="1"/>
    <col min="7" max="7" width="7" style="587" customWidth="1"/>
    <col min="8" max="9" width="19.5703125" style="520" customWidth="1"/>
    <col min="10" max="10" width="18.7109375" style="520" customWidth="1"/>
    <col min="11" max="11" width="20.140625" style="520" customWidth="1"/>
    <col min="12" max="13" width="19" style="510" customWidth="1"/>
    <col min="14" max="16384" width="9.140625" style="510"/>
  </cols>
  <sheetData>
    <row r="1" spans="1:15" ht="37.5" customHeight="1" x14ac:dyDescent="0.25">
      <c r="A1" s="526" t="s">
        <v>880</v>
      </c>
      <c r="B1" s="527" t="s">
        <v>881</v>
      </c>
      <c r="C1" s="527" t="s">
        <v>882</v>
      </c>
      <c r="F1" s="594"/>
      <c r="G1" s="591"/>
      <c r="H1" s="594"/>
      <c r="I1" s="591"/>
      <c r="J1" s="594"/>
      <c r="K1" s="594"/>
      <c r="L1" s="594"/>
      <c r="M1" s="594"/>
      <c r="N1" s="593"/>
      <c r="O1" s="593"/>
    </row>
    <row r="2" spans="1:15" x14ac:dyDescent="0.25">
      <c r="A2" s="599"/>
      <c r="B2" s="602"/>
      <c r="C2" s="527"/>
      <c r="F2" s="594"/>
      <c r="G2" s="591"/>
      <c r="H2" s="594"/>
      <c r="I2" s="591"/>
      <c r="J2" s="594"/>
      <c r="K2" s="594"/>
      <c r="L2" s="594"/>
      <c r="M2" s="594"/>
      <c r="N2" s="593"/>
      <c r="O2" s="593"/>
    </row>
    <row r="3" spans="1:15" ht="45" x14ac:dyDescent="0.25">
      <c r="A3" s="606" t="s">
        <v>902</v>
      </c>
      <c r="B3" s="606" t="s">
        <v>903</v>
      </c>
      <c r="F3" s="594"/>
      <c r="G3" s="591"/>
      <c r="H3" s="594"/>
      <c r="I3" s="591"/>
      <c r="J3" s="594"/>
      <c r="K3" s="594"/>
      <c r="L3" s="594"/>
      <c r="M3" s="594"/>
      <c r="N3" s="593"/>
      <c r="O3" s="593"/>
    </row>
    <row r="4" spans="1:15" x14ac:dyDescent="0.25">
      <c r="F4" s="594"/>
      <c r="G4" s="591"/>
      <c r="H4" s="594"/>
      <c r="I4" s="591"/>
      <c r="J4" s="594"/>
      <c r="K4" s="594"/>
      <c r="L4" s="594"/>
      <c r="M4" s="594"/>
      <c r="N4" s="593"/>
      <c r="O4" s="593"/>
    </row>
    <row r="5" spans="1:15" x14ac:dyDescent="0.25">
      <c r="F5" s="592"/>
      <c r="G5" s="592"/>
      <c r="H5" s="592"/>
      <c r="I5" s="592"/>
      <c r="J5" s="592"/>
      <c r="K5" s="592"/>
      <c r="L5" s="592"/>
      <c r="M5" s="592"/>
      <c r="N5" s="593"/>
      <c r="O5" s="593"/>
    </row>
    <row r="6" spans="1:15" x14ac:dyDescent="0.25">
      <c r="F6" s="592"/>
      <c r="G6" s="592"/>
      <c r="H6" s="592"/>
      <c r="I6" s="592"/>
      <c r="J6" s="592"/>
      <c r="K6" s="592"/>
      <c r="L6" s="592"/>
      <c r="M6" s="592"/>
      <c r="N6" s="593"/>
      <c r="O6" s="593"/>
    </row>
    <row r="7" spans="1:15" ht="14.25" customHeight="1" x14ac:dyDescent="0.25">
      <c r="F7" s="521" t="s">
        <v>874</v>
      </c>
      <c r="G7" s="583"/>
      <c r="H7" s="521"/>
      <c r="I7" s="521"/>
      <c r="J7" s="519"/>
      <c r="K7" s="519"/>
    </row>
    <row r="8" spans="1:15" ht="27" customHeight="1" x14ac:dyDescent="0.25">
      <c r="A8" s="533" t="str">
        <f>F8</f>
        <v>Классификация</v>
      </c>
      <c r="B8" s="533" t="str">
        <f>H8</f>
        <v xml:space="preserve">Размер расчетного резерва </v>
      </c>
      <c r="F8" s="522" t="s">
        <v>875</v>
      </c>
      <c r="G8" s="584"/>
      <c r="H8" s="522" t="s">
        <v>876</v>
      </c>
      <c r="I8" s="588"/>
      <c r="J8" s="523"/>
      <c r="K8" s="519"/>
    </row>
    <row r="9" spans="1:15" ht="15.75" x14ac:dyDescent="0.25">
      <c r="A9" s="605"/>
      <c r="B9" s="508"/>
      <c r="F9" s="524" t="s">
        <v>869</v>
      </c>
      <c r="G9" s="584"/>
      <c r="H9" s="524">
        <v>0</v>
      </c>
      <c r="I9" s="589"/>
      <c r="J9" s="519"/>
      <c r="K9" s="519"/>
    </row>
    <row r="10" spans="1:15" ht="60" x14ac:dyDescent="0.25">
      <c r="A10" s="606" t="s">
        <v>904</v>
      </c>
      <c r="B10" s="606" t="s">
        <v>905</v>
      </c>
      <c r="F10" s="524" t="s">
        <v>870</v>
      </c>
      <c r="G10" s="584"/>
      <c r="H10" s="524" t="s">
        <v>877</v>
      </c>
      <c r="I10" s="589"/>
      <c r="J10" s="519"/>
      <c r="K10" s="519"/>
    </row>
    <row r="11" spans="1:15" ht="15.75" x14ac:dyDescent="0.25">
      <c r="F11" s="524" t="s">
        <v>871</v>
      </c>
      <c r="G11" s="584"/>
      <c r="H11" s="524" t="s">
        <v>878</v>
      </c>
      <c r="I11" s="589"/>
      <c r="J11" s="519"/>
      <c r="K11" s="519"/>
    </row>
    <row r="12" spans="1:15" ht="15.75" x14ac:dyDescent="0.25">
      <c r="F12" s="524" t="s">
        <v>872</v>
      </c>
      <c r="G12" s="584"/>
      <c r="H12" s="524" t="s">
        <v>879</v>
      </c>
      <c r="I12" s="589"/>
      <c r="J12" s="519"/>
      <c r="K12" s="519"/>
    </row>
    <row r="13" spans="1:15" ht="15.75" x14ac:dyDescent="0.25">
      <c r="F13" s="524" t="s">
        <v>873</v>
      </c>
      <c r="G13" s="584"/>
      <c r="H13" s="525">
        <v>1</v>
      </c>
      <c r="I13" s="590"/>
      <c r="J13" s="519"/>
      <c r="K13" s="519"/>
    </row>
    <row r="14" spans="1:15" ht="37.5" customHeight="1" x14ac:dyDescent="0.25">
      <c r="F14" s="528" t="s">
        <v>892</v>
      </c>
      <c r="G14" s="582"/>
      <c r="H14" s="530" t="s">
        <v>893</v>
      </c>
      <c r="I14" s="534"/>
      <c r="J14" s="528" t="s">
        <v>894</v>
      </c>
      <c r="K14" s="528" t="s">
        <v>895</v>
      </c>
      <c r="L14" s="528" t="s">
        <v>896</v>
      </c>
      <c r="M14" s="528" t="s">
        <v>897</v>
      </c>
    </row>
    <row r="15" spans="1:15" ht="31.5" customHeight="1" x14ac:dyDescent="0.25">
      <c r="F15" s="532" t="s">
        <v>868</v>
      </c>
      <c r="G15" s="585"/>
      <c r="H15" s="524" t="s">
        <v>884</v>
      </c>
      <c r="I15" s="529" t="s">
        <v>885</v>
      </c>
      <c r="J15" s="529" t="s">
        <v>885</v>
      </c>
      <c r="K15" s="529" t="s">
        <v>899</v>
      </c>
      <c r="L15" s="529" t="s">
        <v>887</v>
      </c>
      <c r="M15" s="529" t="s">
        <v>890</v>
      </c>
    </row>
    <row r="16" spans="1:15" ht="31.5" customHeight="1" x14ac:dyDescent="0.25">
      <c r="F16" s="528" t="s">
        <v>858</v>
      </c>
      <c r="G16" s="584"/>
      <c r="H16" s="524" t="s">
        <v>885</v>
      </c>
      <c r="I16" s="529" t="s">
        <v>886</v>
      </c>
      <c r="J16" s="524" t="s">
        <v>886</v>
      </c>
      <c r="K16" s="524" t="s">
        <v>900</v>
      </c>
      <c r="L16" s="524" t="s">
        <v>888</v>
      </c>
      <c r="M16" s="529" t="s">
        <v>901</v>
      </c>
    </row>
    <row r="17" spans="6:13" ht="31.5" customHeight="1" x14ac:dyDescent="0.25">
      <c r="F17" s="528" t="s">
        <v>859</v>
      </c>
      <c r="G17" s="584"/>
      <c r="H17" s="524" t="s">
        <v>887</v>
      </c>
      <c r="I17" s="529" t="s">
        <v>898</v>
      </c>
      <c r="J17" s="524" t="s">
        <v>898</v>
      </c>
      <c r="K17" s="524" t="s">
        <v>889</v>
      </c>
      <c r="L17" s="524" t="s">
        <v>901</v>
      </c>
      <c r="M17" s="529" t="s">
        <v>883</v>
      </c>
    </row>
    <row r="18" spans="6:13" x14ac:dyDescent="0.25">
      <c r="F18" s="595"/>
      <c r="G18" s="596"/>
      <c r="H18" s="603">
        <v>0</v>
      </c>
      <c r="I18" s="604">
        <v>1</v>
      </c>
      <c r="J18" s="604">
        <v>2</v>
      </c>
      <c r="K18" s="604">
        <v>3</v>
      </c>
      <c r="L18" s="604">
        <v>4</v>
      </c>
      <c r="M18" s="604">
        <v>5</v>
      </c>
    </row>
    <row r="19" spans="6:13" x14ac:dyDescent="0.25">
      <c r="F19" s="600" t="s">
        <v>868</v>
      </c>
      <c r="G19" s="597">
        <v>1</v>
      </c>
      <c r="H19" s="508">
        <v>0</v>
      </c>
      <c r="I19" s="508">
        <v>1</v>
      </c>
      <c r="J19" s="508">
        <v>1</v>
      </c>
      <c r="K19" s="508">
        <v>5</v>
      </c>
      <c r="L19" s="508">
        <v>21</v>
      </c>
      <c r="M19" s="508">
        <v>51</v>
      </c>
    </row>
    <row r="20" spans="6:13" x14ac:dyDescent="0.25">
      <c r="F20" s="601" t="s">
        <v>858</v>
      </c>
      <c r="G20" s="597">
        <v>2</v>
      </c>
      <c r="H20" s="508">
        <v>1</v>
      </c>
      <c r="I20" s="508">
        <v>3</v>
      </c>
      <c r="J20" s="508">
        <v>3</v>
      </c>
      <c r="K20" s="508">
        <v>10</v>
      </c>
      <c r="L20" s="508">
        <v>30</v>
      </c>
      <c r="M20" s="508">
        <v>75</v>
      </c>
    </row>
    <row r="21" spans="6:13" x14ac:dyDescent="0.25">
      <c r="F21" s="601" t="s">
        <v>859</v>
      </c>
      <c r="G21" s="597">
        <v>3</v>
      </c>
      <c r="H21" s="508">
        <v>21</v>
      </c>
      <c r="I21" s="508">
        <v>24</v>
      </c>
      <c r="J21" s="508">
        <v>24</v>
      </c>
      <c r="K21" s="508">
        <v>50</v>
      </c>
      <c r="L21" s="508">
        <v>75</v>
      </c>
      <c r="M21" s="508">
        <v>100</v>
      </c>
    </row>
    <row r="22" spans="6:13" x14ac:dyDescent="0.25">
      <c r="F22" s="528"/>
      <c r="G22" s="586"/>
      <c r="H22" s="531">
        <v>1</v>
      </c>
      <c r="I22" s="531">
        <v>2</v>
      </c>
      <c r="J22" s="531">
        <v>2</v>
      </c>
      <c r="K22" s="531">
        <v>3</v>
      </c>
      <c r="L22" s="531">
        <v>4</v>
      </c>
      <c r="M22" s="531">
        <v>5</v>
      </c>
    </row>
    <row r="23" spans="6:13" x14ac:dyDescent="0.25">
      <c r="F23" s="532" t="s">
        <v>868</v>
      </c>
      <c r="G23" s="585"/>
      <c r="H23" s="598" t="s">
        <v>869</v>
      </c>
      <c r="I23" s="598" t="s">
        <v>870</v>
      </c>
      <c r="J23" s="598" t="s">
        <v>870</v>
      </c>
      <c r="K23" s="598" t="s">
        <v>870</v>
      </c>
      <c r="L23" s="598" t="s">
        <v>871</v>
      </c>
      <c r="M23" s="598" t="s">
        <v>872</v>
      </c>
    </row>
    <row r="24" spans="6:13" x14ac:dyDescent="0.25">
      <c r="F24" s="528" t="s">
        <v>858</v>
      </c>
      <c r="G24" s="584"/>
      <c r="H24" s="598" t="s">
        <v>870</v>
      </c>
      <c r="I24" s="598" t="s">
        <v>870</v>
      </c>
      <c r="J24" s="598" t="s">
        <v>870</v>
      </c>
      <c r="K24" s="598" t="s">
        <v>870</v>
      </c>
      <c r="L24" s="598" t="s">
        <v>871</v>
      </c>
      <c r="M24" s="598" t="s">
        <v>872</v>
      </c>
    </row>
    <row r="25" spans="6:13" x14ac:dyDescent="0.25">
      <c r="F25" s="528" t="s">
        <v>859</v>
      </c>
      <c r="G25" s="584"/>
      <c r="H25" s="598" t="s">
        <v>871</v>
      </c>
      <c r="I25" s="598" t="s">
        <v>871</v>
      </c>
      <c r="J25" s="598" t="s">
        <v>871</v>
      </c>
      <c r="K25" s="598" t="s">
        <v>871</v>
      </c>
      <c r="L25" s="598" t="s">
        <v>872</v>
      </c>
      <c r="M25" s="598" t="s">
        <v>873</v>
      </c>
    </row>
  </sheetData>
  <pageMargins left="0.7" right="0.7" top="0.75" bottom="0.75" header="0.3" footer="0.3"/>
  <pageSetup paperSize="9" scale="55" fitToHeight="0" orientation="landscape" horizontalDpi="4294967295"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dimension ref="B4:L10"/>
  <sheetViews>
    <sheetView workbookViewId="0">
      <selection activeCell="B11" sqref="B11"/>
    </sheetView>
  </sheetViews>
  <sheetFormatPr defaultRowHeight="15" x14ac:dyDescent="0.25"/>
  <sheetData>
    <row r="4" spans="2:12" x14ac:dyDescent="0.25">
      <c r="C4">
        <f>Итог!H18</f>
        <v>0</v>
      </c>
      <c r="D4">
        <f>Итог!J18</f>
        <v>2</v>
      </c>
      <c r="E4">
        <f>Итог!K18</f>
        <v>3</v>
      </c>
      <c r="F4">
        <f>Итог!L18</f>
        <v>4</v>
      </c>
      <c r="G4">
        <f>Итог!M18</f>
        <v>5</v>
      </c>
      <c r="H4" t="e">
        <f>Итог!#REF!</f>
        <v>#REF!</v>
      </c>
      <c r="I4" t="e">
        <f>Итог!#REF!</f>
        <v>#REF!</v>
      </c>
      <c r="J4" t="e">
        <f>Итог!#REF!</f>
        <v>#REF!</v>
      </c>
      <c r="K4" t="e">
        <f>Итог!#REF!</f>
        <v>#REF!</v>
      </c>
      <c r="L4" t="e">
        <f>Итог!#REF!</f>
        <v>#REF!</v>
      </c>
    </row>
    <row r="5" spans="2:12" x14ac:dyDescent="0.25">
      <c r="B5" t="str">
        <f>Итог!F19</f>
        <v xml:space="preserve">Хорошее  </v>
      </c>
      <c r="C5">
        <f>Итог!H19</f>
        <v>0</v>
      </c>
      <c r="D5">
        <f>Итог!J19</f>
        <v>1</v>
      </c>
      <c r="E5">
        <f>Итог!K19</f>
        <v>5</v>
      </c>
      <c r="F5">
        <f>Итог!L19</f>
        <v>21</v>
      </c>
      <c r="G5">
        <f>Итог!M19</f>
        <v>51</v>
      </c>
      <c r="H5" t="e">
        <f>Итог!#REF!</f>
        <v>#REF!</v>
      </c>
      <c r="I5" t="e">
        <f>Итог!#REF!</f>
        <v>#REF!</v>
      </c>
      <c r="J5" t="e">
        <f>Итог!#REF!</f>
        <v>#REF!</v>
      </c>
      <c r="K5" t="e">
        <f>Итог!#REF!</f>
        <v>#REF!</v>
      </c>
      <c r="L5" t="e">
        <f>Итог!#REF!</f>
        <v>#REF!</v>
      </c>
    </row>
    <row r="6" spans="2:12" x14ac:dyDescent="0.25">
      <c r="B6" t="str">
        <f>Итог!F20</f>
        <v>Среднее</v>
      </c>
      <c r="C6">
        <f>Итог!H20</f>
        <v>1</v>
      </c>
      <c r="D6">
        <f>Итог!J20</f>
        <v>3</v>
      </c>
      <c r="E6">
        <f>Итог!K20</f>
        <v>10</v>
      </c>
      <c r="F6">
        <f>Итог!L20</f>
        <v>30</v>
      </c>
      <c r="G6">
        <f>Итог!M20</f>
        <v>75</v>
      </c>
      <c r="H6" t="e">
        <f>Итог!#REF!</f>
        <v>#REF!</v>
      </c>
      <c r="I6" t="e">
        <f>Итог!#REF!</f>
        <v>#REF!</v>
      </c>
      <c r="J6" t="e">
        <f>Итог!#REF!</f>
        <v>#REF!</v>
      </c>
      <c r="K6" t="e">
        <f>Итог!#REF!</f>
        <v>#REF!</v>
      </c>
      <c r="L6" t="e">
        <f>Итог!#REF!</f>
        <v>#REF!</v>
      </c>
    </row>
    <row r="7" spans="2:12" x14ac:dyDescent="0.25">
      <c r="B7" t="str">
        <f>Итог!F21</f>
        <v>Плохое</v>
      </c>
      <c r="C7">
        <f>Итог!H21</f>
        <v>21</v>
      </c>
      <c r="D7">
        <f>Итог!J21</f>
        <v>24</v>
      </c>
      <c r="E7">
        <f>Итог!K21</f>
        <v>50</v>
      </c>
      <c r="F7">
        <f>Итог!L21</f>
        <v>75</v>
      </c>
      <c r="G7">
        <f>Итог!M21</f>
        <v>100</v>
      </c>
      <c r="H7" t="e">
        <f>Итог!#REF!</f>
        <v>#REF!</v>
      </c>
      <c r="I7" t="e">
        <f>Итог!#REF!</f>
        <v>#REF!</v>
      </c>
      <c r="J7" t="e">
        <f>Итог!#REF!</f>
        <v>#REF!</v>
      </c>
      <c r="K7" t="e">
        <f>Итог!#REF!</f>
        <v>#REF!</v>
      </c>
      <c r="L7" t="e">
        <f>Итог!#REF!</f>
        <v>#REF!</v>
      </c>
    </row>
    <row r="10" spans="2:12" x14ac:dyDescent="0.25">
      <c r="B10" t="s">
        <v>891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D84"/>
  <sheetViews>
    <sheetView topLeftCell="A70" workbookViewId="0">
      <selection activeCell="G6" sqref="G6:H6"/>
    </sheetView>
  </sheetViews>
  <sheetFormatPr defaultRowHeight="15" x14ac:dyDescent="0.25"/>
  <cols>
    <col min="1" max="1" width="1.7109375" style="1" customWidth="1"/>
    <col min="2" max="2" width="43.28515625" style="1" customWidth="1"/>
    <col min="3" max="3" width="34.42578125" style="1" customWidth="1"/>
    <col min="4" max="4" width="28" style="1" customWidth="1"/>
    <col min="5" max="5" width="1.7109375" style="1" customWidth="1"/>
    <col min="6" max="16384" width="9.140625" style="1"/>
  </cols>
  <sheetData>
    <row r="1" spans="1:4" s="3" customFormat="1" ht="18.75" x14ac:dyDescent="0.3">
      <c r="A1" s="3" t="s">
        <v>162</v>
      </c>
    </row>
    <row r="3" spans="1:4" x14ac:dyDescent="0.25">
      <c r="B3" s="4" t="s">
        <v>16</v>
      </c>
      <c r="C3" s="4" t="s">
        <v>163</v>
      </c>
      <c r="D3" s="4" t="s">
        <v>164</v>
      </c>
    </row>
    <row r="4" spans="1:4" s="233" customFormat="1" ht="15.75" x14ac:dyDescent="0.25">
      <c r="B4" s="234" t="s">
        <v>252</v>
      </c>
      <c r="C4" s="235"/>
      <c r="D4" s="236"/>
    </row>
    <row r="5" spans="1:4" ht="24" x14ac:dyDescent="0.25">
      <c r="B5" s="104" t="s">
        <v>223</v>
      </c>
      <c r="C5" s="231" t="s">
        <v>253</v>
      </c>
      <c r="D5" s="232" t="s">
        <v>224</v>
      </c>
    </row>
    <row r="6" spans="1:4" ht="30" x14ac:dyDescent="0.25">
      <c r="B6" s="104" t="s">
        <v>254</v>
      </c>
      <c r="C6" s="231" t="s">
        <v>255</v>
      </c>
      <c r="D6" s="232" t="s">
        <v>240</v>
      </c>
    </row>
    <row r="7" spans="1:4" ht="24" x14ac:dyDescent="0.25">
      <c r="B7" s="104" t="s">
        <v>227</v>
      </c>
      <c r="C7" s="231" t="s">
        <v>256</v>
      </c>
      <c r="D7" s="232" t="s">
        <v>228</v>
      </c>
    </row>
    <row r="8" spans="1:4" x14ac:dyDescent="0.25">
      <c r="B8" s="104" t="s">
        <v>245</v>
      </c>
      <c r="C8" s="231" t="s">
        <v>257</v>
      </c>
      <c r="D8" s="232" t="s">
        <v>246</v>
      </c>
    </row>
    <row r="9" spans="1:4" ht="30" x14ac:dyDescent="0.25">
      <c r="B9" s="104" t="s">
        <v>248</v>
      </c>
      <c r="C9" s="231" t="s">
        <v>258</v>
      </c>
      <c r="D9" s="232" t="s">
        <v>249</v>
      </c>
    </row>
    <row r="10" spans="1:4" x14ac:dyDescent="0.25">
      <c r="B10" s="104" t="s">
        <v>251</v>
      </c>
      <c r="C10" s="231" t="s">
        <v>259</v>
      </c>
      <c r="D10" s="232" t="s">
        <v>193</v>
      </c>
    </row>
    <row r="11" spans="1:4" s="233" customFormat="1" ht="15.75" x14ac:dyDescent="0.25">
      <c r="B11" s="285" t="s">
        <v>364</v>
      </c>
      <c r="C11" s="286"/>
      <c r="D11" s="286"/>
    </row>
    <row r="12" spans="1:4" ht="45" x14ac:dyDescent="0.25">
      <c r="B12" s="104" t="s">
        <v>272</v>
      </c>
      <c r="C12" s="232" t="s">
        <v>273</v>
      </c>
      <c r="D12" s="232" t="s">
        <v>274</v>
      </c>
    </row>
    <row r="13" spans="1:4" ht="45" x14ac:dyDescent="0.25">
      <c r="B13" s="104" t="s">
        <v>277</v>
      </c>
      <c r="C13" s="232" t="s">
        <v>276</v>
      </c>
      <c r="D13" s="232" t="s">
        <v>275</v>
      </c>
    </row>
    <row r="14" spans="1:4" ht="45" x14ac:dyDescent="0.25">
      <c r="B14" s="104" t="s">
        <v>278</v>
      </c>
      <c r="C14" s="232" t="s">
        <v>279</v>
      </c>
      <c r="D14" s="232" t="s">
        <v>280</v>
      </c>
    </row>
    <row r="15" spans="1:4" ht="30" x14ac:dyDescent="0.25">
      <c r="B15" s="104" t="s">
        <v>282</v>
      </c>
      <c r="C15" s="232" t="s">
        <v>283</v>
      </c>
      <c r="D15" s="232"/>
    </row>
    <row r="16" spans="1:4" ht="30" x14ac:dyDescent="0.25">
      <c r="B16" s="104" t="s">
        <v>288</v>
      </c>
      <c r="C16" s="232" t="s">
        <v>289</v>
      </c>
      <c r="D16" s="232"/>
    </row>
    <row r="17" spans="2:4" ht="30" x14ac:dyDescent="0.25">
      <c r="B17" s="104" t="s">
        <v>290</v>
      </c>
      <c r="C17" s="232" t="s">
        <v>292</v>
      </c>
      <c r="D17" s="232" t="s">
        <v>291</v>
      </c>
    </row>
    <row r="18" spans="2:4" x14ac:dyDescent="0.25">
      <c r="B18" s="104" t="s">
        <v>191</v>
      </c>
      <c r="C18" s="232" t="s">
        <v>167</v>
      </c>
      <c r="D18" s="232" t="s">
        <v>168</v>
      </c>
    </row>
    <row r="19" spans="2:4" ht="30" x14ac:dyDescent="0.25">
      <c r="B19" s="104" t="s">
        <v>270</v>
      </c>
      <c r="C19" s="232" t="s">
        <v>264</v>
      </c>
      <c r="D19" s="232" t="s">
        <v>194</v>
      </c>
    </row>
    <row r="20" spans="2:4" ht="45" x14ac:dyDescent="0.25">
      <c r="B20" s="104" t="s">
        <v>295</v>
      </c>
      <c r="C20" s="232" t="s">
        <v>296</v>
      </c>
      <c r="D20" s="232" t="s">
        <v>297</v>
      </c>
    </row>
    <row r="21" spans="2:4" ht="30" x14ac:dyDescent="0.25">
      <c r="B21" s="104" t="s">
        <v>192</v>
      </c>
      <c r="C21" s="232" t="s">
        <v>298</v>
      </c>
      <c r="D21" s="232" t="s">
        <v>193</v>
      </c>
    </row>
    <row r="22" spans="2:4" s="233" customFormat="1" ht="15.75" x14ac:dyDescent="0.25">
      <c r="B22" s="285" t="s">
        <v>320</v>
      </c>
      <c r="C22" s="286"/>
      <c r="D22" s="286"/>
    </row>
    <row r="23" spans="2:4" x14ac:dyDescent="0.25">
      <c r="B23" s="104" t="s">
        <v>263</v>
      </c>
      <c r="C23" s="232" t="s">
        <v>321</v>
      </c>
      <c r="D23" s="232" t="s">
        <v>280</v>
      </c>
    </row>
    <row r="24" spans="2:4" ht="45" x14ac:dyDescent="0.25">
      <c r="B24" s="104" t="s">
        <v>265</v>
      </c>
      <c r="C24" s="232" t="s">
        <v>322</v>
      </c>
      <c r="D24" s="232"/>
    </row>
    <row r="25" spans="2:4" ht="30" x14ac:dyDescent="0.25">
      <c r="B25" s="104" t="s">
        <v>319</v>
      </c>
      <c r="C25" s="232" t="s">
        <v>323</v>
      </c>
      <c r="D25" s="232" t="s">
        <v>190</v>
      </c>
    </row>
    <row r="26" spans="2:4" ht="45" x14ac:dyDescent="0.25">
      <c r="B26" s="104" t="s">
        <v>231</v>
      </c>
      <c r="C26" s="232" t="s">
        <v>324</v>
      </c>
      <c r="D26" s="232" t="s">
        <v>188</v>
      </c>
    </row>
    <row r="27" spans="2:4" ht="15.75" x14ac:dyDescent="0.25">
      <c r="B27" s="285" t="s">
        <v>325</v>
      </c>
      <c r="C27" s="286"/>
      <c r="D27" s="286"/>
    </row>
    <row r="28" spans="2:4" ht="30" x14ac:dyDescent="0.25">
      <c r="B28" s="104" t="s">
        <v>326</v>
      </c>
      <c r="C28" s="232" t="s">
        <v>328</v>
      </c>
      <c r="D28" s="232" t="s">
        <v>246</v>
      </c>
    </row>
    <row r="29" spans="2:4" ht="30" x14ac:dyDescent="0.25">
      <c r="B29" s="104" t="s">
        <v>326</v>
      </c>
      <c r="C29" s="232" t="s">
        <v>327</v>
      </c>
      <c r="D29" s="232" t="s">
        <v>291</v>
      </c>
    </row>
    <row r="30" spans="2:4" ht="30" x14ac:dyDescent="0.25">
      <c r="B30" s="104" t="s">
        <v>330</v>
      </c>
      <c r="C30" s="232" t="s">
        <v>331</v>
      </c>
      <c r="D30" s="232" t="s">
        <v>335</v>
      </c>
    </row>
    <row r="31" spans="2:4" ht="30" x14ac:dyDescent="0.25">
      <c r="B31" s="104" t="s">
        <v>332</v>
      </c>
      <c r="C31" s="232" t="s">
        <v>333</v>
      </c>
      <c r="D31" s="232" t="s">
        <v>334</v>
      </c>
    </row>
    <row r="32" spans="2:4" x14ac:dyDescent="0.25">
      <c r="B32" s="104" t="s">
        <v>394</v>
      </c>
      <c r="C32" s="232" t="s">
        <v>400</v>
      </c>
      <c r="D32" s="232"/>
    </row>
    <row r="33" spans="2:4" ht="30" x14ac:dyDescent="0.25">
      <c r="B33" s="104" t="s">
        <v>395</v>
      </c>
      <c r="C33" s="232" t="s">
        <v>396</v>
      </c>
      <c r="D33" s="232" t="s">
        <v>249</v>
      </c>
    </row>
    <row r="34" spans="2:4" ht="45" x14ac:dyDescent="0.25">
      <c r="B34" s="104" t="s">
        <v>397</v>
      </c>
      <c r="C34" s="232" t="s">
        <v>398</v>
      </c>
      <c r="D34" s="232"/>
    </row>
    <row r="35" spans="2:4" ht="15.75" x14ac:dyDescent="0.25">
      <c r="B35" s="285" t="s">
        <v>349</v>
      </c>
      <c r="C35" s="286"/>
      <c r="D35" s="286"/>
    </row>
    <row r="36" spans="2:4" ht="30" x14ac:dyDescent="0.25">
      <c r="B36" s="104" t="s">
        <v>261</v>
      </c>
      <c r="C36" s="232" t="s">
        <v>350</v>
      </c>
      <c r="D36" s="232" t="s">
        <v>360</v>
      </c>
    </row>
    <row r="37" spans="2:4" ht="30" x14ac:dyDescent="0.25">
      <c r="B37" s="104" t="s">
        <v>351</v>
      </c>
      <c r="C37" s="232" t="s">
        <v>353</v>
      </c>
      <c r="D37" s="232" t="s">
        <v>352</v>
      </c>
    </row>
    <row r="38" spans="2:4" ht="45" x14ac:dyDescent="0.25">
      <c r="B38" s="104" t="s">
        <v>354</v>
      </c>
      <c r="C38" s="232" t="s">
        <v>355</v>
      </c>
      <c r="D38" s="232" t="s">
        <v>194</v>
      </c>
    </row>
    <row r="39" spans="2:4" ht="45" x14ac:dyDescent="0.25">
      <c r="B39" s="104" t="s">
        <v>356</v>
      </c>
      <c r="C39" s="232" t="s">
        <v>358</v>
      </c>
      <c r="D39" s="232" t="s">
        <v>357</v>
      </c>
    </row>
    <row r="40" spans="2:4" ht="30" x14ac:dyDescent="0.25">
      <c r="B40" s="104" t="s">
        <v>359</v>
      </c>
      <c r="C40" s="232" t="s">
        <v>361</v>
      </c>
      <c r="D40" s="232"/>
    </row>
    <row r="41" spans="2:4" ht="15.75" x14ac:dyDescent="0.25">
      <c r="B41" s="285" t="s">
        <v>362</v>
      </c>
      <c r="C41" s="286"/>
      <c r="D41" s="286"/>
    </row>
    <row r="42" spans="2:4" ht="30" x14ac:dyDescent="0.25">
      <c r="B42" s="104" t="s">
        <v>267</v>
      </c>
      <c r="C42" s="232" t="s">
        <v>268</v>
      </c>
      <c r="D42" s="232" t="s">
        <v>269</v>
      </c>
    </row>
    <row r="43" spans="2:4" ht="45" x14ac:dyDescent="0.25">
      <c r="B43" s="104" t="s">
        <v>741</v>
      </c>
      <c r="C43" s="232" t="s">
        <v>260</v>
      </c>
      <c r="D43" s="232" t="s">
        <v>188</v>
      </c>
    </row>
    <row r="44" spans="2:4" x14ac:dyDescent="0.25">
      <c r="B44" s="104" t="s">
        <v>363</v>
      </c>
      <c r="C44" s="232" t="s">
        <v>167</v>
      </c>
      <c r="D44" s="232" t="s">
        <v>365</v>
      </c>
    </row>
    <row r="45" spans="2:4" ht="30" x14ac:dyDescent="0.25">
      <c r="B45" s="128" t="s">
        <v>192</v>
      </c>
      <c r="C45" s="232" t="s">
        <v>366</v>
      </c>
      <c r="D45" s="232" t="s">
        <v>357</v>
      </c>
    </row>
    <row r="46" spans="2:4" x14ac:dyDescent="0.25">
      <c r="B46" s="104" t="s">
        <v>294</v>
      </c>
      <c r="C46" s="232" t="s">
        <v>367</v>
      </c>
      <c r="D46" s="232" t="s">
        <v>334</v>
      </c>
    </row>
    <row r="47" spans="2:4" ht="15.75" x14ac:dyDescent="0.25">
      <c r="B47" s="285" t="s">
        <v>385</v>
      </c>
      <c r="C47" s="286"/>
      <c r="D47" s="286"/>
    </row>
    <row r="48" spans="2:4" x14ac:dyDescent="0.25">
      <c r="B48" s="104" t="s">
        <v>139</v>
      </c>
      <c r="C48" s="232" t="s">
        <v>167</v>
      </c>
      <c r="D48" s="232" t="s">
        <v>168</v>
      </c>
    </row>
    <row r="49" spans="2:4" ht="45" x14ac:dyDescent="0.25">
      <c r="B49" s="104" t="s">
        <v>378</v>
      </c>
      <c r="C49" s="232" t="s">
        <v>169</v>
      </c>
      <c r="D49" s="232" t="s">
        <v>379</v>
      </c>
    </row>
    <row r="50" spans="2:4" ht="30" x14ac:dyDescent="0.25">
      <c r="B50" s="104" t="s">
        <v>196</v>
      </c>
      <c r="C50" s="232" t="s">
        <v>266</v>
      </c>
      <c r="D50" s="232"/>
    </row>
    <row r="51" spans="2:4" ht="30" x14ac:dyDescent="0.25">
      <c r="B51" s="104" t="s">
        <v>161</v>
      </c>
      <c r="C51" s="232" t="s">
        <v>166</v>
      </c>
      <c r="D51" s="232" t="s">
        <v>165</v>
      </c>
    </row>
    <row r="52" spans="2:4" x14ac:dyDescent="0.25">
      <c r="B52" s="104" t="s">
        <v>380</v>
      </c>
      <c r="C52" s="232" t="s">
        <v>381</v>
      </c>
      <c r="D52" s="232"/>
    </row>
    <row r="53" spans="2:4" ht="30" x14ac:dyDescent="0.25">
      <c r="B53" s="104" t="s">
        <v>382</v>
      </c>
      <c r="C53" s="232" t="s">
        <v>262</v>
      </c>
      <c r="D53" s="232" t="s">
        <v>246</v>
      </c>
    </row>
    <row r="54" spans="2:4" ht="30" x14ac:dyDescent="0.25">
      <c r="B54" s="104" t="s">
        <v>383</v>
      </c>
      <c r="C54" s="232" t="s">
        <v>384</v>
      </c>
      <c r="D54" s="232"/>
    </row>
    <row r="55" spans="2:4" ht="15.75" x14ac:dyDescent="0.25">
      <c r="B55" s="285" t="s">
        <v>432</v>
      </c>
      <c r="C55" s="286"/>
      <c r="D55" s="286"/>
    </row>
    <row r="56" spans="2:4" ht="45" x14ac:dyDescent="0.25">
      <c r="B56" s="104" t="s">
        <v>433</v>
      </c>
      <c r="C56" s="232" t="s">
        <v>434</v>
      </c>
      <c r="D56" s="232"/>
    </row>
    <row r="57" spans="2:4" ht="30" x14ac:dyDescent="0.25">
      <c r="B57" s="104" t="s">
        <v>435</v>
      </c>
      <c r="C57" s="232" t="s">
        <v>436</v>
      </c>
      <c r="D57" s="232"/>
    </row>
    <row r="58" spans="2:4" ht="30" x14ac:dyDescent="0.25">
      <c r="B58" s="104" t="s">
        <v>437</v>
      </c>
      <c r="C58" s="232" t="s">
        <v>438</v>
      </c>
      <c r="D58" s="232"/>
    </row>
    <row r="59" spans="2:4" ht="30" x14ac:dyDescent="0.25">
      <c r="B59" s="104" t="s">
        <v>405</v>
      </c>
      <c r="C59" s="232" t="s">
        <v>439</v>
      </c>
      <c r="D59" s="232"/>
    </row>
    <row r="60" spans="2:4" ht="45" x14ac:dyDescent="0.25">
      <c r="B60" s="104" t="s">
        <v>440</v>
      </c>
      <c r="C60" s="232" t="s">
        <v>441</v>
      </c>
      <c r="D60" s="232"/>
    </row>
    <row r="61" spans="2:4" ht="45" x14ac:dyDescent="0.25">
      <c r="B61" s="104" t="s">
        <v>407</v>
      </c>
      <c r="C61" s="232" t="s">
        <v>442</v>
      </c>
      <c r="D61" s="232"/>
    </row>
    <row r="62" spans="2:4" ht="30" x14ac:dyDescent="0.25">
      <c r="B62" s="104" t="s">
        <v>443</v>
      </c>
      <c r="C62" s="232" t="s">
        <v>444</v>
      </c>
      <c r="D62" s="232"/>
    </row>
    <row r="63" spans="2:4" ht="30" x14ac:dyDescent="0.25">
      <c r="B63" s="104" t="s">
        <v>445</v>
      </c>
      <c r="C63" s="232" t="s">
        <v>446</v>
      </c>
      <c r="D63" s="232"/>
    </row>
    <row r="64" spans="2:4" ht="45" x14ac:dyDescent="0.25">
      <c r="B64" s="104" t="s">
        <v>447</v>
      </c>
      <c r="C64" s="232" t="s">
        <v>448</v>
      </c>
      <c r="D64" s="232"/>
    </row>
    <row r="65" spans="2:4" ht="30" x14ac:dyDescent="0.25">
      <c r="B65" s="104" t="s">
        <v>423</v>
      </c>
      <c r="C65" s="232" t="s">
        <v>449</v>
      </c>
      <c r="D65" s="232"/>
    </row>
    <row r="66" spans="2:4" ht="30" x14ac:dyDescent="0.25">
      <c r="B66" s="104" t="s">
        <v>450</v>
      </c>
      <c r="C66" s="232" t="s">
        <v>458</v>
      </c>
      <c r="D66" s="232" t="str">
        <f t="shared" ref="D66:D67" si="0">IFERROR(360/D56,"")</f>
        <v/>
      </c>
    </row>
    <row r="67" spans="2:4" x14ac:dyDescent="0.25">
      <c r="B67" s="104" t="s">
        <v>451</v>
      </c>
      <c r="C67" s="232" t="s">
        <v>459</v>
      </c>
      <c r="D67" s="232" t="str">
        <f t="shared" si="0"/>
        <v/>
      </c>
    </row>
    <row r="68" spans="2:4" ht="30" x14ac:dyDescent="0.25">
      <c r="B68" s="104" t="s">
        <v>452</v>
      </c>
      <c r="C68" s="232" t="s">
        <v>460</v>
      </c>
      <c r="D68" s="232" t="str">
        <f t="shared" ref="D68:D74" si="1">IFERROR(360/D59,"")</f>
        <v/>
      </c>
    </row>
    <row r="69" spans="2:4" ht="30" x14ac:dyDescent="0.25">
      <c r="B69" s="104" t="s">
        <v>453</v>
      </c>
      <c r="C69" s="232" t="s">
        <v>461</v>
      </c>
      <c r="D69" s="232" t="str">
        <f t="shared" si="1"/>
        <v/>
      </c>
    </row>
    <row r="70" spans="2:4" x14ac:dyDescent="0.25">
      <c r="B70" s="104" t="s">
        <v>454</v>
      </c>
      <c r="C70" s="232" t="s">
        <v>462</v>
      </c>
      <c r="D70" s="232" t="str">
        <f t="shared" si="1"/>
        <v/>
      </c>
    </row>
    <row r="71" spans="2:4" ht="30" x14ac:dyDescent="0.25">
      <c r="B71" s="104" t="s">
        <v>455</v>
      </c>
      <c r="C71" s="232" t="s">
        <v>463</v>
      </c>
      <c r="D71" s="232" t="str">
        <f t="shared" si="1"/>
        <v/>
      </c>
    </row>
    <row r="72" spans="2:4" ht="30" x14ac:dyDescent="0.25">
      <c r="B72" s="104" t="s">
        <v>456</v>
      </c>
      <c r="C72" s="232" t="s">
        <v>464</v>
      </c>
      <c r="D72" s="232" t="str">
        <f t="shared" si="1"/>
        <v/>
      </c>
    </row>
    <row r="73" spans="2:4" ht="30" x14ac:dyDescent="0.25">
      <c r="B73" s="104" t="s">
        <v>457</v>
      </c>
      <c r="C73" s="232" t="s">
        <v>467</v>
      </c>
      <c r="D73" s="232" t="str">
        <f t="shared" si="1"/>
        <v/>
      </c>
    </row>
    <row r="74" spans="2:4" x14ac:dyDescent="0.25">
      <c r="B74" s="104" t="s">
        <v>465</v>
      </c>
      <c r="C74" s="232" t="s">
        <v>466</v>
      </c>
      <c r="D74" s="232" t="str">
        <f t="shared" si="1"/>
        <v/>
      </c>
    </row>
    <row r="75" spans="2:4" ht="15.75" x14ac:dyDescent="0.25">
      <c r="B75" s="285" t="s">
        <v>735</v>
      </c>
      <c r="C75" s="286"/>
      <c r="D75" s="286"/>
    </row>
    <row r="76" spans="2:4" x14ac:dyDescent="0.25">
      <c r="B76" s="104" t="s">
        <v>363</v>
      </c>
      <c r="C76" s="232" t="s">
        <v>167</v>
      </c>
      <c r="D76" s="232" t="s">
        <v>360</v>
      </c>
    </row>
    <row r="77" spans="2:4" ht="30" x14ac:dyDescent="0.25">
      <c r="B77" s="104" t="s">
        <v>294</v>
      </c>
      <c r="C77" s="232" t="s">
        <v>264</v>
      </c>
      <c r="D77" s="232" t="s">
        <v>736</v>
      </c>
    </row>
    <row r="78" spans="2:4" x14ac:dyDescent="0.25">
      <c r="B78" s="104" t="s">
        <v>375</v>
      </c>
      <c r="C78" s="232" t="s">
        <v>268</v>
      </c>
      <c r="D78" s="232" t="s">
        <v>269</v>
      </c>
    </row>
    <row r="79" spans="2:4" ht="30" x14ac:dyDescent="0.25">
      <c r="B79" s="104" t="s">
        <v>737</v>
      </c>
      <c r="C79" s="232" t="s">
        <v>739</v>
      </c>
      <c r="D79" s="232" t="s">
        <v>738</v>
      </c>
    </row>
    <row r="80" spans="2:4" ht="45" x14ac:dyDescent="0.25">
      <c r="B80" s="104" t="s">
        <v>740</v>
      </c>
      <c r="C80" s="232" t="s">
        <v>745</v>
      </c>
      <c r="D80" s="232" t="s">
        <v>736</v>
      </c>
    </row>
    <row r="81" spans="2:4" ht="30" x14ac:dyDescent="0.25">
      <c r="B81" s="104" t="s">
        <v>742</v>
      </c>
      <c r="C81" s="232" t="s">
        <v>746</v>
      </c>
      <c r="D81" s="232" t="s">
        <v>736</v>
      </c>
    </row>
    <row r="82" spans="2:4" ht="30" x14ac:dyDescent="0.25">
      <c r="B82" s="104" t="s">
        <v>743</v>
      </c>
      <c r="C82" s="232" t="s">
        <v>747</v>
      </c>
      <c r="D82" s="232" t="s">
        <v>190</v>
      </c>
    </row>
    <row r="83" spans="2:4" ht="30" x14ac:dyDescent="0.25">
      <c r="B83" s="104" t="s">
        <v>278</v>
      </c>
      <c r="C83" s="232" t="s">
        <v>262</v>
      </c>
      <c r="D83" s="232" t="s">
        <v>187</v>
      </c>
    </row>
    <row r="84" spans="2:4" x14ac:dyDescent="0.25">
      <c r="B84" s="104" t="s">
        <v>282</v>
      </c>
      <c r="C84" s="232" t="s">
        <v>744</v>
      </c>
      <c r="D84" s="232"/>
    </row>
  </sheetData>
  <sortState ref="B15:D42">
    <sortCondition ref="B15:B42"/>
  </sortState>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M41"/>
  <sheetViews>
    <sheetView zoomScaleNormal="100" zoomScaleSheetLayoutView="100" workbookViewId="0">
      <selection activeCell="A43" sqref="A43:XFD44"/>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3" s="3" customFormat="1" ht="18.75" x14ac:dyDescent="0.3">
      <c r="A1" s="3" t="s">
        <v>474</v>
      </c>
    </row>
    <row r="3" spans="1:13" ht="30" customHeight="1" x14ac:dyDescent="0.25">
      <c r="B3" s="542" t="s">
        <v>170</v>
      </c>
      <c r="C3" s="550" t="s">
        <v>92</v>
      </c>
      <c r="D3" s="542" t="s">
        <v>171</v>
      </c>
      <c r="E3" s="550" t="s">
        <v>172</v>
      </c>
      <c r="F3" s="550"/>
      <c r="G3" s="550"/>
      <c r="H3" s="548" t="e">
        <f>"Изменение, "&amp;#REF!</f>
        <v>#REF!</v>
      </c>
      <c r="I3" s="549"/>
      <c r="J3" s="548" t="s">
        <v>174</v>
      </c>
      <c r="K3" s="549"/>
    </row>
    <row r="4" spans="1:13"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row>
    <row r="5" spans="1:13" ht="15.75" x14ac:dyDescent="0.25">
      <c r="B5" s="147" t="s">
        <v>234</v>
      </c>
      <c r="C5" s="148"/>
      <c r="D5" s="148"/>
      <c r="E5" s="148"/>
      <c r="F5" s="148"/>
      <c r="G5" s="148"/>
      <c r="H5" s="148"/>
      <c r="I5" s="148"/>
      <c r="J5" s="148"/>
      <c r="K5" s="149"/>
    </row>
    <row r="6" spans="1:13" x14ac:dyDescent="0.25">
      <c r="B6" s="260" t="s">
        <v>3</v>
      </c>
      <c r="C6" s="261" t="s">
        <v>401</v>
      </c>
      <c r="D6" s="287" t="e">
        <f>#REF!</f>
        <v>#REF!</v>
      </c>
      <c r="E6" s="288" t="e">
        <f>#REF!</f>
        <v>#REF!</v>
      </c>
      <c r="F6" s="288" t="e">
        <f>#REF!</f>
        <v>#REF!</v>
      </c>
      <c r="G6" s="288" t="e">
        <f>#REF!</f>
        <v>#REF!</v>
      </c>
      <c r="H6" s="289" t="e">
        <f t="shared" ref="H6:H14" si="0">E6-F6</f>
        <v>#REF!</v>
      </c>
      <c r="I6" s="289" t="e">
        <f t="shared" ref="I6:I14" si="1">E6-G6</f>
        <v>#REF!</v>
      </c>
      <c r="J6" s="226" t="str">
        <f>IFERROR(E6/F6,"")</f>
        <v/>
      </c>
      <c r="K6" s="227" t="str">
        <f>IFERROR(E6/G6,"")</f>
        <v/>
      </c>
    </row>
    <row r="7" spans="1:13" x14ac:dyDescent="0.25">
      <c r="B7" s="15" t="s">
        <v>4</v>
      </c>
      <c r="C7" s="128" t="s">
        <v>93</v>
      </c>
      <c r="D7" s="129" t="e">
        <f>#REF!</f>
        <v>#REF!</v>
      </c>
      <c r="E7" s="130" t="e">
        <f>Пояснения!D52</f>
        <v>#REF!</v>
      </c>
      <c r="F7" s="130" t="e">
        <f>Пояснения!E52</f>
        <v>#REF!</v>
      </c>
      <c r="G7" s="130" t="e">
        <f>Пояснения!F52</f>
        <v>#REF!</v>
      </c>
      <c r="H7" s="131" t="e">
        <f t="shared" si="0"/>
        <v>#REF!</v>
      </c>
      <c r="I7" s="131" t="e">
        <f t="shared" si="1"/>
        <v>#REF!</v>
      </c>
      <c r="J7" s="132" t="str">
        <f t="shared" ref="J7:J11" si="2">IFERROR(E7/F7,"")</f>
        <v/>
      </c>
      <c r="K7" s="133" t="str">
        <f t="shared" ref="K7:K11" si="3">IFERROR(E7/G7,"")</f>
        <v/>
      </c>
    </row>
    <row r="8" spans="1:13" x14ac:dyDescent="0.25">
      <c r="B8" s="15" t="s">
        <v>5</v>
      </c>
      <c r="C8" s="128" t="s">
        <v>94</v>
      </c>
      <c r="D8" s="129" t="e">
        <f>#REF!</f>
        <v>#REF!</v>
      </c>
      <c r="E8" s="130" t="e">
        <f>Пояснения!D53</f>
        <v>#REF!</v>
      </c>
      <c r="F8" s="130" t="e">
        <f>Пояснения!E53</f>
        <v>#REF!</v>
      </c>
      <c r="G8" s="130" t="e">
        <f>Пояснения!F53</f>
        <v>#REF!</v>
      </c>
      <c r="H8" s="131" t="e">
        <f t="shared" si="0"/>
        <v>#REF!</v>
      </c>
      <c r="I8" s="131" t="e">
        <f t="shared" si="1"/>
        <v>#REF!</v>
      </c>
      <c r="J8" s="132" t="str">
        <f t="shared" si="2"/>
        <v/>
      </c>
      <c r="K8" s="133" t="str">
        <f t="shared" si="3"/>
        <v/>
      </c>
    </row>
    <row r="9" spans="1:13" x14ac:dyDescent="0.25">
      <c r="B9" s="15" t="s">
        <v>6</v>
      </c>
      <c r="C9" s="128" t="s">
        <v>95</v>
      </c>
      <c r="D9" s="129" t="e">
        <f>#REF!</f>
        <v>#REF!</v>
      </c>
      <c r="E9" s="130" t="e">
        <f>Пояснения!D54</f>
        <v>#REF!</v>
      </c>
      <c r="F9" s="130" t="e">
        <f>Пояснения!E54</f>
        <v>#REF!</v>
      </c>
      <c r="G9" s="130" t="e">
        <f>Пояснения!F54</f>
        <v>#REF!</v>
      </c>
      <c r="H9" s="131" t="e">
        <f t="shared" si="0"/>
        <v>#REF!</v>
      </c>
      <c r="I9" s="131" t="e">
        <f t="shared" si="1"/>
        <v>#REF!</v>
      </c>
      <c r="J9" s="132" t="str">
        <f t="shared" si="2"/>
        <v/>
      </c>
      <c r="K9" s="133" t="str">
        <f t="shared" si="3"/>
        <v/>
      </c>
    </row>
    <row r="10" spans="1:13" x14ac:dyDescent="0.25">
      <c r="B10" s="15" t="s">
        <v>189</v>
      </c>
      <c r="C10" s="128" t="s">
        <v>97</v>
      </c>
      <c r="D10" s="129" t="e">
        <f>#REF!</f>
        <v>#REF!</v>
      </c>
      <c r="E10" s="130" t="e">
        <f>Пояснения!D55</f>
        <v>#REF!</v>
      </c>
      <c r="F10" s="130" t="e">
        <f>Пояснения!E55</f>
        <v>#REF!</v>
      </c>
      <c r="G10" s="130" t="e">
        <f>Пояснения!F55</f>
        <v>#REF!</v>
      </c>
      <c r="H10" s="131" t="e">
        <f t="shared" si="0"/>
        <v>#REF!</v>
      </c>
      <c r="I10" s="131" t="e">
        <f t="shared" si="1"/>
        <v>#REF!</v>
      </c>
      <c r="J10" s="132" t="str">
        <f t="shared" si="2"/>
        <v/>
      </c>
      <c r="K10" s="133" t="str">
        <f t="shared" si="3"/>
        <v/>
      </c>
    </row>
    <row r="11" spans="1:13" x14ac:dyDescent="0.25">
      <c r="B11" s="15" t="s">
        <v>312</v>
      </c>
      <c r="C11" s="128" t="s">
        <v>99</v>
      </c>
      <c r="D11" s="129" t="e">
        <f>#REF!</f>
        <v>#REF!</v>
      </c>
      <c r="E11" s="130" t="e">
        <f>Пояснения!D57</f>
        <v>#REF!</v>
      </c>
      <c r="F11" s="130" t="e">
        <f>Пояснения!E57</f>
        <v>#REF!</v>
      </c>
      <c r="G11" s="130" t="e">
        <f>Пояснения!F57</f>
        <v>#REF!</v>
      </c>
      <c r="H11" s="131" t="e">
        <f t="shared" si="0"/>
        <v>#REF!</v>
      </c>
      <c r="I11" s="131" t="e">
        <f t="shared" si="1"/>
        <v>#REF!</v>
      </c>
      <c r="J11" s="132" t="str">
        <f t="shared" si="2"/>
        <v/>
      </c>
      <c r="K11" s="133" t="str">
        <f t="shared" si="3"/>
        <v/>
      </c>
    </row>
    <row r="12" spans="1:13" x14ac:dyDescent="0.25">
      <c r="B12" s="15" t="s">
        <v>313</v>
      </c>
      <c r="C12" s="128" t="s">
        <v>100</v>
      </c>
      <c r="D12" s="129" t="e">
        <f>#REF!</f>
        <v>#REF!</v>
      </c>
      <c r="E12" s="130" t="e">
        <f>Пояснения!D58</f>
        <v>#REF!</v>
      </c>
      <c r="F12" s="130" t="e">
        <f>Пояснения!E58</f>
        <v>#REF!</v>
      </c>
      <c r="G12" s="130" t="e">
        <f>Пояснения!F58</f>
        <v>#REF!</v>
      </c>
      <c r="H12" s="131" t="e">
        <f t="shared" si="0"/>
        <v>#REF!</v>
      </c>
      <c r="I12" s="131" t="e">
        <f t="shared" si="1"/>
        <v>#REF!</v>
      </c>
      <c r="J12" s="132" t="str">
        <f>IFERROR(E12/F12,"")</f>
        <v/>
      </c>
      <c r="K12" s="133" t="str">
        <f>IFERROR(E12/G12,"")</f>
        <v/>
      </c>
    </row>
    <row r="13" spans="1:13" ht="30" x14ac:dyDescent="0.25">
      <c r="B13" s="15" t="s">
        <v>314</v>
      </c>
      <c r="C13" s="128" t="s">
        <v>102</v>
      </c>
      <c r="D13" s="129" t="e">
        <f>#REF!</f>
        <v>#REF!</v>
      </c>
      <c r="E13" s="130" t="e">
        <f>Пояснения!D59</f>
        <v>#REF!</v>
      </c>
      <c r="F13" s="130" t="e">
        <f>Пояснения!E59</f>
        <v>#REF!</v>
      </c>
      <c r="G13" s="130" t="e">
        <f>Пояснения!F59</f>
        <v>#REF!</v>
      </c>
      <c r="H13" s="131" t="e">
        <f t="shared" si="0"/>
        <v>#REF!</v>
      </c>
      <c r="I13" s="131" t="e">
        <f t="shared" si="1"/>
        <v>#REF!</v>
      </c>
      <c r="J13" s="132" t="str">
        <f>IFERROR(E13/F13,"")</f>
        <v/>
      </c>
      <c r="K13" s="133" t="str">
        <f>IFERROR(E13/G13,"")</f>
        <v/>
      </c>
    </row>
    <row r="14" spans="1:13" ht="30" x14ac:dyDescent="0.25">
      <c r="B14" s="141" t="s">
        <v>315</v>
      </c>
      <c r="C14" s="142" t="s">
        <v>103</v>
      </c>
      <c r="D14" s="143" t="e">
        <f>#REF!</f>
        <v>#REF!</v>
      </c>
      <c r="E14" s="218" t="e">
        <f>Пояснения!D60</f>
        <v>#REF!</v>
      </c>
      <c r="F14" s="218" t="e">
        <f>Пояснения!E60</f>
        <v>#REF!</v>
      </c>
      <c r="G14" s="218" t="e">
        <f>Пояснения!F60</f>
        <v>#REF!</v>
      </c>
      <c r="H14" s="219" t="e">
        <f t="shared" si="0"/>
        <v>#REF!</v>
      </c>
      <c r="I14" s="219" t="e">
        <f t="shared" si="1"/>
        <v>#REF!</v>
      </c>
      <c r="J14" s="144" t="str">
        <f>IFERROR(E14/F14,"")</f>
        <v/>
      </c>
      <c r="K14" s="145" t="str">
        <f>IFERROR(E14/G14,"")</f>
        <v/>
      </c>
    </row>
    <row r="15" spans="1:13" ht="15.75" x14ac:dyDescent="0.25">
      <c r="B15" s="147" t="s">
        <v>431</v>
      </c>
      <c r="C15" s="148"/>
      <c r="D15" s="148"/>
      <c r="E15" s="148"/>
      <c r="F15" s="148"/>
      <c r="G15" s="148"/>
      <c r="H15" s="148"/>
      <c r="I15" s="148"/>
      <c r="J15" s="148"/>
      <c r="K15" s="149"/>
    </row>
    <row r="16" spans="1:13" x14ac:dyDescent="0.25">
      <c r="B16" s="260" t="s">
        <v>7</v>
      </c>
      <c r="C16" s="261" t="s">
        <v>402</v>
      </c>
      <c r="D16" s="287"/>
      <c r="E16" s="225" t="e">
        <f>E6/E7</f>
        <v>#REF!</v>
      </c>
      <c r="F16" s="225" t="e">
        <f>F6/F7</f>
        <v>#REF!</v>
      </c>
      <c r="G16" s="225" t="e">
        <f>G6/G7</f>
        <v>#REF!</v>
      </c>
      <c r="H16" s="225" t="e">
        <f t="shared" ref="H16:H25" si="4">E16-F16</f>
        <v>#REF!</v>
      </c>
      <c r="I16" s="225" t="e">
        <f t="shared" ref="I16:I25" si="5">E16-G16</f>
        <v>#REF!</v>
      </c>
      <c r="J16" s="226" t="str">
        <f>IFERROR(E16/F16,"")</f>
        <v/>
      </c>
      <c r="K16" s="227" t="str">
        <f>IFERROR(E16/G16,"")</f>
        <v/>
      </c>
    </row>
    <row r="17" spans="2:11" x14ac:dyDescent="0.25">
      <c r="B17" s="260"/>
      <c r="C17" s="261" t="s">
        <v>403</v>
      </c>
      <c r="D17" s="287" t="s">
        <v>404</v>
      </c>
      <c r="E17" s="289" t="e">
        <f>360/E16</f>
        <v>#REF!</v>
      </c>
      <c r="F17" s="289" t="e">
        <f>360/F16</f>
        <v>#REF!</v>
      </c>
      <c r="G17" s="289" t="e">
        <f>360/G16</f>
        <v>#REF!</v>
      </c>
      <c r="H17" s="289" t="e">
        <f t="shared" si="4"/>
        <v>#REF!</v>
      </c>
      <c r="I17" s="289" t="e">
        <f t="shared" si="5"/>
        <v>#REF!</v>
      </c>
      <c r="J17" s="226" t="str">
        <f>IFERROR(E17/F17,"")</f>
        <v/>
      </c>
      <c r="K17" s="227" t="str">
        <f>IFERROR(E17/G17,"")</f>
        <v/>
      </c>
    </row>
    <row r="18" spans="2:11" ht="30" x14ac:dyDescent="0.25">
      <c r="B18" s="260" t="s">
        <v>8</v>
      </c>
      <c r="C18" s="261" t="s">
        <v>405</v>
      </c>
      <c r="D18" s="287"/>
      <c r="E18" s="225" t="e">
        <f>E6/E8</f>
        <v>#REF!</v>
      </c>
      <c r="F18" s="225" t="e">
        <f>F6/F8</f>
        <v>#REF!</v>
      </c>
      <c r="G18" s="225" t="e">
        <f>G6/G8</f>
        <v>#REF!</v>
      </c>
      <c r="H18" s="225" t="e">
        <f t="shared" si="4"/>
        <v>#REF!</v>
      </c>
      <c r="I18" s="225" t="e">
        <f t="shared" si="5"/>
        <v>#REF!</v>
      </c>
      <c r="J18" s="132" t="str">
        <f>IFERROR(E18/F18,"")</f>
        <v/>
      </c>
      <c r="K18" s="133" t="str">
        <f>IFERROR(E18/G18,"")</f>
        <v/>
      </c>
    </row>
    <row r="19" spans="2:11" x14ac:dyDescent="0.25">
      <c r="B19" s="260"/>
      <c r="C19" s="261" t="s">
        <v>406</v>
      </c>
      <c r="D19" s="287" t="s">
        <v>404</v>
      </c>
      <c r="E19" s="289" t="e">
        <f>360/E18</f>
        <v>#REF!</v>
      </c>
      <c r="F19" s="289" t="e">
        <f>360/F18</f>
        <v>#REF!</v>
      </c>
      <c r="G19" s="289" t="e">
        <f>360/G18</f>
        <v>#REF!</v>
      </c>
      <c r="H19" s="289" t="e">
        <f t="shared" si="4"/>
        <v>#REF!</v>
      </c>
      <c r="I19" s="289" t="e">
        <f t="shared" si="5"/>
        <v>#REF!</v>
      </c>
      <c r="J19" s="226" t="str">
        <f>IFERROR(E19/F19,"")</f>
        <v/>
      </c>
      <c r="K19" s="227" t="str">
        <f>IFERROR(E19/G19,"")</f>
        <v/>
      </c>
    </row>
    <row r="20" spans="2:11" x14ac:dyDescent="0.25">
      <c r="B20" s="260" t="s">
        <v>9</v>
      </c>
      <c r="C20" s="261" t="s">
        <v>407</v>
      </c>
      <c r="D20" s="287"/>
      <c r="E20" s="225" t="e">
        <f>E6/E9</f>
        <v>#REF!</v>
      </c>
      <c r="F20" s="225" t="e">
        <f>F6/F9</f>
        <v>#REF!</v>
      </c>
      <c r="G20" s="225" t="e">
        <f>G6/G9</f>
        <v>#REF!</v>
      </c>
      <c r="H20" s="225" t="e">
        <f t="shared" si="4"/>
        <v>#REF!</v>
      </c>
      <c r="I20" s="225" t="e">
        <f t="shared" si="5"/>
        <v>#REF!</v>
      </c>
      <c r="J20" s="132" t="str">
        <f t="shared" ref="J20:J21" si="6">IFERROR(E20/F20,"")</f>
        <v/>
      </c>
      <c r="K20" s="133" t="str">
        <f t="shared" ref="K20:K21" si="7">IFERROR(E20/G20,"")</f>
        <v/>
      </c>
    </row>
    <row r="21" spans="2:11" x14ac:dyDescent="0.25">
      <c r="B21" s="260"/>
      <c r="C21" s="261" t="s">
        <v>408</v>
      </c>
      <c r="D21" s="287" t="s">
        <v>404</v>
      </c>
      <c r="E21" s="289" t="e">
        <f>360/E20</f>
        <v>#REF!</v>
      </c>
      <c r="F21" s="289" t="e">
        <f>360/F20</f>
        <v>#REF!</v>
      </c>
      <c r="G21" s="289" t="e">
        <f>360/G20</f>
        <v>#REF!</v>
      </c>
      <c r="H21" s="289" t="e">
        <f t="shared" si="4"/>
        <v>#REF!</v>
      </c>
      <c r="I21" s="289" t="e">
        <f t="shared" si="5"/>
        <v>#REF!</v>
      </c>
      <c r="J21" s="226" t="str">
        <f t="shared" si="6"/>
        <v/>
      </c>
      <c r="K21" s="227" t="str">
        <f t="shared" si="7"/>
        <v/>
      </c>
    </row>
    <row r="22" spans="2:11" x14ac:dyDescent="0.25">
      <c r="B22" s="15" t="s">
        <v>10</v>
      </c>
      <c r="C22" s="128" t="s">
        <v>409</v>
      </c>
      <c r="D22" s="129"/>
      <c r="E22" s="140" t="e">
        <f>E6/E11</f>
        <v>#REF!</v>
      </c>
      <c r="F22" s="140" t="e">
        <f>F6/F11</f>
        <v>#REF!</v>
      </c>
      <c r="G22" s="140" t="e">
        <f>G6/G11</f>
        <v>#REF!</v>
      </c>
      <c r="H22" s="225" t="e">
        <f t="shared" si="4"/>
        <v>#REF!</v>
      </c>
      <c r="I22" s="225" t="e">
        <f t="shared" si="5"/>
        <v>#REF!</v>
      </c>
      <c r="J22" s="132" t="str">
        <f>IFERROR(E22/F22,"")</f>
        <v/>
      </c>
      <c r="K22" s="133" t="str">
        <f>IFERROR(E22/G22,"")</f>
        <v/>
      </c>
    </row>
    <row r="23" spans="2:11" x14ac:dyDescent="0.25">
      <c r="B23" s="15"/>
      <c r="C23" s="128" t="s">
        <v>410</v>
      </c>
      <c r="D23" s="129" t="s">
        <v>404</v>
      </c>
      <c r="E23" s="131" t="e">
        <f>360/E22</f>
        <v>#REF!</v>
      </c>
      <c r="F23" s="131" t="e">
        <f>360/F22</f>
        <v>#REF!</v>
      </c>
      <c r="G23" s="131" t="e">
        <f>360/G22</f>
        <v>#REF!</v>
      </c>
      <c r="H23" s="289" t="e">
        <f t="shared" si="4"/>
        <v>#REF!</v>
      </c>
      <c r="I23" s="289" t="e">
        <f t="shared" si="5"/>
        <v>#REF!</v>
      </c>
      <c r="J23" s="132" t="str">
        <f>IFERROR(E23/F23,"")</f>
        <v/>
      </c>
      <c r="K23" s="133" t="str">
        <f>IFERROR(E23/G23,"")</f>
        <v/>
      </c>
    </row>
    <row r="24" spans="2:11" x14ac:dyDescent="0.25">
      <c r="B24" s="15" t="s">
        <v>11</v>
      </c>
      <c r="C24" s="128" t="s">
        <v>411</v>
      </c>
      <c r="D24" s="129"/>
      <c r="E24" s="140" t="e">
        <f>E6/E10</f>
        <v>#REF!</v>
      </c>
      <c r="F24" s="140" t="e">
        <f>F6/F10</f>
        <v>#REF!</v>
      </c>
      <c r="G24" s="140" t="e">
        <f>G6/G10</f>
        <v>#REF!</v>
      </c>
      <c r="H24" s="225" t="e">
        <f t="shared" si="4"/>
        <v>#REF!</v>
      </c>
      <c r="I24" s="225" t="e">
        <f t="shared" si="5"/>
        <v>#REF!</v>
      </c>
      <c r="J24" s="132" t="str">
        <f>IFERROR(E24/F24,"")</f>
        <v/>
      </c>
      <c r="K24" s="133" t="str">
        <f>IFERROR(E24/G24,"")</f>
        <v/>
      </c>
    </row>
    <row r="25" spans="2:11" ht="30" x14ac:dyDescent="0.25">
      <c r="B25" s="141" t="s">
        <v>195</v>
      </c>
      <c r="C25" s="142" t="s">
        <v>412</v>
      </c>
      <c r="D25" s="143"/>
      <c r="E25" s="152" t="e">
        <f>#REF!/#REF!</f>
        <v>#REF!</v>
      </c>
      <c r="F25" s="152" t="e">
        <f>#REF!/#REF!</f>
        <v>#REF!</v>
      </c>
      <c r="G25" s="152" t="e">
        <f>#REF!/#REF!</f>
        <v>#REF!</v>
      </c>
      <c r="H25" s="228" t="e">
        <f t="shared" si="4"/>
        <v>#REF!</v>
      </c>
      <c r="I25" s="228" t="e">
        <f t="shared" si="5"/>
        <v>#REF!</v>
      </c>
      <c r="J25" s="144" t="str">
        <f>IFERROR(E25/F25,"")</f>
        <v/>
      </c>
      <c r="K25" s="145" t="str">
        <f>IFERROR(E25/G25,"")</f>
        <v/>
      </c>
    </row>
    <row r="26" spans="2:11" ht="15.75" x14ac:dyDescent="0.25">
      <c r="B26" s="147" t="s">
        <v>413</v>
      </c>
      <c r="C26" s="148"/>
      <c r="D26" s="148"/>
      <c r="E26" s="148"/>
      <c r="F26" s="148"/>
      <c r="G26" s="148"/>
      <c r="H26" s="148"/>
      <c r="I26" s="148"/>
      <c r="J26" s="148"/>
      <c r="K26" s="149"/>
    </row>
    <row r="27" spans="2:11" x14ac:dyDescent="0.25">
      <c r="B27" s="15" t="s">
        <v>12</v>
      </c>
      <c r="C27" s="128" t="s">
        <v>414</v>
      </c>
      <c r="D27" s="129"/>
      <c r="E27" s="140" t="e">
        <f>E6/E12</f>
        <v>#REF!</v>
      </c>
      <c r="F27" s="140" t="e">
        <f>F6/F12</f>
        <v>#REF!</v>
      </c>
      <c r="G27" s="140" t="e">
        <f>G6/G12</f>
        <v>#REF!</v>
      </c>
      <c r="H27" s="225" t="e">
        <f t="shared" ref="H27:H29" si="8">E27-F27</f>
        <v>#REF!</v>
      </c>
      <c r="I27" s="225" t="e">
        <f t="shared" ref="I27:I29" si="9">E27-G27</f>
        <v>#REF!</v>
      </c>
      <c r="J27" s="132" t="str">
        <f>IFERROR(E27/F27,"")</f>
        <v/>
      </c>
      <c r="K27" s="133" t="str">
        <f>IFERROR(E27/G27,"")</f>
        <v/>
      </c>
    </row>
    <row r="28" spans="2:11" x14ac:dyDescent="0.25">
      <c r="B28" s="15"/>
      <c r="C28" s="128" t="s">
        <v>415</v>
      </c>
      <c r="D28" s="129" t="s">
        <v>404</v>
      </c>
      <c r="E28" s="131" t="e">
        <f>360/E27</f>
        <v>#REF!</v>
      </c>
      <c r="F28" s="131" t="e">
        <f>360/F27</f>
        <v>#REF!</v>
      </c>
      <c r="G28" s="131" t="e">
        <f>360/G27</f>
        <v>#REF!</v>
      </c>
      <c r="H28" s="289" t="e">
        <f t="shared" si="8"/>
        <v>#REF!</v>
      </c>
      <c r="I28" s="289" t="e">
        <f t="shared" si="9"/>
        <v>#REF!</v>
      </c>
      <c r="J28" s="132" t="str">
        <f>IFERROR(E28/F28,"")</f>
        <v/>
      </c>
      <c r="K28" s="133" t="str">
        <f>IFERROR(E28/G28,"")</f>
        <v/>
      </c>
    </row>
    <row r="29" spans="2:11" x14ac:dyDescent="0.25">
      <c r="B29" s="141" t="s">
        <v>13</v>
      </c>
      <c r="C29" s="142" t="s">
        <v>416</v>
      </c>
      <c r="D29" s="143"/>
      <c r="E29" s="152" t="e">
        <f>#REF!/#REF!</f>
        <v>#REF!</v>
      </c>
      <c r="F29" s="152" t="e">
        <f>#REF!/#REF!</f>
        <v>#REF!</v>
      </c>
      <c r="G29" s="152" t="e">
        <f>#REF!/#REF!</f>
        <v>#REF!</v>
      </c>
      <c r="H29" s="228" t="e">
        <f t="shared" si="8"/>
        <v>#REF!</v>
      </c>
      <c r="I29" s="228" t="e">
        <f t="shared" si="9"/>
        <v>#REF!</v>
      </c>
      <c r="J29" s="144" t="str">
        <f>IFERROR(E29/F29,"")</f>
        <v/>
      </c>
      <c r="K29" s="145" t="str">
        <f>IFERROR(E29/G29,"")</f>
        <v/>
      </c>
    </row>
    <row r="30" spans="2:11" ht="15.75" x14ac:dyDescent="0.25">
      <c r="B30" s="147" t="s">
        <v>417</v>
      </c>
      <c r="C30" s="290"/>
      <c r="D30" s="148"/>
      <c r="E30" s="148"/>
      <c r="F30" s="148"/>
      <c r="G30" s="148"/>
      <c r="H30" s="148"/>
      <c r="I30" s="148"/>
      <c r="J30" s="148"/>
      <c r="K30" s="149"/>
    </row>
    <row r="31" spans="2:11" x14ac:dyDescent="0.25">
      <c r="B31" s="134" t="s">
        <v>14</v>
      </c>
      <c r="C31" s="258" t="s">
        <v>418</v>
      </c>
      <c r="D31" s="129"/>
      <c r="E31" s="140" t="e">
        <f>E6/E13</f>
        <v>#REF!</v>
      </c>
      <c r="F31" s="140" t="e">
        <f>F6/F13</f>
        <v>#REF!</v>
      </c>
      <c r="G31" s="140" t="e">
        <f>G6/G13</f>
        <v>#REF!</v>
      </c>
      <c r="H31" s="225" t="e">
        <f t="shared" ref="H31:H36" si="10">E31-F31</f>
        <v>#REF!</v>
      </c>
      <c r="I31" s="225" t="e">
        <f t="shared" ref="I31:I36" si="11">E31-G31</f>
        <v>#REF!</v>
      </c>
      <c r="J31" s="132" t="str">
        <f>IFERROR(E31/F31,"")</f>
        <v/>
      </c>
      <c r="K31" s="133" t="str">
        <f>IFERROR(E31/G31,"")</f>
        <v/>
      </c>
    </row>
    <row r="32" spans="2:11" x14ac:dyDescent="0.25">
      <c r="B32" s="134"/>
      <c r="C32" s="258" t="s">
        <v>419</v>
      </c>
      <c r="D32" s="129" t="s">
        <v>404</v>
      </c>
      <c r="E32" s="131" t="e">
        <f>360/E31</f>
        <v>#REF!</v>
      </c>
      <c r="F32" s="131" t="e">
        <f>360/F31</f>
        <v>#REF!</v>
      </c>
      <c r="G32" s="131" t="e">
        <f>360/G31</f>
        <v>#REF!</v>
      </c>
      <c r="H32" s="289" t="e">
        <f t="shared" si="10"/>
        <v>#REF!</v>
      </c>
      <c r="I32" s="289" t="e">
        <f t="shared" si="11"/>
        <v>#REF!</v>
      </c>
      <c r="J32" s="132" t="str">
        <f>IFERROR(E32/F32,"")</f>
        <v/>
      </c>
      <c r="K32" s="133" t="str">
        <f>IFERROR(E32/G32,"")</f>
        <v/>
      </c>
    </row>
    <row r="33" spans="2:11" x14ac:dyDescent="0.25">
      <c r="B33" s="134" t="s">
        <v>15</v>
      </c>
      <c r="C33" s="258" t="s">
        <v>420</v>
      </c>
      <c r="D33" s="129"/>
      <c r="E33" s="140" t="e">
        <f>E6/E14</f>
        <v>#REF!</v>
      </c>
      <c r="F33" s="140" t="e">
        <f>F6/F14</f>
        <v>#REF!</v>
      </c>
      <c r="G33" s="140" t="e">
        <f>G6/G14</f>
        <v>#REF!</v>
      </c>
      <c r="H33" s="225" t="e">
        <f t="shared" si="10"/>
        <v>#REF!</v>
      </c>
      <c r="I33" s="225" t="e">
        <f t="shared" si="11"/>
        <v>#REF!</v>
      </c>
      <c r="J33" s="132" t="str">
        <f>IFERROR(E33/F33,"")</f>
        <v/>
      </c>
      <c r="K33" s="133" t="str">
        <f>IFERROR(E33/G33,"")</f>
        <v/>
      </c>
    </row>
    <row r="34" spans="2:11" ht="15" customHeight="1" x14ac:dyDescent="0.25">
      <c r="B34" s="134"/>
      <c r="C34" s="258" t="s">
        <v>421</v>
      </c>
      <c r="D34" s="129" t="s">
        <v>404</v>
      </c>
      <c r="E34" s="131" t="e">
        <f>360/E33</f>
        <v>#REF!</v>
      </c>
      <c r="F34" s="131" t="e">
        <f>360/F33</f>
        <v>#REF!</v>
      </c>
      <c r="G34" s="131" t="e">
        <f>360/G33</f>
        <v>#REF!</v>
      </c>
      <c r="H34" s="289" t="e">
        <f t="shared" si="10"/>
        <v>#REF!</v>
      </c>
      <c r="I34" s="289" t="e">
        <f t="shared" si="11"/>
        <v>#REF!</v>
      </c>
      <c r="J34" s="132" t="str">
        <f t="shared" ref="J34" si="12">IFERROR(E34/F34,"")</f>
        <v/>
      </c>
      <c r="K34" s="133" t="str">
        <f t="shared" ref="K34" si="13">IFERROR(E34/G34,"")</f>
        <v/>
      </c>
    </row>
    <row r="35" spans="2:11" ht="30" x14ac:dyDescent="0.25">
      <c r="B35" s="134" t="s">
        <v>386</v>
      </c>
      <c r="C35" s="258" t="s">
        <v>422</v>
      </c>
      <c r="D35" s="129"/>
      <c r="E35" s="140" t="e">
        <f>E13/E14</f>
        <v>#REF!</v>
      </c>
      <c r="F35" s="140" t="e">
        <f t="shared" ref="F35:G35" si="14">F13/F14</f>
        <v>#REF!</v>
      </c>
      <c r="G35" s="140" t="e">
        <f t="shared" si="14"/>
        <v>#REF!</v>
      </c>
      <c r="H35" s="225" t="e">
        <f t="shared" si="10"/>
        <v>#REF!</v>
      </c>
      <c r="I35" s="225" t="e">
        <f t="shared" si="11"/>
        <v>#REF!</v>
      </c>
      <c r="J35" s="132" t="str">
        <f>IFERROR(E35/F35,"")</f>
        <v/>
      </c>
      <c r="K35" s="133" t="str">
        <f>IFERROR(E35/G35,"")</f>
        <v/>
      </c>
    </row>
    <row r="36" spans="2:11" x14ac:dyDescent="0.25">
      <c r="B36" s="134" t="s">
        <v>387</v>
      </c>
      <c r="C36" s="291" t="s">
        <v>423</v>
      </c>
      <c r="D36" s="143"/>
      <c r="E36" s="152" t="e">
        <f>E6/(#REF!+#REF!)/2</f>
        <v>#REF!</v>
      </c>
      <c r="F36" s="152" t="e">
        <f>F6/(#REF!+#REF!)/2</f>
        <v>#REF!</v>
      </c>
      <c r="G36" s="152" t="e">
        <f>G6/(#REF!+#REF!)/2</f>
        <v>#REF!</v>
      </c>
      <c r="H36" s="228" t="e">
        <f t="shared" si="10"/>
        <v>#REF!</v>
      </c>
      <c r="I36" s="228" t="e">
        <f t="shared" si="11"/>
        <v>#REF!</v>
      </c>
      <c r="J36" s="144" t="str">
        <f>IFERROR(E36/F36,"")</f>
        <v/>
      </c>
      <c r="K36" s="145" t="str">
        <f>IFERROR(E36/G36,"")</f>
        <v/>
      </c>
    </row>
    <row r="37" spans="2:11" ht="15.75" x14ac:dyDescent="0.25">
      <c r="B37" s="147" t="s">
        <v>424</v>
      </c>
      <c r="C37" s="220"/>
      <c r="D37" s="221"/>
      <c r="E37" s="222"/>
      <c r="F37" s="222"/>
      <c r="G37" s="222"/>
      <c r="H37" s="222"/>
      <c r="I37" s="222"/>
      <c r="J37" s="223" t="str">
        <f t="shared" ref="J37:J41" si="15">IFERROR(E37/F37,"")</f>
        <v/>
      </c>
      <c r="K37" s="224" t="str">
        <f t="shared" ref="K37:K41" si="16">IFERROR(E37/G37,"")</f>
        <v/>
      </c>
    </row>
    <row r="38" spans="2:11" x14ac:dyDescent="0.25">
      <c r="B38" s="260" t="s">
        <v>470</v>
      </c>
      <c r="C38" s="261" t="s">
        <v>425</v>
      </c>
      <c r="D38" s="287" t="s">
        <v>404</v>
      </c>
      <c r="E38" s="289" t="e">
        <f>E28+E32</f>
        <v>#REF!</v>
      </c>
      <c r="F38" s="289" t="e">
        <f>F28+F32</f>
        <v>#REF!</v>
      </c>
      <c r="G38" s="289" t="e">
        <f>G28+G32</f>
        <v>#REF!</v>
      </c>
      <c r="H38" s="289" t="e">
        <f t="shared" ref="H38:H41" si="17">E38-F38</f>
        <v>#REF!</v>
      </c>
      <c r="I38" s="289" t="e">
        <f t="shared" ref="I38:I41" si="18">E38-G38</f>
        <v>#REF!</v>
      </c>
      <c r="J38" s="226" t="str">
        <f t="shared" si="15"/>
        <v/>
      </c>
      <c r="K38" s="227" t="str">
        <f t="shared" si="16"/>
        <v/>
      </c>
    </row>
    <row r="39" spans="2:11" x14ac:dyDescent="0.25">
      <c r="B39" s="15" t="s">
        <v>471</v>
      </c>
      <c r="C39" s="128" t="s">
        <v>426</v>
      </c>
      <c r="D39" s="129" t="s">
        <v>404</v>
      </c>
      <c r="E39" s="131" t="e">
        <f>E38-E34</f>
        <v>#REF!</v>
      </c>
      <c r="F39" s="131" t="e">
        <f>F38-F34</f>
        <v>#REF!</v>
      </c>
      <c r="G39" s="131" t="e">
        <f>G38-G34</f>
        <v>#REF!</v>
      </c>
      <c r="H39" s="131" t="e">
        <f t="shared" si="17"/>
        <v>#REF!</v>
      </c>
      <c r="I39" s="131" t="e">
        <f t="shared" si="18"/>
        <v>#REF!</v>
      </c>
      <c r="J39" s="132" t="str">
        <f t="shared" si="15"/>
        <v/>
      </c>
      <c r="K39" s="133" t="str">
        <f t="shared" si="16"/>
        <v/>
      </c>
    </row>
    <row r="40" spans="2:11" x14ac:dyDescent="0.25">
      <c r="B40" s="15" t="s">
        <v>472</v>
      </c>
      <c r="C40" s="128" t="s">
        <v>427</v>
      </c>
      <c r="D40" s="129" t="s">
        <v>428</v>
      </c>
      <c r="E40" s="130">
        <f>Пояснения!D23</f>
        <v>0</v>
      </c>
      <c r="F40" s="130">
        <f>Пояснения!E23</f>
        <v>0</v>
      </c>
      <c r="G40" s="130">
        <f>Пояснения!F23</f>
        <v>0</v>
      </c>
      <c r="H40" s="131">
        <f t="shared" si="17"/>
        <v>0</v>
      </c>
      <c r="I40" s="131">
        <f t="shared" si="18"/>
        <v>0</v>
      </c>
      <c r="J40" s="132" t="str">
        <f t="shared" si="15"/>
        <v/>
      </c>
      <c r="K40" s="133" t="str">
        <f t="shared" si="16"/>
        <v/>
      </c>
    </row>
    <row r="41" spans="2:11" ht="25.5" x14ac:dyDescent="0.25">
      <c r="B41" s="141" t="s">
        <v>473</v>
      </c>
      <c r="C41" s="142" t="s">
        <v>429</v>
      </c>
      <c r="D41" s="143" t="s">
        <v>430</v>
      </c>
      <c r="E41" s="219" t="e">
        <f>E6/E40</f>
        <v>#REF!</v>
      </c>
      <c r="F41" s="219" t="e">
        <f>F6/F40</f>
        <v>#REF!</v>
      </c>
      <c r="G41" s="219" t="e">
        <f>G6/G40</f>
        <v>#REF!</v>
      </c>
      <c r="H41" s="219" t="e">
        <f t="shared" si="17"/>
        <v>#REF!</v>
      </c>
      <c r="I41" s="219" t="e">
        <f t="shared" si="18"/>
        <v>#REF!</v>
      </c>
      <c r="J41" s="144" t="str">
        <f t="shared" si="15"/>
        <v/>
      </c>
      <c r="K41" s="145" t="str">
        <f t="shared" si="16"/>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4" orientation="landscape" r:id="rId1"/>
  <rowBreaks count="1" manualBreakCount="1">
    <brk id="29"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B2:E12"/>
  <sheetViews>
    <sheetView zoomScaleNormal="100" workbookViewId="0">
      <selection activeCell="T26" sqref="T26"/>
    </sheetView>
  </sheetViews>
  <sheetFormatPr defaultRowHeight="15" x14ac:dyDescent="0.25"/>
  <cols>
    <col min="1" max="1" width="1.7109375" style="1" customWidth="1"/>
    <col min="2" max="5" width="10.7109375" style="1" customWidth="1"/>
    <col min="6" max="16384" width="9.140625" style="1"/>
  </cols>
  <sheetData>
    <row r="2" spans="2:5" x14ac:dyDescent="0.25">
      <c r="C2" s="267" t="e">
        <f>Оборачиваемость!E4</f>
        <v>#REF!</v>
      </c>
      <c r="D2" s="267" t="e">
        <f>Оборачиваемость!F4</f>
        <v>#REF!</v>
      </c>
      <c r="E2" s="267" t="e">
        <f>Оборачиваемость!G4</f>
        <v>#REF!</v>
      </c>
    </row>
    <row r="3" spans="2:5" ht="60" x14ac:dyDescent="0.25">
      <c r="B3" s="297" t="s">
        <v>402</v>
      </c>
      <c r="C3" s="298" t="e">
        <f>Оборачиваемость!E16</f>
        <v>#REF!</v>
      </c>
      <c r="D3" s="298" t="e">
        <f>Оборачиваемость!F16</f>
        <v>#REF!</v>
      </c>
      <c r="E3" s="298" t="e">
        <f>Оборачиваемость!G16</f>
        <v>#REF!</v>
      </c>
    </row>
    <row r="4" spans="2:5" ht="75" x14ac:dyDescent="0.25">
      <c r="B4" s="297" t="s">
        <v>403</v>
      </c>
      <c r="C4" s="299" t="e">
        <f>Оборачиваемость!E17</f>
        <v>#REF!</v>
      </c>
      <c r="D4" s="299" t="e">
        <f>Оборачиваемость!F17</f>
        <v>#REF!</v>
      </c>
      <c r="E4" s="299" t="e">
        <f>Оборачиваемость!G17</f>
        <v>#REF!</v>
      </c>
    </row>
    <row r="6" spans="2:5" x14ac:dyDescent="0.25">
      <c r="B6" s="1" t="s">
        <v>414</v>
      </c>
      <c r="C6" s="298" t="e">
        <f>Оборачиваемость!E27</f>
        <v>#REF!</v>
      </c>
      <c r="D6" s="298" t="e">
        <f>Оборачиваемость!F27</f>
        <v>#REF!</v>
      </c>
      <c r="E6" s="298" t="e">
        <f>Оборачиваемость!G27</f>
        <v>#REF!</v>
      </c>
    </row>
    <row r="7" spans="2:5" x14ac:dyDescent="0.25">
      <c r="B7" s="1" t="s">
        <v>415</v>
      </c>
      <c r="C7" s="299" t="e">
        <f>Оборачиваемость!E28</f>
        <v>#REF!</v>
      </c>
      <c r="D7" s="299" t="e">
        <f>Оборачиваемость!F28</f>
        <v>#REF!</v>
      </c>
      <c r="E7" s="299" t="e">
        <f>Оборачиваемость!G28</f>
        <v>#REF!</v>
      </c>
    </row>
    <row r="9" spans="2:5" x14ac:dyDescent="0.25">
      <c r="B9" s="1" t="s">
        <v>418</v>
      </c>
      <c r="C9" s="298" t="e">
        <f>Оборачиваемость!E31</f>
        <v>#REF!</v>
      </c>
      <c r="D9" s="298" t="e">
        <f>Оборачиваемость!F31</f>
        <v>#REF!</v>
      </c>
      <c r="E9" s="298" t="e">
        <f>Оборачиваемость!G31</f>
        <v>#REF!</v>
      </c>
    </row>
    <row r="10" spans="2:5" x14ac:dyDescent="0.25">
      <c r="B10" s="1" t="s">
        <v>419</v>
      </c>
      <c r="C10" s="299" t="e">
        <f>Оборачиваемость!E32</f>
        <v>#REF!</v>
      </c>
      <c r="D10" s="299" t="e">
        <f>Оборачиваемость!F32</f>
        <v>#REF!</v>
      </c>
      <c r="E10" s="299" t="e">
        <f>Оборачиваемость!G32</f>
        <v>#REF!</v>
      </c>
    </row>
    <row r="11" spans="2:5" x14ac:dyDescent="0.25">
      <c r="B11" s="1" t="s">
        <v>420</v>
      </c>
      <c r="C11" s="298" t="e">
        <f>Оборачиваемость!E33</f>
        <v>#REF!</v>
      </c>
      <c r="D11" s="298" t="e">
        <f>Оборачиваемость!F33</f>
        <v>#REF!</v>
      </c>
      <c r="E11" s="298" t="e">
        <f>Оборачиваемость!G33</f>
        <v>#REF!</v>
      </c>
    </row>
    <row r="12" spans="2:5" x14ac:dyDescent="0.25">
      <c r="B12" s="1" t="s">
        <v>421</v>
      </c>
      <c r="C12" s="299" t="e">
        <f>Оборачиваемость!E34</f>
        <v>#REF!</v>
      </c>
      <c r="D12" s="299" t="e">
        <f>Оборачиваемость!F34</f>
        <v>#REF!</v>
      </c>
      <c r="E12" s="299" t="e">
        <f>Оборачиваемость!G34</f>
        <v>#REF!</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M18"/>
  <sheetViews>
    <sheetView zoomScaleNormal="100" zoomScaleSheetLayoutView="100" workbookViewId="0">
      <selection activeCell="E10" sqref="E10"/>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3" s="3" customFormat="1" ht="18.75" x14ac:dyDescent="0.3">
      <c r="A1" s="3" t="s">
        <v>661</v>
      </c>
    </row>
    <row r="3" spans="1:13" ht="30" customHeight="1" x14ac:dyDescent="0.25">
      <c r="B3" s="542" t="s">
        <v>170</v>
      </c>
      <c r="C3" s="550" t="s">
        <v>92</v>
      </c>
      <c r="D3" s="542" t="s">
        <v>171</v>
      </c>
      <c r="E3" s="550" t="s">
        <v>172</v>
      </c>
      <c r="F3" s="550"/>
      <c r="G3" s="550"/>
      <c r="H3" s="548" t="e">
        <f>"Изменение, "&amp;#REF!</f>
        <v>#REF!</v>
      </c>
      <c r="I3" s="549"/>
      <c r="J3" s="548" t="s">
        <v>174</v>
      </c>
      <c r="K3" s="549"/>
    </row>
    <row r="4" spans="1:13"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row>
    <row r="5" spans="1:13" ht="15.75" x14ac:dyDescent="0.25">
      <c r="B5" s="147" t="s">
        <v>234</v>
      </c>
      <c r="C5" s="148"/>
      <c r="D5" s="148"/>
      <c r="E5" s="148"/>
      <c r="F5" s="148"/>
      <c r="G5" s="148"/>
      <c r="H5" s="148"/>
      <c r="I5" s="148"/>
      <c r="J5" s="148"/>
      <c r="K5" s="149"/>
    </row>
    <row r="6" spans="1:13" x14ac:dyDescent="0.25">
      <c r="B6" s="15" t="s">
        <v>3</v>
      </c>
      <c r="C6" s="128" t="s">
        <v>401</v>
      </c>
      <c r="D6" s="129" t="e">
        <f>#REF!</f>
        <v>#REF!</v>
      </c>
      <c r="E6" s="130" t="e">
        <f>#REF!</f>
        <v>#REF!</v>
      </c>
      <c r="F6" s="130" t="e">
        <f>#REF!</f>
        <v>#REF!</v>
      </c>
      <c r="G6" s="130" t="e">
        <f>#REF!</f>
        <v>#REF!</v>
      </c>
      <c r="H6" s="131" t="e">
        <f t="shared" ref="H6:H12" si="0">E6-F6</f>
        <v>#REF!</v>
      </c>
      <c r="I6" s="131" t="e">
        <f t="shared" ref="I6:I12" si="1">E6-G6</f>
        <v>#REF!</v>
      </c>
      <c r="J6" s="132" t="str">
        <f t="shared" ref="J6:J12" si="2">IFERROR(E6/F6,"")</f>
        <v/>
      </c>
      <c r="K6" s="133" t="str">
        <f t="shared" ref="K6:K12" si="3">IFERROR(E6/G6,"")</f>
        <v/>
      </c>
    </row>
    <row r="7" spans="1:13" x14ac:dyDescent="0.25">
      <c r="B7" s="15" t="s">
        <v>4</v>
      </c>
      <c r="C7" s="128" t="s">
        <v>63</v>
      </c>
      <c r="D7" s="129" t="e">
        <f>#REF!</f>
        <v>#REF!</v>
      </c>
      <c r="E7" s="130" t="e">
        <f>#REF!</f>
        <v>#REF!</v>
      </c>
      <c r="F7" s="130" t="e">
        <f>#REF!</f>
        <v>#REF!</v>
      </c>
      <c r="G7" s="130" t="e">
        <f>#REF!</f>
        <v>#REF!</v>
      </c>
      <c r="H7" s="131" t="e">
        <f t="shared" si="0"/>
        <v>#REF!</v>
      </c>
      <c r="I7" s="131" t="e">
        <f t="shared" si="1"/>
        <v>#REF!</v>
      </c>
      <c r="J7" s="132" t="str">
        <f t="shared" si="2"/>
        <v/>
      </c>
      <c r="K7" s="133" t="str">
        <f t="shared" si="3"/>
        <v/>
      </c>
    </row>
    <row r="8" spans="1:13" x14ac:dyDescent="0.25">
      <c r="B8" s="15" t="s">
        <v>5</v>
      </c>
      <c r="C8" s="128" t="s">
        <v>69</v>
      </c>
      <c r="D8" s="129" t="e">
        <f>#REF!</f>
        <v>#REF!</v>
      </c>
      <c r="E8" s="130" t="e">
        <f>#REF!</f>
        <v>#REF!</v>
      </c>
      <c r="F8" s="130" t="e">
        <f>#REF!</f>
        <v>#REF!</v>
      </c>
      <c r="G8" s="130" t="e">
        <f>#REF!</f>
        <v>#REF!</v>
      </c>
      <c r="H8" s="131" t="e">
        <f t="shared" si="0"/>
        <v>#REF!</v>
      </c>
      <c r="I8" s="131" t="e">
        <f t="shared" si="1"/>
        <v>#REF!</v>
      </c>
      <c r="J8" s="132" t="str">
        <f t="shared" si="2"/>
        <v/>
      </c>
      <c r="K8" s="133" t="str">
        <f t="shared" si="3"/>
        <v/>
      </c>
    </row>
    <row r="9" spans="1:13" x14ac:dyDescent="0.25">
      <c r="B9" s="15" t="s">
        <v>6</v>
      </c>
      <c r="C9" s="128" t="s">
        <v>75</v>
      </c>
      <c r="D9" s="129" t="e">
        <f>#REF!</f>
        <v>#REF!</v>
      </c>
      <c r="E9" s="130" t="e">
        <f>#REF!</f>
        <v>#REF!</v>
      </c>
      <c r="F9" s="130" t="e">
        <f>#REF!</f>
        <v>#REF!</v>
      </c>
      <c r="G9" s="130" t="e">
        <f>#REF!</f>
        <v>#REF!</v>
      </c>
      <c r="H9" s="131" t="e">
        <f t="shared" si="0"/>
        <v>#REF!</v>
      </c>
      <c r="I9" s="131" t="e">
        <f t="shared" si="1"/>
        <v>#REF!</v>
      </c>
      <c r="J9" s="132" t="str">
        <f t="shared" si="2"/>
        <v/>
      </c>
      <c r="K9" s="133" t="str">
        <f t="shared" si="3"/>
        <v/>
      </c>
    </row>
    <row r="10" spans="1:13" x14ac:dyDescent="0.25">
      <c r="B10" s="15" t="s">
        <v>189</v>
      </c>
      <c r="C10" s="128" t="s">
        <v>93</v>
      </c>
      <c r="D10" s="129" t="e">
        <f>#REF!</f>
        <v>#REF!</v>
      </c>
      <c r="E10" s="130" t="e">
        <f>Пояснения!D52</f>
        <v>#REF!</v>
      </c>
      <c r="F10" s="130" t="e">
        <f>Пояснения!E52</f>
        <v>#REF!</v>
      </c>
      <c r="G10" s="130" t="e">
        <f>Пояснения!F52</f>
        <v>#REF!</v>
      </c>
      <c r="H10" s="131" t="e">
        <f t="shared" si="0"/>
        <v>#REF!</v>
      </c>
      <c r="I10" s="131" t="e">
        <f t="shared" si="1"/>
        <v>#REF!</v>
      </c>
      <c r="J10" s="132" t="str">
        <f t="shared" si="2"/>
        <v/>
      </c>
      <c r="K10" s="133" t="str">
        <f t="shared" si="3"/>
        <v/>
      </c>
    </row>
    <row r="11" spans="1:13" x14ac:dyDescent="0.25">
      <c r="B11" s="15" t="s">
        <v>312</v>
      </c>
      <c r="C11" s="128" t="s">
        <v>475</v>
      </c>
      <c r="D11" s="129" t="e">
        <f>#REF!</f>
        <v>#REF!</v>
      </c>
      <c r="E11" s="130" t="e">
        <f>Пояснения!D53</f>
        <v>#REF!</v>
      </c>
      <c r="F11" s="130" t="e">
        <f>Пояснения!E53</f>
        <v>#REF!</v>
      </c>
      <c r="G11" s="130" t="e">
        <f>Пояснения!F53</f>
        <v>#REF!</v>
      </c>
      <c r="H11" s="131" t="e">
        <f t="shared" si="0"/>
        <v>#REF!</v>
      </c>
      <c r="I11" s="131" t="e">
        <f t="shared" si="1"/>
        <v>#REF!</v>
      </c>
      <c r="J11" s="132" t="str">
        <f t="shared" si="2"/>
        <v/>
      </c>
      <c r="K11" s="133" t="str">
        <f t="shared" si="3"/>
        <v/>
      </c>
    </row>
    <row r="12" spans="1:13" x14ac:dyDescent="0.25">
      <c r="B12" s="15" t="s">
        <v>313</v>
      </c>
      <c r="C12" s="128" t="s">
        <v>476</v>
      </c>
      <c r="D12" s="129" t="e">
        <f>#REF!</f>
        <v>#REF!</v>
      </c>
      <c r="E12" s="130" t="e">
        <f>-(#REF!+#REF!+#REF!)</f>
        <v>#REF!</v>
      </c>
      <c r="F12" s="130" t="e">
        <f>-(#REF!+#REF!+#REF!)</f>
        <v>#REF!</v>
      </c>
      <c r="G12" s="130" t="e">
        <f>-(#REF!+#REF!+#REF!)</f>
        <v>#REF!</v>
      </c>
      <c r="H12" s="131" t="e">
        <f t="shared" si="0"/>
        <v>#REF!</v>
      </c>
      <c r="I12" s="131" t="e">
        <f t="shared" si="1"/>
        <v>#REF!</v>
      </c>
      <c r="J12" s="132" t="str">
        <f t="shared" si="2"/>
        <v/>
      </c>
      <c r="K12" s="133" t="str">
        <f t="shared" si="3"/>
        <v/>
      </c>
    </row>
    <row r="13" spans="1:13" ht="15.75" x14ac:dyDescent="0.25">
      <c r="B13" s="147" t="s">
        <v>477</v>
      </c>
      <c r="C13" s="148"/>
      <c r="D13" s="148"/>
      <c r="E13" s="148"/>
      <c r="F13" s="148"/>
      <c r="G13" s="148"/>
      <c r="H13" s="148"/>
      <c r="I13" s="148"/>
      <c r="J13" s="148"/>
      <c r="K13" s="149"/>
    </row>
    <row r="14" spans="1:13" x14ac:dyDescent="0.25">
      <c r="B14" s="265" t="s">
        <v>7</v>
      </c>
      <c r="C14" s="128" t="s">
        <v>478</v>
      </c>
      <c r="D14" s="129"/>
      <c r="E14" s="132" t="str">
        <f>IFERROR(E8/E10,"")</f>
        <v/>
      </c>
      <c r="F14" s="132" t="str">
        <f t="shared" ref="F14:G14" si="4">IFERROR(F8/F10,"")</f>
        <v/>
      </c>
      <c r="G14" s="132" t="str">
        <f t="shared" si="4"/>
        <v/>
      </c>
      <c r="H14" s="226" t="e">
        <f t="shared" ref="H14:H18" si="5">E14-F14</f>
        <v>#VALUE!</v>
      </c>
      <c r="I14" s="226" t="e">
        <f t="shared" ref="I14:I18" si="6">E14-G14</f>
        <v>#VALUE!</v>
      </c>
      <c r="J14" s="132" t="str">
        <f t="shared" ref="J14:J18" si="7">IFERROR(E14/F14,"")</f>
        <v/>
      </c>
      <c r="K14" s="133" t="str">
        <f t="shared" ref="K14:K18" si="8">IFERROR(E14/G14,"")</f>
        <v/>
      </c>
    </row>
    <row r="15" spans="1:13" ht="30" x14ac:dyDescent="0.25">
      <c r="B15" s="15" t="s">
        <v>8</v>
      </c>
      <c r="C15" s="128" t="s">
        <v>479</v>
      </c>
      <c r="D15" s="129"/>
      <c r="E15" s="132" t="str">
        <f>IFERROR(E9/E11,"")</f>
        <v/>
      </c>
      <c r="F15" s="132" t="str">
        <f t="shared" ref="F15:G15" si="9">IFERROR(F9/F11,"")</f>
        <v/>
      </c>
      <c r="G15" s="132" t="str">
        <f t="shared" si="9"/>
        <v/>
      </c>
      <c r="H15" s="226" t="e">
        <f t="shared" si="5"/>
        <v>#VALUE!</v>
      </c>
      <c r="I15" s="226" t="e">
        <f t="shared" si="6"/>
        <v>#VALUE!</v>
      </c>
      <c r="J15" s="132" t="str">
        <f t="shared" si="7"/>
        <v/>
      </c>
      <c r="K15" s="133" t="str">
        <f t="shared" si="8"/>
        <v/>
      </c>
    </row>
    <row r="16" spans="1:13" ht="30" x14ac:dyDescent="0.25">
      <c r="B16" s="15" t="s">
        <v>9</v>
      </c>
      <c r="C16" s="128" t="s">
        <v>480</v>
      </c>
      <c r="D16" s="129"/>
      <c r="E16" s="132" t="str">
        <f>IFERROR(E9/E6,"")</f>
        <v/>
      </c>
      <c r="F16" s="132" t="str">
        <f t="shared" ref="F16:G16" si="10">IFERROR(F9/F6,"")</f>
        <v/>
      </c>
      <c r="G16" s="132" t="str">
        <f t="shared" si="10"/>
        <v/>
      </c>
      <c r="H16" s="226" t="e">
        <f t="shared" si="5"/>
        <v>#VALUE!</v>
      </c>
      <c r="I16" s="226" t="e">
        <f t="shared" si="6"/>
        <v>#VALUE!</v>
      </c>
      <c r="J16" s="132" t="str">
        <f t="shared" si="7"/>
        <v/>
      </c>
      <c r="K16" s="133" t="str">
        <f t="shared" si="8"/>
        <v/>
      </c>
    </row>
    <row r="17" spans="2:11" ht="30" x14ac:dyDescent="0.25">
      <c r="B17" s="15" t="s">
        <v>10</v>
      </c>
      <c r="C17" s="128" t="s">
        <v>481</v>
      </c>
      <c r="D17" s="129"/>
      <c r="E17" s="132" t="str">
        <f>IFERROR(E7/E6,"")</f>
        <v/>
      </c>
      <c r="F17" s="132" t="str">
        <f t="shared" ref="F17:G17" si="11">IFERROR(F7/F6,"")</f>
        <v/>
      </c>
      <c r="G17" s="132" t="str">
        <f t="shared" si="11"/>
        <v/>
      </c>
      <c r="H17" s="226" t="e">
        <f t="shared" si="5"/>
        <v>#VALUE!</v>
      </c>
      <c r="I17" s="226" t="e">
        <f t="shared" si="6"/>
        <v>#VALUE!</v>
      </c>
      <c r="J17" s="132" t="str">
        <f t="shared" si="7"/>
        <v/>
      </c>
      <c r="K17" s="133" t="str">
        <f t="shared" si="8"/>
        <v/>
      </c>
    </row>
    <row r="18" spans="2:11" x14ac:dyDescent="0.25">
      <c r="B18" s="141" t="s">
        <v>11</v>
      </c>
      <c r="C18" s="142" t="s">
        <v>482</v>
      </c>
      <c r="D18" s="143"/>
      <c r="E18" s="144" t="str">
        <f>IFERROR(E9/E12,"")</f>
        <v/>
      </c>
      <c r="F18" s="144" t="str">
        <f t="shared" ref="F18:G18" si="12">IFERROR(F9/F12,"")</f>
        <v/>
      </c>
      <c r="G18" s="144" t="str">
        <f t="shared" si="12"/>
        <v/>
      </c>
      <c r="H18" s="229" t="e">
        <f t="shared" si="5"/>
        <v>#VALUE!</v>
      </c>
      <c r="I18" s="229" t="e">
        <f t="shared" si="6"/>
        <v>#VALUE!</v>
      </c>
      <c r="J18" s="144" t="str">
        <f t="shared" si="7"/>
        <v/>
      </c>
      <c r="K18" s="145" t="str">
        <f t="shared" si="8"/>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
  <sheetViews>
    <sheetView workbookViewId="0">
      <selection activeCell="O32" sqref="O32"/>
    </sheetView>
  </sheetViews>
  <sheetFormatPr defaultRowHeight="15" x14ac:dyDescent="0.25"/>
  <cols>
    <col min="1" max="16384" width="9.140625" style="1"/>
  </cols>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H24"/>
  <sheetViews>
    <sheetView zoomScaleNormal="100" zoomScaleSheetLayoutView="100" workbookViewId="0">
      <selection activeCell="Q18" sqref="Q18"/>
    </sheetView>
  </sheetViews>
  <sheetFormatPr defaultRowHeight="15" x14ac:dyDescent="0.25"/>
  <cols>
    <col min="1" max="1" width="1.7109375" style="1" customWidth="1"/>
    <col min="2" max="2" width="50.5703125" style="1" customWidth="1"/>
    <col min="3" max="8" width="12.7109375" style="1" customWidth="1"/>
    <col min="9" max="9" width="1.7109375" style="1" customWidth="1"/>
    <col min="10" max="16384" width="9.140625" style="1"/>
  </cols>
  <sheetData>
    <row r="1" spans="1:8" s="507" customFormat="1" ht="18.75" x14ac:dyDescent="0.3">
      <c r="A1" s="507" t="e">
        <f>CONCATENATE("Анализ структуры отчета о финансовых результатах ",#REF!)</f>
        <v>#REF!</v>
      </c>
    </row>
    <row r="3" spans="1:8" x14ac:dyDescent="0.25">
      <c r="B3" s="535" t="s">
        <v>16</v>
      </c>
      <c r="C3" s="538" t="s">
        <v>104</v>
      </c>
      <c r="D3" s="538"/>
      <c r="E3" s="538"/>
      <c r="F3" s="538"/>
      <c r="G3" s="538"/>
      <c r="H3" s="538"/>
    </row>
    <row r="4" spans="1:8" ht="15" customHeight="1" x14ac:dyDescent="0.25">
      <c r="B4" s="535"/>
      <c r="C4" s="535" t="e">
        <f>"Абсолютное изменение, "&amp;#REF!</f>
        <v>#REF!</v>
      </c>
      <c r="D4" s="535"/>
      <c r="E4" s="535"/>
      <c r="F4" s="535" t="s">
        <v>106</v>
      </c>
      <c r="G4" s="535"/>
      <c r="H4" s="535"/>
    </row>
    <row r="5" spans="1:8" x14ac:dyDescent="0.25">
      <c r="B5" s="535"/>
      <c r="C5" s="34" t="e">
        <f>#REF!&amp;" - "&amp;#REF!</f>
        <v>#REF!</v>
      </c>
      <c r="D5" s="34" t="e">
        <f>#REF!&amp;" - "&amp;#REF!</f>
        <v>#REF!</v>
      </c>
      <c r="E5" s="34" t="e">
        <f>#REF!&amp;" - "&amp;#REF!</f>
        <v>#REF!</v>
      </c>
      <c r="F5" s="34" t="e">
        <f>#REF!&amp;" / "&amp;#REF!</f>
        <v>#REF!</v>
      </c>
      <c r="G5" s="34" t="e">
        <f>#REF!&amp;" / "&amp;#REF!</f>
        <v>#REF!</v>
      </c>
      <c r="H5" s="34" t="e">
        <f>#REF!&amp;" / "&amp;#REF!</f>
        <v>#REF!</v>
      </c>
    </row>
    <row r="6" spans="1:8" s="35" customFormat="1" ht="11.25" x14ac:dyDescent="0.2">
      <c r="B6" s="36">
        <v>1</v>
      </c>
      <c r="C6" s="36">
        <f>B6+1</f>
        <v>2</v>
      </c>
      <c r="D6" s="36">
        <f t="shared" ref="D6:H6" si="0">C6+1</f>
        <v>3</v>
      </c>
      <c r="E6" s="36">
        <f t="shared" si="0"/>
        <v>4</v>
      </c>
      <c r="F6" s="36">
        <f t="shared" si="0"/>
        <v>5</v>
      </c>
      <c r="G6" s="36">
        <f t="shared" si="0"/>
        <v>6</v>
      </c>
      <c r="H6" s="36">
        <f t="shared" si="0"/>
        <v>7</v>
      </c>
    </row>
    <row r="7" spans="1:8" x14ac:dyDescent="0.25">
      <c r="B7" s="413" t="s">
        <v>58</v>
      </c>
      <c r="C7" s="27" t="e">
        <f>#REF!-#REF!</f>
        <v>#REF!</v>
      </c>
      <c r="D7" s="27" t="e">
        <f>#REF!-#REF!</f>
        <v>#REF!</v>
      </c>
      <c r="E7" s="27" t="e">
        <f>#REF!-#REF!</f>
        <v>#REF!</v>
      </c>
      <c r="F7" s="416" t="str">
        <f>IFERROR(#REF!/#REF!,"")</f>
        <v/>
      </c>
      <c r="G7" s="416" t="str">
        <f>IFERROR(#REF!/#REF!,"")</f>
        <v/>
      </c>
      <c r="H7" s="417" t="str">
        <f>IFERROR(#REF!/#REF!,"")</f>
        <v/>
      </c>
    </row>
    <row r="8" spans="1:8" x14ac:dyDescent="0.25">
      <c r="B8" s="414" t="s">
        <v>59</v>
      </c>
      <c r="C8" s="32" t="e">
        <f>#REF!-#REF!</f>
        <v>#REF!</v>
      </c>
      <c r="D8" s="32" t="e">
        <f>#REF!-#REF!</f>
        <v>#REF!</v>
      </c>
      <c r="E8" s="32" t="e">
        <f>#REF!-#REF!</f>
        <v>#REF!</v>
      </c>
      <c r="F8" s="418" t="str">
        <f>IFERROR(#REF!/#REF!,"")</f>
        <v/>
      </c>
      <c r="G8" s="418" t="str">
        <f>IFERROR(#REF!/#REF!,"")</f>
        <v/>
      </c>
      <c r="H8" s="419" t="str">
        <f>IFERROR(#REF!/#REF!,"")</f>
        <v/>
      </c>
    </row>
    <row r="9" spans="1:8" x14ac:dyDescent="0.25">
      <c r="B9" s="422" t="s">
        <v>60</v>
      </c>
      <c r="C9" s="69" t="e">
        <f>#REF!-#REF!</f>
        <v>#REF!</v>
      </c>
      <c r="D9" s="69" t="e">
        <f>#REF!-#REF!</f>
        <v>#REF!</v>
      </c>
      <c r="E9" s="69" t="e">
        <f>#REF!-#REF!</f>
        <v>#REF!</v>
      </c>
      <c r="F9" s="423" t="str">
        <f>IFERROR(#REF!/#REF!,"")</f>
        <v/>
      </c>
      <c r="G9" s="423" t="str">
        <f>IFERROR(#REF!/#REF!,"")</f>
        <v/>
      </c>
      <c r="H9" s="424" t="str">
        <f>IFERROR(#REF!/#REF!,"")</f>
        <v/>
      </c>
    </row>
    <row r="10" spans="1:8" x14ac:dyDescent="0.25">
      <c r="B10" s="414" t="s">
        <v>61</v>
      </c>
      <c r="C10" s="32" t="e">
        <f>#REF!-#REF!</f>
        <v>#REF!</v>
      </c>
      <c r="D10" s="32" t="e">
        <f>#REF!-#REF!</f>
        <v>#REF!</v>
      </c>
      <c r="E10" s="32" t="e">
        <f>#REF!-#REF!</f>
        <v>#REF!</v>
      </c>
      <c r="F10" s="418" t="str">
        <f>IFERROR(#REF!/#REF!,"")</f>
        <v/>
      </c>
      <c r="G10" s="418" t="str">
        <f>IFERROR(#REF!/#REF!,"")</f>
        <v/>
      </c>
      <c r="H10" s="419" t="str">
        <f>IFERROR(#REF!/#REF!,"")</f>
        <v/>
      </c>
    </row>
    <row r="11" spans="1:8" x14ac:dyDescent="0.25">
      <c r="B11" s="414" t="s">
        <v>62</v>
      </c>
      <c r="C11" s="32" t="e">
        <f>#REF!-#REF!</f>
        <v>#REF!</v>
      </c>
      <c r="D11" s="32" t="e">
        <f>#REF!-#REF!</f>
        <v>#REF!</v>
      </c>
      <c r="E11" s="32" t="e">
        <f>#REF!-#REF!</f>
        <v>#REF!</v>
      </c>
      <c r="F11" s="418" t="str">
        <f>IFERROR(#REF!/#REF!,"")</f>
        <v/>
      </c>
      <c r="G11" s="418" t="str">
        <f>IFERROR(#REF!/#REF!,"")</f>
        <v/>
      </c>
      <c r="H11" s="419" t="str">
        <f>IFERROR(#REF!/#REF!,"")</f>
        <v/>
      </c>
    </row>
    <row r="12" spans="1:8" x14ac:dyDescent="0.25">
      <c r="B12" s="422" t="s">
        <v>63</v>
      </c>
      <c r="C12" s="69" t="e">
        <f>#REF!-#REF!</f>
        <v>#REF!</v>
      </c>
      <c r="D12" s="69" t="e">
        <f>#REF!-#REF!</f>
        <v>#REF!</v>
      </c>
      <c r="E12" s="69" t="e">
        <f>#REF!-#REF!</f>
        <v>#REF!</v>
      </c>
      <c r="F12" s="423" t="str">
        <f>IFERROR(#REF!/#REF!,"")</f>
        <v/>
      </c>
      <c r="G12" s="423" t="str">
        <f>IFERROR(#REF!/#REF!,"")</f>
        <v/>
      </c>
      <c r="H12" s="424" t="str">
        <f>IFERROR(#REF!/#REF!,"")</f>
        <v/>
      </c>
    </row>
    <row r="13" spans="1:8" x14ac:dyDescent="0.25">
      <c r="B13" s="414" t="s">
        <v>64</v>
      </c>
      <c r="C13" s="32" t="e">
        <f>#REF!-#REF!</f>
        <v>#REF!</v>
      </c>
      <c r="D13" s="32" t="e">
        <f>#REF!-#REF!</f>
        <v>#REF!</v>
      </c>
      <c r="E13" s="32" t="e">
        <f>#REF!-#REF!</f>
        <v>#REF!</v>
      </c>
      <c r="F13" s="418" t="str">
        <f>IFERROR(#REF!/#REF!,"")</f>
        <v/>
      </c>
      <c r="G13" s="418" t="str">
        <f>IFERROR(#REF!/#REF!,"")</f>
        <v/>
      </c>
      <c r="H13" s="419" t="str">
        <f>IFERROR(#REF!/#REF!,"")</f>
        <v/>
      </c>
    </row>
    <row r="14" spans="1:8" x14ac:dyDescent="0.25">
      <c r="B14" s="414" t="s">
        <v>65</v>
      </c>
      <c r="C14" s="32" t="e">
        <f>#REF!-#REF!</f>
        <v>#REF!</v>
      </c>
      <c r="D14" s="32" t="e">
        <f>#REF!-#REF!</f>
        <v>#REF!</v>
      </c>
      <c r="E14" s="32" t="e">
        <f>#REF!-#REF!</f>
        <v>#REF!</v>
      </c>
      <c r="F14" s="418" t="str">
        <f>IFERROR(#REF!/#REF!,"")</f>
        <v/>
      </c>
      <c r="G14" s="418" t="str">
        <f>IFERROR(#REF!/#REF!,"")</f>
        <v/>
      </c>
      <c r="H14" s="419" t="str">
        <f>IFERROR(#REF!/#REF!,"")</f>
        <v/>
      </c>
    </row>
    <row r="15" spans="1:8" x14ac:dyDescent="0.25">
      <c r="B15" s="414" t="s">
        <v>66</v>
      </c>
      <c r="C15" s="32" t="e">
        <f>#REF!-#REF!</f>
        <v>#REF!</v>
      </c>
      <c r="D15" s="32" t="e">
        <f>#REF!-#REF!</f>
        <v>#REF!</v>
      </c>
      <c r="E15" s="32" t="e">
        <f>#REF!-#REF!</f>
        <v>#REF!</v>
      </c>
      <c r="F15" s="418" t="str">
        <f>IFERROR(#REF!/#REF!,"")</f>
        <v/>
      </c>
      <c r="G15" s="418" t="str">
        <f>IFERROR(#REF!/#REF!,"")</f>
        <v/>
      </c>
      <c r="H15" s="419" t="str">
        <f>IFERROR(#REF!/#REF!,"")</f>
        <v/>
      </c>
    </row>
    <row r="16" spans="1:8" x14ac:dyDescent="0.25">
      <c r="B16" s="414" t="s">
        <v>67</v>
      </c>
      <c r="C16" s="32" t="e">
        <f>#REF!-#REF!</f>
        <v>#REF!</v>
      </c>
      <c r="D16" s="32" t="e">
        <f>#REF!-#REF!</f>
        <v>#REF!</v>
      </c>
      <c r="E16" s="32" t="e">
        <f>#REF!-#REF!</f>
        <v>#REF!</v>
      </c>
      <c r="F16" s="418" t="str">
        <f>IFERROR(#REF!/#REF!,"")</f>
        <v/>
      </c>
      <c r="G16" s="418" t="str">
        <f>IFERROR(#REF!/#REF!,"")</f>
        <v/>
      </c>
      <c r="H16" s="419" t="str">
        <f>IFERROR(#REF!/#REF!,"")</f>
        <v/>
      </c>
    </row>
    <row r="17" spans="2:8" x14ac:dyDescent="0.25">
      <c r="B17" s="414" t="s">
        <v>68</v>
      </c>
      <c r="C17" s="32" t="e">
        <f>#REF!-#REF!</f>
        <v>#REF!</v>
      </c>
      <c r="D17" s="32" t="e">
        <f>#REF!-#REF!</f>
        <v>#REF!</v>
      </c>
      <c r="E17" s="32" t="e">
        <f>#REF!-#REF!</f>
        <v>#REF!</v>
      </c>
      <c r="F17" s="418" t="str">
        <f>IFERROR(#REF!/#REF!,"")</f>
        <v/>
      </c>
      <c r="G17" s="418" t="str">
        <f>IFERROR(#REF!/#REF!,"")</f>
        <v/>
      </c>
      <c r="H17" s="419" t="str">
        <f>IFERROR(#REF!/#REF!,"")</f>
        <v/>
      </c>
    </row>
    <row r="18" spans="2:8" x14ac:dyDescent="0.25">
      <c r="B18" s="422" t="s">
        <v>69</v>
      </c>
      <c r="C18" s="69" t="e">
        <f>#REF!-#REF!</f>
        <v>#REF!</v>
      </c>
      <c r="D18" s="69" t="e">
        <f>#REF!-#REF!</f>
        <v>#REF!</v>
      </c>
      <c r="E18" s="69" t="e">
        <f>#REF!-#REF!</f>
        <v>#REF!</v>
      </c>
      <c r="F18" s="423" t="str">
        <f>IFERROR(#REF!/#REF!,"")</f>
        <v/>
      </c>
      <c r="G18" s="423" t="str">
        <f>IFERROR(#REF!/#REF!,"")</f>
        <v/>
      </c>
      <c r="H18" s="424" t="str">
        <f>IFERROR(#REF!/#REF!,"")</f>
        <v/>
      </c>
    </row>
    <row r="19" spans="2:8" x14ac:dyDescent="0.25">
      <c r="B19" s="414" t="s">
        <v>70</v>
      </c>
      <c r="C19" s="32" t="e">
        <f>#REF!-#REF!</f>
        <v>#REF!</v>
      </c>
      <c r="D19" s="32" t="e">
        <f>#REF!-#REF!</f>
        <v>#REF!</v>
      </c>
      <c r="E19" s="32" t="e">
        <f>#REF!-#REF!</f>
        <v>#REF!</v>
      </c>
      <c r="F19" s="418" t="str">
        <f>IFERROR(#REF!/#REF!,"")</f>
        <v/>
      </c>
      <c r="G19" s="418" t="str">
        <f>IFERROR(#REF!/#REF!,"")</f>
        <v/>
      </c>
      <c r="H19" s="419" t="str">
        <f>IFERROR(#REF!/#REF!,"")</f>
        <v/>
      </c>
    </row>
    <row r="20" spans="2:8" x14ac:dyDescent="0.25">
      <c r="B20" s="414" t="s">
        <v>71</v>
      </c>
      <c r="C20" s="32" t="e">
        <f>#REF!-#REF!</f>
        <v>#REF!</v>
      </c>
      <c r="D20" s="32" t="e">
        <f>#REF!-#REF!</f>
        <v>#REF!</v>
      </c>
      <c r="E20" s="32" t="e">
        <f>#REF!-#REF!</f>
        <v>#REF!</v>
      </c>
      <c r="F20" s="418" t="str">
        <f>IFERROR(#REF!/#REF!,"")</f>
        <v/>
      </c>
      <c r="G20" s="418" t="str">
        <f>IFERROR(#REF!/#REF!,"")</f>
        <v/>
      </c>
      <c r="H20" s="419" t="str">
        <f>IFERROR(#REF!/#REF!,"")</f>
        <v/>
      </c>
    </row>
    <row r="21" spans="2:8" x14ac:dyDescent="0.25">
      <c r="B21" s="414" t="s">
        <v>72</v>
      </c>
      <c r="C21" s="32" t="e">
        <f>#REF!-#REF!</f>
        <v>#REF!</v>
      </c>
      <c r="D21" s="32" t="e">
        <f>#REF!-#REF!</f>
        <v>#REF!</v>
      </c>
      <c r="E21" s="32" t="e">
        <f>#REF!-#REF!</f>
        <v>#REF!</v>
      </c>
      <c r="F21" s="418" t="str">
        <f>IFERROR(#REF!/#REF!,"")</f>
        <v/>
      </c>
      <c r="G21" s="418" t="str">
        <f>IFERROR(#REF!/#REF!,"")</f>
        <v/>
      </c>
      <c r="H21" s="419" t="str">
        <f>IFERROR(#REF!/#REF!,"")</f>
        <v/>
      </c>
    </row>
    <row r="22" spans="2:8" x14ac:dyDescent="0.25">
      <c r="B22" s="414" t="s">
        <v>73</v>
      </c>
      <c r="C22" s="32" t="e">
        <f>#REF!-#REF!</f>
        <v>#REF!</v>
      </c>
      <c r="D22" s="32" t="e">
        <f>#REF!-#REF!</f>
        <v>#REF!</v>
      </c>
      <c r="E22" s="32" t="e">
        <f>#REF!-#REF!</f>
        <v>#REF!</v>
      </c>
      <c r="F22" s="418" t="str">
        <f>IFERROR(#REF!/#REF!,"")</f>
        <v/>
      </c>
      <c r="G22" s="418" t="str">
        <f>IFERROR(#REF!/#REF!,"")</f>
        <v/>
      </c>
      <c r="H22" s="419" t="str">
        <f>IFERROR(#REF!/#REF!,"")</f>
        <v/>
      </c>
    </row>
    <row r="23" spans="2:8" x14ac:dyDescent="0.25">
      <c r="B23" s="415" t="s">
        <v>74</v>
      </c>
      <c r="C23" s="169" t="e">
        <f>#REF!-#REF!</f>
        <v>#REF!</v>
      </c>
      <c r="D23" s="169" t="e">
        <f>#REF!-#REF!</f>
        <v>#REF!</v>
      </c>
      <c r="E23" s="169" t="e">
        <f>#REF!-#REF!</f>
        <v>#REF!</v>
      </c>
      <c r="F23" s="420" t="str">
        <f>IFERROR(#REF!/#REF!,"")</f>
        <v/>
      </c>
      <c r="G23" s="420" t="str">
        <f>IFERROR(#REF!/#REF!,"")</f>
        <v/>
      </c>
      <c r="H23" s="421" t="str">
        <f>IFERROR(#REF!/#REF!,"")</f>
        <v/>
      </c>
    </row>
    <row r="24" spans="2:8" s="191" customFormat="1" x14ac:dyDescent="0.25">
      <c r="B24" s="425" t="s">
        <v>75</v>
      </c>
      <c r="C24" s="71" t="e">
        <f>#REF!-#REF!</f>
        <v>#REF!</v>
      </c>
      <c r="D24" s="71" t="e">
        <f>#REF!-#REF!</f>
        <v>#REF!</v>
      </c>
      <c r="E24" s="71" t="e">
        <f>#REF!-#REF!</f>
        <v>#REF!</v>
      </c>
      <c r="F24" s="426" t="str">
        <f>IFERROR(#REF!/#REF!,"")</f>
        <v/>
      </c>
      <c r="G24" s="426" t="str">
        <f>IFERROR(#REF!/#REF!,"")</f>
        <v/>
      </c>
      <c r="H24" s="427" t="str">
        <f>IFERROR(#REF!/#REF!,"")</f>
        <v/>
      </c>
    </row>
  </sheetData>
  <mergeCells count="4">
    <mergeCell ref="B3:B5"/>
    <mergeCell ref="C3:H3"/>
    <mergeCell ref="C4:E4"/>
    <mergeCell ref="F4:H4"/>
  </mergeCells>
  <printOptions horizontalCentered="1"/>
  <pageMargins left="0.19685039370078741" right="0.19685039370078741" top="0.78740157480314965" bottom="0.3937007874015748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dimension ref="A1:M18"/>
  <sheetViews>
    <sheetView workbookViewId="0">
      <selection activeCell="J3" sqref="J3:K3"/>
    </sheetView>
  </sheetViews>
  <sheetFormatPr defaultRowHeight="15" x14ac:dyDescent="0.25"/>
  <cols>
    <col min="1" max="1" width="1.7109375" style="1" customWidth="1"/>
    <col min="2" max="2" width="4.7109375" style="1" customWidth="1"/>
    <col min="3" max="3" width="50.42578125" style="1" customWidth="1"/>
    <col min="4" max="4" width="12.7109375" style="1" customWidth="1"/>
    <col min="5" max="5" width="9.7109375" style="1" customWidth="1"/>
    <col min="6" max="6" width="12.7109375" style="1" customWidth="1"/>
    <col min="7" max="7" width="9.7109375" style="1" customWidth="1"/>
    <col min="8" max="8" width="12.7109375" style="1" customWidth="1"/>
    <col min="9" max="9" width="9.7109375" style="1" customWidth="1"/>
    <col min="10" max="10" width="12.7109375" style="1" customWidth="1"/>
    <col min="11" max="11" width="9.7109375" style="1" customWidth="1"/>
    <col min="12" max="12" width="12.7109375" style="1" customWidth="1"/>
    <col min="13" max="13" width="9.7109375" style="1" customWidth="1"/>
    <col min="14" max="16384" width="9.140625" style="1"/>
  </cols>
  <sheetData>
    <row r="1" spans="1:13" s="3" customFormat="1" ht="18.75" x14ac:dyDescent="0.3">
      <c r="A1" s="3" t="s">
        <v>663</v>
      </c>
    </row>
    <row r="3" spans="1:13" s="23" customFormat="1" ht="30" customHeight="1" x14ac:dyDescent="0.25">
      <c r="B3" s="542" t="s">
        <v>170</v>
      </c>
      <c r="C3" s="559" t="s">
        <v>92</v>
      </c>
      <c r="D3" s="535" t="e">
        <f>#REF!</f>
        <v>#REF!</v>
      </c>
      <c r="E3" s="535"/>
      <c r="F3" s="535" t="e">
        <f>#REF!</f>
        <v>#REF!</v>
      </c>
      <c r="G3" s="535"/>
      <c r="H3" s="535" t="e">
        <f>#REF!</f>
        <v>#REF!</v>
      </c>
      <c r="I3" s="535"/>
      <c r="J3" s="535" t="e">
        <f>"Изменение
"&amp;#REF!&amp;" - "&amp;#REF!</f>
        <v>#REF!</v>
      </c>
      <c r="K3" s="535"/>
      <c r="L3" s="556" t="e">
        <f>"Изменение
"&amp;#REF!&amp;" - "&amp;#REF!</f>
        <v>#REF!</v>
      </c>
      <c r="M3" s="558"/>
    </row>
    <row r="4" spans="1:13" s="23" customFormat="1" x14ac:dyDescent="0.25">
      <c r="B4" s="543"/>
      <c r="C4" s="559"/>
      <c r="D4" s="34" t="e">
        <f>#REF!</f>
        <v>#REF!</v>
      </c>
      <c r="E4" s="34" t="s">
        <v>665</v>
      </c>
      <c r="F4" s="34" t="e">
        <f>#REF!</f>
        <v>#REF!</v>
      </c>
      <c r="G4" s="34" t="s">
        <v>665</v>
      </c>
      <c r="H4" s="34" t="e">
        <f>#REF!</f>
        <v>#REF!</v>
      </c>
      <c r="I4" s="34" t="s">
        <v>665</v>
      </c>
      <c r="J4" s="34" t="e">
        <f>#REF!</f>
        <v>#REF!</v>
      </c>
      <c r="K4" s="34" t="s">
        <v>665</v>
      </c>
      <c r="L4" s="34" t="e">
        <f>#REF!</f>
        <v>#REF!</v>
      </c>
      <c r="M4" s="34" t="s">
        <v>665</v>
      </c>
    </row>
    <row r="5" spans="1:13" x14ac:dyDescent="0.25">
      <c r="B5" s="121" t="s">
        <v>626</v>
      </c>
      <c r="C5" s="338" t="s">
        <v>672</v>
      </c>
      <c r="D5" s="439" t="e">
        <f>SUM(D6:D8)</f>
        <v>#REF!</v>
      </c>
      <c r="E5" s="430" t="str">
        <f>IFERROR(D5/D$5,"")</f>
        <v/>
      </c>
      <c r="F5" s="439" t="e">
        <f>SUM(F6:F8)</f>
        <v>#REF!</v>
      </c>
      <c r="G5" s="430" t="str">
        <f>IFERROR(F5/F$5,"")</f>
        <v/>
      </c>
      <c r="H5" s="439" t="e">
        <f>SUM(H6:H8)</f>
        <v>#REF!</v>
      </c>
      <c r="I5" s="430" t="str">
        <f>IFERROR(H5/H$5,"")</f>
        <v/>
      </c>
      <c r="J5" s="439" t="e">
        <f>SUM(J6:J8)</f>
        <v>#REF!</v>
      </c>
      <c r="K5" s="430" t="str">
        <f>IFERROR(J5/J$5,"")</f>
        <v/>
      </c>
      <c r="L5" s="439" t="e">
        <f>SUM(L6:L8)</f>
        <v>#REF!</v>
      </c>
      <c r="M5" s="433" t="str">
        <f>IFERROR(L5/L$5,"")</f>
        <v/>
      </c>
    </row>
    <row r="6" spans="1:13" x14ac:dyDescent="0.25">
      <c r="B6" s="15" t="s">
        <v>3</v>
      </c>
      <c r="C6" s="428" t="s">
        <v>666</v>
      </c>
      <c r="D6" s="440" t="e">
        <f>#REF!</f>
        <v>#REF!</v>
      </c>
      <c r="E6" s="431" t="str">
        <f t="shared" ref="E6:G8" si="0">IFERROR(D6/D$5,"")</f>
        <v/>
      </c>
      <c r="F6" s="440" t="e">
        <f>#REF!</f>
        <v>#REF!</v>
      </c>
      <c r="G6" s="431" t="str">
        <f t="shared" si="0"/>
        <v/>
      </c>
      <c r="H6" s="440" t="e">
        <f>#REF!</f>
        <v>#REF!</v>
      </c>
      <c r="I6" s="431" t="str">
        <f t="shared" ref="I6" si="1">IFERROR(H6/H$5,"")</f>
        <v/>
      </c>
      <c r="J6" s="441" t="e">
        <f>D6-F6</f>
        <v>#REF!</v>
      </c>
      <c r="K6" s="431" t="str">
        <f t="shared" ref="K6" si="2">IFERROR(J6/J$5,"")</f>
        <v/>
      </c>
      <c r="L6" s="441" t="e">
        <f>D6-H6</f>
        <v>#REF!</v>
      </c>
      <c r="M6" s="434" t="str">
        <f t="shared" ref="M6" si="3">IFERROR(L6/L$5,"")</f>
        <v/>
      </c>
    </row>
    <row r="7" spans="1:13" x14ac:dyDescent="0.25">
      <c r="B7" s="15" t="s">
        <v>4</v>
      </c>
      <c r="C7" s="428" t="s">
        <v>667</v>
      </c>
      <c r="D7" s="440" t="e">
        <f>#REF!</f>
        <v>#REF!</v>
      </c>
      <c r="E7" s="431" t="str">
        <f t="shared" si="0"/>
        <v/>
      </c>
      <c r="F7" s="440" t="e">
        <f>#REF!</f>
        <v>#REF!</v>
      </c>
      <c r="G7" s="431" t="str">
        <f t="shared" si="0"/>
        <v/>
      </c>
      <c r="H7" s="440" t="e">
        <f>#REF!</f>
        <v>#REF!</v>
      </c>
      <c r="I7" s="431" t="str">
        <f t="shared" ref="I7" si="4">IFERROR(H7/H$5,"")</f>
        <v/>
      </c>
      <c r="J7" s="441" t="e">
        <f t="shared" ref="J7:J13" si="5">D7-F7</f>
        <v>#REF!</v>
      </c>
      <c r="K7" s="431" t="str">
        <f t="shared" ref="K7" si="6">IFERROR(J7/J$5,"")</f>
        <v/>
      </c>
      <c r="L7" s="441" t="e">
        <f t="shared" ref="L7:L13" si="7">D7-H7</f>
        <v>#REF!</v>
      </c>
      <c r="M7" s="434" t="str">
        <f t="shared" ref="M7" si="8">IFERROR(L7/L$5,"")</f>
        <v/>
      </c>
    </row>
    <row r="8" spans="1:13" x14ac:dyDescent="0.25">
      <c r="B8" s="15" t="s">
        <v>5</v>
      </c>
      <c r="C8" s="428" t="s">
        <v>668</v>
      </c>
      <c r="D8" s="440" t="e">
        <f>#REF!</f>
        <v>#REF!</v>
      </c>
      <c r="E8" s="431" t="str">
        <f t="shared" si="0"/>
        <v/>
      </c>
      <c r="F8" s="440" t="e">
        <f>#REF!</f>
        <v>#REF!</v>
      </c>
      <c r="G8" s="431" t="str">
        <f t="shared" si="0"/>
        <v/>
      </c>
      <c r="H8" s="440" t="e">
        <f>#REF!</f>
        <v>#REF!</v>
      </c>
      <c r="I8" s="431" t="str">
        <f t="shared" ref="I8" si="9">IFERROR(H8/H$5,"")</f>
        <v/>
      </c>
      <c r="J8" s="441" t="e">
        <f t="shared" si="5"/>
        <v>#REF!</v>
      </c>
      <c r="K8" s="431" t="str">
        <f t="shared" ref="K8" si="10">IFERROR(J8/J$5,"")</f>
        <v/>
      </c>
      <c r="L8" s="441" t="e">
        <f t="shared" si="7"/>
        <v>#REF!</v>
      </c>
      <c r="M8" s="434" t="str">
        <f t="shared" ref="M8" si="11">IFERROR(L8/L$5,"")</f>
        <v/>
      </c>
    </row>
    <row r="9" spans="1:13" x14ac:dyDescent="0.25">
      <c r="B9" s="15" t="s">
        <v>632</v>
      </c>
      <c r="C9" s="341" t="s">
        <v>664</v>
      </c>
      <c r="D9" s="441" t="e">
        <f>SUM(D10:D12)</f>
        <v>#REF!</v>
      </c>
      <c r="E9" s="431" t="str">
        <f>IFERROR(D9/D$9,"")</f>
        <v/>
      </c>
      <c r="F9" s="441" t="e">
        <f>SUM(F10:F12)</f>
        <v>#REF!</v>
      </c>
      <c r="G9" s="431" t="str">
        <f>IFERROR(F9/F$9,"")</f>
        <v/>
      </c>
      <c r="H9" s="441" t="e">
        <f>SUM(H10:H12)</f>
        <v>#REF!</v>
      </c>
      <c r="I9" s="431" t="str">
        <f>IFERROR(H9/H$9,"")</f>
        <v/>
      </c>
      <c r="J9" s="441" t="e">
        <f>SUM(J10:J12)</f>
        <v>#REF!</v>
      </c>
      <c r="K9" s="431" t="str">
        <f>IFERROR(J9/J$9,"")</f>
        <v/>
      </c>
      <c r="L9" s="441" t="e">
        <f>SUM(L10:L12)</f>
        <v>#REF!</v>
      </c>
      <c r="M9" s="434" t="str">
        <f>IFERROR(L9/L$9,"")</f>
        <v/>
      </c>
    </row>
    <row r="10" spans="1:13" x14ac:dyDescent="0.25">
      <c r="B10" s="15" t="s">
        <v>7</v>
      </c>
      <c r="C10" s="428" t="s">
        <v>669</v>
      </c>
      <c r="D10" s="440" t="e">
        <f>-(#REF!+#REF!+#REF!)</f>
        <v>#REF!</v>
      </c>
      <c r="E10" s="431" t="str">
        <f t="shared" ref="E10:G12" si="12">IFERROR(D10/D$9,"")</f>
        <v/>
      </c>
      <c r="F10" s="440" t="e">
        <f>-(#REF!+#REF!+#REF!)</f>
        <v>#REF!</v>
      </c>
      <c r="G10" s="431" t="str">
        <f t="shared" si="12"/>
        <v/>
      </c>
      <c r="H10" s="440" t="e">
        <f>-(#REF!+#REF!+#REF!)</f>
        <v>#REF!</v>
      </c>
      <c r="I10" s="431" t="str">
        <f t="shared" ref="I10" si="13">IFERROR(H10/H$9,"")</f>
        <v/>
      </c>
      <c r="J10" s="441" t="e">
        <f t="shared" si="5"/>
        <v>#REF!</v>
      </c>
      <c r="K10" s="431" t="str">
        <f t="shared" ref="K10" si="14">IFERROR(J10/J$9,"")</f>
        <v/>
      </c>
      <c r="L10" s="441" t="e">
        <f t="shared" si="7"/>
        <v>#REF!</v>
      </c>
      <c r="M10" s="434" t="str">
        <f t="shared" ref="M10" si="15">IFERROR(L10/L$9,"")</f>
        <v/>
      </c>
    </row>
    <row r="11" spans="1:13" x14ac:dyDescent="0.25">
      <c r="B11" s="15" t="s">
        <v>8</v>
      </c>
      <c r="C11" s="428" t="s">
        <v>670</v>
      </c>
      <c r="D11" s="440" t="e">
        <f>-#REF!</f>
        <v>#REF!</v>
      </c>
      <c r="E11" s="431" t="str">
        <f t="shared" si="12"/>
        <v/>
      </c>
      <c r="F11" s="440" t="e">
        <f>-#REF!</f>
        <v>#REF!</v>
      </c>
      <c r="G11" s="431" t="str">
        <f t="shared" si="12"/>
        <v/>
      </c>
      <c r="H11" s="440" t="e">
        <f>-#REF!</f>
        <v>#REF!</v>
      </c>
      <c r="I11" s="431" t="str">
        <f t="shared" ref="I11" si="16">IFERROR(H11/H$9,"")</f>
        <v/>
      </c>
      <c r="J11" s="441" t="e">
        <f t="shared" si="5"/>
        <v>#REF!</v>
      </c>
      <c r="K11" s="431" t="str">
        <f t="shared" ref="K11" si="17">IFERROR(J11/J$9,"")</f>
        <v/>
      </c>
      <c r="L11" s="441" t="e">
        <f t="shared" si="7"/>
        <v>#REF!</v>
      </c>
      <c r="M11" s="434" t="str">
        <f t="shared" ref="M11" si="18">IFERROR(L11/L$9,"")</f>
        <v/>
      </c>
    </row>
    <row r="12" spans="1:13" x14ac:dyDescent="0.25">
      <c r="B12" s="272" t="s">
        <v>9</v>
      </c>
      <c r="C12" s="429" t="s">
        <v>671</v>
      </c>
      <c r="D12" s="442" t="e">
        <f>-#REF!</f>
        <v>#REF!</v>
      </c>
      <c r="E12" s="432" t="str">
        <f t="shared" si="12"/>
        <v/>
      </c>
      <c r="F12" s="442" t="e">
        <f>-#REF!</f>
        <v>#REF!</v>
      </c>
      <c r="G12" s="432" t="str">
        <f t="shared" si="12"/>
        <v/>
      </c>
      <c r="H12" s="442" t="e">
        <f>-#REF!</f>
        <v>#REF!</v>
      </c>
      <c r="I12" s="432" t="str">
        <f t="shared" ref="I12" si="19">IFERROR(H12/H$9,"")</f>
        <v/>
      </c>
      <c r="J12" s="441" t="e">
        <f t="shared" si="5"/>
        <v>#REF!</v>
      </c>
      <c r="K12" s="432" t="str">
        <f t="shared" ref="K12" si="20">IFERROR(J12/J$9,"")</f>
        <v/>
      </c>
      <c r="L12" s="441" t="e">
        <f t="shared" si="7"/>
        <v>#REF!</v>
      </c>
      <c r="M12" s="435" t="str">
        <f t="shared" ref="M12" si="21">IFERROR(L12/L$9,"")</f>
        <v/>
      </c>
    </row>
    <row r="13" spans="1:13" s="191" customFormat="1" x14ac:dyDescent="0.25">
      <c r="B13" s="293"/>
      <c r="C13" s="346" t="s">
        <v>69</v>
      </c>
      <c r="D13" s="443" t="e">
        <f>D5-D9</f>
        <v>#REF!</v>
      </c>
      <c r="E13" s="437"/>
      <c r="F13" s="443" t="e">
        <f>F5-F9</f>
        <v>#REF!</v>
      </c>
      <c r="G13" s="436"/>
      <c r="H13" s="443" t="e">
        <f>H5-H9</f>
        <v>#REF!</v>
      </c>
      <c r="I13" s="436"/>
      <c r="J13" s="443" t="e">
        <f t="shared" si="5"/>
        <v>#REF!</v>
      </c>
      <c r="K13" s="436"/>
      <c r="L13" s="443" t="e">
        <f t="shared" si="7"/>
        <v>#REF!</v>
      </c>
      <c r="M13" s="438"/>
    </row>
    <row r="15" spans="1:13" s="3" customFormat="1" ht="18.75" x14ac:dyDescent="0.3">
      <c r="A15" s="3" t="s">
        <v>673</v>
      </c>
    </row>
    <row r="16" spans="1:13" x14ac:dyDescent="0.25">
      <c r="D16" s="12"/>
      <c r="F16" s="12"/>
    </row>
    <row r="17" spans="4:6" x14ac:dyDescent="0.25">
      <c r="D17" s="12"/>
      <c r="F17" s="12"/>
    </row>
    <row r="18" spans="4:6" x14ac:dyDescent="0.25">
      <c r="D18" s="12"/>
      <c r="F18" s="12"/>
    </row>
  </sheetData>
  <mergeCells count="7">
    <mergeCell ref="L3:M3"/>
    <mergeCell ref="H3:I3"/>
    <mergeCell ref="J3:K3"/>
    <mergeCell ref="B3:B4"/>
    <mergeCell ref="C3:C4"/>
    <mergeCell ref="D3:E3"/>
    <mergeCell ref="F3:G3"/>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dimension ref="A1:K24"/>
  <sheetViews>
    <sheetView zoomScaleNormal="100" zoomScaleSheetLayoutView="100" workbookViewId="0">
      <selection activeCell="I18" sqref="I18"/>
    </sheetView>
  </sheetViews>
  <sheetFormatPr defaultRowHeight="15" x14ac:dyDescent="0.25"/>
  <cols>
    <col min="1" max="1" width="1.7109375" style="1" customWidth="1"/>
    <col min="2" max="2" width="4.7109375" style="1" customWidth="1"/>
    <col min="3" max="3" width="50.42578125" style="1" customWidth="1"/>
    <col min="4" max="4" width="7.7109375" style="1" customWidth="1"/>
    <col min="5" max="7" width="12.7109375" style="1" customWidth="1"/>
    <col min="8" max="11" width="10.7109375" style="1" customWidth="1"/>
    <col min="12" max="12" width="1.7109375" style="1" customWidth="1"/>
    <col min="13" max="16384" width="9.140625" style="1"/>
  </cols>
  <sheetData>
    <row r="1" spans="1:11" s="3" customFormat="1" ht="18.75" x14ac:dyDescent="0.3">
      <c r="A1" s="3" t="s">
        <v>674</v>
      </c>
    </row>
    <row r="2" spans="1:11" x14ac:dyDescent="0.25">
      <c r="K2" s="469" t="e">
        <f>"("&amp;#REF!&amp;")"</f>
        <v>#REF!</v>
      </c>
    </row>
    <row r="3" spans="1:11" ht="51" x14ac:dyDescent="0.25">
      <c r="B3" s="444" t="s">
        <v>170</v>
      </c>
      <c r="C3" s="444" t="s">
        <v>92</v>
      </c>
      <c r="D3" s="444" t="s">
        <v>675</v>
      </c>
      <c r="E3" s="444" t="e">
        <f>"Отченый период, "&amp;#REF!</f>
        <v>#REF!</v>
      </c>
      <c r="F3" s="444" t="e">
        <f>"Базисный период, "&amp;#REF!</f>
        <v>#REF!</v>
      </c>
      <c r="G3" s="445" t="s">
        <v>493</v>
      </c>
      <c r="H3" s="445" t="s">
        <v>494</v>
      </c>
      <c r="I3" s="445" t="s">
        <v>676</v>
      </c>
      <c r="J3" s="445" t="s">
        <v>677</v>
      </c>
      <c r="K3" s="445" t="s">
        <v>678</v>
      </c>
    </row>
    <row r="4" spans="1:11" x14ac:dyDescent="0.25">
      <c r="B4" s="446">
        <v>1</v>
      </c>
      <c r="C4" s="446">
        <f>B4+1</f>
        <v>2</v>
      </c>
      <c r="D4" s="446">
        <f t="shared" ref="D4:K4" si="0">C4+1</f>
        <v>3</v>
      </c>
      <c r="E4" s="446">
        <f t="shared" si="0"/>
        <v>4</v>
      </c>
      <c r="F4" s="446">
        <f t="shared" si="0"/>
        <v>5</v>
      </c>
      <c r="G4" s="446">
        <f t="shared" si="0"/>
        <v>6</v>
      </c>
      <c r="H4" s="446">
        <f t="shared" si="0"/>
        <v>7</v>
      </c>
      <c r="I4" s="446">
        <f t="shared" si="0"/>
        <v>8</v>
      </c>
      <c r="J4" s="446">
        <f t="shared" si="0"/>
        <v>9</v>
      </c>
      <c r="K4" s="446">
        <f t="shared" si="0"/>
        <v>10</v>
      </c>
    </row>
    <row r="5" spans="1:11" x14ac:dyDescent="0.25">
      <c r="B5" s="121">
        <v>1</v>
      </c>
      <c r="C5" s="122" t="s">
        <v>58</v>
      </c>
      <c r="D5" s="123">
        <v>2110</v>
      </c>
      <c r="E5" s="447" t="e">
        <f>#REF!</f>
        <v>#REF!</v>
      </c>
      <c r="F5" s="447" t="e">
        <f>#REF!</f>
        <v>#REF!</v>
      </c>
      <c r="G5" s="448" t="e">
        <f>E5-F5</f>
        <v>#REF!</v>
      </c>
      <c r="H5" s="126" t="str">
        <f>IFERROR(E5/F5,"")</f>
        <v/>
      </c>
      <c r="I5" s="126" t="str">
        <f>IFERROR(E5/$F$5,"")</f>
        <v/>
      </c>
      <c r="J5" s="126" t="str">
        <f>IFERROR(F5/$G$5,"")</f>
        <v/>
      </c>
      <c r="K5" s="127" t="str">
        <f>IFERROR(I5-J5,"")</f>
        <v/>
      </c>
    </row>
    <row r="6" spans="1:11" x14ac:dyDescent="0.25">
      <c r="B6" s="15">
        <f>B5+1</f>
        <v>2</v>
      </c>
      <c r="C6" s="128" t="s">
        <v>59</v>
      </c>
      <c r="D6" s="287">
        <v>2120</v>
      </c>
      <c r="E6" s="449" t="e">
        <f>#REF!</f>
        <v>#REF!</v>
      </c>
      <c r="F6" s="449" t="e">
        <f>#REF!</f>
        <v>#REF!</v>
      </c>
      <c r="G6" s="450" t="e">
        <f t="shared" ref="G6:G22" si="1">E6-F6</f>
        <v>#REF!</v>
      </c>
      <c r="H6" s="226" t="str">
        <f t="shared" ref="H6:H22" si="2">IFERROR(E6/F6,"")</f>
        <v/>
      </c>
      <c r="I6" s="226" t="str">
        <f t="shared" ref="I6:I22" si="3">IFERROR(E6/$F$5,"")</f>
        <v/>
      </c>
      <c r="J6" s="226" t="str">
        <f t="shared" ref="J6:J22" si="4">IFERROR(F6/$G$5,"")</f>
        <v/>
      </c>
      <c r="K6" s="133" t="str">
        <f t="shared" ref="K6:K22" si="5">IFERROR(I6-J6,"")</f>
        <v/>
      </c>
    </row>
    <row r="7" spans="1:11" x14ac:dyDescent="0.25">
      <c r="B7" s="467">
        <f t="shared" ref="B7:B22" si="6">B6+1</f>
        <v>3</v>
      </c>
      <c r="C7" s="465" t="s">
        <v>60</v>
      </c>
      <c r="D7" s="466">
        <v>2100</v>
      </c>
      <c r="E7" s="449" t="e">
        <f>#REF!</f>
        <v>#REF!</v>
      </c>
      <c r="F7" s="449" t="e">
        <f>#REF!</f>
        <v>#REF!</v>
      </c>
      <c r="G7" s="450" t="e">
        <f t="shared" si="1"/>
        <v>#REF!</v>
      </c>
      <c r="H7" s="226" t="str">
        <f t="shared" si="2"/>
        <v/>
      </c>
      <c r="I7" s="226" t="str">
        <f t="shared" si="3"/>
        <v/>
      </c>
      <c r="J7" s="226" t="str">
        <f t="shared" si="4"/>
        <v/>
      </c>
      <c r="K7" s="133" t="str">
        <f t="shared" si="5"/>
        <v/>
      </c>
    </row>
    <row r="8" spans="1:11" x14ac:dyDescent="0.25">
      <c r="B8" s="15">
        <f t="shared" si="6"/>
        <v>4</v>
      </c>
      <c r="C8" s="128" t="s">
        <v>61</v>
      </c>
      <c r="D8" s="287">
        <v>2210</v>
      </c>
      <c r="E8" s="449" t="e">
        <f>#REF!</f>
        <v>#REF!</v>
      </c>
      <c r="F8" s="449" t="e">
        <f>#REF!</f>
        <v>#REF!</v>
      </c>
      <c r="G8" s="450" t="e">
        <f t="shared" si="1"/>
        <v>#REF!</v>
      </c>
      <c r="H8" s="226" t="str">
        <f t="shared" si="2"/>
        <v/>
      </c>
      <c r="I8" s="226" t="str">
        <f t="shared" si="3"/>
        <v/>
      </c>
      <c r="J8" s="226" t="str">
        <f t="shared" si="4"/>
        <v/>
      </c>
      <c r="K8" s="133" t="str">
        <f t="shared" si="5"/>
        <v/>
      </c>
    </row>
    <row r="9" spans="1:11" x14ac:dyDescent="0.25">
      <c r="B9" s="15">
        <f t="shared" si="6"/>
        <v>5</v>
      </c>
      <c r="C9" s="128" t="s">
        <v>62</v>
      </c>
      <c r="D9" s="287">
        <v>2220</v>
      </c>
      <c r="E9" s="449" t="e">
        <f>#REF!</f>
        <v>#REF!</v>
      </c>
      <c r="F9" s="449" t="e">
        <f>#REF!</f>
        <v>#REF!</v>
      </c>
      <c r="G9" s="450" t="e">
        <f t="shared" si="1"/>
        <v>#REF!</v>
      </c>
      <c r="H9" s="226" t="str">
        <f t="shared" si="2"/>
        <v/>
      </c>
      <c r="I9" s="226" t="str">
        <f t="shared" si="3"/>
        <v/>
      </c>
      <c r="J9" s="226" t="str">
        <f t="shared" si="4"/>
        <v/>
      </c>
      <c r="K9" s="133" t="str">
        <f t="shared" si="5"/>
        <v/>
      </c>
    </row>
    <row r="10" spans="1:11" x14ac:dyDescent="0.25">
      <c r="B10" s="467">
        <f t="shared" si="6"/>
        <v>6</v>
      </c>
      <c r="C10" s="465" t="s">
        <v>63</v>
      </c>
      <c r="D10" s="466">
        <v>2200</v>
      </c>
      <c r="E10" s="449" t="e">
        <f>#REF!</f>
        <v>#REF!</v>
      </c>
      <c r="F10" s="449" t="e">
        <f>#REF!</f>
        <v>#REF!</v>
      </c>
      <c r="G10" s="450" t="e">
        <f t="shared" si="1"/>
        <v>#REF!</v>
      </c>
      <c r="H10" s="226" t="str">
        <f t="shared" si="2"/>
        <v/>
      </c>
      <c r="I10" s="226" t="str">
        <f t="shared" si="3"/>
        <v/>
      </c>
      <c r="J10" s="226" t="str">
        <f t="shared" si="4"/>
        <v/>
      </c>
      <c r="K10" s="133" t="str">
        <f t="shared" si="5"/>
        <v/>
      </c>
    </row>
    <row r="11" spans="1:11" x14ac:dyDescent="0.25">
      <c r="B11" s="15">
        <f t="shared" si="6"/>
        <v>7</v>
      </c>
      <c r="C11" s="128" t="s">
        <v>64</v>
      </c>
      <c r="D11" s="287">
        <v>2310</v>
      </c>
      <c r="E11" s="449" t="e">
        <f>#REF!</f>
        <v>#REF!</v>
      </c>
      <c r="F11" s="449" t="e">
        <f>#REF!</f>
        <v>#REF!</v>
      </c>
      <c r="G11" s="450" t="e">
        <f t="shared" si="1"/>
        <v>#REF!</v>
      </c>
      <c r="H11" s="226" t="str">
        <f t="shared" si="2"/>
        <v/>
      </c>
      <c r="I11" s="226" t="str">
        <f t="shared" si="3"/>
        <v/>
      </c>
      <c r="J11" s="226" t="str">
        <f t="shared" si="4"/>
        <v/>
      </c>
      <c r="K11" s="133" t="str">
        <f t="shared" si="5"/>
        <v/>
      </c>
    </row>
    <row r="12" spans="1:11" x14ac:dyDescent="0.25">
      <c r="B12" s="15">
        <f t="shared" si="6"/>
        <v>8</v>
      </c>
      <c r="C12" s="128" t="s">
        <v>65</v>
      </c>
      <c r="D12" s="287">
        <v>2320</v>
      </c>
      <c r="E12" s="449" t="e">
        <f>#REF!</f>
        <v>#REF!</v>
      </c>
      <c r="F12" s="449" t="e">
        <f>#REF!</f>
        <v>#REF!</v>
      </c>
      <c r="G12" s="450" t="e">
        <f t="shared" si="1"/>
        <v>#REF!</v>
      </c>
      <c r="H12" s="226" t="str">
        <f t="shared" si="2"/>
        <v/>
      </c>
      <c r="I12" s="226" t="str">
        <f t="shared" si="3"/>
        <v/>
      </c>
      <c r="J12" s="226" t="str">
        <f t="shared" si="4"/>
        <v/>
      </c>
      <c r="K12" s="133" t="str">
        <f t="shared" si="5"/>
        <v/>
      </c>
    </row>
    <row r="13" spans="1:11" x14ac:dyDescent="0.25">
      <c r="B13" s="15">
        <f t="shared" si="6"/>
        <v>9</v>
      </c>
      <c r="C13" s="128" t="s">
        <v>66</v>
      </c>
      <c r="D13" s="287">
        <v>2330</v>
      </c>
      <c r="E13" s="449" t="e">
        <f>#REF!</f>
        <v>#REF!</v>
      </c>
      <c r="F13" s="449" t="e">
        <f>#REF!</f>
        <v>#REF!</v>
      </c>
      <c r="G13" s="450" t="e">
        <f t="shared" si="1"/>
        <v>#REF!</v>
      </c>
      <c r="H13" s="226" t="str">
        <f t="shared" si="2"/>
        <v/>
      </c>
      <c r="I13" s="226" t="str">
        <f t="shared" si="3"/>
        <v/>
      </c>
      <c r="J13" s="226" t="str">
        <f t="shared" si="4"/>
        <v/>
      </c>
      <c r="K13" s="133" t="str">
        <f t="shared" si="5"/>
        <v/>
      </c>
    </row>
    <row r="14" spans="1:11" x14ac:dyDescent="0.25">
      <c r="B14" s="15">
        <f t="shared" si="6"/>
        <v>10</v>
      </c>
      <c r="C14" s="128" t="s">
        <v>67</v>
      </c>
      <c r="D14" s="287">
        <v>2340</v>
      </c>
      <c r="E14" s="449" t="e">
        <f>#REF!</f>
        <v>#REF!</v>
      </c>
      <c r="F14" s="449" t="e">
        <f>#REF!</f>
        <v>#REF!</v>
      </c>
      <c r="G14" s="450" t="e">
        <f t="shared" si="1"/>
        <v>#REF!</v>
      </c>
      <c r="H14" s="226" t="str">
        <f t="shared" si="2"/>
        <v/>
      </c>
      <c r="I14" s="226" t="str">
        <f t="shared" si="3"/>
        <v/>
      </c>
      <c r="J14" s="226" t="str">
        <f t="shared" si="4"/>
        <v/>
      </c>
      <c r="K14" s="133" t="str">
        <f t="shared" si="5"/>
        <v/>
      </c>
    </row>
    <row r="15" spans="1:11" x14ac:dyDescent="0.25">
      <c r="B15" s="15">
        <f t="shared" si="6"/>
        <v>11</v>
      </c>
      <c r="C15" s="128" t="s">
        <v>68</v>
      </c>
      <c r="D15" s="287">
        <v>2350</v>
      </c>
      <c r="E15" s="449" t="e">
        <f>#REF!</f>
        <v>#REF!</v>
      </c>
      <c r="F15" s="449" t="e">
        <f>#REF!</f>
        <v>#REF!</v>
      </c>
      <c r="G15" s="450" t="e">
        <f t="shared" si="1"/>
        <v>#REF!</v>
      </c>
      <c r="H15" s="226" t="str">
        <f t="shared" si="2"/>
        <v/>
      </c>
      <c r="I15" s="226" t="str">
        <f t="shared" si="3"/>
        <v/>
      </c>
      <c r="J15" s="226" t="str">
        <f t="shared" si="4"/>
        <v/>
      </c>
      <c r="K15" s="133" t="str">
        <f t="shared" si="5"/>
        <v/>
      </c>
    </row>
    <row r="16" spans="1:11" x14ac:dyDescent="0.25">
      <c r="B16" s="467">
        <f t="shared" si="6"/>
        <v>12</v>
      </c>
      <c r="C16" s="465" t="s">
        <v>69</v>
      </c>
      <c r="D16" s="466">
        <v>2300</v>
      </c>
      <c r="E16" s="449" t="e">
        <f>#REF!</f>
        <v>#REF!</v>
      </c>
      <c r="F16" s="449" t="e">
        <f>#REF!</f>
        <v>#REF!</v>
      </c>
      <c r="G16" s="450" t="e">
        <f t="shared" si="1"/>
        <v>#REF!</v>
      </c>
      <c r="H16" s="226" t="str">
        <f t="shared" si="2"/>
        <v/>
      </c>
      <c r="I16" s="226" t="str">
        <f t="shared" si="3"/>
        <v/>
      </c>
      <c r="J16" s="226" t="str">
        <f t="shared" si="4"/>
        <v/>
      </c>
      <c r="K16" s="133" t="str">
        <f t="shared" si="5"/>
        <v/>
      </c>
    </row>
    <row r="17" spans="2:11" x14ac:dyDescent="0.25">
      <c r="B17" s="15">
        <f t="shared" si="6"/>
        <v>13</v>
      </c>
      <c r="C17" s="128" t="s">
        <v>70</v>
      </c>
      <c r="D17" s="287">
        <v>2410</v>
      </c>
      <c r="E17" s="449" t="e">
        <f>#REF!</f>
        <v>#REF!</v>
      </c>
      <c r="F17" s="449" t="e">
        <f>#REF!</f>
        <v>#REF!</v>
      </c>
      <c r="G17" s="450" t="e">
        <f t="shared" si="1"/>
        <v>#REF!</v>
      </c>
      <c r="H17" s="226" t="str">
        <f t="shared" si="2"/>
        <v/>
      </c>
      <c r="I17" s="226" t="str">
        <f t="shared" si="3"/>
        <v/>
      </c>
      <c r="J17" s="226" t="str">
        <f t="shared" si="4"/>
        <v/>
      </c>
      <c r="K17" s="133" t="str">
        <f t="shared" si="5"/>
        <v/>
      </c>
    </row>
    <row r="18" spans="2:11" ht="30" x14ac:dyDescent="0.25">
      <c r="B18" s="15">
        <f t="shared" si="6"/>
        <v>14</v>
      </c>
      <c r="C18" s="128" t="s">
        <v>71</v>
      </c>
      <c r="D18" s="287">
        <v>2421</v>
      </c>
      <c r="E18" s="449" t="e">
        <f>#REF!</f>
        <v>#REF!</v>
      </c>
      <c r="F18" s="449" t="e">
        <f>#REF!</f>
        <v>#REF!</v>
      </c>
      <c r="G18" s="450" t="e">
        <f t="shared" si="1"/>
        <v>#REF!</v>
      </c>
      <c r="H18" s="226" t="str">
        <f t="shared" si="2"/>
        <v/>
      </c>
      <c r="I18" s="226" t="str">
        <f t="shared" si="3"/>
        <v/>
      </c>
      <c r="J18" s="226" t="str">
        <f t="shared" si="4"/>
        <v/>
      </c>
      <c r="K18" s="133" t="str">
        <f t="shared" si="5"/>
        <v/>
      </c>
    </row>
    <row r="19" spans="2:11" x14ac:dyDescent="0.25">
      <c r="B19" s="15">
        <f t="shared" si="6"/>
        <v>15</v>
      </c>
      <c r="C19" s="128" t="s">
        <v>72</v>
      </c>
      <c r="D19" s="287">
        <v>2430</v>
      </c>
      <c r="E19" s="449" t="e">
        <f>#REF!</f>
        <v>#REF!</v>
      </c>
      <c r="F19" s="449" t="e">
        <f>#REF!</f>
        <v>#REF!</v>
      </c>
      <c r="G19" s="450" t="e">
        <f t="shared" si="1"/>
        <v>#REF!</v>
      </c>
      <c r="H19" s="226" t="str">
        <f t="shared" si="2"/>
        <v/>
      </c>
      <c r="I19" s="226" t="str">
        <f t="shared" si="3"/>
        <v/>
      </c>
      <c r="J19" s="226" t="str">
        <f t="shared" si="4"/>
        <v/>
      </c>
      <c r="K19" s="133" t="str">
        <f t="shared" si="5"/>
        <v/>
      </c>
    </row>
    <row r="20" spans="2:11" x14ac:dyDescent="0.25">
      <c r="B20" s="15">
        <f t="shared" si="6"/>
        <v>16</v>
      </c>
      <c r="C20" s="128" t="s">
        <v>73</v>
      </c>
      <c r="D20" s="287">
        <v>2450</v>
      </c>
      <c r="E20" s="449" t="e">
        <f>#REF!</f>
        <v>#REF!</v>
      </c>
      <c r="F20" s="449" t="e">
        <f>#REF!</f>
        <v>#REF!</v>
      </c>
      <c r="G20" s="450" t="e">
        <f t="shared" si="1"/>
        <v>#REF!</v>
      </c>
      <c r="H20" s="226" t="str">
        <f t="shared" si="2"/>
        <v/>
      </c>
      <c r="I20" s="226" t="str">
        <f t="shared" si="3"/>
        <v/>
      </c>
      <c r="J20" s="226" t="str">
        <f t="shared" si="4"/>
        <v/>
      </c>
      <c r="K20" s="133" t="str">
        <f t="shared" si="5"/>
        <v/>
      </c>
    </row>
    <row r="21" spans="2:11" x14ac:dyDescent="0.25">
      <c r="B21" s="272">
        <f t="shared" si="6"/>
        <v>17</v>
      </c>
      <c r="C21" s="273" t="s">
        <v>74</v>
      </c>
      <c r="D21" s="302">
        <v>2460</v>
      </c>
      <c r="E21" s="451" t="e">
        <f>#REF!</f>
        <v>#REF!</v>
      </c>
      <c r="F21" s="451" t="e">
        <f>#REF!</f>
        <v>#REF!</v>
      </c>
      <c r="G21" s="452" t="e">
        <f t="shared" si="1"/>
        <v>#REF!</v>
      </c>
      <c r="H21" s="303" t="str">
        <f t="shared" si="2"/>
        <v/>
      </c>
      <c r="I21" s="303" t="str">
        <f t="shared" si="3"/>
        <v/>
      </c>
      <c r="J21" s="303" t="str">
        <f t="shared" si="4"/>
        <v/>
      </c>
      <c r="K21" s="251" t="str">
        <f t="shared" si="5"/>
        <v/>
      </c>
    </row>
    <row r="22" spans="2:11" x14ac:dyDescent="0.25">
      <c r="B22" s="468">
        <f t="shared" si="6"/>
        <v>18</v>
      </c>
      <c r="C22" s="463" t="s">
        <v>75</v>
      </c>
      <c r="D22" s="464">
        <v>2400</v>
      </c>
      <c r="E22" s="453" t="e">
        <f>#REF!</f>
        <v>#REF!</v>
      </c>
      <c r="F22" s="453" t="e">
        <f>#REF!</f>
        <v>#REF!</v>
      </c>
      <c r="G22" s="454" t="e">
        <f t="shared" si="1"/>
        <v>#REF!</v>
      </c>
      <c r="H22" s="254" t="str">
        <f t="shared" si="2"/>
        <v/>
      </c>
      <c r="I22" s="279" t="str">
        <f t="shared" si="3"/>
        <v/>
      </c>
      <c r="J22" s="279" t="str">
        <f t="shared" si="4"/>
        <v/>
      </c>
      <c r="K22" s="255" t="str">
        <f t="shared" si="5"/>
        <v/>
      </c>
    </row>
    <row r="23" spans="2:11" ht="38.25" x14ac:dyDescent="0.25">
      <c r="B23" s="121">
        <v>19</v>
      </c>
      <c r="C23" s="122" t="s">
        <v>680</v>
      </c>
      <c r="D23" s="123" t="s">
        <v>188</v>
      </c>
      <c r="E23" s="455" t="e">
        <f>H10/H16</f>
        <v>#VALUE!</v>
      </c>
      <c r="F23" s="456"/>
      <c r="G23" s="457"/>
      <c r="H23" s="458"/>
      <c r="I23" s="458"/>
      <c r="J23" s="458"/>
      <c r="K23" s="459"/>
    </row>
    <row r="24" spans="2:11" ht="30" x14ac:dyDescent="0.25">
      <c r="B24" s="141">
        <v>20</v>
      </c>
      <c r="C24" s="142" t="s">
        <v>679</v>
      </c>
      <c r="D24" s="143" t="s">
        <v>274</v>
      </c>
      <c r="E24" s="460" t="e">
        <f>H5/H6</f>
        <v>#VALUE!</v>
      </c>
      <c r="F24" s="461"/>
      <c r="G24" s="462"/>
      <c r="H24" s="244"/>
      <c r="I24" s="244"/>
      <c r="J24" s="244"/>
      <c r="K24" s="245"/>
    </row>
  </sheetData>
  <printOptions horizontalCentered="1"/>
  <pageMargins left="0.19685039370078741" right="0.19685039370078741" top="0.78740157480314965" bottom="0.39370078740157483" header="0.31496062992125984" footer="0.31496062992125984"/>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dimension ref="A1:M34"/>
  <sheetViews>
    <sheetView zoomScaleNormal="100" zoomScaleSheetLayoutView="100" workbookViewId="0">
      <selection activeCell="A36" sqref="A36:XFD37"/>
    </sheetView>
  </sheetViews>
  <sheetFormatPr defaultRowHeight="15" x14ac:dyDescent="0.25"/>
  <cols>
    <col min="1" max="1" width="1.7109375" style="1" customWidth="1"/>
    <col min="2" max="2" width="4.7109375" style="1" customWidth="1"/>
    <col min="3" max="3" width="50.42578125" style="1" customWidth="1"/>
    <col min="4" max="8" width="12.7109375" style="1" customWidth="1"/>
    <col min="9" max="10" width="10.7109375" style="1" customWidth="1"/>
    <col min="11" max="11" width="1.7109375" style="1" customWidth="1"/>
    <col min="12" max="16384" width="9.140625" style="1"/>
  </cols>
  <sheetData>
    <row r="1" spans="1:13" s="3" customFormat="1" ht="18.75" x14ac:dyDescent="0.3">
      <c r="A1" s="3" t="s">
        <v>681</v>
      </c>
    </row>
    <row r="2" spans="1:13" s="99" customFormat="1" ht="12.75" x14ac:dyDescent="0.2">
      <c r="A2" s="99" t="s">
        <v>682</v>
      </c>
    </row>
    <row r="3" spans="1:13" ht="30" customHeight="1" x14ac:dyDescent="0.25">
      <c r="B3" s="542" t="s">
        <v>170</v>
      </c>
      <c r="C3" s="550" t="s">
        <v>92</v>
      </c>
      <c r="D3" s="550" t="s">
        <v>172</v>
      </c>
      <c r="E3" s="550"/>
      <c r="F3" s="550"/>
      <c r="G3" s="548" t="e">
        <f>"Изменение, "&amp;#REF!</f>
        <v>#REF!</v>
      </c>
      <c r="H3" s="549"/>
      <c r="I3" s="548" t="s">
        <v>174</v>
      </c>
      <c r="J3" s="549"/>
    </row>
    <row r="4" spans="1:13" ht="24" x14ac:dyDescent="0.25">
      <c r="B4" s="543"/>
      <c r="C4" s="550"/>
      <c r="D4" s="34" t="e">
        <f>#REF!</f>
        <v>#REF!</v>
      </c>
      <c r="E4" s="34" t="e">
        <f>#REF!</f>
        <v>#REF!</v>
      </c>
      <c r="F4" s="34" t="e">
        <f>#REF!</f>
        <v>#REF!</v>
      </c>
      <c r="G4" s="34" t="e">
        <f>#REF!&amp;" - "&amp;#REF!</f>
        <v>#REF!</v>
      </c>
      <c r="H4" s="34" t="e">
        <f>#REF!&amp;" - "&amp;#REF!</f>
        <v>#REF!</v>
      </c>
      <c r="I4" s="34" t="e">
        <f>#REF!&amp;" / "&amp;#REF!</f>
        <v>#REF!</v>
      </c>
      <c r="J4" s="34" t="e">
        <f>#REF!&amp;" / "&amp;#REF!</f>
        <v>#REF!</v>
      </c>
      <c r="L4" s="22"/>
      <c r="M4" s="22"/>
    </row>
    <row r="5" spans="1:13" ht="15.75" x14ac:dyDescent="0.25">
      <c r="B5" s="147" t="s">
        <v>699</v>
      </c>
      <c r="C5" s="148"/>
      <c r="D5" s="148"/>
      <c r="E5" s="148"/>
      <c r="F5" s="148"/>
      <c r="G5" s="148"/>
      <c r="H5" s="148"/>
      <c r="I5" s="148"/>
      <c r="J5" s="149"/>
    </row>
    <row r="6" spans="1:13" x14ac:dyDescent="0.25">
      <c r="B6" s="15" t="s">
        <v>3</v>
      </c>
      <c r="C6" s="128" t="s">
        <v>683</v>
      </c>
      <c r="D6" s="130" t="e">
        <f>#REF!</f>
        <v>#REF!</v>
      </c>
      <c r="E6" s="130" t="e">
        <f>#REF!</f>
        <v>#REF!</v>
      </c>
      <c r="F6" s="130" t="e">
        <f>#REF!</f>
        <v>#REF!</v>
      </c>
      <c r="G6" s="131" t="e">
        <f t="shared" ref="G6:G21" si="0">D6-E6</f>
        <v>#REF!</v>
      </c>
      <c r="H6" s="131" t="e">
        <f t="shared" ref="H6:H21" si="1">D6-F6</f>
        <v>#REF!</v>
      </c>
      <c r="I6" s="132" t="str">
        <f t="shared" ref="I6:I21" si="2">IFERROR(D6/E6,"")</f>
        <v/>
      </c>
      <c r="J6" s="133" t="str">
        <f t="shared" ref="J6:J21" si="3">IFERROR(D6/F6,"")</f>
        <v/>
      </c>
    </row>
    <row r="7" spans="1:13" x14ac:dyDescent="0.25">
      <c r="B7" s="15" t="s">
        <v>4</v>
      </c>
      <c r="C7" s="128" t="s">
        <v>684</v>
      </c>
      <c r="D7" s="130" t="e">
        <f>(#REF!-#REF!)-Пояснения!D32-Пояснения!D33+Пояснения!D34-Пояснения!D35</f>
        <v>#REF!</v>
      </c>
      <c r="E7" s="130" t="e">
        <f>(#REF!-#REF!)-Пояснения!E32-Пояснения!E33+Пояснения!E34-Пояснения!E35</f>
        <v>#REF!</v>
      </c>
      <c r="F7" s="130" t="e">
        <f>(#REF!-#REF!)-Пояснения!F32-Пояснения!F33+Пояснения!F34-Пояснения!F35</f>
        <v>#REF!</v>
      </c>
      <c r="G7" s="131" t="e">
        <f t="shared" si="0"/>
        <v>#REF!</v>
      </c>
      <c r="H7" s="131" t="e">
        <f t="shared" si="1"/>
        <v>#REF!</v>
      </c>
      <c r="I7" s="132" t="str">
        <f t="shared" si="2"/>
        <v/>
      </c>
      <c r="J7" s="133" t="str">
        <f t="shared" si="3"/>
        <v/>
      </c>
    </row>
    <row r="8" spans="1:13" x14ac:dyDescent="0.25">
      <c r="B8" s="15" t="s">
        <v>5</v>
      </c>
      <c r="C8" s="128" t="s">
        <v>685</v>
      </c>
      <c r="D8" s="130" t="e">
        <f>#REF!-Пояснения!D36+Пояснения!D37+#REF!+Пояснения!D38+Пояснения!D39+#REF!+#REF!+(-#REF!)</f>
        <v>#REF!</v>
      </c>
      <c r="E8" s="130" t="e">
        <f>#REF!-Пояснения!E36+Пояснения!E37+#REF!+Пояснения!E38+Пояснения!E39+#REF!+#REF!+(-#REF!)</f>
        <v>#REF!</v>
      </c>
      <c r="F8" s="130" t="e">
        <f>#REF!-Пояснения!F36+Пояснения!F37+#REF!+Пояснения!F38+Пояснения!F39+#REF!+#REF!+(-#REF!)</f>
        <v>#REF!</v>
      </c>
      <c r="G8" s="131" t="e">
        <f t="shared" si="0"/>
        <v>#REF!</v>
      </c>
      <c r="H8" s="131" t="e">
        <f t="shared" si="1"/>
        <v>#REF!</v>
      </c>
      <c r="I8" s="132" t="str">
        <f t="shared" si="2"/>
        <v/>
      </c>
      <c r="J8" s="133" t="str">
        <f t="shared" si="3"/>
        <v/>
      </c>
    </row>
    <row r="9" spans="1:13" x14ac:dyDescent="0.25">
      <c r="B9" s="15" t="s">
        <v>6</v>
      </c>
      <c r="C9" s="128" t="s">
        <v>686</v>
      </c>
      <c r="D9" s="130">
        <f>Пояснения!D37</f>
        <v>0</v>
      </c>
      <c r="E9" s="130">
        <f>Пояснения!E37</f>
        <v>0</v>
      </c>
      <c r="F9" s="130">
        <f>Пояснения!F37</f>
        <v>0</v>
      </c>
      <c r="G9" s="131">
        <f t="shared" si="0"/>
        <v>0</v>
      </c>
      <c r="H9" s="131">
        <f t="shared" si="1"/>
        <v>0</v>
      </c>
      <c r="I9" s="132" t="str">
        <f t="shared" si="2"/>
        <v/>
      </c>
      <c r="J9" s="133" t="str">
        <f t="shared" si="3"/>
        <v/>
      </c>
    </row>
    <row r="10" spans="1:13" x14ac:dyDescent="0.25">
      <c r="B10" s="15" t="s">
        <v>189</v>
      </c>
      <c r="C10" s="128" t="s">
        <v>687</v>
      </c>
      <c r="D10" s="130" t="e">
        <f>#REF!+#REF!+Пояснения!D38+Пояснения!D39</f>
        <v>#REF!</v>
      </c>
      <c r="E10" s="130" t="e">
        <f>#REF!+#REF!+Пояснения!E38+Пояснения!E39</f>
        <v>#REF!</v>
      </c>
      <c r="F10" s="130" t="e">
        <f>#REF!+#REF!+Пояснения!F38+Пояснения!F39</f>
        <v>#REF!</v>
      </c>
      <c r="G10" s="131" t="e">
        <f t="shared" si="0"/>
        <v>#REF!</v>
      </c>
      <c r="H10" s="131" t="e">
        <f t="shared" si="1"/>
        <v>#REF!</v>
      </c>
      <c r="I10" s="132" t="str">
        <f t="shared" si="2"/>
        <v/>
      </c>
      <c r="J10" s="133" t="str">
        <f t="shared" si="3"/>
        <v/>
      </c>
    </row>
    <row r="11" spans="1:13" x14ac:dyDescent="0.25">
      <c r="B11" s="265" t="s">
        <v>312</v>
      </c>
      <c r="C11" s="128" t="s">
        <v>688</v>
      </c>
      <c r="D11" s="130" t="e">
        <f>#REF!+#REF!</f>
        <v>#REF!</v>
      </c>
      <c r="E11" s="130" t="e">
        <f>#REF!+#REF!</f>
        <v>#REF!</v>
      </c>
      <c r="F11" s="130" t="e">
        <f>#REF!+#REF!</f>
        <v>#REF!</v>
      </c>
      <c r="G11" s="131" t="e">
        <f t="shared" si="0"/>
        <v>#REF!</v>
      </c>
      <c r="H11" s="131" t="e">
        <f t="shared" si="1"/>
        <v>#REF!</v>
      </c>
      <c r="I11" s="132" t="str">
        <f t="shared" si="2"/>
        <v/>
      </c>
      <c r="J11" s="133" t="str">
        <f t="shared" si="3"/>
        <v/>
      </c>
    </row>
    <row r="12" spans="1:13" x14ac:dyDescent="0.25">
      <c r="B12" s="15" t="s">
        <v>313</v>
      </c>
      <c r="C12" s="128" t="s">
        <v>689</v>
      </c>
      <c r="D12" s="130">
        <f>Пояснения!D36+Пояснения!D39-Пояснения!D40</f>
        <v>0</v>
      </c>
      <c r="E12" s="130">
        <f>Пояснения!E36+Пояснения!E39-Пояснения!E40</f>
        <v>0</v>
      </c>
      <c r="F12" s="130">
        <f>Пояснения!F36+Пояснения!F39-Пояснения!F40</f>
        <v>0</v>
      </c>
      <c r="G12" s="131">
        <f t="shared" si="0"/>
        <v>0</v>
      </c>
      <c r="H12" s="131">
        <f t="shared" si="1"/>
        <v>0</v>
      </c>
      <c r="I12" s="132" t="str">
        <f t="shared" si="2"/>
        <v/>
      </c>
      <c r="J12" s="133" t="str">
        <f t="shared" si="3"/>
        <v/>
      </c>
    </row>
    <row r="13" spans="1:13" x14ac:dyDescent="0.25">
      <c r="B13" s="15" t="s">
        <v>314</v>
      </c>
      <c r="C13" s="128" t="s">
        <v>690</v>
      </c>
      <c r="D13" s="130">
        <f>Пояснения!D41+Пояснения!D42</f>
        <v>0</v>
      </c>
      <c r="E13" s="130">
        <f>Пояснения!E41+Пояснения!E42</f>
        <v>0</v>
      </c>
      <c r="F13" s="130">
        <f>Пояснения!F41+Пояснения!F42</f>
        <v>0</v>
      </c>
      <c r="G13" s="131">
        <f t="shared" si="0"/>
        <v>0</v>
      </c>
      <c r="H13" s="131">
        <f t="shared" si="1"/>
        <v>0</v>
      </c>
      <c r="I13" s="132" t="str">
        <f t="shared" si="2"/>
        <v/>
      </c>
      <c r="J13" s="133" t="str">
        <f t="shared" si="3"/>
        <v/>
      </c>
    </row>
    <row r="14" spans="1:13" x14ac:dyDescent="0.25">
      <c r="B14" s="15" t="s">
        <v>315</v>
      </c>
      <c r="C14" s="128" t="s">
        <v>691</v>
      </c>
      <c r="D14" s="130" t="e">
        <f>#REF!-#REF!+#REF!+#REF!-Пояснения!D33-Пояснения!D40</f>
        <v>#REF!</v>
      </c>
      <c r="E14" s="130" t="e">
        <f>#REF!-#REF!+#REF!+#REF!-Пояснения!E33-Пояснения!E40</f>
        <v>#REF!</v>
      </c>
      <c r="F14" s="130" t="e">
        <f>#REF!-#REF!+#REF!+#REF!-Пояснения!F33-Пояснения!F40</f>
        <v>#REF!</v>
      </c>
      <c r="G14" s="131" t="e">
        <f t="shared" si="0"/>
        <v>#REF!</v>
      </c>
      <c r="H14" s="131" t="e">
        <f t="shared" si="1"/>
        <v>#REF!</v>
      </c>
      <c r="I14" s="132" t="str">
        <f t="shared" si="2"/>
        <v/>
      </c>
      <c r="J14" s="133" t="str">
        <f t="shared" si="3"/>
        <v/>
      </c>
    </row>
    <row r="15" spans="1:13" x14ac:dyDescent="0.25">
      <c r="B15" s="265" t="s">
        <v>316</v>
      </c>
      <c r="C15" s="128" t="s">
        <v>692</v>
      </c>
      <c r="D15" s="130" t="e">
        <f>#REF!+#REF!+#REF!+#REF!+#REF!</f>
        <v>#REF!</v>
      </c>
      <c r="E15" s="130" t="e">
        <f>#REF!+#REF!+#REF!+#REF!+#REF!</f>
        <v>#REF!</v>
      </c>
      <c r="F15" s="130" t="e">
        <f>#REF!+#REF!+#REF!+#REF!+#REF!</f>
        <v>#REF!</v>
      </c>
      <c r="G15" s="131" t="e">
        <f t="shared" si="0"/>
        <v>#REF!</v>
      </c>
      <c r="H15" s="131" t="e">
        <f t="shared" si="1"/>
        <v>#REF!</v>
      </c>
      <c r="I15" s="132" t="str">
        <f t="shared" si="2"/>
        <v/>
      </c>
      <c r="J15" s="133" t="str">
        <f t="shared" si="3"/>
        <v/>
      </c>
    </row>
    <row r="16" spans="1:13" x14ac:dyDescent="0.25">
      <c r="B16" s="15" t="s">
        <v>317</v>
      </c>
      <c r="C16" s="128" t="s">
        <v>693</v>
      </c>
      <c r="D16" s="130" t="e">
        <f>#REF!+#REF!</f>
        <v>#REF!</v>
      </c>
      <c r="E16" s="130" t="e">
        <f>#REF!+#REF!</f>
        <v>#REF!</v>
      </c>
      <c r="F16" s="130" t="e">
        <f>#REF!+#REF!</f>
        <v>#REF!</v>
      </c>
      <c r="G16" s="131" t="e">
        <f t="shared" si="0"/>
        <v>#REF!</v>
      </c>
      <c r="H16" s="131" t="e">
        <f t="shared" si="1"/>
        <v>#REF!</v>
      </c>
      <c r="I16" s="132" t="str">
        <f t="shared" si="2"/>
        <v/>
      </c>
      <c r="J16" s="133" t="str">
        <f t="shared" si="3"/>
        <v/>
      </c>
    </row>
    <row r="17" spans="2:10" x14ac:dyDescent="0.25">
      <c r="B17" s="15" t="s">
        <v>318</v>
      </c>
      <c r="C17" s="128" t="s">
        <v>694</v>
      </c>
      <c r="D17" s="130" t="e">
        <f>#REF!+#REF!+#REF!</f>
        <v>#REF!</v>
      </c>
      <c r="E17" s="130" t="e">
        <f>#REF!+#REF!+#REF!</f>
        <v>#REF!</v>
      </c>
      <c r="F17" s="130" t="e">
        <f>#REF!+#REF!+#REF!</f>
        <v>#REF!</v>
      </c>
      <c r="G17" s="131" t="e">
        <f t="shared" si="0"/>
        <v>#REF!</v>
      </c>
      <c r="H17" s="131" t="e">
        <f t="shared" si="1"/>
        <v>#REF!</v>
      </c>
      <c r="I17" s="132" t="str">
        <f t="shared" si="2"/>
        <v/>
      </c>
      <c r="J17" s="133" t="str">
        <f t="shared" si="3"/>
        <v/>
      </c>
    </row>
    <row r="18" spans="2:10" x14ac:dyDescent="0.25">
      <c r="B18" s="15" t="s">
        <v>700</v>
      </c>
      <c r="C18" s="128" t="s">
        <v>695</v>
      </c>
      <c r="D18" s="130" t="e">
        <f>#REF!</f>
        <v>#REF!</v>
      </c>
      <c r="E18" s="130" t="e">
        <f>#REF!</f>
        <v>#REF!</v>
      </c>
      <c r="F18" s="130" t="e">
        <f>#REF!</f>
        <v>#REF!</v>
      </c>
      <c r="G18" s="131" t="e">
        <f t="shared" si="0"/>
        <v>#REF!</v>
      </c>
      <c r="H18" s="131" t="e">
        <f t="shared" si="1"/>
        <v>#REF!</v>
      </c>
      <c r="I18" s="132" t="str">
        <f t="shared" si="2"/>
        <v/>
      </c>
      <c r="J18" s="133" t="str">
        <f t="shared" si="3"/>
        <v/>
      </c>
    </row>
    <row r="19" spans="2:10" x14ac:dyDescent="0.25">
      <c r="B19" s="15" t="s">
        <v>701</v>
      </c>
      <c r="C19" s="128" t="s">
        <v>696</v>
      </c>
      <c r="D19" s="130" t="e">
        <f>Пояснения!D43</f>
        <v>#REF!</v>
      </c>
      <c r="E19" s="130" t="e">
        <f>Пояснения!E43</f>
        <v>#REF!</v>
      </c>
      <c r="F19" s="130" t="e">
        <f>Пояснения!F43</f>
        <v>#REF!</v>
      </c>
      <c r="G19" s="131" t="e">
        <f t="shared" si="0"/>
        <v>#REF!</v>
      </c>
      <c r="H19" s="131" t="e">
        <f t="shared" si="1"/>
        <v>#REF!</v>
      </c>
      <c r="I19" s="132" t="str">
        <f t="shared" si="2"/>
        <v/>
      </c>
      <c r="J19" s="133" t="str">
        <f t="shared" si="3"/>
        <v/>
      </c>
    </row>
    <row r="20" spans="2:10" x14ac:dyDescent="0.25">
      <c r="B20" s="15" t="s">
        <v>702</v>
      </c>
      <c r="C20" s="128" t="s">
        <v>697</v>
      </c>
      <c r="D20" s="131" t="e">
        <f>D19/12</f>
        <v>#REF!</v>
      </c>
      <c r="E20" s="131" t="e">
        <f t="shared" ref="E20:F20" si="4">E19/12</f>
        <v>#REF!</v>
      </c>
      <c r="F20" s="131" t="e">
        <f t="shared" si="4"/>
        <v>#REF!</v>
      </c>
      <c r="G20" s="131" t="e">
        <f t="shared" si="0"/>
        <v>#REF!</v>
      </c>
      <c r="H20" s="131" t="e">
        <f t="shared" si="1"/>
        <v>#REF!</v>
      </c>
      <c r="I20" s="132" t="str">
        <f t="shared" si="2"/>
        <v/>
      </c>
      <c r="J20" s="133" t="str">
        <f t="shared" si="3"/>
        <v/>
      </c>
    </row>
    <row r="21" spans="2:10" x14ac:dyDescent="0.25">
      <c r="B21" s="141" t="s">
        <v>703</v>
      </c>
      <c r="C21" s="142" t="s">
        <v>698</v>
      </c>
      <c r="D21" s="218" t="e">
        <f>#REF!</f>
        <v>#REF!</v>
      </c>
      <c r="E21" s="218" t="e">
        <f>#REF!</f>
        <v>#REF!</v>
      </c>
      <c r="F21" s="218" t="e">
        <f>#REF!</f>
        <v>#REF!</v>
      </c>
      <c r="G21" s="219" t="e">
        <f t="shared" si="0"/>
        <v>#REF!</v>
      </c>
      <c r="H21" s="219" t="e">
        <f t="shared" si="1"/>
        <v>#REF!</v>
      </c>
      <c r="I21" s="144" t="str">
        <f t="shared" si="2"/>
        <v/>
      </c>
      <c r="J21" s="145" t="str">
        <f t="shared" si="3"/>
        <v/>
      </c>
    </row>
    <row r="22" spans="2:10" ht="15.75" x14ac:dyDescent="0.25">
      <c r="B22" s="147" t="s">
        <v>721</v>
      </c>
      <c r="C22" s="148"/>
      <c r="D22" s="148"/>
      <c r="E22" s="148"/>
      <c r="F22" s="148"/>
      <c r="G22" s="148"/>
      <c r="H22" s="148"/>
      <c r="I22" s="148"/>
      <c r="J22" s="149"/>
    </row>
    <row r="23" spans="2:10" x14ac:dyDescent="0.25">
      <c r="B23" s="15" t="s">
        <v>7</v>
      </c>
      <c r="C23" s="128" t="s">
        <v>227</v>
      </c>
      <c r="D23" s="140" t="str">
        <f>IFERROR(D11/D17,"")</f>
        <v/>
      </c>
      <c r="E23" s="140" t="str">
        <f t="shared" ref="E23:F23" si="5">IFERROR(E11/E17,"")</f>
        <v/>
      </c>
      <c r="F23" s="140" t="str">
        <f t="shared" si="5"/>
        <v/>
      </c>
      <c r="G23" s="140" t="e">
        <f t="shared" ref="G23:G26" si="6">D23-E23</f>
        <v>#VALUE!</v>
      </c>
      <c r="H23" s="140" t="e">
        <f t="shared" ref="H23:H26" si="7">D23-F23</f>
        <v>#VALUE!</v>
      </c>
      <c r="I23" s="132" t="str">
        <f t="shared" ref="I23:I26" si="8">IFERROR(D23/E23,"")</f>
        <v/>
      </c>
      <c r="J23" s="133" t="str">
        <f t="shared" ref="J23:J26" si="9">IFERROR(D23/F23,"")</f>
        <v/>
      </c>
    </row>
    <row r="24" spans="2:10" x14ac:dyDescent="0.25">
      <c r="B24" s="15" t="s">
        <v>8</v>
      </c>
      <c r="C24" s="128" t="s">
        <v>223</v>
      </c>
      <c r="D24" s="140" t="str">
        <f>IFERROR(D10/D17,"")</f>
        <v/>
      </c>
      <c r="E24" s="140" t="str">
        <f t="shared" ref="E24:F24" si="10">IFERROR(E10/E17,"")</f>
        <v/>
      </c>
      <c r="F24" s="140" t="str">
        <f t="shared" si="10"/>
        <v/>
      </c>
      <c r="G24" s="140" t="e">
        <f t="shared" si="6"/>
        <v>#VALUE!</v>
      </c>
      <c r="H24" s="140" t="e">
        <f t="shared" si="7"/>
        <v>#VALUE!</v>
      </c>
      <c r="I24" s="132" t="str">
        <f t="shared" si="8"/>
        <v/>
      </c>
      <c r="J24" s="133" t="str">
        <f t="shared" si="9"/>
        <v/>
      </c>
    </row>
    <row r="25" spans="2:10" ht="30" x14ac:dyDescent="0.25">
      <c r="B25" s="15" t="s">
        <v>9</v>
      </c>
      <c r="C25" s="128" t="s">
        <v>722</v>
      </c>
      <c r="D25" s="140" t="str">
        <f>IFERROR((D10+D7)/D15,"")</f>
        <v/>
      </c>
      <c r="E25" s="140" t="str">
        <f t="shared" ref="E25:F25" si="11">IFERROR((E10+E7)/E15,"")</f>
        <v/>
      </c>
      <c r="F25" s="140" t="str">
        <f t="shared" si="11"/>
        <v/>
      </c>
      <c r="G25" s="140" t="e">
        <f t="shared" si="6"/>
        <v>#VALUE!</v>
      </c>
      <c r="H25" s="140" t="e">
        <f t="shared" si="7"/>
        <v>#VALUE!</v>
      </c>
      <c r="I25" s="132" t="str">
        <f t="shared" si="8"/>
        <v/>
      </c>
      <c r="J25" s="133" t="str">
        <f t="shared" si="9"/>
        <v/>
      </c>
    </row>
    <row r="26" spans="2:10" ht="30" x14ac:dyDescent="0.25">
      <c r="B26" s="141" t="s">
        <v>10</v>
      </c>
      <c r="C26" s="142" t="s">
        <v>723</v>
      </c>
      <c r="D26" s="241" t="str">
        <f>IFERROR(D17/D20,"")</f>
        <v/>
      </c>
      <c r="E26" s="241" t="str">
        <f t="shared" ref="E26:F26" si="12">IFERROR(E17/E20,"")</f>
        <v/>
      </c>
      <c r="F26" s="241" t="str">
        <f t="shared" si="12"/>
        <v/>
      </c>
      <c r="G26" s="241" t="e">
        <f t="shared" si="6"/>
        <v>#VALUE!</v>
      </c>
      <c r="H26" s="241" t="e">
        <f t="shared" si="7"/>
        <v>#VALUE!</v>
      </c>
      <c r="I26" s="144" t="str">
        <f t="shared" si="8"/>
        <v/>
      </c>
      <c r="J26" s="145" t="str">
        <f t="shared" si="9"/>
        <v/>
      </c>
    </row>
    <row r="27" spans="2:10" ht="15.75" x14ac:dyDescent="0.25">
      <c r="B27" s="147" t="s">
        <v>724</v>
      </c>
      <c r="C27" s="148"/>
      <c r="D27" s="148"/>
      <c r="E27" s="148"/>
      <c r="F27" s="148"/>
      <c r="G27" s="148"/>
      <c r="H27" s="148"/>
      <c r="I27" s="148"/>
      <c r="J27" s="149"/>
    </row>
    <row r="28" spans="2:10" ht="30" x14ac:dyDescent="0.25">
      <c r="B28" s="15" t="s">
        <v>12</v>
      </c>
      <c r="C28" s="128" t="s">
        <v>727</v>
      </c>
      <c r="D28" s="140" t="str">
        <f>IFERROR(D14/D6,"")</f>
        <v/>
      </c>
      <c r="E28" s="140" t="str">
        <f t="shared" ref="E28:F28" si="13">IFERROR(E14/E6,"")</f>
        <v/>
      </c>
      <c r="F28" s="140" t="str">
        <f t="shared" si="13"/>
        <v/>
      </c>
      <c r="G28" s="140" t="e">
        <f t="shared" ref="G28:G31" si="14">D28-E28</f>
        <v>#VALUE!</v>
      </c>
      <c r="H28" s="140" t="e">
        <f t="shared" ref="H28:H31" si="15">D28-F28</f>
        <v>#VALUE!</v>
      </c>
      <c r="I28" s="132" t="str">
        <f t="shared" ref="I28:I31" si="16">IFERROR(D28/E28,"")</f>
        <v/>
      </c>
      <c r="J28" s="133" t="str">
        <f t="shared" ref="J28:J31" si="17">IFERROR(D28/F28,"")</f>
        <v/>
      </c>
    </row>
    <row r="29" spans="2:10" ht="45" x14ac:dyDescent="0.25">
      <c r="B29" s="15" t="s">
        <v>13</v>
      </c>
      <c r="C29" s="128" t="s">
        <v>725</v>
      </c>
      <c r="D29" s="140" t="str">
        <f>IFERROR((D14-D7)/D8,"")</f>
        <v/>
      </c>
      <c r="E29" s="140" t="str">
        <f t="shared" ref="E29:F29" si="18">IFERROR((E14-E7)/E8,"")</f>
        <v/>
      </c>
      <c r="F29" s="140" t="str">
        <f t="shared" si="18"/>
        <v/>
      </c>
      <c r="G29" s="140" t="e">
        <f t="shared" si="14"/>
        <v>#VALUE!</v>
      </c>
      <c r="H29" s="140" t="e">
        <f t="shared" si="15"/>
        <v>#VALUE!</v>
      </c>
      <c r="I29" s="132" t="str">
        <f t="shared" si="16"/>
        <v/>
      </c>
      <c r="J29" s="133" t="str">
        <f t="shared" si="17"/>
        <v/>
      </c>
    </row>
    <row r="30" spans="2:10" ht="30" x14ac:dyDescent="0.25">
      <c r="B30" s="15" t="s">
        <v>244</v>
      </c>
      <c r="C30" s="128" t="s">
        <v>726</v>
      </c>
      <c r="D30" s="140" t="str">
        <f>IFERROR(D14/D6,"")</f>
        <v/>
      </c>
      <c r="E30" s="140" t="str">
        <f t="shared" ref="E30:F30" si="19">IFERROR(E14/E6,"")</f>
        <v/>
      </c>
      <c r="F30" s="140" t="str">
        <f t="shared" si="19"/>
        <v/>
      </c>
      <c r="G30" s="140" t="e">
        <f t="shared" si="14"/>
        <v>#VALUE!</v>
      </c>
      <c r="H30" s="140" t="e">
        <f t="shared" si="15"/>
        <v>#VALUE!</v>
      </c>
      <c r="I30" s="132" t="str">
        <f t="shared" si="16"/>
        <v/>
      </c>
      <c r="J30" s="133" t="str">
        <f t="shared" si="17"/>
        <v/>
      </c>
    </row>
    <row r="31" spans="2:10" ht="30" x14ac:dyDescent="0.25">
      <c r="B31" s="141" t="s">
        <v>247</v>
      </c>
      <c r="C31" s="142" t="s">
        <v>728</v>
      </c>
      <c r="D31" s="241" t="str">
        <f>IFERROR((D9+D12+D13)/D6,"")</f>
        <v/>
      </c>
      <c r="E31" s="241" t="str">
        <f t="shared" ref="E31" si="20">IFERROR((E9+E12+E13)/E6,"")</f>
        <v/>
      </c>
      <c r="F31" s="241" t="str">
        <f>IFERROR((F9+F12+F13)/F6,"")</f>
        <v/>
      </c>
      <c r="G31" s="241" t="e">
        <f t="shared" si="14"/>
        <v>#VALUE!</v>
      </c>
      <c r="H31" s="241" t="e">
        <f t="shared" si="15"/>
        <v>#VALUE!</v>
      </c>
      <c r="I31" s="144" t="str">
        <f t="shared" si="16"/>
        <v/>
      </c>
      <c r="J31" s="145" t="str">
        <f t="shared" si="17"/>
        <v/>
      </c>
    </row>
    <row r="32" spans="2:10" ht="15.75" x14ac:dyDescent="0.25">
      <c r="B32" s="147" t="s">
        <v>731</v>
      </c>
      <c r="C32" s="148"/>
      <c r="D32" s="148"/>
      <c r="E32" s="148"/>
      <c r="F32" s="148"/>
      <c r="G32" s="148"/>
      <c r="H32" s="148"/>
      <c r="I32" s="148"/>
      <c r="J32" s="149"/>
    </row>
    <row r="33" spans="2:10" x14ac:dyDescent="0.25">
      <c r="B33" s="15"/>
      <c r="C33" s="128" t="s">
        <v>732</v>
      </c>
      <c r="D33" s="132" t="str">
        <f>IFERROR(D21/D6,"")</f>
        <v/>
      </c>
      <c r="E33" s="132" t="str">
        <f t="shared" ref="E33:F33" si="21">IFERROR(E21/E6,"")</f>
        <v/>
      </c>
      <c r="F33" s="132" t="str">
        <f t="shared" si="21"/>
        <v/>
      </c>
      <c r="G33" s="473" t="e">
        <f t="shared" ref="G33:G34" si="22">D33-E33</f>
        <v>#VALUE!</v>
      </c>
      <c r="H33" s="473" t="e">
        <f t="shared" ref="H33:H34" si="23">D33-F33</f>
        <v>#VALUE!</v>
      </c>
      <c r="I33" s="132" t="str">
        <f t="shared" ref="I33:I34" si="24">IFERROR(D33/E33,"")</f>
        <v/>
      </c>
      <c r="J33" s="133" t="str">
        <f t="shared" ref="J33:J34" si="25">IFERROR(D33/F33,"")</f>
        <v/>
      </c>
    </row>
    <row r="34" spans="2:10" x14ac:dyDescent="0.25">
      <c r="B34" s="141"/>
      <c r="C34" s="142" t="s">
        <v>733</v>
      </c>
      <c r="D34" s="144" t="str">
        <f>IFERROR(D21/D18,"")</f>
        <v/>
      </c>
      <c r="E34" s="144" t="str">
        <f t="shared" ref="E34:F34" si="26">IFERROR(E21/E18,"")</f>
        <v/>
      </c>
      <c r="F34" s="144" t="str">
        <f t="shared" si="26"/>
        <v/>
      </c>
      <c r="G34" s="474" t="e">
        <f t="shared" si="22"/>
        <v>#VALUE!</v>
      </c>
      <c r="H34" s="474" t="e">
        <f t="shared" si="23"/>
        <v>#VALUE!</v>
      </c>
      <c r="I34" s="144" t="str">
        <f t="shared" si="24"/>
        <v/>
      </c>
      <c r="J34" s="145" t="str">
        <f t="shared" si="25"/>
        <v/>
      </c>
    </row>
  </sheetData>
  <mergeCells count="5">
    <mergeCell ref="B3:B4"/>
    <mergeCell ref="C3:C4"/>
    <mergeCell ref="D3:F3"/>
    <mergeCell ref="G3:H3"/>
    <mergeCell ref="I3:J3"/>
  </mergeCells>
  <printOptions horizontalCentered="1"/>
  <pageMargins left="0.19685039370078741" right="0.19685039370078741" top="0.78740157480314965" bottom="0.39370078740157483" header="0.31496062992125984" footer="0.31496062992125984"/>
  <pageSetup paperSize="9" scale="95" orientation="landscape" r:id="rId1"/>
  <rowBreaks count="1" manualBreakCount="1">
    <brk id="26"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dimension ref="A2:E85"/>
  <sheetViews>
    <sheetView topLeftCell="A55" workbookViewId="0">
      <selection activeCell="J59" sqref="J59"/>
    </sheetView>
  </sheetViews>
  <sheetFormatPr defaultRowHeight="15" x14ac:dyDescent="0.25"/>
  <cols>
    <col min="1" max="1" width="9.140625" style="1"/>
    <col min="2" max="2" width="28.5703125" style="1" customWidth="1"/>
    <col min="3" max="16384" width="9.140625" style="1"/>
  </cols>
  <sheetData>
    <row r="2" spans="2:5" x14ac:dyDescent="0.25">
      <c r="C2" s="267" t="e">
        <f>Неплат!F4</f>
        <v>#REF!</v>
      </c>
      <c r="D2" s="267" t="e">
        <f>Неплат!E4</f>
        <v>#REF!</v>
      </c>
      <c r="E2" s="267" t="e">
        <f>Неплат!D4</f>
        <v>#REF!</v>
      </c>
    </row>
    <row r="3" spans="2:5" x14ac:dyDescent="0.25">
      <c r="B3" s="1" t="str">
        <f>Неплат!C6</f>
        <v xml:space="preserve">Совокупные активы (пассивы) </v>
      </c>
      <c r="C3" s="1" t="e">
        <f>Неплат!F6</f>
        <v>#REF!</v>
      </c>
      <c r="D3" s="1" t="e">
        <f>Неплат!E6</f>
        <v>#REF!</v>
      </c>
      <c r="E3" s="1" t="e">
        <f>Неплат!D6</f>
        <v>#REF!</v>
      </c>
    </row>
    <row r="4" spans="2:5" x14ac:dyDescent="0.25">
      <c r="B4" s="1" t="str">
        <f>Неплат!C8</f>
        <v xml:space="preserve">Оборотные активы  </v>
      </c>
      <c r="C4" s="1" t="e">
        <f>Неплат!F8</f>
        <v>#REF!</v>
      </c>
      <c r="D4" s="1" t="e">
        <f>Неплат!E8</f>
        <v>#REF!</v>
      </c>
      <c r="E4" s="1" t="e">
        <f>Неплат!D8</f>
        <v>#REF!</v>
      </c>
    </row>
    <row r="6" spans="2:5" x14ac:dyDescent="0.25">
      <c r="B6" s="1" t="str">
        <f>Неплат!C14</f>
        <v>Собственные средства</v>
      </c>
      <c r="C6" s="1" t="e">
        <f>Неплат!F14</f>
        <v>#REF!</v>
      </c>
      <c r="D6" s="1" t="e">
        <f>Неплат!E14</f>
        <v>#REF!</v>
      </c>
      <c r="E6" s="1" t="e">
        <f>Неплат!D14</f>
        <v>#REF!</v>
      </c>
    </row>
    <row r="7" spans="2:5" x14ac:dyDescent="0.25">
      <c r="B7" s="1" t="str">
        <f>Неплат!C15</f>
        <v xml:space="preserve">Обязательства должника </v>
      </c>
      <c r="C7" s="1" t="e">
        <f>Неплат!F17</f>
        <v>#REF!</v>
      </c>
      <c r="D7" s="1" t="e">
        <f>Неплат!E17</f>
        <v>#REF!</v>
      </c>
      <c r="E7" s="1" t="e">
        <f>Неплат!D17</f>
        <v>#REF!</v>
      </c>
    </row>
    <row r="18" spans="1:5" s="3" customFormat="1" ht="18.75" x14ac:dyDescent="0.3">
      <c r="A18" s="3" t="s">
        <v>721</v>
      </c>
    </row>
    <row r="20" spans="1:5" x14ac:dyDescent="0.25">
      <c r="C20" s="1" t="e">
        <f>Неплат!F4</f>
        <v>#REF!</v>
      </c>
      <c r="D20" s="1" t="e">
        <f>Неплат!E4</f>
        <v>#REF!</v>
      </c>
      <c r="E20" s="1" t="e">
        <f>Неплат!D4</f>
        <v>#REF!</v>
      </c>
    </row>
    <row r="21" spans="1:5" x14ac:dyDescent="0.25">
      <c r="B21" s="1" t="str">
        <f>Неплат!C23</f>
        <v>Коэффициент абсолютной ликвидности</v>
      </c>
      <c r="C21" s="475" t="str">
        <f>Неплат!F23</f>
        <v/>
      </c>
      <c r="D21" s="475" t="str">
        <f>Неплат!E23</f>
        <v/>
      </c>
      <c r="E21" s="475" t="str">
        <f>Неплат!D23</f>
        <v/>
      </c>
    </row>
    <row r="22" spans="1:5" x14ac:dyDescent="0.25">
      <c r="B22" s="1" t="str">
        <f>Неплат!C24</f>
        <v>Коэффициент текущей ликвидности</v>
      </c>
      <c r="C22" s="475" t="str">
        <f>Неплат!F24</f>
        <v/>
      </c>
      <c r="D22" s="475" t="str">
        <f>Неплат!E24</f>
        <v/>
      </c>
      <c r="E22" s="475" t="str">
        <f>Неплат!D24</f>
        <v/>
      </c>
    </row>
    <row r="23" spans="1:5" x14ac:dyDescent="0.25">
      <c r="B23" s="1" t="str">
        <f>Неплат!C25</f>
        <v>Показатель обеспеченности обязательств должника его активами</v>
      </c>
      <c r="C23" s="475" t="str">
        <f>Неплат!F25</f>
        <v/>
      </c>
      <c r="D23" s="475" t="str">
        <f>Неплат!E25</f>
        <v/>
      </c>
      <c r="E23" s="475" t="str">
        <f>Неплат!D25</f>
        <v/>
      </c>
    </row>
    <row r="24" spans="1:5" x14ac:dyDescent="0.25">
      <c r="B24" s="1" t="str">
        <f>Неплат!C26</f>
        <v>Степень платежеспособности по текущим обязательствам</v>
      </c>
      <c r="C24" s="475" t="str">
        <f>Неплат!F26</f>
        <v/>
      </c>
      <c r="D24" s="475" t="str">
        <f>Неплат!E26</f>
        <v/>
      </c>
      <c r="E24" s="475" t="str">
        <f>Неплат!D26</f>
        <v/>
      </c>
    </row>
    <row r="50" spans="1:5" s="3" customFormat="1" ht="18.75" x14ac:dyDescent="0.3">
      <c r="A50" s="3" t="s">
        <v>724</v>
      </c>
    </row>
    <row r="52" spans="1:5" x14ac:dyDescent="0.25">
      <c r="C52" s="1" t="s">
        <v>0</v>
      </c>
      <c r="D52" s="1" t="s">
        <v>1</v>
      </c>
      <c r="E52" s="1" t="s">
        <v>2</v>
      </c>
    </row>
    <row r="53" spans="1:5" x14ac:dyDescent="0.25">
      <c r="B53" s="1" t="s">
        <v>139</v>
      </c>
      <c r="C53" s="475" t="str">
        <f>Неплат!F28</f>
        <v/>
      </c>
      <c r="D53" s="475" t="str">
        <f>Неплат!E28</f>
        <v/>
      </c>
      <c r="E53" s="475" t="str">
        <f>Неплат!D28</f>
        <v/>
      </c>
    </row>
    <row r="54" spans="1:5" x14ac:dyDescent="0.25">
      <c r="B54" s="1" t="s">
        <v>734</v>
      </c>
      <c r="C54" s="475" t="str">
        <f>Неплат!F29</f>
        <v/>
      </c>
      <c r="D54" s="475" t="str">
        <f>Неплат!E29</f>
        <v/>
      </c>
      <c r="E54" s="475" t="str">
        <f>Неплат!D29</f>
        <v/>
      </c>
    </row>
    <row r="55" spans="1:5" x14ac:dyDescent="0.25">
      <c r="B55" s="1" t="str">
        <f>Неплат!C30</f>
        <v>Доля просроченной кредиторской задолженности в пассивах</v>
      </c>
      <c r="C55" s="475" t="str">
        <f>Неплат!F30</f>
        <v/>
      </c>
      <c r="D55" s="475" t="str">
        <f>Неплат!E30</f>
        <v/>
      </c>
      <c r="E55" s="475" t="str">
        <f>Неплат!D30</f>
        <v/>
      </c>
    </row>
    <row r="56" spans="1:5" x14ac:dyDescent="0.25">
      <c r="B56" s="1" t="str">
        <f>Неплат!C31</f>
        <v>Показатель отношения дебиторской задолженности к совокупным активам</v>
      </c>
      <c r="C56" s="475" t="str">
        <f>Неплат!F31</f>
        <v/>
      </c>
      <c r="D56" s="475" t="str">
        <f>Неплат!E31</f>
        <v/>
      </c>
      <c r="E56" s="475" t="str">
        <f>Неплат!D31</f>
        <v/>
      </c>
    </row>
    <row r="82" spans="1:5" s="3" customFormat="1" ht="18.75" x14ac:dyDescent="0.3">
      <c r="A82" s="3" t="s">
        <v>731</v>
      </c>
    </row>
    <row r="83" spans="1:5" x14ac:dyDescent="0.25">
      <c r="C83" s="1" t="s">
        <v>0</v>
      </c>
      <c r="D83" s="1" t="s">
        <v>1</v>
      </c>
      <c r="E83" s="1" t="s">
        <v>2</v>
      </c>
    </row>
    <row r="84" spans="1:5" x14ac:dyDescent="0.25">
      <c r="B84" s="1" t="str">
        <f>Неплат!C33</f>
        <v>Рентабельность активов</v>
      </c>
      <c r="C84" s="476" t="str">
        <f>Неплат!F33</f>
        <v/>
      </c>
      <c r="D84" s="476" t="str">
        <f>Неплат!E33</f>
        <v/>
      </c>
      <c r="E84" s="476" t="str">
        <f>Неплат!D33</f>
        <v/>
      </c>
    </row>
    <row r="85" spans="1:5" x14ac:dyDescent="0.25">
      <c r="B85" s="1" t="str">
        <f>Неплат!C34</f>
        <v>Норма чистой прибыли</v>
      </c>
      <c r="C85" s="476" t="str">
        <f>Неплат!F34</f>
        <v/>
      </c>
      <c r="D85" s="476" t="str">
        <f>Неплат!E34</f>
        <v/>
      </c>
      <c r="E85" s="476" t="str">
        <f>Неплат!D34</f>
        <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dimension ref="A1:F58"/>
  <sheetViews>
    <sheetView topLeftCell="A31" zoomScaleNormal="100" zoomScaleSheetLayoutView="80" workbookViewId="0">
      <selection activeCell="N19" sqref="N19"/>
    </sheetView>
  </sheetViews>
  <sheetFormatPr defaultRowHeight="15" x14ac:dyDescent="0.25"/>
  <cols>
    <col min="1" max="1" width="1.7109375" style="1" customWidth="1"/>
    <col min="2" max="2" width="41.28515625" style="1" customWidth="1"/>
    <col min="3" max="6" width="12.7109375" style="1" customWidth="1"/>
    <col min="7" max="7" width="1.7109375" style="1" customWidth="1"/>
    <col min="8" max="16384" width="9.140625" style="1"/>
  </cols>
  <sheetData>
    <row r="1" spans="1:6" s="153" customFormat="1" ht="18.75" x14ac:dyDescent="0.3">
      <c r="A1" s="3" t="s">
        <v>783</v>
      </c>
    </row>
    <row r="3" spans="1:6" s="23" customFormat="1" ht="30" x14ac:dyDescent="0.25">
      <c r="B3" s="4" t="s">
        <v>92</v>
      </c>
      <c r="C3" s="4" t="s">
        <v>784</v>
      </c>
      <c r="D3" s="4" t="e">
        <f>#REF!</f>
        <v>#REF!</v>
      </c>
      <c r="E3" s="4" t="e">
        <f>#REF!</f>
        <v>#REF!</v>
      </c>
      <c r="F3" s="4" t="e">
        <f>#REF!</f>
        <v>#REF!</v>
      </c>
    </row>
    <row r="4" spans="1:6" s="233" customFormat="1" ht="15.75" x14ac:dyDescent="0.25">
      <c r="B4" s="503" t="s">
        <v>785</v>
      </c>
      <c r="C4" s="504"/>
      <c r="D4" s="504"/>
      <c r="E4" s="504"/>
      <c r="F4" s="505"/>
    </row>
    <row r="5" spans="1:6" x14ac:dyDescent="0.25">
      <c r="B5" s="62" t="s">
        <v>223</v>
      </c>
      <c r="C5" s="477" t="s">
        <v>786</v>
      </c>
      <c r="D5" s="501" t="e">
        <f>#REF!/(#REF!+#REF!+#REF!)</f>
        <v>#REF!</v>
      </c>
      <c r="E5" s="501" t="e">
        <f>#REF!/(#REF!+#REF!+#REF!)</f>
        <v>#REF!</v>
      </c>
      <c r="F5" s="502" t="e">
        <f>#REF!/(#REF!+#REF!+#REF!)</f>
        <v>#REF!</v>
      </c>
    </row>
    <row r="6" spans="1:6" x14ac:dyDescent="0.25">
      <c r="B6" s="67" t="s">
        <v>338</v>
      </c>
      <c r="C6" s="231" t="s">
        <v>787</v>
      </c>
      <c r="D6" s="32" t="e">
        <f>#REF!+#REF!</f>
        <v>#REF!</v>
      </c>
      <c r="E6" s="32" t="e">
        <f>#REF!+#REF!</f>
        <v>#REF!</v>
      </c>
      <c r="F6" s="33" t="e">
        <f>#REF!+#REF!</f>
        <v>#REF!</v>
      </c>
    </row>
    <row r="7" spans="1:6" x14ac:dyDescent="0.25">
      <c r="B7" s="483" t="s">
        <v>788</v>
      </c>
      <c r="C7" s="484" t="s">
        <v>789</v>
      </c>
      <c r="D7" s="169" t="e">
        <f>#REF!</f>
        <v>#REF!</v>
      </c>
      <c r="E7" s="169" t="e">
        <f>#REF!</f>
        <v>#REF!</v>
      </c>
      <c r="F7" s="170" t="e">
        <f>#REF!</f>
        <v>#REF!</v>
      </c>
    </row>
    <row r="8" spans="1:6" x14ac:dyDescent="0.25">
      <c r="B8" s="485" t="s">
        <v>790</v>
      </c>
      <c r="C8" s="486"/>
      <c r="D8" s="487" t="e">
        <f>-0.3877-(1.0736*D5)+(0.0579*(D6/D7))</f>
        <v>#REF!</v>
      </c>
      <c r="E8" s="487" t="e">
        <f>-0.3877-(1.0736*E5)+(0.0579*(E6/E7))</f>
        <v>#REF!</v>
      </c>
      <c r="F8" s="487" t="e">
        <f>-0.3877-(1.0736*F5)+(0.0579*(F6/F7))</f>
        <v>#REF!</v>
      </c>
    </row>
    <row r="9" spans="1:6" s="202" customFormat="1" ht="12" x14ac:dyDescent="0.2">
      <c r="B9" s="488" t="s">
        <v>791</v>
      </c>
      <c r="C9" s="489"/>
      <c r="D9" s="489"/>
      <c r="E9" s="489"/>
      <c r="F9" s="490"/>
    </row>
    <row r="10" spans="1:6" s="202" customFormat="1" ht="12" x14ac:dyDescent="0.2">
      <c r="B10" s="491" t="s">
        <v>792</v>
      </c>
      <c r="F10" s="492"/>
    </row>
    <row r="11" spans="1:6" s="202" customFormat="1" ht="12" x14ac:dyDescent="0.2">
      <c r="B11" s="491" t="s">
        <v>793</v>
      </c>
      <c r="F11" s="492"/>
    </row>
    <row r="12" spans="1:6" s="202" customFormat="1" ht="12" x14ac:dyDescent="0.2">
      <c r="B12" s="491" t="s">
        <v>794</v>
      </c>
      <c r="F12" s="492"/>
    </row>
    <row r="13" spans="1:6" x14ac:dyDescent="0.25">
      <c r="B13" s="493" t="s">
        <v>795</v>
      </c>
      <c r="F13" s="494"/>
    </row>
    <row r="14" spans="1:6" x14ac:dyDescent="0.25">
      <c r="B14" s="495" t="s">
        <v>796</v>
      </c>
      <c r="C14" s="496"/>
      <c r="D14" s="497" t="e">
        <f>IF(D8=0,"равна 50%",IF(D8&lt;0,"меньше 50%","больше 50%"))</f>
        <v>#REF!</v>
      </c>
      <c r="E14" s="497" t="e">
        <f>IF(E8=0,"равна 50%",IF(E8&lt;0,"меньше 50%","больше 50%"))</f>
        <v>#REF!</v>
      </c>
      <c r="F14" s="497" t="e">
        <f>IF(F8=0,"равна 50%",IF(F8&lt;0,"меньше 50%","больше 50%"))</f>
        <v>#REF!</v>
      </c>
    </row>
    <row r="15" spans="1:6" ht="6" customHeight="1" x14ac:dyDescent="0.25">
      <c r="B15" s="506"/>
      <c r="F15" s="494"/>
    </row>
    <row r="16" spans="1:6" s="233" customFormat="1" ht="15.75" x14ac:dyDescent="0.25">
      <c r="B16" s="503" t="s">
        <v>797</v>
      </c>
      <c r="C16" s="504"/>
      <c r="D16" s="504"/>
      <c r="E16" s="504"/>
      <c r="F16" s="505"/>
    </row>
    <row r="17" spans="2:6" x14ac:dyDescent="0.25">
      <c r="B17" s="67" t="s">
        <v>798</v>
      </c>
      <c r="C17" s="231"/>
      <c r="D17" s="32" t="e">
        <f>#REF!</f>
        <v>#REF!</v>
      </c>
      <c r="E17" s="32" t="e">
        <f>#REF!</f>
        <v>#REF!</v>
      </c>
      <c r="F17" s="33" t="e">
        <f>#REF!</f>
        <v>#REF!</v>
      </c>
    </row>
    <row r="18" spans="2:6" x14ac:dyDescent="0.25">
      <c r="B18" s="67" t="s">
        <v>799</v>
      </c>
      <c r="C18" s="231"/>
      <c r="D18" s="32" t="e">
        <f>#REF!-#REF!</f>
        <v>#REF!</v>
      </c>
      <c r="E18" s="32" t="e">
        <f>#REF!-#REF!</f>
        <v>#REF!</v>
      </c>
      <c r="F18" s="33" t="e">
        <f>#REF!-#REF!</f>
        <v>#REF!</v>
      </c>
    </row>
    <row r="19" spans="2:6" x14ac:dyDescent="0.25">
      <c r="B19" s="67" t="s">
        <v>800</v>
      </c>
      <c r="C19" s="231"/>
      <c r="D19" s="32" t="e">
        <f>#REF!</f>
        <v>#REF!</v>
      </c>
      <c r="E19" s="32" t="e">
        <f>#REF!</f>
        <v>#REF!</v>
      </c>
      <c r="F19" s="33" t="e">
        <f>#REF!</f>
        <v>#REF!</v>
      </c>
    </row>
    <row r="20" spans="2:6" x14ac:dyDescent="0.25">
      <c r="B20" s="67" t="s">
        <v>611</v>
      </c>
      <c r="C20" s="231"/>
      <c r="D20" s="32" t="e">
        <f>#REF!</f>
        <v>#REF!</v>
      </c>
      <c r="E20" s="32" t="e">
        <f>#REF!</f>
        <v>#REF!</v>
      </c>
      <c r="F20" s="33" t="e">
        <f>#REF!</f>
        <v>#REF!</v>
      </c>
    </row>
    <row r="21" spans="2:6" ht="30" x14ac:dyDescent="0.25">
      <c r="B21" s="67" t="s">
        <v>801</v>
      </c>
      <c r="C21" s="231"/>
      <c r="D21" s="32" t="e">
        <f>#REF!+#REF!</f>
        <v>#REF!</v>
      </c>
      <c r="E21" s="32" t="e">
        <f>#REF!+#REF!</f>
        <v>#REF!</v>
      </c>
      <c r="F21" s="33" t="e">
        <f>#REF!+#REF!</f>
        <v>#REF!</v>
      </c>
    </row>
    <row r="22" spans="2:6" x14ac:dyDescent="0.25">
      <c r="B22" s="67" t="s">
        <v>802</v>
      </c>
      <c r="C22" s="231"/>
      <c r="D22" s="32" t="e">
        <f>#REF!</f>
        <v>#REF!</v>
      </c>
      <c r="E22" s="32" t="e">
        <f>#REF!</f>
        <v>#REF!</v>
      </c>
      <c r="F22" s="33" t="e">
        <f>#REF!</f>
        <v>#REF!</v>
      </c>
    </row>
    <row r="23" spans="2:6" x14ac:dyDescent="0.25">
      <c r="B23" s="67"/>
      <c r="C23" s="231" t="s">
        <v>803</v>
      </c>
      <c r="D23" s="89" t="e">
        <f>D18/D17</f>
        <v>#REF!</v>
      </c>
      <c r="E23" s="89" t="e">
        <f>E18/E17</f>
        <v>#REF!</v>
      </c>
      <c r="F23" s="209" t="e">
        <f>F18/F17</f>
        <v>#REF!</v>
      </c>
    </row>
    <row r="24" spans="2:6" x14ac:dyDescent="0.25">
      <c r="B24" s="67"/>
      <c r="C24" s="231" t="s">
        <v>804</v>
      </c>
      <c r="D24" s="89" t="e">
        <f>D19/D17</f>
        <v>#REF!</v>
      </c>
      <c r="E24" s="89" t="e">
        <f>E19/E17</f>
        <v>#REF!</v>
      </c>
      <c r="F24" s="209" t="e">
        <f>F19/F17</f>
        <v>#REF!</v>
      </c>
    </row>
    <row r="25" spans="2:6" x14ac:dyDescent="0.25">
      <c r="B25" s="67"/>
      <c r="C25" s="231" t="s">
        <v>805</v>
      </c>
      <c r="D25" s="89" t="e">
        <f>D20/D17</f>
        <v>#REF!</v>
      </c>
      <c r="E25" s="89" t="e">
        <f>E20/E17</f>
        <v>#REF!</v>
      </c>
      <c r="F25" s="209" t="e">
        <f>F20/F17</f>
        <v>#REF!</v>
      </c>
    </row>
    <row r="26" spans="2:6" x14ac:dyDescent="0.25">
      <c r="B26" s="67"/>
      <c r="C26" s="231" t="s">
        <v>806</v>
      </c>
      <c r="D26" s="89" t="e">
        <f>Пояснения!D24/D21</f>
        <v>#REF!</v>
      </c>
      <c r="E26" s="89" t="e">
        <f>Пояснения!E24/E21</f>
        <v>#REF!</v>
      </c>
      <c r="F26" s="209" t="e">
        <f>Пояснения!F24/F21</f>
        <v>#REF!</v>
      </c>
    </row>
    <row r="27" spans="2:6" x14ac:dyDescent="0.25">
      <c r="B27" s="67"/>
      <c r="C27" s="231" t="s">
        <v>807</v>
      </c>
      <c r="D27" s="89" t="e">
        <f>D22/D17</f>
        <v>#REF!</v>
      </c>
      <c r="E27" s="89" t="e">
        <f>E22/E17</f>
        <v>#REF!</v>
      </c>
      <c r="F27" s="209" t="e">
        <f>F22/F17</f>
        <v>#REF!</v>
      </c>
    </row>
    <row r="28" spans="2:6" x14ac:dyDescent="0.25">
      <c r="B28" s="485" t="s">
        <v>790</v>
      </c>
      <c r="C28" s="486"/>
      <c r="D28" s="499">
        <f>IF(Пояснения!D$24=0,0,1.2*D23+1.4*D24+3.3*D25+0.6*D26+D27)</f>
        <v>0</v>
      </c>
      <c r="E28" s="499">
        <f>IF(Пояснения!E$24=0,0,1.2*E23+1.4*E24+3.3*E25+0.6*E26+E27)</f>
        <v>0</v>
      </c>
      <c r="F28" s="499">
        <f>IF(Пояснения!F$24=0,0,1.2*F23+1.4*F24+3.3*F25+0.6*F26+F27)</f>
        <v>0</v>
      </c>
    </row>
    <row r="29" spans="2:6" s="202" customFormat="1" ht="12" x14ac:dyDescent="0.2">
      <c r="B29" s="488" t="s">
        <v>791</v>
      </c>
      <c r="C29" s="489"/>
      <c r="D29" s="489"/>
      <c r="E29" s="489"/>
      <c r="F29" s="490"/>
    </row>
    <row r="30" spans="2:6" s="202" customFormat="1" ht="12" x14ac:dyDescent="0.2">
      <c r="B30" s="493" t="s">
        <v>808</v>
      </c>
      <c r="F30" s="492"/>
    </row>
    <row r="31" spans="2:6" s="202" customFormat="1" ht="12" x14ac:dyDescent="0.2">
      <c r="B31" s="493" t="s">
        <v>809</v>
      </c>
      <c r="F31" s="492"/>
    </row>
    <row r="32" spans="2:6" s="202" customFormat="1" ht="12" x14ac:dyDescent="0.2">
      <c r="B32" s="493" t="s">
        <v>810</v>
      </c>
      <c r="F32" s="492"/>
    </row>
    <row r="33" spans="2:6" s="202" customFormat="1" ht="12" x14ac:dyDescent="0.2">
      <c r="B33" s="493" t="s">
        <v>811</v>
      </c>
      <c r="F33" s="492"/>
    </row>
    <row r="34" spans="2:6" x14ac:dyDescent="0.25">
      <c r="B34" s="493" t="s">
        <v>812</v>
      </c>
      <c r="F34" s="494"/>
    </row>
    <row r="35" spans="2:6" ht="25.5" x14ac:dyDescent="0.25">
      <c r="B35" s="495" t="s">
        <v>796</v>
      </c>
      <c r="C35" s="496"/>
      <c r="D35" s="500" t="str">
        <f>IF(Пояснения!D24=0,"не хватает данных",IF(D28&lt;1.81,"от 80 до 100%",IF(D28&lt;=2.77,"от 35 до 50%",IF(D28&lt;2.99,"от 15 до 20%","маловероятна"))))</f>
        <v>не хватает данных</v>
      </c>
      <c r="E35" s="500" t="str">
        <f>IF(Пояснения!E24=0,"не хватает данных",IF(E28&lt;1.81,"от 80 до 100%",IF(E28&lt;=2.77,"от 35 до 50%",IF(E28&lt;2.99,"от 15 до 20%","маловероятна"))))</f>
        <v>не хватает данных</v>
      </c>
      <c r="F35" s="500" t="str">
        <f>IF(Пояснения!F24=0,"не хватает данных",IF(F28&lt;1.81,"от 80 до 100%",IF(F28&lt;=2.77,"от 35 до 50%",IF(F28&lt;2.99,"от 15 до 20%","маловероятна"))))</f>
        <v>не хватает данных</v>
      </c>
    </row>
    <row r="36" spans="2:6" ht="6" customHeight="1" x14ac:dyDescent="0.25">
      <c r="B36" s="506"/>
      <c r="F36" s="494"/>
    </row>
    <row r="37" spans="2:6" s="233" customFormat="1" ht="15.75" x14ac:dyDescent="0.25">
      <c r="B37" s="503" t="s">
        <v>813</v>
      </c>
      <c r="C37" s="504"/>
      <c r="D37" s="504"/>
      <c r="E37" s="504"/>
      <c r="F37" s="505"/>
    </row>
    <row r="38" spans="2:6" ht="30" x14ac:dyDescent="0.25">
      <c r="B38" s="67" t="s">
        <v>814</v>
      </c>
      <c r="C38" s="231"/>
      <c r="D38" s="32" t="e">
        <f>#REF!</f>
        <v>#REF!</v>
      </c>
      <c r="E38" s="32" t="e">
        <f>#REF!</f>
        <v>#REF!</v>
      </c>
      <c r="F38" s="33" t="e">
        <f>#REF!</f>
        <v>#REF!</v>
      </c>
    </row>
    <row r="39" spans="2:6" x14ac:dyDescent="0.25">
      <c r="B39" s="67"/>
      <c r="C39" s="231" t="s">
        <v>806</v>
      </c>
      <c r="D39" s="89" t="e">
        <f>D38/D21</f>
        <v>#REF!</v>
      </c>
      <c r="E39" s="89" t="e">
        <f>E38/E21</f>
        <v>#REF!</v>
      </c>
      <c r="F39" s="209" t="e">
        <f>F38/F21</f>
        <v>#REF!</v>
      </c>
    </row>
    <row r="40" spans="2:6" x14ac:dyDescent="0.25">
      <c r="B40" s="485" t="s">
        <v>790</v>
      </c>
      <c r="C40" s="486"/>
      <c r="D40" s="499" t="e">
        <f>0.717*D23+0.847*D24+3.107*D25+0.42*D39+0.998*D27</f>
        <v>#REF!</v>
      </c>
      <c r="E40" s="499" t="e">
        <f>0.717*E23+0.847*E24+3.107*E25+0.42*E39+0.998*E27</f>
        <v>#REF!</v>
      </c>
      <c r="F40" s="499" t="e">
        <f>0.717*F23+0.847*F24+3.107*F25+0.42*F39+0.998*F27</f>
        <v>#REF!</v>
      </c>
    </row>
    <row r="41" spans="2:6" s="202" customFormat="1" ht="12" x14ac:dyDescent="0.2">
      <c r="B41" s="488" t="s">
        <v>791</v>
      </c>
      <c r="C41" s="489"/>
      <c r="D41" s="489"/>
      <c r="E41" s="489"/>
      <c r="F41" s="490"/>
    </row>
    <row r="42" spans="2:6" x14ac:dyDescent="0.25">
      <c r="B42" s="493" t="s">
        <v>815</v>
      </c>
      <c r="F42" s="494"/>
    </row>
    <row r="43" spans="2:6" x14ac:dyDescent="0.25">
      <c r="B43" s="493" t="s">
        <v>816</v>
      </c>
      <c r="F43" s="494"/>
    </row>
    <row r="44" spans="2:6" x14ac:dyDescent="0.25">
      <c r="B44" s="493" t="s">
        <v>817</v>
      </c>
      <c r="F44" s="494"/>
    </row>
    <row r="45" spans="2:6" ht="30" customHeight="1" x14ac:dyDescent="0.25">
      <c r="B45" s="495" t="s">
        <v>796</v>
      </c>
      <c r="C45" s="496"/>
      <c r="D45" s="500" t="e">
        <f>IF(D40&lt;1.23,"высокая",IF(D40&lt;2.89,"равна 50%","маловероятна"))</f>
        <v>#REF!</v>
      </c>
      <c r="E45" s="500" t="e">
        <f>IF(E40&lt;1.23,"высокая",IF(E40&lt;2.89,"равна 50%","маловероятна"))</f>
        <v>#REF!</v>
      </c>
      <c r="F45" s="500" t="e">
        <f>IF(F40&lt;1.23,"высокая",IF(F40&lt;2.89,"равна 50%","маловероятна"))</f>
        <v>#REF!</v>
      </c>
    </row>
    <row r="46" spans="2:6" ht="6" customHeight="1" x14ac:dyDescent="0.25">
      <c r="B46" s="506"/>
      <c r="F46" s="494"/>
    </row>
    <row r="47" spans="2:6" s="233" customFormat="1" ht="15.75" x14ac:dyDescent="0.25">
      <c r="B47" s="503" t="s">
        <v>818</v>
      </c>
      <c r="C47" s="504"/>
      <c r="D47" s="504"/>
      <c r="E47" s="504"/>
      <c r="F47" s="505"/>
    </row>
    <row r="48" spans="2:6" x14ac:dyDescent="0.25">
      <c r="B48" s="67"/>
      <c r="C48" s="231" t="s">
        <v>803</v>
      </c>
      <c r="D48" s="89" t="e">
        <f>D18/D17</f>
        <v>#REF!</v>
      </c>
      <c r="E48" s="89" t="e">
        <f>E18/E17</f>
        <v>#REF!</v>
      </c>
      <c r="F48" s="209" t="e">
        <f>F18/F17</f>
        <v>#REF!</v>
      </c>
    </row>
    <row r="49" spans="2:6" x14ac:dyDescent="0.25">
      <c r="B49" s="67"/>
      <c r="C49" s="231" t="s">
        <v>804</v>
      </c>
      <c r="D49" s="89" t="e">
        <f>D19/D17</f>
        <v>#REF!</v>
      </c>
      <c r="E49" s="89" t="e">
        <f>E19/E17</f>
        <v>#REF!</v>
      </c>
      <c r="F49" s="209" t="e">
        <f>F19/F17</f>
        <v>#REF!</v>
      </c>
    </row>
    <row r="50" spans="2:6" x14ac:dyDescent="0.25">
      <c r="B50" s="67"/>
      <c r="C50" s="231" t="s">
        <v>805</v>
      </c>
      <c r="D50" s="89" t="e">
        <f>D20/D17</f>
        <v>#REF!</v>
      </c>
      <c r="E50" s="89" t="e">
        <f>E20/E17</f>
        <v>#REF!</v>
      </c>
      <c r="F50" s="209" t="e">
        <f>F20/F17</f>
        <v>#REF!</v>
      </c>
    </row>
    <row r="51" spans="2:6" x14ac:dyDescent="0.25">
      <c r="B51" s="67"/>
      <c r="C51" s="231" t="s">
        <v>806</v>
      </c>
      <c r="D51" s="89" t="e">
        <f>D38/D21</f>
        <v>#REF!</v>
      </c>
      <c r="E51" s="89" t="e">
        <f>E38/E21</f>
        <v>#REF!</v>
      </c>
      <c r="F51" s="209" t="e">
        <f>F38/F21</f>
        <v>#REF!</v>
      </c>
    </row>
    <row r="52" spans="2:6" x14ac:dyDescent="0.25">
      <c r="B52" s="485" t="s">
        <v>790</v>
      </c>
      <c r="C52" s="486"/>
      <c r="D52" s="499" t="e">
        <f t="shared" ref="D52:F52" si="0" xml:space="preserve"> 6.56*D48 + 3.26*D49 + 6.72*D50 + 1.05*D51</f>
        <v>#REF!</v>
      </c>
      <c r="E52" s="499" t="e">
        <f t="shared" si="0"/>
        <v>#REF!</v>
      </c>
      <c r="F52" s="499" t="e">
        <f t="shared" si="0"/>
        <v>#REF!</v>
      </c>
    </row>
    <row r="53" spans="2:6" s="202" customFormat="1" ht="12" x14ac:dyDescent="0.2">
      <c r="B53" s="488" t="s">
        <v>791</v>
      </c>
      <c r="C53" s="489"/>
      <c r="D53" s="489"/>
      <c r="E53" s="489"/>
      <c r="F53" s="490"/>
    </row>
    <row r="54" spans="2:6" x14ac:dyDescent="0.25">
      <c r="B54" s="493" t="s">
        <v>819</v>
      </c>
      <c r="F54" s="494"/>
    </row>
    <row r="55" spans="2:6" x14ac:dyDescent="0.25">
      <c r="B55" s="493" t="s">
        <v>820</v>
      </c>
      <c r="F55" s="494"/>
    </row>
    <row r="56" spans="2:6" x14ac:dyDescent="0.25">
      <c r="B56" s="493" t="s">
        <v>821</v>
      </c>
      <c r="F56" s="494"/>
    </row>
    <row r="57" spans="2:6" x14ac:dyDescent="0.25">
      <c r="B57" s="495" t="s">
        <v>796</v>
      </c>
      <c r="C57" s="496"/>
      <c r="D57" s="500" t="e">
        <f>IF(D52&lt;=1.1,"высокая",IF(AND(D52&lt;2.6,D52&gt;1.1),"маловероятна","равна 50%"))</f>
        <v>#REF!</v>
      </c>
      <c r="E57" s="500" t="e">
        <f>IF(E52&lt;=1.1,"высокая",IF(AND(E52&lt;2.6,E52&gt;1.1),"маловероятна","равна 50%"))</f>
        <v>#REF!</v>
      </c>
      <c r="F57" s="500" t="e">
        <f>IF(F52&lt;=1.1,"высокая",IF(AND(F52&lt;2.6,F52&gt;1.1),"маловероятна","равна 50%"))</f>
        <v>#REF!</v>
      </c>
    </row>
    <row r="58" spans="2:6" x14ac:dyDescent="0.25">
      <c r="B58" s="498"/>
    </row>
  </sheetData>
  <pageMargins left="0.59055118110236227" right="0.19685039370078741" top="0.59055118110236227"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K50"/>
  <sheetViews>
    <sheetView topLeftCell="A40" zoomScaleNormal="100" zoomScaleSheetLayoutView="100" workbookViewId="0">
      <selection activeCell="N25" sqref="N25"/>
    </sheetView>
  </sheetViews>
  <sheetFormatPr defaultRowHeight="15" x14ac:dyDescent="0.25"/>
  <cols>
    <col min="1" max="1" width="1.7109375" style="1" customWidth="1"/>
    <col min="2" max="2" width="50.7109375" style="1" customWidth="1"/>
    <col min="3" max="11" width="12.7109375" style="1" customWidth="1"/>
    <col min="12" max="12" width="1.7109375" style="1" customWidth="1"/>
    <col min="13" max="16384" width="9.140625" style="1"/>
  </cols>
  <sheetData>
    <row r="1" spans="1:11" s="3" customFormat="1" ht="18.75" x14ac:dyDescent="0.3">
      <c r="A1" s="3" t="s">
        <v>662</v>
      </c>
    </row>
    <row r="3" spans="1:11" x14ac:dyDescent="0.25">
      <c r="B3" s="535" t="s">
        <v>16</v>
      </c>
      <c r="C3" s="538" t="s">
        <v>104</v>
      </c>
      <c r="D3" s="538"/>
      <c r="E3" s="538"/>
      <c r="F3" s="538"/>
      <c r="G3" s="538"/>
      <c r="H3" s="538"/>
      <c r="I3" s="539" t="s">
        <v>105</v>
      </c>
      <c r="J3" s="539"/>
      <c r="K3" s="539"/>
    </row>
    <row r="4" spans="1:11" ht="15" customHeight="1" x14ac:dyDescent="0.25">
      <c r="B4" s="535"/>
      <c r="C4" s="535" t="e">
        <f>"Абсолютное изменение, "&amp;#REF!</f>
        <v>#REF!</v>
      </c>
      <c r="D4" s="535"/>
      <c r="E4" s="535"/>
      <c r="F4" s="535" t="s">
        <v>106</v>
      </c>
      <c r="G4" s="535"/>
      <c r="H4" s="535"/>
      <c r="I4" s="540" t="s">
        <v>107</v>
      </c>
      <c r="J4" s="540"/>
      <c r="K4" s="540"/>
    </row>
    <row r="5" spans="1:11" x14ac:dyDescent="0.25">
      <c r="B5" s="535"/>
      <c r="C5" s="34" t="e">
        <f>#REF!&amp;" - "&amp;#REF!</f>
        <v>#REF!</v>
      </c>
      <c r="D5" s="34" t="e">
        <f>#REF!&amp;" - "&amp;#REF!</f>
        <v>#REF!</v>
      </c>
      <c r="E5" s="34" t="e">
        <f>#REF!&amp;" - "&amp;#REF!</f>
        <v>#REF!</v>
      </c>
      <c r="F5" s="34" t="e">
        <f>#REF!&amp;" / "&amp;#REF!</f>
        <v>#REF!</v>
      </c>
      <c r="G5" s="34" t="e">
        <f>#REF!&amp;" / "&amp;#REF!</f>
        <v>#REF!</v>
      </c>
      <c r="H5" s="34" t="e">
        <f>#REF!&amp;" / "&amp;#REF!</f>
        <v>#REF!</v>
      </c>
      <c r="I5" s="34" t="e">
        <f>#REF!</f>
        <v>#REF!</v>
      </c>
      <c r="J5" s="34" t="e">
        <f>#REF!</f>
        <v>#REF!</v>
      </c>
      <c r="K5" s="34" t="e">
        <f>#REF!</f>
        <v>#REF!</v>
      </c>
    </row>
    <row r="6" spans="1:11" s="35" customFormat="1" ht="11.25" x14ac:dyDescent="0.2">
      <c r="B6" s="36">
        <v>1</v>
      </c>
      <c r="C6" s="36">
        <f>B6+1</f>
        <v>2</v>
      </c>
      <c r="D6" s="36">
        <f t="shared" ref="D6:K6" si="0">C6+1</f>
        <v>3</v>
      </c>
      <c r="E6" s="36">
        <f t="shared" si="0"/>
        <v>4</v>
      </c>
      <c r="F6" s="36">
        <f t="shared" si="0"/>
        <v>5</v>
      </c>
      <c r="G6" s="36">
        <f t="shared" si="0"/>
        <v>6</v>
      </c>
      <c r="H6" s="36">
        <f t="shared" si="0"/>
        <v>7</v>
      </c>
      <c r="I6" s="36">
        <f t="shared" si="0"/>
        <v>8</v>
      </c>
      <c r="J6" s="36">
        <f t="shared" si="0"/>
        <v>9</v>
      </c>
      <c r="K6" s="36">
        <f t="shared" si="0"/>
        <v>10</v>
      </c>
    </row>
    <row r="7" spans="1:11" x14ac:dyDescent="0.25">
      <c r="B7" s="37" t="s">
        <v>18</v>
      </c>
      <c r="C7" s="38"/>
      <c r="D7" s="38"/>
      <c r="E7" s="38"/>
      <c r="F7" s="38"/>
      <c r="G7" s="38"/>
      <c r="H7" s="38"/>
      <c r="I7" s="38"/>
      <c r="J7" s="38"/>
      <c r="K7" s="39"/>
    </row>
    <row r="8" spans="1:11" x14ac:dyDescent="0.25">
      <c r="B8" s="40" t="s">
        <v>19</v>
      </c>
      <c r="C8" s="41"/>
      <c r="D8" s="41"/>
      <c r="E8" s="41"/>
      <c r="F8" s="41"/>
      <c r="G8" s="41"/>
      <c r="H8" s="41"/>
      <c r="I8" s="41"/>
      <c r="J8" s="41"/>
      <c r="K8" s="42"/>
    </row>
    <row r="9" spans="1:11" x14ac:dyDescent="0.25">
      <c r="B9" s="5" t="s">
        <v>20</v>
      </c>
      <c r="C9" s="43" t="e">
        <f>#REF!-#REF!</f>
        <v>#REF!</v>
      </c>
      <c r="D9" s="43" t="e">
        <f>#REF!-#REF!</f>
        <v>#REF!</v>
      </c>
      <c r="E9" s="43" t="e">
        <f>#REF!-#REF!</f>
        <v>#REF!</v>
      </c>
      <c r="F9" s="44" t="str">
        <f>IFERROR(#REF!/#REF!,"")</f>
        <v/>
      </c>
      <c r="G9" s="44" t="str">
        <f>IFERROR(#REF!/#REF!,"")</f>
        <v/>
      </c>
      <c r="H9" s="44" t="str">
        <f>IFERROR(#REF!/#REF!,"")</f>
        <v/>
      </c>
      <c r="I9" s="44" t="str">
        <f>IFERROR(#REF!/#REF!,"")</f>
        <v/>
      </c>
      <c r="J9" s="44" t="str">
        <f>IFERROR(#REF!/#REF!,"")</f>
        <v/>
      </c>
      <c r="K9" s="45" t="str">
        <f>IFERROR(#REF!/#REF!,"")</f>
        <v/>
      </c>
    </row>
    <row r="10" spans="1:11" x14ac:dyDescent="0.25">
      <c r="B10" s="5" t="s">
        <v>21</v>
      </c>
      <c r="C10" s="43" t="e">
        <f>#REF!-#REF!</f>
        <v>#REF!</v>
      </c>
      <c r="D10" s="43" t="e">
        <f>#REF!-#REF!</f>
        <v>#REF!</v>
      </c>
      <c r="E10" s="43" t="e">
        <f>#REF!-#REF!</f>
        <v>#REF!</v>
      </c>
      <c r="F10" s="44" t="str">
        <f>IFERROR(#REF!/#REF!,"")</f>
        <v/>
      </c>
      <c r="G10" s="44" t="str">
        <f>IFERROR(#REF!/#REF!,"")</f>
        <v/>
      </c>
      <c r="H10" s="44" t="str">
        <f>IFERROR(#REF!/#REF!,"")</f>
        <v/>
      </c>
      <c r="I10" s="44" t="str">
        <f>IFERROR(#REF!/#REF!,"")</f>
        <v/>
      </c>
      <c r="J10" s="44" t="str">
        <f>IFERROR(#REF!/#REF!,"")</f>
        <v/>
      </c>
      <c r="K10" s="45" t="str">
        <f>IFERROR(#REF!/#REF!,"")</f>
        <v/>
      </c>
    </row>
    <row r="11" spans="1:11" x14ac:dyDescent="0.25">
      <c r="B11" s="5" t="s">
        <v>22</v>
      </c>
      <c r="C11" s="43" t="e">
        <f>#REF!-#REF!</f>
        <v>#REF!</v>
      </c>
      <c r="D11" s="43" t="e">
        <f>#REF!-#REF!</f>
        <v>#REF!</v>
      </c>
      <c r="E11" s="43" t="e">
        <f>#REF!-#REF!</f>
        <v>#REF!</v>
      </c>
      <c r="F11" s="44" t="str">
        <f>IFERROR(#REF!/#REF!,"")</f>
        <v/>
      </c>
      <c r="G11" s="44" t="str">
        <f>IFERROR(#REF!/#REF!,"")</f>
        <v/>
      </c>
      <c r="H11" s="44" t="str">
        <f>IFERROR(#REF!/#REF!,"")</f>
        <v/>
      </c>
      <c r="I11" s="44" t="str">
        <f>IFERROR(#REF!/#REF!,"")</f>
        <v/>
      </c>
      <c r="J11" s="44" t="str">
        <f>IFERROR(#REF!/#REF!,"")</f>
        <v/>
      </c>
      <c r="K11" s="45" t="str">
        <f>IFERROR(#REF!/#REF!,"")</f>
        <v/>
      </c>
    </row>
    <row r="12" spans="1:11" x14ac:dyDescent="0.25">
      <c r="B12" s="5" t="s">
        <v>23</v>
      </c>
      <c r="C12" s="43" t="e">
        <f>#REF!-#REF!</f>
        <v>#REF!</v>
      </c>
      <c r="D12" s="43" t="e">
        <f>#REF!-#REF!</f>
        <v>#REF!</v>
      </c>
      <c r="E12" s="43" t="e">
        <f>#REF!-#REF!</f>
        <v>#REF!</v>
      </c>
      <c r="F12" s="44" t="str">
        <f>IFERROR(#REF!/#REF!,"")</f>
        <v/>
      </c>
      <c r="G12" s="44" t="str">
        <f>IFERROR(#REF!/#REF!,"")</f>
        <v/>
      </c>
      <c r="H12" s="44" t="str">
        <f>IFERROR(#REF!/#REF!,"")</f>
        <v/>
      </c>
      <c r="I12" s="44" t="str">
        <f>IFERROR(#REF!/#REF!,"")</f>
        <v/>
      </c>
      <c r="J12" s="44" t="str">
        <f>IFERROR(#REF!/#REF!,"")</f>
        <v/>
      </c>
      <c r="K12" s="45" t="str">
        <f>IFERROR(#REF!/#REF!,"")</f>
        <v/>
      </c>
    </row>
    <row r="13" spans="1:11" x14ac:dyDescent="0.25">
      <c r="B13" s="5" t="s">
        <v>24</v>
      </c>
      <c r="C13" s="43" t="e">
        <f>#REF!-#REF!</f>
        <v>#REF!</v>
      </c>
      <c r="D13" s="43" t="e">
        <f>#REF!-#REF!</f>
        <v>#REF!</v>
      </c>
      <c r="E13" s="43" t="e">
        <f>#REF!-#REF!</f>
        <v>#REF!</v>
      </c>
      <c r="F13" s="44" t="str">
        <f>IFERROR(#REF!/#REF!,"")</f>
        <v/>
      </c>
      <c r="G13" s="44" t="str">
        <f>IFERROR(#REF!/#REF!,"")</f>
        <v/>
      </c>
      <c r="H13" s="44" t="str">
        <f>IFERROR(#REF!/#REF!,"")</f>
        <v/>
      </c>
      <c r="I13" s="44" t="str">
        <f>IFERROR(#REF!/#REF!,"")</f>
        <v/>
      </c>
      <c r="J13" s="44" t="str">
        <f>IFERROR(#REF!/#REF!,"")</f>
        <v/>
      </c>
      <c r="K13" s="45" t="str">
        <f>IFERROR(#REF!/#REF!,"")</f>
        <v/>
      </c>
    </row>
    <row r="14" spans="1:11" ht="30" x14ac:dyDescent="0.25">
      <c r="B14" s="5" t="s">
        <v>25</v>
      </c>
      <c r="C14" s="43" t="e">
        <f>#REF!-#REF!</f>
        <v>#REF!</v>
      </c>
      <c r="D14" s="43" t="e">
        <f>#REF!-#REF!</f>
        <v>#REF!</v>
      </c>
      <c r="E14" s="43" t="e">
        <f>#REF!-#REF!</f>
        <v>#REF!</v>
      </c>
      <c r="F14" s="44" t="str">
        <f>IFERROR(#REF!/#REF!,"")</f>
        <v/>
      </c>
      <c r="G14" s="44" t="str">
        <f>IFERROR(#REF!/#REF!,"")</f>
        <v/>
      </c>
      <c r="H14" s="44" t="str">
        <f>IFERROR(#REF!/#REF!,"")</f>
        <v/>
      </c>
      <c r="I14" s="44" t="str">
        <f>IFERROR(#REF!/#REF!,"")</f>
        <v/>
      </c>
      <c r="J14" s="44" t="str">
        <f>IFERROR(#REF!/#REF!,"")</f>
        <v/>
      </c>
      <c r="K14" s="45" t="str">
        <f>IFERROR(#REF!/#REF!,"")</f>
        <v/>
      </c>
    </row>
    <row r="15" spans="1:11" x14ac:dyDescent="0.25">
      <c r="B15" s="5" t="s">
        <v>26</v>
      </c>
      <c r="C15" s="43" t="e">
        <f>#REF!-#REF!</f>
        <v>#REF!</v>
      </c>
      <c r="D15" s="43" t="e">
        <f>#REF!-#REF!</f>
        <v>#REF!</v>
      </c>
      <c r="E15" s="43" t="e">
        <f>#REF!-#REF!</f>
        <v>#REF!</v>
      </c>
      <c r="F15" s="44" t="str">
        <f>IFERROR(#REF!/#REF!,"")</f>
        <v/>
      </c>
      <c r="G15" s="44" t="str">
        <f>IFERROR(#REF!/#REF!,"")</f>
        <v/>
      </c>
      <c r="H15" s="44" t="str">
        <f>IFERROR(#REF!/#REF!,"")</f>
        <v/>
      </c>
      <c r="I15" s="44" t="str">
        <f>IFERROR(#REF!/#REF!,"")</f>
        <v/>
      </c>
      <c r="J15" s="44" t="str">
        <f>IFERROR(#REF!/#REF!,"")</f>
        <v/>
      </c>
      <c r="K15" s="45" t="str">
        <f>IFERROR(#REF!/#REF!,"")</f>
        <v/>
      </c>
    </row>
    <row r="16" spans="1:11" x14ac:dyDescent="0.25">
      <c r="B16" s="5" t="s">
        <v>27</v>
      </c>
      <c r="C16" s="43" t="e">
        <f>#REF!-#REF!</f>
        <v>#REF!</v>
      </c>
      <c r="D16" s="43" t="e">
        <f>#REF!-#REF!</f>
        <v>#REF!</v>
      </c>
      <c r="E16" s="43" t="e">
        <f>#REF!-#REF!</f>
        <v>#REF!</v>
      </c>
      <c r="F16" s="44" t="str">
        <f>IFERROR(#REF!/#REF!,"")</f>
        <v/>
      </c>
      <c r="G16" s="44" t="str">
        <f>IFERROR(#REF!/#REF!,"")</f>
        <v/>
      </c>
      <c r="H16" s="44" t="str">
        <f>IFERROR(#REF!/#REF!,"")</f>
        <v/>
      </c>
      <c r="I16" s="44" t="str">
        <f>IFERROR(#REF!/#REF!,"")</f>
        <v/>
      </c>
      <c r="J16" s="44" t="str">
        <f>IFERROR(#REF!/#REF!,"")</f>
        <v/>
      </c>
      <c r="K16" s="45" t="str">
        <f>IFERROR(#REF!/#REF!,"")</f>
        <v/>
      </c>
    </row>
    <row r="17" spans="2:11" x14ac:dyDescent="0.25">
      <c r="B17" s="5" t="s">
        <v>28</v>
      </c>
      <c r="C17" s="43" t="e">
        <f>#REF!-#REF!</f>
        <v>#REF!</v>
      </c>
      <c r="D17" s="43" t="e">
        <f>#REF!-#REF!</f>
        <v>#REF!</v>
      </c>
      <c r="E17" s="43" t="e">
        <f>#REF!-#REF!</f>
        <v>#REF!</v>
      </c>
      <c r="F17" s="44" t="str">
        <f>IFERROR(#REF!/#REF!,"")</f>
        <v/>
      </c>
      <c r="G17" s="44" t="str">
        <f>IFERROR(#REF!/#REF!,"")</f>
        <v/>
      </c>
      <c r="H17" s="44" t="str">
        <f>IFERROR(#REF!/#REF!,"")</f>
        <v/>
      </c>
      <c r="I17" s="44" t="str">
        <f>IFERROR(#REF!/#REF!,"")</f>
        <v/>
      </c>
      <c r="J17" s="44" t="str">
        <f>IFERROR(#REF!/#REF!,"")</f>
        <v/>
      </c>
      <c r="K17" s="45" t="str">
        <f>IFERROR(#REF!/#REF!,"")</f>
        <v/>
      </c>
    </row>
    <row r="18" spans="2:11" x14ac:dyDescent="0.25">
      <c r="B18" s="46" t="s">
        <v>29</v>
      </c>
      <c r="C18" s="47" t="e">
        <f>SUM(C9:C17)</f>
        <v>#REF!</v>
      </c>
      <c r="D18" s="47" t="e">
        <f>SUM(D9:D17)</f>
        <v>#REF!</v>
      </c>
      <c r="E18" s="47" t="e">
        <f t="shared" ref="E18" si="1">SUM(E9:E17)</f>
        <v>#REF!</v>
      </c>
      <c r="F18" s="44" t="str">
        <f>IFERROR(#REF!/#REF!,"")</f>
        <v/>
      </c>
      <c r="G18" s="44" t="str">
        <f>IFERROR(#REF!/#REF!,"")</f>
        <v/>
      </c>
      <c r="H18" s="44" t="str">
        <f>IFERROR(#REF!/#REF!,"")</f>
        <v/>
      </c>
      <c r="I18" s="44" t="str">
        <f>IFERROR(#REF!/#REF!,"")</f>
        <v/>
      </c>
      <c r="J18" s="44" t="str">
        <f>IFERROR(#REF!/#REF!,"")</f>
        <v/>
      </c>
      <c r="K18" s="45" t="str">
        <f>IFERROR(#REF!/#REF!,"")</f>
        <v/>
      </c>
    </row>
    <row r="19" spans="2:11" x14ac:dyDescent="0.25">
      <c r="B19" s="40" t="s">
        <v>30</v>
      </c>
      <c r="C19" s="41"/>
      <c r="D19" s="41"/>
      <c r="E19" s="41"/>
      <c r="F19" s="41"/>
      <c r="G19" s="41"/>
      <c r="H19" s="41"/>
      <c r="I19" s="41"/>
      <c r="J19" s="41"/>
      <c r="K19" s="42"/>
    </row>
    <row r="20" spans="2:11" x14ac:dyDescent="0.25">
      <c r="B20" s="5" t="s">
        <v>31</v>
      </c>
      <c r="C20" s="43" t="e">
        <f>#REF!-#REF!</f>
        <v>#REF!</v>
      </c>
      <c r="D20" s="43" t="e">
        <f>#REF!-#REF!</f>
        <v>#REF!</v>
      </c>
      <c r="E20" s="43" t="e">
        <f>#REF!-#REF!</f>
        <v>#REF!</v>
      </c>
      <c r="F20" s="44" t="str">
        <f>IFERROR(#REF!/#REF!,"")</f>
        <v/>
      </c>
      <c r="G20" s="44" t="str">
        <f>IFERROR(#REF!/#REF!,"")</f>
        <v/>
      </c>
      <c r="H20" s="44" t="str">
        <f>IFERROR(#REF!/#REF!,"")</f>
        <v/>
      </c>
      <c r="I20" s="44" t="str">
        <f>IFERROR(#REF!/#REF!,"")</f>
        <v/>
      </c>
      <c r="J20" s="44" t="str">
        <f>IFERROR(#REF!/#REF!,"")</f>
        <v/>
      </c>
      <c r="K20" s="45" t="str">
        <f>IFERROR(#REF!/#REF!,"")</f>
        <v/>
      </c>
    </row>
    <row r="21" spans="2:11" ht="30" x14ac:dyDescent="0.25">
      <c r="B21" s="5" t="s">
        <v>32</v>
      </c>
      <c r="C21" s="43" t="e">
        <f>#REF!-#REF!</f>
        <v>#REF!</v>
      </c>
      <c r="D21" s="43" t="e">
        <f>#REF!-#REF!</f>
        <v>#REF!</v>
      </c>
      <c r="E21" s="43" t="e">
        <f>#REF!-#REF!</f>
        <v>#REF!</v>
      </c>
      <c r="F21" s="44" t="str">
        <f>IFERROR(#REF!/#REF!,"")</f>
        <v/>
      </c>
      <c r="G21" s="44" t="str">
        <f>IFERROR(#REF!/#REF!,"")</f>
        <v/>
      </c>
      <c r="H21" s="44" t="str">
        <f>IFERROR(#REF!/#REF!,"")</f>
        <v/>
      </c>
      <c r="I21" s="44" t="str">
        <f>IFERROR(#REF!/#REF!,"")</f>
        <v/>
      </c>
      <c r="J21" s="44" t="str">
        <f>IFERROR(#REF!/#REF!,"")</f>
        <v/>
      </c>
      <c r="K21" s="45" t="str">
        <f>IFERROR(#REF!/#REF!,"")</f>
        <v/>
      </c>
    </row>
    <row r="22" spans="2:11" x14ac:dyDescent="0.25">
      <c r="B22" s="5" t="s">
        <v>33</v>
      </c>
      <c r="C22" s="43" t="e">
        <f>#REF!-#REF!</f>
        <v>#REF!</v>
      </c>
      <c r="D22" s="43" t="e">
        <f>#REF!-#REF!</f>
        <v>#REF!</v>
      </c>
      <c r="E22" s="43" t="e">
        <f>#REF!-#REF!</f>
        <v>#REF!</v>
      </c>
      <c r="F22" s="44" t="str">
        <f>IFERROR(#REF!/#REF!,"")</f>
        <v/>
      </c>
      <c r="G22" s="44" t="str">
        <f>IFERROR(#REF!/#REF!,"")</f>
        <v/>
      </c>
      <c r="H22" s="44" t="str">
        <f>IFERROR(#REF!/#REF!,"")</f>
        <v/>
      </c>
      <c r="I22" s="44" t="str">
        <f>IFERROR(#REF!/#REF!,"")</f>
        <v/>
      </c>
      <c r="J22" s="44" t="str">
        <f>IFERROR(#REF!/#REF!,"")</f>
        <v/>
      </c>
      <c r="K22" s="45" t="str">
        <f>IFERROR(#REF!/#REF!,"")</f>
        <v/>
      </c>
    </row>
    <row r="23" spans="2:11" ht="30" x14ac:dyDescent="0.25">
      <c r="B23" s="5" t="s">
        <v>34</v>
      </c>
      <c r="C23" s="43" t="e">
        <f>#REF!-#REF!</f>
        <v>#REF!</v>
      </c>
      <c r="D23" s="43" t="e">
        <f>#REF!-#REF!</f>
        <v>#REF!</v>
      </c>
      <c r="E23" s="43" t="e">
        <f>#REF!-#REF!</f>
        <v>#REF!</v>
      </c>
      <c r="F23" s="44" t="str">
        <f>IFERROR(#REF!/#REF!,"")</f>
        <v/>
      </c>
      <c r="G23" s="44" t="str">
        <f>IFERROR(#REF!/#REF!,"")</f>
        <v/>
      </c>
      <c r="H23" s="44" t="str">
        <f>IFERROR(#REF!/#REF!,"")</f>
        <v/>
      </c>
      <c r="I23" s="44" t="str">
        <f>IFERROR(#REF!/#REF!,"")</f>
        <v/>
      </c>
      <c r="J23" s="44" t="str">
        <f>IFERROR(#REF!/#REF!,"")</f>
        <v/>
      </c>
      <c r="K23" s="45" t="str">
        <f>IFERROR(#REF!/#REF!,"")</f>
        <v/>
      </c>
    </row>
    <row r="24" spans="2:11" x14ac:dyDescent="0.25">
      <c r="B24" s="5" t="s">
        <v>35</v>
      </c>
      <c r="C24" s="43" t="e">
        <f>#REF!-#REF!</f>
        <v>#REF!</v>
      </c>
      <c r="D24" s="43" t="e">
        <f>#REF!-#REF!</f>
        <v>#REF!</v>
      </c>
      <c r="E24" s="43" t="e">
        <f>#REF!-#REF!</f>
        <v>#REF!</v>
      </c>
      <c r="F24" s="44" t="str">
        <f>IFERROR(#REF!/#REF!,"")</f>
        <v/>
      </c>
      <c r="G24" s="44" t="str">
        <f>IFERROR(#REF!/#REF!,"")</f>
        <v/>
      </c>
      <c r="H24" s="44" t="str">
        <f>IFERROR(#REF!/#REF!,"")</f>
        <v/>
      </c>
      <c r="I24" s="44" t="str">
        <f>IFERROR(#REF!/#REF!,"")</f>
        <v/>
      </c>
      <c r="J24" s="44" t="str">
        <f>IFERROR(#REF!/#REF!,"")</f>
        <v/>
      </c>
      <c r="K24" s="45" t="str">
        <f>IFERROR(#REF!/#REF!,"")</f>
        <v/>
      </c>
    </row>
    <row r="25" spans="2:11" x14ac:dyDescent="0.25">
      <c r="B25" s="5" t="s">
        <v>36</v>
      </c>
      <c r="C25" s="43" t="e">
        <f>#REF!-#REF!</f>
        <v>#REF!</v>
      </c>
      <c r="D25" s="43" t="e">
        <f>#REF!-#REF!</f>
        <v>#REF!</v>
      </c>
      <c r="E25" s="43" t="e">
        <f>#REF!-#REF!</f>
        <v>#REF!</v>
      </c>
      <c r="F25" s="44" t="str">
        <f>IFERROR(#REF!/#REF!,"")</f>
        <v/>
      </c>
      <c r="G25" s="44" t="str">
        <f>IFERROR(#REF!/#REF!,"")</f>
        <v/>
      </c>
      <c r="H25" s="44" t="str">
        <f>IFERROR(#REF!/#REF!,"")</f>
        <v/>
      </c>
      <c r="I25" s="44" t="str">
        <f>IFERROR(#REF!/#REF!,"")</f>
        <v/>
      </c>
      <c r="J25" s="44" t="str">
        <f>IFERROR(#REF!/#REF!,"")</f>
        <v/>
      </c>
      <c r="K25" s="45" t="str">
        <f>IFERROR(#REF!/#REF!,"")</f>
        <v/>
      </c>
    </row>
    <row r="26" spans="2:11" x14ac:dyDescent="0.25">
      <c r="B26" s="48" t="s">
        <v>37</v>
      </c>
      <c r="C26" s="49" t="e">
        <f>SUM(C20:C25)</f>
        <v>#REF!</v>
      </c>
      <c r="D26" s="49" t="e">
        <f>SUM(D20:D25)</f>
        <v>#REF!</v>
      </c>
      <c r="E26" s="49" t="e">
        <f>SUM(E20:E25)</f>
        <v>#REF!</v>
      </c>
      <c r="F26" s="50" t="str">
        <f>IFERROR(#REF!/#REF!,"")</f>
        <v/>
      </c>
      <c r="G26" s="50" t="str">
        <f>IFERROR(#REF!/#REF!,"")</f>
        <v/>
      </c>
      <c r="H26" s="50" t="str">
        <f>IFERROR(#REF!/#REF!,"")</f>
        <v/>
      </c>
      <c r="I26" s="50" t="str">
        <f>IFERROR(#REF!/#REF!,"")</f>
        <v/>
      </c>
      <c r="J26" s="50" t="str">
        <f>IFERROR(#REF!/#REF!,"")</f>
        <v/>
      </c>
      <c r="K26" s="51" t="str">
        <f>IFERROR(#REF!/#REF!,"")</f>
        <v/>
      </c>
    </row>
    <row r="27" spans="2:11" x14ac:dyDescent="0.25">
      <c r="B27" s="52" t="s">
        <v>38</v>
      </c>
      <c r="C27" s="53" t="e">
        <f>SUM(C18,C26)</f>
        <v>#REF!</v>
      </c>
      <c r="D27" s="53" t="e">
        <f>SUM(D18,D26)</f>
        <v>#REF!</v>
      </c>
      <c r="E27" s="53" t="e">
        <f>SUM(E18,E26)</f>
        <v>#REF!</v>
      </c>
      <c r="F27" s="54"/>
      <c r="G27" s="54"/>
      <c r="H27" s="54"/>
      <c r="I27" s="54" t="str">
        <f>IFERROR(#REF!/#REF!,"")</f>
        <v/>
      </c>
      <c r="J27" s="54" t="str">
        <f>IFERROR(#REF!/#REF!,"")</f>
        <v/>
      </c>
      <c r="K27" s="55" t="str">
        <f>IFERROR(#REF!/#REF!,"")</f>
        <v/>
      </c>
    </row>
    <row r="28" spans="2:11" x14ac:dyDescent="0.25">
      <c r="B28" s="56" t="s">
        <v>39</v>
      </c>
      <c r="C28" s="57"/>
      <c r="D28" s="57"/>
      <c r="E28" s="57"/>
      <c r="F28" s="57"/>
      <c r="G28" s="57"/>
      <c r="H28" s="57"/>
      <c r="I28" s="57"/>
      <c r="J28" s="57"/>
      <c r="K28" s="58"/>
    </row>
    <row r="29" spans="2:11" x14ac:dyDescent="0.25">
      <c r="B29" s="40" t="s">
        <v>40</v>
      </c>
      <c r="C29" s="41"/>
      <c r="D29" s="41"/>
      <c r="E29" s="41"/>
      <c r="F29" s="41"/>
      <c r="G29" s="41"/>
      <c r="H29" s="41"/>
      <c r="I29" s="41"/>
      <c r="J29" s="41"/>
      <c r="K29" s="42"/>
    </row>
    <row r="30" spans="2:11" ht="30" x14ac:dyDescent="0.25">
      <c r="B30" s="5" t="s">
        <v>41</v>
      </c>
      <c r="C30" s="43" t="e">
        <f>#REF!-#REF!</f>
        <v>#REF!</v>
      </c>
      <c r="D30" s="43" t="e">
        <f>#REF!-#REF!</f>
        <v>#REF!</v>
      </c>
      <c r="E30" s="43" t="e">
        <f>#REF!-#REF!</f>
        <v>#REF!</v>
      </c>
      <c r="F30" s="44" t="str">
        <f>IFERROR(#REF!/#REF!,"")</f>
        <v/>
      </c>
      <c r="G30" s="44" t="str">
        <f>IFERROR(#REF!/#REF!,"")</f>
        <v/>
      </c>
      <c r="H30" s="44" t="str">
        <f>IFERROR(#REF!/#REF!,"")</f>
        <v/>
      </c>
      <c r="I30" s="44" t="str">
        <f>IFERROR(#REF!/#REF!,"")</f>
        <v/>
      </c>
      <c r="J30" s="44" t="str">
        <f>IFERROR(#REF!/#REF!,"")</f>
        <v/>
      </c>
      <c r="K30" s="45" t="str">
        <f>IFERROR(#REF!/#REF!,"")</f>
        <v/>
      </c>
    </row>
    <row r="31" spans="2:11" x14ac:dyDescent="0.25">
      <c r="B31" s="5" t="s">
        <v>42</v>
      </c>
      <c r="C31" s="43" t="e">
        <f>#REF!-#REF!</f>
        <v>#REF!</v>
      </c>
      <c r="D31" s="43" t="e">
        <f>#REF!-#REF!</f>
        <v>#REF!</v>
      </c>
      <c r="E31" s="43" t="e">
        <f>#REF!-#REF!</f>
        <v>#REF!</v>
      </c>
      <c r="F31" s="44" t="str">
        <f>IFERROR(#REF!/#REF!,"")</f>
        <v/>
      </c>
      <c r="G31" s="44" t="str">
        <f>IFERROR(#REF!/#REF!,"")</f>
        <v/>
      </c>
      <c r="H31" s="44" t="str">
        <f>IFERROR(#REF!/#REF!,"")</f>
        <v/>
      </c>
      <c r="I31" s="44" t="str">
        <f>IFERROR(#REF!/#REF!,"")</f>
        <v/>
      </c>
      <c r="J31" s="44" t="str">
        <f>IFERROR(#REF!/#REF!,"")</f>
        <v/>
      </c>
      <c r="K31" s="45" t="str">
        <f>IFERROR(#REF!/#REF!,"")</f>
        <v/>
      </c>
    </row>
    <row r="32" spans="2:11" x14ac:dyDescent="0.25">
      <c r="B32" s="5" t="s">
        <v>43</v>
      </c>
      <c r="C32" s="43" t="e">
        <f>#REF!-#REF!</f>
        <v>#REF!</v>
      </c>
      <c r="D32" s="43" t="e">
        <f>#REF!-#REF!</f>
        <v>#REF!</v>
      </c>
      <c r="E32" s="43" t="e">
        <f>#REF!-#REF!</f>
        <v>#REF!</v>
      </c>
      <c r="F32" s="44" t="str">
        <f>IFERROR(#REF!/#REF!,"")</f>
        <v/>
      </c>
      <c r="G32" s="44" t="str">
        <f>IFERROR(#REF!/#REF!,"")</f>
        <v/>
      </c>
      <c r="H32" s="44" t="str">
        <f>IFERROR(#REF!/#REF!,"")</f>
        <v/>
      </c>
      <c r="I32" s="44" t="str">
        <f>IFERROR(#REF!/#REF!,"")</f>
        <v/>
      </c>
      <c r="J32" s="44" t="str">
        <f>IFERROR(#REF!/#REF!,"")</f>
        <v/>
      </c>
      <c r="K32" s="45" t="str">
        <f>IFERROR(#REF!/#REF!,"")</f>
        <v/>
      </c>
    </row>
    <row r="33" spans="2:11" x14ac:dyDescent="0.25">
      <c r="B33" s="5" t="s">
        <v>44</v>
      </c>
      <c r="C33" s="43" t="e">
        <f>#REF!-#REF!</f>
        <v>#REF!</v>
      </c>
      <c r="D33" s="43" t="e">
        <f>#REF!-#REF!</f>
        <v>#REF!</v>
      </c>
      <c r="E33" s="43" t="e">
        <f>#REF!-#REF!</f>
        <v>#REF!</v>
      </c>
      <c r="F33" s="44" t="str">
        <f>IFERROR(#REF!/#REF!,"")</f>
        <v/>
      </c>
      <c r="G33" s="44" t="str">
        <f>IFERROR(#REF!/#REF!,"")</f>
        <v/>
      </c>
      <c r="H33" s="44" t="str">
        <f>IFERROR(#REF!/#REF!,"")</f>
        <v/>
      </c>
      <c r="I33" s="44" t="str">
        <f>IFERROR(#REF!/#REF!,"")</f>
        <v/>
      </c>
      <c r="J33" s="44" t="str">
        <f>IFERROR(#REF!/#REF!,"")</f>
        <v/>
      </c>
      <c r="K33" s="45" t="str">
        <f>IFERROR(#REF!/#REF!,"")</f>
        <v/>
      </c>
    </row>
    <row r="34" spans="2:11" x14ac:dyDescent="0.25">
      <c r="B34" s="5" t="s">
        <v>45</v>
      </c>
      <c r="C34" s="43" t="e">
        <f>#REF!-#REF!</f>
        <v>#REF!</v>
      </c>
      <c r="D34" s="43" t="e">
        <f>#REF!-#REF!</f>
        <v>#REF!</v>
      </c>
      <c r="E34" s="43" t="e">
        <f>#REF!-#REF!</f>
        <v>#REF!</v>
      </c>
      <c r="F34" s="44" t="str">
        <f>IFERROR(#REF!/#REF!,"")</f>
        <v/>
      </c>
      <c r="G34" s="44" t="str">
        <f>IFERROR(#REF!/#REF!,"")</f>
        <v/>
      </c>
      <c r="H34" s="44" t="str">
        <f>IFERROR(#REF!/#REF!,"")</f>
        <v/>
      </c>
      <c r="I34" s="44" t="str">
        <f>IFERROR(#REF!/#REF!,"")</f>
        <v/>
      </c>
      <c r="J34" s="44" t="str">
        <f>IFERROR(#REF!/#REF!,"")</f>
        <v/>
      </c>
      <c r="K34" s="45" t="str">
        <f>IFERROR(#REF!/#REF!,"")</f>
        <v/>
      </c>
    </row>
    <row r="35" spans="2:11" x14ac:dyDescent="0.25">
      <c r="B35" s="5" t="s">
        <v>46</v>
      </c>
      <c r="C35" s="43" t="e">
        <f>#REF!-#REF!</f>
        <v>#REF!</v>
      </c>
      <c r="D35" s="43" t="e">
        <f>#REF!-#REF!</f>
        <v>#REF!</v>
      </c>
      <c r="E35" s="43" t="e">
        <f>#REF!-#REF!</f>
        <v>#REF!</v>
      </c>
      <c r="F35" s="44" t="str">
        <f>IFERROR(#REF!/#REF!,"")</f>
        <v/>
      </c>
      <c r="G35" s="44" t="str">
        <f>IFERROR(#REF!/#REF!,"")</f>
        <v/>
      </c>
      <c r="H35" s="44" t="str">
        <f>IFERROR(#REF!/#REF!,"")</f>
        <v/>
      </c>
      <c r="I35" s="44" t="str">
        <f>IFERROR(#REF!/#REF!,"")</f>
        <v/>
      </c>
      <c r="J35" s="44" t="str">
        <f>IFERROR(#REF!/#REF!,"")</f>
        <v/>
      </c>
      <c r="K35" s="45" t="str">
        <f>IFERROR(#REF!/#REF!,"")</f>
        <v/>
      </c>
    </row>
    <row r="36" spans="2:11" x14ac:dyDescent="0.25">
      <c r="B36" s="46" t="s">
        <v>47</v>
      </c>
      <c r="C36" s="47" t="e">
        <f>SUM(C30:C35)</f>
        <v>#REF!</v>
      </c>
      <c r="D36" s="47" t="e">
        <f>SUM(D30:D35)</f>
        <v>#REF!</v>
      </c>
      <c r="E36" s="47" t="e">
        <f t="shared" ref="E36" si="2">SUM(E30:E35)</f>
        <v>#REF!</v>
      </c>
      <c r="F36" s="44" t="str">
        <f>IFERROR(#REF!/#REF!,"")</f>
        <v/>
      </c>
      <c r="G36" s="44" t="str">
        <f>IFERROR(#REF!/#REF!,"")</f>
        <v/>
      </c>
      <c r="H36" s="44" t="str">
        <f>IFERROR(#REF!/#REF!,"")</f>
        <v/>
      </c>
      <c r="I36" s="44" t="str">
        <f>IFERROR(#REF!/#REF!,"")</f>
        <v/>
      </c>
      <c r="J36" s="44" t="str">
        <f>IFERROR(#REF!/#REF!,"")</f>
        <v/>
      </c>
      <c r="K36" s="45" t="str">
        <f>IFERROR(#REF!/#REF!,"")</f>
        <v/>
      </c>
    </row>
    <row r="37" spans="2:11" x14ac:dyDescent="0.25">
      <c r="B37" s="40" t="s">
        <v>48</v>
      </c>
      <c r="C37" s="41"/>
      <c r="D37" s="41"/>
      <c r="E37" s="41"/>
      <c r="F37" s="41"/>
      <c r="G37" s="41"/>
      <c r="H37" s="41"/>
      <c r="I37" s="41">
        <v>0</v>
      </c>
      <c r="J37" s="41">
        <v>0</v>
      </c>
      <c r="K37" s="42">
        <v>0</v>
      </c>
    </row>
    <row r="38" spans="2:11" x14ac:dyDescent="0.25">
      <c r="B38" s="5" t="s">
        <v>49</v>
      </c>
      <c r="C38" s="43" t="e">
        <f>#REF!-#REF!</f>
        <v>#REF!</v>
      </c>
      <c r="D38" s="43" t="e">
        <f>#REF!-#REF!</f>
        <v>#REF!</v>
      </c>
      <c r="E38" s="43" t="e">
        <f>#REF!-#REF!</f>
        <v>#REF!</v>
      </c>
      <c r="F38" s="44" t="str">
        <f>IFERROR(#REF!/#REF!,"")</f>
        <v/>
      </c>
      <c r="G38" s="44" t="str">
        <f>IFERROR(#REF!/#REF!,"")</f>
        <v/>
      </c>
      <c r="H38" s="44" t="str">
        <f>IFERROR(#REF!/#REF!,"")</f>
        <v/>
      </c>
      <c r="I38" s="44" t="str">
        <f>IFERROR(#REF!/#REF!,"")</f>
        <v/>
      </c>
      <c r="J38" s="44" t="str">
        <f>IFERROR(#REF!/#REF!,"")</f>
        <v/>
      </c>
      <c r="K38" s="45" t="str">
        <f>IFERROR(#REF!/#REF!,"")</f>
        <v/>
      </c>
    </row>
    <row r="39" spans="2:11" x14ac:dyDescent="0.25">
      <c r="B39" s="5" t="s">
        <v>50</v>
      </c>
      <c r="C39" s="43" t="e">
        <f>#REF!-#REF!</f>
        <v>#REF!</v>
      </c>
      <c r="D39" s="43" t="e">
        <f>#REF!-#REF!</f>
        <v>#REF!</v>
      </c>
      <c r="E39" s="43" t="e">
        <f>#REF!-#REF!</f>
        <v>#REF!</v>
      </c>
      <c r="F39" s="44" t="str">
        <f>IFERROR(#REF!/#REF!,"")</f>
        <v/>
      </c>
      <c r="G39" s="44" t="str">
        <f>IFERROR(#REF!/#REF!,"")</f>
        <v/>
      </c>
      <c r="H39" s="44" t="str">
        <f>IFERROR(#REF!/#REF!,"")</f>
        <v/>
      </c>
      <c r="I39" s="44" t="str">
        <f>IFERROR(#REF!/#REF!,"")</f>
        <v/>
      </c>
      <c r="J39" s="44" t="str">
        <f>IFERROR(#REF!/#REF!,"")</f>
        <v/>
      </c>
      <c r="K39" s="45" t="str">
        <f>IFERROR(#REF!/#REF!,"")</f>
        <v/>
      </c>
    </row>
    <row r="40" spans="2:11" x14ac:dyDescent="0.25">
      <c r="B40" s="5" t="s">
        <v>51</v>
      </c>
      <c r="C40" s="43" t="e">
        <f>#REF!-#REF!</f>
        <v>#REF!</v>
      </c>
      <c r="D40" s="43" t="e">
        <f>#REF!-#REF!</f>
        <v>#REF!</v>
      </c>
      <c r="E40" s="43" t="e">
        <f>#REF!-#REF!</f>
        <v>#REF!</v>
      </c>
      <c r="F40" s="44" t="str">
        <f>IFERROR(#REF!/#REF!,"")</f>
        <v/>
      </c>
      <c r="G40" s="44" t="str">
        <f>IFERROR(#REF!/#REF!,"")</f>
        <v/>
      </c>
      <c r="H40" s="44" t="str">
        <f>IFERROR(#REF!/#REF!,"")</f>
        <v/>
      </c>
      <c r="I40" s="44" t="str">
        <f>IFERROR(#REF!/#REF!,"")</f>
        <v/>
      </c>
      <c r="J40" s="44" t="str">
        <f>IFERROR(#REF!/#REF!,"")</f>
        <v/>
      </c>
      <c r="K40" s="45" t="str">
        <f>IFERROR(#REF!/#REF!,"")</f>
        <v/>
      </c>
    </row>
    <row r="41" spans="2:11" x14ac:dyDescent="0.25">
      <c r="B41" s="5" t="s">
        <v>52</v>
      </c>
      <c r="C41" s="43" t="e">
        <f>#REF!-#REF!</f>
        <v>#REF!</v>
      </c>
      <c r="D41" s="43" t="e">
        <f>#REF!-#REF!</f>
        <v>#REF!</v>
      </c>
      <c r="E41" s="43" t="e">
        <f>#REF!-#REF!</f>
        <v>#REF!</v>
      </c>
      <c r="F41" s="44" t="str">
        <f>IFERROR(#REF!/#REF!,"")</f>
        <v/>
      </c>
      <c r="G41" s="44" t="str">
        <f>IFERROR(#REF!/#REF!,"")</f>
        <v/>
      </c>
      <c r="H41" s="44" t="str">
        <f>IFERROR(#REF!/#REF!,"")</f>
        <v/>
      </c>
      <c r="I41" s="44" t="str">
        <f>IFERROR(#REF!/#REF!,"")</f>
        <v/>
      </c>
      <c r="J41" s="44" t="str">
        <f>IFERROR(#REF!/#REF!,"")</f>
        <v/>
      </c>
      <c r="K41" s="45" t="str">
        <f>IFERROR(#REF!/#REF!,"")</f>
        <v/>
      </c>
    </row>
    <row r="42" spans="2:11" x14ac:dyDescent="0.25">
      <c r="B42" s="46" t="s">
        <v>53</v>
      </c>
      <c r="C42" s="47" t="e">
        <f>SUM(C38:C41)</f>
        <v>#REF!</v>
      </c>
      <c r="D42" s="47" t="e">
        <f>SUM(D38:D41)</f>
        <v>#REF!</v>
      </c>
      <c r="E42" s="47" t="e">
        <f t="shared" ref="E42" si="3">SUM(E38:E41)</f>
        <v>#REF!</v>
      </c>
      <c r="F42" s="44" t="str">
        <f>IFERROR(#REF!/#REF!,"")</f>
        <v/>
      </c>
      <c r="G42" s="44" t="str">
        <f>IFERROR(#REF!/#REF!,"")</f>
        <v/>
      </c>
      <c r="H42" s="44" t="str">
        <f>IFERROR(#REF!/#REF!,"")</f>
        <v/>
      </c>
      <c r="I42" s="44" t="str">
        <f>IFERROR(#REF!/#REF!,"")</f>
        <v/>
      </c>
      <c r="J42" s="44" t="str">
        <f>IFERROR(#REF!/#REF!,"")</f>
        <v/>
      </c>
      <c r="K42" s="45" t="str">
        <f>IFERROR(#REF!/#REF!,"")</f>
        <v/>
      </c>
    </row>
    <row r="43" spans="2:11" x14ac:dyDescent="0.25">
      <c r="B43" s="40" t="s">
        <v>54</v>
      </c>
      <c r="C43" s="41"/>
      <c r="D43" s="41"/>
      <c r="E43" s="41"/>
      <c r="F43" s="41"/>
      <c r="G43" s="41"/>
      <c r="H43" s="41"/>
      <c r="I43" s="41">
        <v>0</v>
      </c>
      <c r="J43" s="41">
        <v>0</v>
      </c>
      <c r="K43" s="42">
        <v>0</v>
      </c>
    </row>
    <row r="44" spans="2:11" x14ac:dyDescent="0.25">
      <c r="B44" s="5" t="s">
        <v>49</v>
      </c>
      <c r="C44" s="43" t="e">
        <f>#REF!-#REF!</f>
        <v>#REF!</v>
      </c>
      <c r="D44" s="43" t="e">
        <f>#REF!-#REF!</f>
        <v>#REF!</v>
      </c>
      <c r="E44" s="43" t="e">
        <f>#REF!-#REF!</f>
        <v>#REF!</v>
      </c>
      <c r="F44" s="44" t="str">
        <f>IFERROR(#REF!/#REF!,"")</f>
        <v/>
      </c>
      <c r="G44" s="44" t="str">
        <f>IFERROR(#REF!/#REF!,"")</f>
        <v/>
      </c>
      <c r="H44" s="44" t="str">
        <f>IFERROR(#REF!/#REF!,"")</f>
        <v/>
      </c>
      <c r="I44" s="44" t="str">
        <f>IFERROR(#REF!/#REF!,"")</f>
        <v/>
      </c>
      <c r="J44" s="44" t="str">
        <f>IFERROR(#REF!/#REF!,"")</f>
        <v/>
      </c>
      <c r="K44" s="45" t="str">
        <f>IFERROR(#REF!/#REF!,"")</f>
        <v/>
      </c>
    </row>
    <row r="45" spans="2:11" x14ac:dyDescent="0.25">
      <c r="B45" s="5" t="s">
        <v>55</v>
      </c>
      <c r="C45" s="43" t="e">
        <f>#REF!-#REF!</f>
        <v>#REF!</v>
      </c>
      <c r="D45" s="43" t="e">
        <f>#REF!-#REF!</f>
        <v>#REF!</v>
      </c>
      <c r="E45" s="43" t="e">
        <f>#REF!-#REF!</f>
        <v>#REF!</v>
      </c>
      <c r="F45" s="44" t="str">
        <f>IFERROR(#REF!/#REF!,"")</f>
        <v/>
      </c>
      <c r="G45" s="44" t="str">
        <f>IFERROR(#REF!/#REF!,"")</f>
        <v/>
      </c>
      <c r="H45" s="44" t="str">
        <f>IFERROR(#REF!/#REF!,"")</f>
        <v/>
      </c>
      <c r="I45" s="44" t="str">
        <f>IFERROR(#REF!/#REF!,"")</f>
        <v/>
      </c>
      <c r="J45" s="44" t="str">
        <f>IFERROR(#REF!/#REF!,"")</f>
        <v/>
      </c>
      <c r="K45" s="45" t="str">
        <f>IFERROR(#REF!/#REF!,"")</f>
        <v/>
      </c>
    </row>
    <row r="46" spans="2:11" x14ac:dyDescent="0.25">
      <c r="B46" s="5" t="s">
        <v>56</v>
      </c>
      <c r="C46" s="43" t="e">
        <f>#REF!-#REF!</f>
        <v>#REF!</v>
      </c>
      <c r="D46" s="43" t="e">
        <f>#REF!-#REF!</f>
        <v>#REF!</v>
      </c>
      <c r="E46" s="43" t="e">
        <f>#REF!-#REF!</f>
        <v>#REF!</v>
      </c>
      <c r="F46" s="44" t="str">
        <f>IFERROR(#REF!/#REF!,"")</f>
        <v/>
      </c>
      <c r="G46" s="44" t="str">
        <f>IFERROR(#REF!/#REF!,"")</f>
        <v/>
      </c>
      <c r="H46" s="44" t="str">
        <f>IFERROR(#REF!/#REF!,"")</f>
        <v/>
      </c>
      <c r="I46" s="44" t="str">
        <f>IFERROR(#REF!/#REF!,"")</f>
        <v/>
      </c>
      <c r="J46" s="44" t="str">
        <f>IFERROR(#REF!/#REF!,"")</f>
        <v/>
      </c>
      <c r="K46" s="45" t="str">
        <f>IFERROR(#REF!/#REF!,"")</f>
        <v/>
      </c>
    </row>
    <row r="47" spans="2:11" x14ac:dyDescent="0.25">
      <c r="B47" s="5" t="s">
        <v>51</v>
      </c>
      <c r="C47" s="43" t="e">
        <f>#REF!-#REF!</f>
        <v>#REF!</v>
      </c>
      <c r="D47" s="43" t="e">
        <f>#REF!-#REF!</f>
        <v>#REF!</v>
      </c>
      <c r="E47" s="43" t="e">
        <f>#REF!-#REF!</f>
        <v>#REF!</v>
      </c>
      <c r="F47" s="44" t="str">
        <f>IFERROR(#REF!/#REF!,"")</f>
        <v/>
      </c>
      <c r="G47" s="44" t="str">
        <f>IFERROR(#REF!/#REF!,"")</f>
        <v/>
      </c>
      <c r="H47" s="44" t="str">
        <f>IFERROR(#REF!/#REF!,"")</f>
        <v/>
      </c>
      <c r="I47" s="44" t="str">
        <f>IFERROR(#REF!/#REF!,"")</f>
        <v/>
      </c>
      <c r="J47" s="44" t="str">
        <f>IFERROR(#REF!/#REF!,"")</f>
        <v/>
      </c>
      <c r="K47" s="45" t="str">
        <f>IFERROR(#REF!/#REF!,"")</f>
        <v/>
      </c>
    </row>
    <row r="48" spans="2:11" x14ac:dyDescent="0.25">
      <c r="B48" s="5" t="s">
        <v>52</v>
      </c>
      <c r="C48" s="43" t="e">
        <f>#REF!-#REF!</f>
        <v>#REF!</v>
      </c>
      <c r="D48" s="43" t="e">
        <f>#REF!-#REF!</f>
        <v>#REF!</v>
      </c>
      <c r="E48" s="43" t="e">
        <f>#REF!-#REF!</f>
        <v>#REF!</v>
      </c>
      <c r="F48" s="44" t="str">
        <f>IFERROR(#REF!/#REF!,"")</f>
        <v/>
      </c>
      <c r="G48" s="44" t="str">
        <f>IFERROR(#REF!/#REF!,"")</f>
        <v/>
      </c>
      <c r="H48" s="44" t="str">
        <f>IFERROR(#REF!/#REF!,"")</f>
        <v/>
      </c>
      <c r="I48" s="44" t="str">
        <f>IFERROR(#REF!/#REF!,"")</f>
        <v/>
      </c>
      <c r="J48" s="44" t="str">
        <f>IFERROR(#REF!/#REF!,"")</f>
        <v/>
      </c>
      <c r="K48" s="45" t="str">
        <f>IFERROR(#REF!/#REF!,"")</f>
        <v/>
      </c>
    </row>
    <row r="49" spans="2:11" x14ac:dyDescent="0.25">
      <c r="B49" s="48" t="s">
        <v>57</v>
      </c>
      <c r="C49" s="49" t="e">
        <f>SUM(C44:C48)</f>
        <v>#REF!</v>
      </c>
      <c r="D49" s="49" t="e">
        <f>SUM(D44:D48)</f>
        <v>#REF!</v>
      </c>
      <c r="E49" s="49" t="e">
        <f t="shared" ref="E49" si="4">SUM(E44:E48)</f>
        <v>#REF!</v>
      </c>
      <c r="F49" s="50" t="str">
        <f>IFERROR(#REF!/#REF!,"")</f>
        <v/>
      </c>
      <c r="G49" s="50" t="str">
        <f>IFERROR(#REF!/#REF!,"")</f>
        <v/>
      </c>
      <c r="H49" s="50" t="str">
        <f>IFERROR(#REF!/#REF!,"")</f>
        <v/>
      </c>
      <c r="I49" s="50" t="str">
        <f>IFERROR(#REF!/#REF!,"")</f>
        <v/>
      </c>
      <c r="J49" s="50" t="str">
        <f>IFERROR(#REF!/#REF!,"")</f>
        <v/>
      </c>
      <c r="K49" s="51" t="str">
        <f>IFERROR(#REF!/#REF!,"")</f>
        <v/>
      </c>
    </row>
    <row r="50" spans="2:11" x14ac:dyDescent="0.25">
      <c r="B50" s="52" t="s">
        <v>38</v>
      </c>
      <c r="C50" s="53" t="e">
        <f>#REF!-#REF!</f>
        <v>#REF!</v>
      </c>
      <c r="D50" s="53" t="e">
        <f>#REF!-#REF!</f>
        <v>#REF!</v>
      </c>
      <c r="E50" s="53" t="e">
        <f>#REF!-#REF!</f>
        <v>#REF!</v>
      </c>
      <c r="F50" s="54" t="str">
        <f>IFERROR(#REF!/#REF!,"")</f>
        <v/>
      </c>
      <c r="G50" s="54" t="str">
        <f>IFERROR(#REF!/#REF!,"")</f>
        <v/>
      </c>
      <c r="H50" s="54" t="str">
        <f>IFERROR(#REF!/#REF!,"")</f>
        <v/>
      </c>
      <c r="I50" s="54" t="str">
        <f>IFERROR(#REF!/#REF!,"")</f>
        <v/>
      </c>
      <c r="J50" s="54" t="str">
        <f>IFERROR(#REF!/#REF!,"")</f>
        <v/>
      </c>
      <c r="K50" s="55" t="str">
        <f>IFERROR(#REF!/#REF!,"")</f>
        <v/>
      </c>
    </row>
  </sheetData>
  <mergeCells count="6">
    <mergeCell ref="B3:B5"/>
    <mergeCell ref="C3:H3"/>
    <mergeCell ref="I3:K3"/>
    <mergeCell ref="C4:E4"/>
    <mergeCell ref="F4:H4"/>
    <mergeCell ref="I4:K4"/>
  </mergeCells>
  <printOptions horizontalCentered="1"/>
  <pageMargins left="0.19685039370078741" right="0.19685039370078741" top="0.78740157480314965" bottom="0.39370078740157483" header="0.31496062992125984" footer="0.31496062992125984"/>
  <pageSetup paperSize="9" scale="83" fitToHeight="3" orientation="landscape" r:id="rId1"/>
  <rowBreaks count="1" manualBreakCount="1">
    <brk id="27" max="11"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4"/>
  <dimension ref="A1:N16"/>
  <sheetViews>
    <sheetView view="pageBreakPreview" zoomScaleNormal="100" zoomScaleSheetLayoutView="100" workbookViewId="0">
      <selection activeCell="E16" sqref="E16"/>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3" customFormat="1" ht="18.75" x14ac:dyDescent="0.3">
      <c r="A1" s="3" t="s">
        <v>483</v>
      </c>
    </row>
    <row r="3" spans="1:14" ht="30" customHeight="1" x14ac:dyDescent="0.25">
      <c r="B3" s="542" t="s">
        <v>170</v>
      </c>
      <c r="C3" s="550" t="s">
        <v>92</v>
      </c>
      <c r="D3" s="542" t="s">
        <v>171</v>
      </c>
      <c r="E3" s="550" t="s">
        <v>172</v>
      </c>
      <c r="F3" s="550"/>
      <c r="G3" s="550"/>
      <c r="H3" s="548" t="e">
        <f>"Изменение, "&amp;#REF!</f>
        <v>#REF!</v>
      </c>
      <c r="I3" s="549"/>
      <c r="J3" s="548" t="s">
        <v>174</v>
      </c>
      <c r="K3" s="549"/>
    </row>
    <row r="4" spans="1:14"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c r="N4" s="22"/>
    </row>
    <row r="5" spans="1:14" x14ac:dyDescent="0.25">
      <c r="B5" s="121" t="s">
        <v>3</v>
      </c>
      <c r="C5" s="122" t="s">
        <v>401</v>
      </c>
      <c r="D5" s="123" t="e">
        <f>#REF!</f>
        <v>#REF!</v>
      </c>
      <c r="E5" s="130" t="e">
        <f>#REF!</f>
        <v>#REF!</v>
      </c>
      <c r="F5" s="130" t="e">
        <f>#REF!</f>
        <v>#REF!</v>
      </c>
      <c r="G5" s="130" t="e">
        <f>#REF!</f>
        <v>#REF!</v>
      </c>
      <c r="H5" s="131" t="e">
        <f t="shared" ref="H5:H16" si="0">E5-F5</f>
        <v>#REF!</v>
      </c>
      <c r="I5" s="131" t="e">
        <f t="shared" ref="I5:I16" si="1">E5-G5</f>
        <v>#REF!</v>
      </c>
      <c r="J5" s="132" t="str">
        <f t="shared" ref="J5:J16" si="2">IFERROR(E5/F5,"")</f>
        <v/>
      </c>
      <c r="K5" s="133" t="str">
        <f t="shared" ref="K5:K16" si="3">IFERROR(E5/G5,"")</f>
        <v/>
      </c>
    </row>
    <row r="6" spans="1:14" x14ac:dyDescent="0.25">
      <c r="B6" s="15" t="s">
        <v>4</v>
      </c>
      <c r="C6" s="128" t="s">
        <v>484</v>
      </c>
      <c r="D6" s="287" t="e">
        <f>#REF!</f>
        <v>#REF!</v>
      </c>
      <c r="E6" s="130" t="e">
        <f>#REF!</f>
        <v>#REF!</v>
      </c>
      <c r="F6" s="130" t="e">
        <f>#REF!</f>
        <v>#REF!</v>
      </c>
      <c r="G6" s="130" t="e">
        <f>#REF!</f>
        <v>#REF!</v>
      </c>
      <c r="H6" s="131" t="e">
        <f t="shared" si="0"/>
        <v>#REF!</v>
      </c>
      <c r="I6" s="131" t="e">
        <f t="shared" si="1"/>
        <v>#REF!</v>
      </c>
      <c r="J6" s="132" t="str">
        <f t="shared" si="2"/>
        <v/>
      </c>
      <c r="K6" s="133" t="str">
        <f t="shared" si="3"/>
        <v/>
      </c>
    </row>
    <row r="7" spans="1:14" ht="30" x14ac:dyDescent="0.25">
      <c r="B7" s="15" t="s">
        <v>5</v>
      </c>
      <c r="C7" s="128" t="s">
        <v>485</v>
      </c>
      <c r="D7" s="287" t="e">
        <f>#REF!</f>
        <v>#REF!</v>
      </c>
      <c r="E7" s="130" t="e">
        <f>#REF!+-#REF!</f>
        <v>#REF!</v>
      </c>
      <c r="F7" s="130" t="e">
        <f>#REF!+-#REF!</f>
        <v>#REF!</v>
      </c>
      <c r="G7" s="130" t="e">
        <f>#REF!+-#REF!</f>
        <v>#REF!</v>
      </c>
      <c r="H7" s="131" t="e">
        <f t="shared" si="0"/>
        <v>#REF!</v>
      </c>
      <c r="I7" s="131" t="e">
        <f t="shared" si="1"/>
        <v>#REF!</v>
      </c>
      <c r="J7" s="132" t="str">
        <f t="shared" si="2"/>
        <v/>
      </c>
      <c r="K7" s="133" t="str">
        <f t="shared" si="3"/>
        <v/>
      </c>
    </row>
    <row r="8" spans="1:14" x14ac:dyDescent="0.25">
      <c r="B8" s="15" t="s">
        <v>6</v>
      </c>
      <c r="C8" s="128" t="s">
        <v>75</v>
      </c>
      <c r="D8" s="287" t="e">
        <f>#REF!</f>
        <v>#REF!</v>
      </c>
      <c r="E8" s="130" t="e">
        <f>#REF!</f>
        <v>#REF!</v>
      </c>
      <c r="F8" s="130" t="e">
        <f>#REF!</f>
        <v>#REF!</v>
      </c>
      <c r="G8" s="130" t="e">
        <f>#REF!</f>
        <v>#REF!</v>
      </c>
      <c r="H8" s="131" t="e">
        <f t="shared" si="0"/>
        <v>#REF!</v>
      </c>
      <c r="I8" s="131" t="e">
        <f t="shared" si="1"/>
        <v>#REF!</v>
      </c>
      <c r="J8" s="132" t="str">
        <f t="shared" si="2"/>
        <v/>
      </c>
      <c r="K8" s="133" t="str">
        <f t="shared" si="3"/>
        <v/>
      </c>
    </row>
    <row r="9" spans="1:14" x14ac:dyDescent="0.25">
      <c r="B9" s="15" t="s">
        <v>189</v>
      </c>
      <c r="C9" s="128" t="s">
        <v>93</v>
      </c>
      <c r="D9" s="287" t="e">
        <f>#REF!</f>
        <v>#REF!</v>
      </c>
      <c r="E9" s="130" t="e">
        <f>Пояснения!D52</f>
        <v>#REF!</v>
      </c>
      <c r="F9" s="130" t="e">
        <f>Пояснения!E52</f>
        <v>#REF!</v>
      </c>
      <c r="G9" s="130" t="e">
        <f>Пояснения!F52</f>
        <v>#REF!</v>
      </c>
      <c r="H9" s="131" t="e">
        <f t="shared" si="0"/>
        <v>#REF!</v>
      </c>
      <c r="I9" s="131" t="e">
        <f t="shared" si="1"/>
        <v>#REF!</v>
      </c>
      <c r="J9" s="132" t="str">
        <f t="shared" si="2"/>
        <v/>
      </c>
      <c r="K9" s="133" t="str">
        <f t="shared" si="3"/>
        <v/>
      </c>
    </row>
    <row r="10" spans="1:14" ht="30" x14ac:dyDescent="0.25">
      <c r="B10" s="15" t="s">
        <v>312</v>
      </c>
      <c r="C10" s="128" t="s">
        <v>486</v>
      </c>
      <c r="D10" s="287"/>
      <c r="E10" s="296">
        <v>0</v>
      </c>
      <c r="F10" s="296">
        <v>0</v>
      </c>
      <c r="G10" s="296">
        <v>0</v>
      </c>
      <c r="H10" s="131">
        <f t="shared" si="0"/>
        <v>0</v>
      </c>
      <c r="I10" s="131">
        <f t="shared" si="1"/>
        <v>0</v>
      </c>
      <c r="J10" s="132" t="str">
        <f t="shared" si="2"/>
        <v/>
      </c>
      <c r="K10" s="133" t="str">
        <f t="shared" si="3"/>
        <v/>
      </c>
    </row>
    <row r="11" spans="1:14" x14ac:dyDescent="0.25">
      <c r="B11" s="15"/>
      <c r="C11" s="300" t="s">
        <v>487</v>
      </c>
      <c r="D11" s="287"/>
      <c r="E11" s="140" t="e">
        <f>E8/E6</f>
        <v>#REF!</v>
      </c>
      <c r="F11" s="140" t="e">
        <f t="shared" ref="F11:G11" si="4">F8/F6</f>
        <v>#REF!</v>
      </c>
      <c r="G11" s="140" t="e">
        <f t="shared" si="4"/>
        <v>#REF!</v>
      </c>
      <c r="H11" s="140" t="e">
        <f t="shared" si="0"/>
        <v>#REF!</v>
      </c>
      <c r="I11" s="140" t="e">
        <f t="shared" si="1"/>
        <v>#REF!</v>
      </c>
      <c r="J11" s="132" t="str">
        <f t="shared" si="2"/>
        <v/>
      </c>
      <c r="K11" s="133" t="str">
        <f t="shared" si="3"/>
        <v/>
      </c>
    </row>
    <row r="12" spans="1:14" x14ac:dyDescent="0.25">
      <c r="B12" s="15"/>
      <c r="C12" s="300" t="s">
        <v>488</v>
      </c>
      <c r="D12" s="287"/>
      <c r="E12" s="140" t="e">
        <f>E6/E7</f>
        <v>#REF!</v>
      </c>
      <c r="F12" s="140" t="e">
        <f t="shared" ref="F12:G12" si="5">F6/F7</f>
        <v>#REF!</v>
      </c>
      <c r="G12" s="140" t="e">
        <f t="shared" si="5"/>
        <v>#REF!</v>
      </c>
      <c r="H12" s="140" t="e">
        <f t="shared" si="0"/>
        <v>#REF!</v>
      </c>
      <c r="I12" s="140" t="e">
        <f t="shared" si="1"/>
        <v>#REF!</v>
      </c>
      <c r="J12" s="132" t="str">
        <f t="shared" si="2"/>
        <v/>
      </c>
      <c r="K12" s="133" t="str">
        <f t="shared" si="3"/>
        <v/>
      </c>
    </row>
    <row r="13" spans="1:14" x14ac:dyDescent="0.25">
      <c r="B13" s="15"/>
      <c r="C13" s="300" t="s">
        <v>489</v>
      </c>
      <c r="D13" s="287"/>
      <c r="E13" s="140" t="e">
        <f>E7/E5</f>
        <v>#REF!</v>
      </c>
      <c r="F13" s="140" t="e">
        <f t="shared" ref="F13:G13" si="6">F7/F5</f>
        <v>#REF!</v>
      </c>
      <c r="G13" s="140" t="e">
        <f t="shared" si="6"/>
        <v>#REF!</v>
      </c>
      <c r="H13" s="140" t="e">
        <f t="shared" si="0"/>
        <v>#REF!</v>
      </c>
      <c r="I13" s="140" t="e">
        <f t="shared" si="1"/>
        <v>#REF!</v>
      </c>
      <c r="J13" s="132" t="str">
        <f t="shared" si="2"/>
        <v/>
      </c>
      <c r="K13" s="133" t="str">
        <f t="shared" si="3"/>
        <v/>
      </c>
    </row>
    <row r="14" spans="1:14" x14ac:dyDescent="0.25">
      <c r="B14" s="15"/>
      <c r="C14" s="300" t="s">
        <v>490</v>
      </c>
      <c r="D14" s="287"/>
      <c r="E14" s="140" t="e">
        <f>E5/E9</f>
        <v>#REF!</v>
      </c>
      <c r="F14" s="140" t="e">
        <f t="shared" ref="F14:G14" si="7">F5/F9</f>
        <v>#REF!</v>
      </c>
      <c r="G14" s="140" t="e">
        <f t="shared" si="7"/>
        <v>#REF!</v>
      </c>
      <c r="H14" s="140" t="e">
        <f t="shared" si="0"/>
        <v>#REF!</v>
      </c>
      <c r="I14" s="140" t="e">
        <f t="shared" si="1"/>
        <v>#REF!</v>
      </c>
      <c r="J14" s="132" t="str">
        <f t="shared" si="2"/>
        <v/>
      </c>
      <c r="K14" s="133" t="str">
        <f t="shared" si="3"/>
        <v/>
      </c>
    </row>
    <row r="15" spans="1:14" x14ac:dyDescent="0.25">
      <c r="B15" s="272"/>
      <c r="C15" s="301" t="s">
        <v>491</v>
      </c>
      <c r="D15" s="302"/>
      <c r="E15" s="275" t="e">
        <f>E9/E10</f>
        <v>#REF!</v>
      </c>
      <c r="F15" s="275" t="e">
        <f t="shared" ref="F15:G15" si="8">F9/F10</f>
        <v>#REF!</v>
      </c>
      <c r="G15" s="275" t="e">
        <f t="shared" si="8"/>
        <v>#REF!</v>
      </c>
      <c r="H15" s="275" t="e">
        <f t="shared" si="0"/>
        <v>#REF!</v>
      </c>
      <c r="I15" s="275" t="e">
        <f t="shared" si="1"/>
        <v>#REF!</v>
      </c>
      <c r="J15" s="250" t="str">
        <f t="shared" si="2"/>
        <v/>
      </c>
      <c r="K15" s="251" t="str">
        <f t="shared" si="3"/>
        <v/>
      </c>
    </row>
    <row r="16" spans="1:14" s="191" customFormat="1" x14ac:dyDescent="0.25">
      <c r="B16" s="293"/>
      <c r="C16" s="294" t="s">
        <v>492</v>
      </c>
      <c r="D16" s="295"/>
      <c r="E16" s="254" t="e">
        <f>E11*E12*E13*E14*E15</f>
        <v>#REF!</v>
      </c>
      <c r="F16" s="254" t="e">
        <f t="shared" ref="F16:G16" si="9">F11*F12*F13*F14*F15</f>
        <v>#REF!</v>
      </c>
      <c r="G16" s="254" t="e">
        <f t="shared" si="9"/>
        <v>#REF!</v>
      </c>
      <c r="H16" s="254" t="e">
        <f t="shared" si="0"/>
        <v>#REF!</v>
      </c>
      <c r="I16" s="254" t="e">
        <f t="shared" si="1"/>
        <v>#REF!</v>
      </c>
      <c r="J16" s="254" t="str">
        <f t="shared" si="2"/>
        <v/>
      </c>
      <c r="K16" s="255" t="str">
        <f t="shared" si="3"/>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4" orientation="landscape"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dimension ref="A1:P27"/>
  <sheetViews>
    <sheetView view="pageBreakPreview" topLeftCell="A13" zoomScaleNormal="100" zoomScaleSheetLayoutView="100" workbookViewId="0">
      <selection activeCell="A29" sqref="A29:XFD30"/>
    </sheetView>
  </sheetViews>
  <sheetFormatPr defaultRowHeight="15" x14ac:dyDescent="0.25"/>
  <cols>
    <col min="1" max="1" width="1.7109375" style="1" customWidth="1"/>
    <col min="2" max="2" width="4.7109375" style="1" customWidth="1"/>
    <col min="3" max="3" width="50.42578125" style="1" customWidth="1"/>
    <col min="4" max="4" width="9.140625" style="1"/>
    <col min="5" max="11" width="10.7109375" style="1" customWidth="1"/>
    <col min="12" max="12" width="1.7109375" style="1" customWidth="1"/>
    <col min="13" max="16384" width="9.140625" style="1"/>
  </cols>
  <sheetData>
    <row r="1" spans="1:11" s="3" customFormat="1" ht="18.75" x14ac:dyDescent="0.3">
      <c r="A1" s="3" t="s">
        <v>537</v>
      </c>
    </row>
    <row r="3" spans="1:11" ht="15.75" x14ac:dyDescent="0.25">
      <c r="B3" s="59" t="s">
        <v>234</v>
      </c>
    </row>
    <row r="4" spans="1:11" ht="30" customHeight="1" x14ac:dyDescent="0.25">
      <c r="B4" s="574" t="s">
        <v>170</v>
      </c>
      <c r="C4" s="574" t="s">
        <v>92</v>
      </c>
      <c r="D4" s="574" t="s">
        <v>171</v>
      </c>
      <c r="E4" s="574" t="e">
        <f>"Отченый период, "&amp;#REF!</f>
        <v>#REF!</v>
      </c>
      <c r="F4" s="574"/>
      <c r="G4" s="574" t="e">
        <f>"Базисный период, "&amp;#REF!</f>
        <v>#REF!</v>
      </c>
      <c r="H4" s="574"/>
      <c r="I4" s="572" t="e">
        <f>"Абсолютное изменение, "&amp;#REF!</f>
        <v>#REF!</v>
      </c>
      <c r="J4" s="572" t="s">
        <v>494</v>
      </c>
    </row>
    <row r="5" spans="1:11" ht="25.5" x14ac:dyDescent="0.25">
      <c r="B5" s="575"/>
      <c r="C5" s="575"/>
      <c r="D5" s="575"/>
      <c r="E5" s="314" t="s">
        <v>495</v>
      </c>
      <c r="F5" s="348" t="e">
        <f>#REF!</f>
        <v>#REF!</v>
      </c>
      <c r="G5" s="314" t="s">
        <v>495</v>
      </c>
      <c r="H5" s="348" t="e">
        <f>#REF!</f>
        <v>#REF!</v>
      </c>
      <c r="I5" s="573"/>
      <c r="J5" s="573"/>
    </row>
    <row r="6" spans="1:11" ht="18" x14ac:dyDescent="0.25">
      <c r="B6" s="331">
        <v>1</v>
      </c>
      <c r="C6" s="349" t="s">
        <v>496</v>
      </c>
      <c r="D6" s="123" t="s">
        <v>497</v>
      </c>
      <c r="E6" s="307" t="s">
        <v>498</v>
      </c>
      <c r="F6" s="308">
        <v>0</v>
      </c>
      <c r="G6" s="307" t="s">
        <v>499</v>
      </c>
      <c r="H6" s="308">
        <v>0</v>
      </c>
      <c r="I6" s="125">
        <f>F6-H6</f>
        <v>0</v>
      </c>
      <c r="J6" s="127" t="str">
        <f>IFERROR(F6/H6,"")</f>
        <v/>
      </c>
    </row>
    <row r="7" spans="1:11" ht="25.5" x14ac:dyDescent="0.25">
      <c r="B7" s="332">
        <f>B6+1</f>
        <v>2</v>
      </c>
      <c r="C7" s="322" t="s">
        <v>500</v>
      </c>
      <c r="D7" s="129" t="s">
        <v>501</v>
      </c>
      <c r="E7" s="310" t="s">
        <v>502</v>
      </c>
      <c r="F7" s="266" t="e">
        <f>F8/F6</f>
        <v>#REF!</v>
      </c>
      <c r="G7" s="310" t="s">
        <v>503</v>
      </c>
      <c r="H7" s="266" t="e">
        <f>H8/H6</f>
        <v>#REF!</v>
      </c>
      <c r="I7" s="131" t="e">
        <f t="shared" ref="I7:I11" si="0">F7-H7</f>
        <v>#REF!</v>
      </c>
      <c r="J7" s="133" t="str">
        <f t="shared" ref="J7:J11" si="1">IFERROR(F7/H7,"")</f>
        <v/>
      </c>
    </row>
    <row r="8" spans="1:11" ht="18" x14ac:dyDescent="0.25">
      <c r="B8" s="332">
        <f t="shared" ref="B8:B11" si="2">B7+1</f>
        <v>3</v>
      </c>
      <c r="C8" s="322" t="s">
        <v>504</v>
      </c>
      <c r="D8" s="129" t="s">
        <v>177</v>
      </c>
      <c r="E8" s="311" t="s">
        <v>505</v>
      </c>
      <c r="F8" s="130" t="e">
        <f>#REF!</f>
        <v>#REF!</v>
      </c>
      <c r="G8" s="311" t="s">
        <v>506</v>
      </c>
      <c r="H8" s="130" t="e">
        <f>#REF!</f>
        <v>#REF!</v>
      </c>
      <c r="I8" s="131" t="e">
        <f t="shared" si="0"/>
        <v>#REF!</v>
      </c>
      <c r="J8" s="133" t="str">
        <f t="shared" si="1"/>
        <v/>
      </c>
    </row>
    <row r="9" spans="1:11" ht="18" x14ac:dyDescent="0.25">
      <c r="B9" s="332">
        <f t="shared" si="2"/>
        <v>4</v>
      </c>
      <c r="C9" s="322" t="s">
        <v>507</v>
      </c>
      <c r="D9" s="129" t="s">
        <v>177</v>
      </c>
      <c r="E9" s="310" t="s">
        <v>508</v>
      </c>
      <c r="F9" s="130" t="e">
        <f>-(#REF!+#REF!+#REF!)</f>
        <v>#REF!</v>
      </c>
      <c r="G9" s="310" t="s">
        <v>509</v>
      </c>
      <c r="H9" s="130" t="e">
        <f>-(#REF!+#REF!+#REF!)</f>
        <v>#REF!</v>
      </c>
      <c r="I9" s="131" t="e">
        <f t="shared" si="0"/>
        <v>#REF!</v>
      </c>
      <c r="J9" s="133" t="str">
        <f t="shared" si="1"/>
        <v/>
      </c>
    </row>
    <row r="10" spans="1:11" ht="25.5" x14ac:dyDescent="0.25">
      <c r="B10" s="332">
        <f t="shared" si="2"/>
        <v>5</v>
      </c>
      <c r="C10" s="322" t="s">
        <v>510</v>
      </c>
      <c r="D10" s="129" t="s">
        <v>501</v>
      </c>
      <c r="E10" s="310" t="s">
        <v>511</v>
      </c>
      <c r="F10" s="266" t="e">
        <f>F9/F6</f>
        <v>#REF!</v>
      </c>
      <c r="G10" s="310" t="s">
        <v>512</v>
      </c>
      <c r="H10" s="266" t="e">
        <f>H9/H6</f>
        <v>#REF!</v>
      </c>
      <c r="I10" s="131" t="e">
        <f t="shared" si="0"/>
        <v>#REF!</v>
      </c>
      <c r="J10" s="133" t="str">
        <f t="shared" si="1"/>
        <v/>
      </c>
    </row>
    <row r="11" spans="1:11" ht="18" x14ac:dyDescent="0.25">
      <c r="B11" s="333">
        <f t="shared" si="2"/>
        <v>6</v>
      </c>
      <c r="C11" s="350" t="s">
        <v>513</v>
      </c>
      <c r="D11" s="143" t="s">
        <v>177</v>
      </c>
      <c r="E11" s="313" t="s">
        <v>514</v>
      </c>
      <c r="F11" s="218" t="e">
        <f>#REF!</f>
        <v>#REF!</v>
      </c>
      <c r="G11" s="313" t="s">
        <v>515</v>
      </c>
      <c r="H11" s="218" t="e">
        <f>#REF!</f>
        <v>#REF!</v>
      </c>
      <c r="I11" s="219" t="e">
        <f t="shared" si="0"/>
        <v>#REF!</v>
      </c>
      <c r="J11" s="145" t="str">
        <f t="shared" si="1"/>
        <v/>
      </c>
    </row>
    <row r="13" spans="1:11" ht="15.75" x14ac:dyDescent="0.25">
      <c r="B13" s="59" t="e">
        <f>"Показатели деятельности предприятия за "&amp;#REF!&amp;" в сопоставимых ценах"</f>
        <v>#REF!</v>
      </c>
    </row>
    <row r="14" spans="1:11" ht="30" customHeight="1" x14ac:dyDescent="0.25">
      <c r="B14" s="576" t="s">
        <v>170</v>
      </c>
      <c r="C14" s="576" t="s">
        <v>92</v>
      </c>
      <c r="D14" s="574" t="s">
        <v>171</v>
      </c>
      <c r="E14" s="570" t="e">
        <f>G4</f>
        <v>#REF!</v>
      </c>
      <c r="F14" s="571"/>
      <c r="G14" s="570" t="e">
        <f>#REF!&amp;" в сопоставимых ценах"</f>
        <v>#REF!</v>
      </c>
      <c r="H14" s="578"/>
      <c r="I14" s="571"/>
      <c r="J14" s="570" t="e">
        <f>E4</f>
        <v>#REF!</v>
      </c>
      <c r="K14" s="571"/>
    </row>
    <row r="15" spans="1:11" ht="25.5" x14ac:dyDescent="0.25">
      <c r="B15" s="577"/>
      <c r="C15" s="577"/>
      <c r="D15" s="575"/>
      <c r="E15" s="314" t="s">
        <v>495</v>
      </c>
      <c r="F15" s="348" t="e">
        <f>#REF!</f>
        <v>#REF!</v>
      </c>
      <c r="G15" s="314" t="s">
        <v>495</v>
      </c>
      <c r="H15" s="314" t="s">
        <v>516</v>
      </c>
      <c r="I15" s="348" t="e">
        <f>#REF!</f>
        <v>#REF!</v>
      </c>
      <c r="J15" s="314" t="s">
        <v>495</v>
      </c>
      <c r="K15" s="348" t="e">
        <f>#REF!</f>
        <v>#REF!</v>
      </c>
    </row>
    <row r="16" spans="1:11" ht="18" x14ac:dyDescent="0.25">
      <c r="B16" s="334">
        <v>1</v>
      </c>
      <c r="C16" s="315" t="s">
        <v>504</v>
      </c>
      <c r="D16" s="316" t="s">
        <v>177</v>
      </c>
      <c r="E16" s="317" t="s">
        <v>506</v>
      </c>
      <c r="F16" s="318" t="e">
        <f>H8</f>
        <v>#REF!</v>
      </c>
      <c r="G16" s="317" t="s">
        <v>517</v>
      </c>
      <c r="H16" s="319" t="s">
        <v>518</v>
      </c>
      <c r="I16" s="320" t="e">
        <f>F6*H7</f>
        <v>#REF!</v>
      </c>
      <c r="J16" s="317" t="s">
        <v>505</v>
      </c>
      <c r="K16" s="321" t="e">
        <f>F8</f>
        <v>#REF!</v>
      </c>
    </row>
    <row r="17" spans="2:16" ht="18" x14ac:dyDescent="0.25">
      <c r="B17" s="335">
        <v>2</v>
      </c>
      <c r="C17" s="322" t="s">
        <v>519</v>
      </c>
      <c r="D17" s="323" t="s">
        <v>177</v>
      </c>
      <c r="E17" s="310" t="s">
        <v>509</v>
      </c>
      <c r="F17" s="130" t="e">
        <f>H9</f>
        <v>#REF!</v>
      </c>
      <c r="G17" s="310" t="s">
        <v>520</v>
      </c>
      <c r="H17" s="311"/>
      <c r="I17" s="131" t="e">
        <f>F6*H10</f>
        <v>#REF!</v>
      </c>
      <c r="J17" s="310" t="s">
        <v>508</v>
      </c>
      <c r="K17" s="324" t="e">
        <f>F9</f>
        <v>#REF!</v>
      </c>
    </row>
    <row r="18" spans="2:16" ht="18" x14ac:dyDescent="0.25">
      <c r="B18" s="336">
        <v>3</v>
      </c>
      <c r="C18" s="325" t="s">
        <v>521</v>
      </c>
      <c r="D18" s="326" t="s">
        <v>177</v>
      </c>
      <c r="E18" s="327" t="s">
        <v>515</v>
      </c>
      <c r="F18" s="328" t="e">
        <f>H11</f>
        <v>#REF!</v>
      </c>
      <c r="G18" s="327" t="s">
        <v>522</v>
      </c>
      <c r="H18" s="327"/>
      <c r="I18" s="329" t="e">
        <f>I16-I17</f>
        <v>#REF!</v>
      </c>
      <c r="J18" s="327" t="s">
        <v>514</v>
      </c>
      <c r="K18" s="330" t="e">
        <f>F11</f>
        <v>#REF!</v>
      </c>
    </row>
    <row r="20" spans="2:16" ht="15.75" x14ac:dyDescent="0.25">
      <c r="B20" s="59" t="s">
        <v>523</v>
      </c>
    </row>
    <row r="21" spans="2:16" ht="30" x14ac:dyDescent="0.25">
      <c r="B21" s="4" t="s">
        <v>170</v>
      </c>
      <c r="C21" s="4" t="s">
        <v>524</v>
      </c>
      <c r="D21" s="4" t="s">
        <v>171</v>
      </c>
      <c r="E21" s="337" t="s">
        <v>607</v>
      </c>
      <c r="F21" s="337" t="s">
        <v>525</v>
      </c>
      <c r="P21"/>
    </row>
    <row r="22" spans="2:16" ht="30" x14ac:dyDescent="0.25">
      <c r="B22" s="331">
        <v>1</v>
      </c>
      <c r="C22" s="338" t="s">
        <v>526</v>
      </c>
      <c r="D22" s="339" t="e">
        <f>#REF!</f>
        <v>#REF!</v>
      </c>
      <c r="E22" s="64" t="e">
        <f>K16-I16</f>
        <v>#REF!</v>
      </c>
      <c r="F22" s="66" t="str">
        <f>IFERROR(E22/$E$27,"")</f>
        <v/>
      </c>
      <c r="H22" s="1" t="s">
        <v>532</v>
      </c>
      <c r="I22" s="12" t="e">
        <f>E22</f>
        <v>#REF!</v>
      </c>
    </row>
    <row r="23" spans="2:16" ht="30" x14ac:dyDescent="0.25">
      <c r="B23" s="332">
        <f>B22+1</f>
        <v>2</v>
      </c>
      <c r="C23" s="340" t="s">
        <v>527</v>
      </c>
      <c r="D23" s="323" t="e">
        <f>#REF!</f>
        <v>#REF!</v>
      </c>
      <c r="E23" s="69" t="e">
        <f>F18*(I17/F17)-F18</f>
        <v>#REF!</v>
      </c>
      <c r="F23" s="45" t="str">
        <f t="shared" ref="F23:F27" si="3">IFERROR(E23/$E$27,"")</f>
        <v/>
      </c>
      <c r="H23" s="1" t="s">
        <v>533</v>
      </c>
      <c r="I23" s="12" t="e">
        <f t="shared" ref="I23:I26" si="4">E23</f>
        <v>#REF!</v>
      </c>
    </row>
    <row r="24" spans="2:16" ht="30" x14ac:dyDescent="0.25">
      <c r="B24" s="332">
        <f t="shared" ref="B24:B26" si="5">B23+1</f>
        <v>3</v>
      </c>
      <c r="C24" s="341" t="s">
        <v>528</v>
      </c>
      <c r="D24" s="323" t="e">
        <f>#REF!</f>
        <v>#REF!</v>
      </c>
      <c r="E24" s="69" t="e">
        <f>H7*((I16/F16)-(I17/F17))</f>
        <v>#REF!</v>
      </c>
      <c r="F24" s="45" t="str">
        <f t="shared" si="3"/>
        <v/>
      </c>
      <c r="H24" s="1" t="s">
        <v>534</v>
      </c>
      <c r="I24" s="12" t="e">
        <f t="shared" si="4"/>
        <v>#REF!</v>
      </c>
    </row>
    <row r="25" spans="2:16" ht="45" x14ac:dyDescent="0.25">
      <c r="B25" s="332">
        <f t="shared" si="5"/>
        <v>4</v>
      </c>
      <c r="C25" s="341" t="s">
        <v>529</v>
      </c>
      <c r="D25" s="323" t="e">
        <f>#REF!</f>
        <v>#REF!</v>
      </c>
      <c r="E25" s="69" t="e">
        <f>I17-K17</f>
        <v>#REF!</v>
      </c>
      <c r="F25" s="45" t="str">
        <f t="shared" si="3"/>
        <v/>
      </c>
      <c r="H25" s="1" t="s">
        <v>535</v>
      </c>
      <c r="I25" s="12" t="e">
        <f t="shared" si="4"/>
        <v>#REF!</v>
      </c>
    </row>
    <row r="26" spans="2:16" ht="45" x14ac:dyDescent="0.25">
      <c r="B26" s="355">
        <f t="shared" si="5"/>
        <v>5</v>
      </c>
      <c r="C26" s="342" t="s">
        <v>530</v>
      </c>
      <c r="D26" s="343" t="e">
        <f>#REF!</f>
        <v>#REF!</v>
      </c>
      <c r="E26" s="344" t="e">
        <f>F17*(I16/F16)-I17</f>
        <v>#REF!</v>
      </c>
      <c r="F26" s="51" t="str">
        <f t="shared" si="3"/>
        <v/>
      </c>
      <c r="H26" s="1" t="s">
        <v>536</v>
      </c>
      <c r="I26" s="12" t="e">
        <f t="shared" si="4"/>
        <v>#REF!</v>
      </c>
    </row>
    <row r="27" spans="2:16" x14ac:dyDescent="0.25">
      <c r="B27" s="345"/>
      <c r="C27" s="346" t="s">
        <v>531</v>
      </c>
      <c r="D27" s="347" t="e">
        <f>#REF!</f>
        <v>#REF!</v>
      </c>
      <c r="E27" s="71" t="e">
        <f>SUM(E22:E26)</f>
        <v>#REF!</v>
      </c>
      <c r="F27" s="74" t="str">
        <f t="shared" si="3"/>
        <v/>
      </c>
    </row>
  </sheetData>
  <mergeCells count="13">
    <mergeCell ref="J14:K14"/>
    <mergeCell ref="I4:I5"/>
    <mergeCell ref="J4:J5"/>
    <mergeCell ref="B4:B5"/>
    <mergeCell ref="C4:C5"/>
    <mergeCell ref="D4:D5"/>
    <mergeCell ref="E4:F4"/>
    <mergeCell ref="G4:H4"/>
    <mergeCell ref="B14:B15"/>
    <mergeCell ref="C14:C15"/>
    <mergeCell ref="D14:D15"/>
    <mergeCell ref="E14:F14"/>
    <mergeCell ref="G14:I14"/>
  </mergeCells>
  <printOptions horizontalCentered="1"/>
  <pageMargins left="0.19685039370078741" right="0.19685039370078741" top="0.78740157480314965" bottom="0.39370078740157483" header="0.31496062992125984" footer="0.31496062992125984"/>
  <pageSetup paperSize="9" scale="96" orientation="landscape" r:id="rId1"/>
  <rowBreaks count="1" manualBreakCount="1">
    <brk id="19" max="11"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dimension ref="A1:J22"/>
  <sheetViews>
    <sheetView view="pageBreakPreview" zoomScaleNormal="100" zoomScaleSheetLayoutView="100" workbookViewId="0">
      <selection activeCell="H12" sqref="H12"/>
    </sheetView>
  </sheetViews>
  <sheetFormatPr defaultRowHeight="15" x14ac:dyDescent="0.25"/>
  <cols>
    <col min="1" max="1" width="1.7109375" style="1" customWidth="1"/>
    <col min="2" max="2" width="4.7109375" style="1" customWidth="1"/>
    <col min="3" max="3" width="50.42578125" style="1" customWidth="1"/>
    <col min="4" max="4" width="9.140625" style="1"/>
    <col min="5" max="11" width="10.7109375" style="1" customWidth="1"/>
    <col min="12" max="12" width="1.7109375" style="1" customWidth="1"/>
    <col min="13" max="16384" width="9.140625" style="1"/>
  </cols>
  <sheetData>
    <row r="1" spans="1:10" s="3" customFormat="1" ht="18.75" x14ac:dyDescent="0.3">
      <c r="A1" s="3" t="s">
        <v>538</v>
      </c>
    </row>
    <row r="3" spans="1:10" ht="15.75" x14ac:dyDescent="0.25">
      <c r="B3" s="59" t="s">
        <v>234</v>
      </c>
    </row>
    <row r="4" spans="1:10" ht="30" customHeight="1" x14ac:dyDescent="0.25">
      <c r="B4" s="574" t="s">
        <v>170</v>
      </c>
      <c r="C4" s="574" t="s">
        <v>92</v>
      </c>
      <c r="D4" s="574" t="s">
        <v>171</v>
      </c>
      <c r="E4" s="574" t="e">
        <f>"Отченый период, "&amp;#REF!</f>
        <v>#REF!</v>
      </c>
      <c r="F4" s="574"/>
      <c r="G4" s="574" t="e">
        <f>"Базисный период, "&amp;#REF!</f>
        <v>#REF!</v>
      </c>
      <c r="H4" s="574"/>
      <c r="I4" s="579" t="e">
        <f>"Абсолютное изменение, "&amp;#REF!</f>
        <v>#REF!</v>
      </c>
      <c r="J4" s="579" t="s">
        <v>106</v>
      </c>
    </row>
    <row r="5" spans="1:10" ht="25.5" x14ac:dyDescent="0.25">
      <c r="B5" s="575"/>
      <c r="C5" s="575"/>
      <c r="D5" s="575"/>
      <c r="E5" s="314" t="s">
        <v>495</v>
      </c>
      <c r="F5" s="348" t="e">
        <f>#REF!</f>
        <v>#REF!</v>
      </c>
      <c r="G5" s="314" t="s">
        <v>495</v>
      </c>
      <c r="H5" s="348" t="e">
        <f>#REF!</f>
        <v>#REF!</v>
      </c>
      <c r="I5" s="580"/>
      <c r="J5" s="580"/>
    </row>
    <row r="6" spans="1:10" ht="18" x14ac:dyDescent="0.25">
      <c r="B6" s="331">
        <v>1</v>
      </c>
      <c r="C6" s="306" t="s">
        <v>539</v>
      </c>
      <c r="D6" s="339" t="s">
        <v>177</v>
      </c>
      <c r="E6" s="351" t="s">
        <v>505</v>
      </c>
      <c r="F6" s="124" t="e">
        <f>#REF!</f>
        <v>#REF!</v>
      </c>
      <c r="G6" s="351" t="s">
        <v>506</v>
      </c>
      <c r="H6" s="124" t="e">
        <f>#REF!</f>
        <v>#REF!</v>
      </c>
      <c r="I6" s="125" t="e">
        <f>F6-H6</f>
        <v>#REF!</v>
      </c>
      <c r="J6" s="127" t="str">
        <f t="shared" ref="J6:J12" si="0">IFERROR(I6/H6,"")</f>
        <v/>
      </c>
    </row>
    <row r="7" spans="1:10" ht="18" x14ac:dyDescent="0.25">
      <c r="B7" s="332">
        <f>B6+1</f>
        <v>2</v>
      </c>
      <c r="C7" s="309" t="s">
        <v>540</v>
      </c>
      <c r="D7" s="323" t="s">
        <v>177</v>
      </c>
      <c r="E7" s="310" t="s">
        <v>508</v>
      </c>
      <c r="F7" s="130" t="e">
        <f>-#REF!</f>
        <v>#REF!</v>
      </c>
      <c r="G7" s="310" t="s">
        <v>509</v>
      </c>
      <c r="H7" s="130" t="e">
        <f>-#REF!</f>
        <v>#REF!</v>
      </c>
      <c r="I7" s="131" t="e">
        <f t="shared" ref="I7:I12" si="1">F7-H7</f>
        <v>#REF!</v>
      </c>
      <c r="J7" s="133" t="str">
        <f t="shared" si="0"/>
        <v/>
      </c>
    </row>
    <row r="8" spans="1:10" ht="18" x14ac:dyDescent="0.25">
      <c r="B8" s="332">
        <f t="shared" ref="B8:B12" si="2">B7+1</f>
        <v>3</v>
      </c>
      <c r="C8" s="309" t="s">
        <v>61</v>
      </c>
      <c r="D8" s="323" t="s">
        <v>177</v>
      </c>
      <c r="E8" s="310" t="s">
        <v>541</v>
      </c>
      <c r="F8" s="130" t="e">
        <f>-#REF!</f>
        <v>#REF!</v>
      </c>
      <c r="G8" s="310" t="s">
        <v>542</v>
      </c>
      <c r="H8" s="130" t="e">
        <f>-#REF!</f>
        <v>#REF!</v>
      </c>
      <c r="I8" s="131" t="e">
        <f t="shared" si="1"/>
        <v>#REF!</v>
      </c>
      <c r="J8" s="133" t="str">
        <f t="shared" si="0"/>
        <v/>
      </c>
    </row>
    <row r="9" spans="1:10" ht="18" x14ac:dyDescent="0.25">
      <c r="B9" s="332">
        <f t="shared" si="2"/>
        <v>4</v>
      </c>
      <c r="C9" s="309" t="s">
        <v>62</v>
      </c>
      <c r="D9" s="323" t="s">
        <v>177</v>
      </c>
      <c r="E9" s="310" t="s">
        <v>543</v>
      </c>
      <c r="F9" s="130" t="e">
        <f>-#REF!</f>
        <v>#REF!</v>
      </c>
      <c r="G9" s="310" t="s">
        <v>544</v>
      </c>
      <c r="H9" s="130" t="e">
        <f>-#REF!</f>
        <v>#REF!</v>
      </c>
      <c r="I9" s="131" t="e">
        <f t="shared" si="1"/>
        <v>#REF!</v>
      </c>
      <c r="J9" s="133" t="str">
        <f t="shared" si="0"/>
        <v/>
      </c>
    </row>
    <row r="10" spans="1:10" ht="18" x14ac:dyDescent="0.25">
      <c r="B10" s="332">
        <f t="shared" si="2"/>
        <v>5</v>
      </c>
      <c r="C10" s="309" t="s">
        <v>545</v>
      </c>
      <c r="D10" s="323" t="s">
        <v>177</v>
      </c>
      <c r="E10" s="311" t="s">
        <v>514</v>
      </c>
      <c r="F10" s="130" t="e">
        <f>#REF!</f>
        <v>#REF!</v>
      </c>
      <c r="G10" s="311" t="s">
        <v>515</v>
      </c>
      <c r="H10" s="130" t="e">
        <f>#REF!</f>
        <v>#REF!</v>
      </c>
      <c r="I10" s="131" t="e">
        <f t="shared" si="1"/>
        <v>#REF!</v>
      </c>
      <c r="J10" s="133" t="str">
        <f t="shared" si="0"/>
        <v/>
      </c>
    </row>
    <row r="11" spans="1:10" x14ac:dyDescent="0.25">
      <c r="B11" s="332">
        <f t="shared" si="2"/>
        <v>6</v>
      </c>
      <c r="C11" s="309" t="s">
        <v>546</v>
      </c>
      <c r="D11" s="323"/>
      <c r="E11" s="310"/>
      <c r="F11" s="140" t="e">
        <f>Фактор1!F7/Фактор1!H7</f>
        <v>#REF!</v>
      </c>
      <c r="G11" s="310"/>
      <c r="H11" s="304">
        <v>0</v>
      </c>
      <c r="I11" s="140" t="e">
        <f t="shared" si="1"/>
        <v>#REF!</v>
      </c>
      <c r="J11" s="133" t="str">
        <f t="shared" si="0"/>
        <v/>
      </c>
    </row>
    <row r="12" spans="1:10" x14ac:dyDescent="0.25">
      <c r="B12" s="333">
        <f t="shared" si="2"/>
        <v>7</v>
      </c>
      <c r="C12" s="312" t="s">
        <v>547</v>
      </c>
      <c r="D12" s="352" t="s">
        <v>177</v>
      </c>
      <c r="E12" s="353"/>
      <c r="F12" s="219" t="e">
        <f>F6/F11</f>
        <v>#REF!</v>
      </c>
      <c r="G12" s="353"/>
      <c r="H12" s="219" t="e">
        <f>H6/H11</f>
        <v>#REF!</v>
      </c>
      <c r="I12" s="219" t="e">
        <f t="shared" si="1"/>
        <v>#REF!</v>
      </c>
      <c r="J12" s="145" t="str">
        <f t="shared" si="0"/>
        <v/>
      </c>
    </row>
    <row r="14" spans="1:10" ht="15.75" x14ac:dyDescent="0.25">
      <c r="B14" s="59" t="s">
        <v>548</v>
      </c>
    </row>
    <row r="15" spans="1:10" ht="30" x14ac:dyDescent="0.25">
      <c r="B15" s="4" t="s">
        <v>170</v>
      </c>
      <c r="C15" s="4" t="s">
        <v>524</v>
      </c>
      <c r="D15" s="4" t="s">
        <v>171</v>
      </c>
      <c r="E15" s="337" t="s">
        <v>607</v>
      </c>
      <c r="F15" s="337" t="s">
        <v>525</v>
      </c>
    </row>
    <row r="16" spans="1:10" x14ac:dyDescent="0.25">
      <c r="B16" s="331">
        <v>1</v>
      </c>
      <c r="C16" s="340" t="s">
        <v>549</v>
      </c>
      <c r="D16" s="323" t="e">
        <f>#REF!</f>
        <v>#REF!</v>
      </c>
      <c r="E16" s="69" t="e">
        <f>H10*(I12/H12)</f>
        <v>#REF!</v>
      </c>
      <c r="F16" s="45" t="str">
        <f>IFERROR(E16/$E$22,"")</f>
        <v/>
      </c>
      <c r="H16" s="1" t="s">
        <v>532</v>
      </c>
      <c r="I16" s="12" t="e">
        <f>E16</f>
        <v>#REF!</v>
      </c>
    </row>
    <row r="17" spans="2:9" ht="30" x14ac:dyDescent="0.25">
      <c r="B17" s="332">
        <f>B16+1</f>
        <v>2</v>
      </c>
      <c r="C17" s="340" t="s">
        <v>550</v>
      </c>
      <c r="D17" s="323" t="e">
        <f>#REF!</f>
        <v>#REF!</v>
      </c>
      <c r="E17" s="69" t="e">
        <f>(F12-(H7*(F12/H12))-H8-H9)-H10*(F12/H12)</f>
        <v>#REF!</v>
      </c>
      <c r="F17" s="45" t="str">
        <f t="shared" ref="F17:F22" si="3">IFERROR(E17/$E$22,"")</f>
        <v/>
      </c>
      <c r="H17" s="1" t="s">
        <v>533</v>
      </c>
      <c r="I17" s="12" t="e">
        <f t="shared" ref="I17:I18" si="4">E17</f>
        <v>#REF!</v>
      </c>
    </row>
    <row r="18" spans="2:9" x14ac:dyDescent="0.25">
      <c r="B18" s="332">
        <f t="shared" ref="B18:B19" si="5">B17+1</f>
        <v>3</v>
      </c>
      <c r="C18" s="340" t="s">
        <v>551</v>
      </c>
      <c r="D18" s="323" t="e">
        <f>#REF!</f>
        <v>#REF!</v>
      </c>
      <c r="E18" s="69" t="e">
        <f>(H7*(F12/H12))-F7</f>
        <v>#REF!</v>
      </c>
      <c r="F18" s="45" t="str">
        <f t="shared" si="3"/>
        <v/>
      </c>
      <c r="H18" s="1" t="s">
        <v>534</v>
      </c>
      <c r="I18" s="12" t="e">
        <f t="shared" si="4"/>
        <v>#REF!</v>
      </c>
    </row>
    <row r="19" spans="2:9" x14ac:dyDescent="0.25">
      <c r="B19" s="332">
        <f t="shared" si="5"/>
        <v>4</v>
      </c>
      <c r="C19" s="340" t="s">
        <v>552</v>
      </c>
      <c r="D19" s="323" t="e">
        <f>#REF!</f>
        <v>#REF!</v>
      </c>
      <c r="E19" s="69" t="e">
        <f>H8-F8</f>
        <v>#REF!</v>
      </c>
      <c r="F19" s="45" t="str">
        <f t="shared" si="3"/>
        <v/>
      </c>
      <c r="H19" s="1" t="s">
        <v>535</v>
      </c>
      <c r="I19" s="12" t="e">
        <f>E19+E20</f>
        <v>#REF!</v>
      </c>
    </row>
    <row r="20" spans="2:9" x14ac:dyDescent="0.25">
      <c r="B20" s="332"/>
      <c r="C20" s="340" t="s">
        <v>553</v>
      </c>
      <c r="D20" s="323" t="e">
        <f>#REF!</f>
        <v>#REF!</v>
      </c>
      <c r="E20" s="69" t="e">
        <f>H9-F9</f>
        <v>#REF!</v>
      </c>
      <c r="F20" s="45" t="str">
        <f t="shared" si="3"/>
        <v/>
      </c>
      <c r="H20" s="1" t="s">
        <v>536</v>
      </c>
      <c r="I20" s="12" t="e">
        <f>E21</f>
        <v>#REF!</v>
      </c>
    </row>
    <row r="21" spans="2:9" x14ac:dyDescent="0.25">
      <c r="B21" s="332">
        <f>B19+1</f>
        <v>5</v>
      </c>
      <c r="C21" s="340" t="s">
        <v>554</v>
      </c>
      <c r="D21" s="323" t="e">
        <f>#REF!</f>
        <v>#REF!</v>
      </c>
      <c r="E21" s="69" t="e">
        <f>F6-F12</f>
        <v>#REF!</v>
      </c>
      <c r="F21" s="45" t="str">
        <f t="shared" si="3"/>
        <v/>
      </c>
    </row>
    <row r="22" spans="2:9" x14ac:dyDescent="0.25">
      <c r="B22" s="354"/>
      <c r="C22" s="346" t="s">
        <v>531</v>
      </c>
      <c r="D22" s="347" t="e">
        <f>#REF!</f>
        <v>#REF!</v>
      </c>
      <c r="E22" s="71" t="e">
        <f>SUM(E16:E21)</f>
        <v>#REF!</v>
      </c>
      <c r="F22" s="74" t="str">
        <f t="shared" si="3"/>
        <v/>
      </c>
    </row>
  </sheetData>
  <mergeCells count="7">
    <mergeCell ref="J4:J5"/>
    <mergeCell ref="B4:B5"/>
    <mergeCell ref="C4:C5"/>
    <mergeCell ref="D4:D5"/>
    <mergeCell ref="E4:F4"/>
    <mergeCell ref="G4:H4"/>
    <mergeCell ref="I4:I5"/>
  </mergeCells>
  <printOptions horizontalCentered="1"/>
  <pageMargins left="0.19685039370078741" right="0.19685039370078741" top="0.78740157480314965" bottom="0.39370078740157483" header="0.31496062992125984" footer="0.31496062992125984"/>
  <pageSetup paperSize="9" scale="96"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dimension ref="A1:J30"/>
  <sheetViews>
    <sheetView view="pageBreakPreview" zoomScaleNormal="100" zoomScaleSheetLayoutView="100" workbookViewId="0">
      <selection activeCell="A29" sqref="A29:XFD30"/>
    </sheetView>
  </sheetViews>
  <sheetFormatPr defaultRowHeight="15" x14ac:dyDescent="0.25"/>
  <cols>
    <col min="1" max="1" width="1.7109375" style="1" customWidth="1"/>
    <col min="2" max="2" width="4.7109375" style="1" customWidth="1"/>
    <col min="3" max="3" width="50.42578125" style="1" customWidth="1"/>
    <col min="4" max="4" width="9.140625" style="1"/>
    <col min="5" max="11" width="10.7109375" style="1" customWidth="1"/>
    <col min="12" max="12" width="1.7109375" style="1" customWidth="1"/>
    <col min="13" max="16384" width="9.140625" style="1"/>
  </cols>
  <sheetData>
    <row r="1" spans="1:10" s="3" customFormat="1" ht="18.75" x14ac:dyDescent="0.3">
      <c r="A1" s="3" t="s">
        <v>555</v>
      </c>
    </row>
    <row r="3" spans="1:10" ht="15.75" x14ac:dyDescent="0.25">
      <c r="B3" s="59" t="s">
        <v>234</v>
      </c>
    </row>
    <row r="4" spans="1:10" ht="30" customHeight="1" x14ac:dyDescent="0.25">
      <c r="B4" s="574" t="s">
        <v>170</v>
      </c>
      <c r="C4" s="574" t="s">
        <v>92</v>
      </c>
      <c r="D4" s="574" t="s">
        <v>171</v>
      </c>
      <c r="E4" s="574" t="e">
        <f>"Отченый период, "&amp;#REF!</f>
        <v>#REF!</v>
      </c>
      <c r="F4" s="574"/>
      <c r="G4" s="574" t="e">
        <f>"Базисный период, "&amp;#REF!</f>
        <v>#REF!</v>
      </c>
      <c r="H4" s="574"/>
      <c r="I4" s="579" t="e">
        <f>"Абсолютное изменение, "&amp;#REF!</f>
        <v>#REF!</v>
      </c>
      <c r="J4" s="579" t="s">
        <v>106</v>
      </c>
    </row>
    <row r="5" spans="1:10" ht="25.5" x14ac:dyDescent="0.25">
      <c r="B5" s="574"/>
      <c r="C5" s="574"/>
      <c r="D5" s="574"/>
      <c r="E5" s="305" t="s">
        <v>495</v>
      </c>
      <c r="F5" s="305" t="e">
        <f>#REF!</f>
        <v>#REF!</v>
      </c>
      <c r="G5" s="305" t="s">
        <v>495</v>
      </c>
      <c r="H5" s="305" t="e">
        <f>#REF!</f>
        <v>#REF!</v>
      </c>
      <c r="I5" s="579"/>
      <c r="J5" s="579"/>
    </row>
    <row r="6" spans="1:10" ht="18" x14ac:dyDescent="0.25">
      <c r="B6" s="331">
        <v>1</v>
      </c>
      <c r="C6" s="349" t="s">
        <v>63</v>
      </c>
      <c r="D6" s="339" t="s">
        <v>177</v>
      </c>
      <c r="E6" s="351" t="s">
        <v>514</v>
      </c>
      <c r="F6" s="124" t="e">
        <f>#REF!</f>
        <v>#REF!</v>
      </c>
      <c r="G6" s="351" t="s">
        <v>515</v>
      </c>
      <c r="H6" s="124" t="e">
        <f>#REF!</f>
        <v>#REF!</v>
      </c>
      <c r="I6" s="125" t="e">
        <f t="shared" ref="I6:I11" si="0">F6-H6</f>
        <v>#REF!</v>
      </c>
      <c r="J6" s="127" t="str">
        <f t="shared" ref="J6:J11" si="1">IFERROR(I6/H6,"")</f>
        <v/>
      </c>
    </row>
    <row r="7" spans="1:10" ht="18" x14ac:dyDescent="0.25">
      <c r="B7" s="332">
        <f>B6+1</f>
        <v>2</v>
      </c>
      <c r="C7" s="322" t="s">
        <v>539</v>
      </c>
      <c r="D7" s="323" t="s">
        <v>177</v>
      </c>
      <c r="E7" s="311" t="s">
        <v>505</v>
      </c>
      <c r="F7" s="130" t="e">
        <f>#REF!</f>
        <v>#REF!</v>
      </c>
      <c r="G7" s="311" t="s">
        <v>506</v>
      </c>
      <c r="H7" s="130" t="e">
        <f>#REF!</f>
        <v>#REF!</v>
      </c>
      <c r="I7" s="131" t="e">
        <f t="shared" si="0"/>
        <v>#REF!</v>
      </c>
      <c r="J7" s="133" t="str">
        <f t="shared" si="1"/>
        <v/>
      </c>
    </row>
    <row r="8" spans="1:10" ht="18" x14ac:dyDescent="0.25">
      <c r="B8" s="332">
        <f t="shared" ref="B8:B15" si="2">B7+1</f>
        <v>3</v>
      </c>
      <c r="C8" s="322" t="s">
        <v>556</v>
      </c>
      <c r="D8" s="323" t="s">
        <v>177</v>
      </c>
      <c r="E8" s="310" t="s">
        <v>508</v>
      </c>
      <c r="F8" s="130" t="e">
        <f>-(#REF!+#REF!+#REF!)</f>
        <v>#REF!</v>
      </c>
      <c r="G8" s="310" t="s">
        <v>509</v>
      </c>
      <c r="H8" s="130" t="e">
        <f>-(#REF!+#REF!+#REF!)</f>
        <v>#REF!</v>
      </c>
      <c r="I8" s="131" t="e">
        <f t="shared" si="0"/>
        <v>#REF!</v>
      </c>
      <c r="J8" s="133" t="str">
        <f t="shared" si="1"/>
        <v/>
      </c>
    </row>
    <row r="9" spans="1:10" ht="18" x14ac:dyDescent="0.25">
      <c r="B9" s="332">
        <f t="shared" si="2"/>
        <v>4</v>
      </c>
      <c r="C9" s="322" t="s">
        <v>559</v>
      </c>
      <c r="D9" s="323" t="s">
        <v>177</v>
      </c>
      <c r="E9" s="310" t="s">
        <v>557</v>
      </c>
      <c r="F9" s="130" t="e">
        <f>Пояснения!D58</f>
        <v>#REF!</v>
      </c>
      <c r="G9" s="310" t="s">
        <v>558</v>
      </c>
      <c r="H9" s="130" t="e">
        <f>Пояснения!E58</f>
        <v>#REF!</v>
      </c>
      <c r="I9" s="131" t="e">
        <f t="shared" si="0"/>
        <v>#REF!</v>
      </c>
      <c r="J9" s="133" t="str">
        <f t="shared" si="1"/>
        <v/>
      </c>
    </row>
    <row r="10" spans="1:10" ht="18" x14ac:dyDescent="0.25">
      <c r="B10" s="332">
        <f t="shared" si="2"/>
        <v>5</v>
      </c>
      <c r="C10" s="322" t="s">
        <v>560</v>
      </c>
      <c r="D10" s="323" t="s">
        <v>177</v>
      </c>
      <c r="E10" s="310" t="s">
        <v>561</v>
      </c>
      <c r="F10" s="130" t="e">
        <f>Пояснения!D57</f>
        <v>#REF!</v>
      </c>
      <c r="G10" s="310" t="s">
        <v>562</v>
      </c>
      <c r="H10" s="130" t="e">
        <f>Пояснения!E57</f>
        <v>#REF!</v>
      </c>
      <c r="I10" s="131" t="e">
        <f t="shared" si="0"/>
        <v>#REF!</v>
      </c>
      <c r="J10" s="133" t="str">
        <f t="shared" si="1"/>
        <v/>
      </c>
    </row>
    <row r="11" spans="1:10" ht="18" x14ac:dyDescent="0.25">
      <c r="B11" s="332">
        <f t="shared" si="2"/>
        <v>6</v>
      </c>
      <c r="C11" s="322" t="s">
        <v>563</v>
      </c>
      <c r="D11" s="323" t="s">
        <v>177</v>
      </c>
      <c r="E11" s="310" t="s">
        <v>564</v>
      </c>
      <c r="F11" s="130" t="e">
        <f>Пояснения!D52</f>
        <v>#REF!</v>
      </c>
      <c r="G11" s="310" t="s">
        <v>565</v>
      </c>
      <c r="H11" s="130" t="e">
        <f>Пояснения!E52</f>
        <v>#REF!</v>
      </c>
      <c r="I11" s="131" t="e">
        <f t="shared" si="0"/>
        <v>#REF!</v>
      </c>
      <c r="J11" s="133" t="str">
        <f t="shared" si="1"/>
        <v/>
      </c>
    </row>
    <row r="12" spans="1:10" x14ac:dyDescent="0.25">
      <c r="B12" s="332">
        <f t="shared" si="2"/>
        <v>7</v>
      </c>
      <c r="C12" s="322" t="s">
        <v>578</v>
      </c>
      <c r="D12" s="323" t="s">
        <v>566</v>
      </c>
      <c r="E12" s="310"/>
      <c r="F12" s="140" t="e">
        <f>F7/F8</f>
        <v>#REF!</v>
      </c>
      <c r="G12" s="356"/>
      <c r="H12" s="358" t="e">
        <f>H7/H8</f>
        <v>#REF!</v>
      </c>
      <c r="I12" s="361"/>
      <c r="J12" s="362"/>
    </row>
    <row r="13" spans="1:10" ht="30" x14ac:dyDescent="0.25">
      <c r="B13" s="332">
        <f t="shared" si="2"/>
        <v>8</v>
      </c>
      <c r="C13" s="322" t="s">
        <v>572</v>
      </c>
      <c r="D13" s="323" t="s">
        <v>567</v>
      </c>
      <c r="E13" s="310"/>
      <c r="F13" s="140" t="e">
        <f>F10/F11</f>
        <v>#REF!</v>
      </c>
      <c r="G13" s="356"/>
      <c r="H13" s="358" t="e">
        <f>H10/H11</f>
        <v>#REF!</v>
      </c>
      <c r="I13" s="363"/>
      <c r="J13" s="364"/>
    </row>
    <row r="14" spans="1:10" ht="30" x14ac:dyDescent="0.25">
      <c r="B14" s="332">
        <f t="shared" si="2"/>
        <v>9</v>
      </c>
      <c r="C14" s="322" t="s">
        <v>573</v>
      </c>
      <c r="D14" s="323" t="s">
        <v>568</v>
      </c>
      <c r="E14" s="310"/>
      <c r="F14" s="140" t="e">
        <f>F9/F10</f>
        <v>#REF!</v>
      </c>
      <c r="G14" s="356"/>
      <c r="H14" s="358" t="e">
        <f>H9/H10</f>
        <v>#REF!</v>
      </c>
      <c r="I14" s="363"/>
      <c r="J14" s="364"/>
    </row>
    <row r="15" spans="1:10" x14ac:dyDescent="0.25">
      <c r="B15" s="332">
        <f t="shared" si="2"/>
        <v>10</v>
      </c>
      <c r="C15" s="322" t="s">
        <v>574</v>
      </c>
      <c r="D15" s="323" t="s">
        <v>569</v>
      </c>
      <c r="E15" s="310"/>
      <c r="F15" s="131" t="e">
        <f>F8/F9</f>
        <v>#REF!</v>
      </c>
      <c r="G15" s="310"/>
      <c r="H15" s="359" t="e">
        <f>H8/H9</f>
        <v>#REF!</v>
      </c>
      <c r="I15" s="363"/>
      <c r="J15" s="364"/>
    </row>
    <row r="16" spans="1:10" x14ac:dyDescent="0.25">
      <c r="B16" s="333">
        <f>B15+1</f>
        <v>11</v>
      </c>
      <c r="C16" s="350" t="s">
        <v>571</v>
      </c>
      <c r="D16" s="352" t="s">
        <v>570</v>
      </c>
      <c r="E16" s="353"/>
      <c r="F16" s="144" t="e">
        <f>F6/F11</f>
        <v>#REF!</v>
      </c>
      <c r="G16" s="357"/>
      <c r="H16" s="360" t="e">
        <f>H6/H11</f>
        <v>#REF!</v>
      </c>
      <c r="I16" s="365"/>
      <c r="J16" s="366"/>
    </row>
    <row r="17" spans="2:10" ht="30" x14ac:dyDescent="0.25">
      <c r="B17" s="333">
        <f>B16+1</f>
        <v>12</v>
      </c>
      <c r="C17" s="350" t="s">
        <v>577</v>
      </c>
      <c r="D17" s="352"/>
      <c r="E17" s="353"/>
      <c r="F17" s="374" t="e">
        <f>F16-H16</f>
        <v>#REF!</v>
      </c>
      <c r="G17" s="357"/>
      <c r="H17" s="357"/>
      <c r="I17" s="365"/>
      <c r="J17" s="366"/>
    </row>
    <row r="19" spans="2:10" ht="15.75" x14ac:dyDescent="0.25">
      <c r="B19" s="59" t="s">
        <v>575</v>
      </c>
    </row>
    <row r="20" spans="2:10" ht="30" x14ac:dyDescent="0.25">
      <c r="B20" s="4" t="s">
        <v>170</v>
      </c>
      <c r="C20" s="4" t="s">
        <v>524</v>
      </c>
      <c r="D20" s="4" t="s">
        <v>171</v>
      </c>
      <c r="E20" s="337" t="s">
        <v>607</v>
      </c>
    </row>
    <row r="21" spans="2:10" x14ac:dyDescent="0.25">
      <c r="B21" s="331">
        <v>1</v>
      </c>
      <c r="C21" s="367" t="s">
        <v>579</v>
      </c>
      <c r="D21" s="339" t="s">
        <v>185</v>
      </c>
      <c r="E21" s="66" t="e">
        <f>(F12-H12)*H13*H14*H15</f>
        <v>#REF!</v>
      </c>
      <c r="G21" s="1" t="s">
        <v>583</v>
      </c>
      <c r="H21" s="373" t="e">
        <f>E21</f>
        <v>#REF!</v>
      </c>
      <c r="I21" s="12"/>
    </row>
    <row r="22" spans="2:10" ht="30" x14ac:dyDescent="0.25">
      <c r="B22" s="332">
        <v>2</v>
      </c>
      <c r="C22" s="340" t="s">
        <v>580</v>
      </c>
      <c r="D22" s="323" t="s">
        <v>185</v>
      </c>
      <c r="E22" s="45" t="e">
        <f>(F12-1)*(F13-H13)*H14*H15</f>
        <v>#REF!</v>
      </c>
      <c r="G22" s="1" t="s">
        <v>584</v>
      </c>
      <c r="H22" s="373" t="e">
        <f t="shared" ref="H22:H24" si="3">E22</f>
        <v>#REF!</v>
      </c>
      <c r="I22" s="12"/>
    </row>
    <row r="23" spans="2:10" ht="30" x14ac:dyDescent="0.25">
      <c r="B23" s="332">
        <v>3</v>
      </c>
      <c r="C23" s="340" t="s">
        <v>581</v>
      </c>
      <c r="D23" s="323" t="s">
        <v>185</v>
      </c>
      <c r="E23" s="45" t="e">
        <f>(F12-1)*F13*(F14-H14)*H15</f>
        <v>#REF!</v>
      </c>
      <c r="G23" s="1" t="s">
        <v>585</v>
      </c>
      <c r="H23" s="373" t="e">
        <f t="shared" si="3"/>
        <v>#REF!</v>
      </c>
      <c r="I23" s="12"/>
    </row>
    <row r="24" spans="2:10" x14ac:dyDescent="0.25">
      <c r="B24" s="355">
        <v>4</v>
      </c>
      <c r="C24" s="368" t="s">
        <v>582</v>
      </c>
      <c r="D24" s="343" t="s">
        <v>185</v>
      </c>
      <c r="E24" s="51" t="e">
        <f>(F12-1)*F13*F14*(F15-H15)</f>
        <v>#REF!</v>
      </c>
      <c r="G24" s="1" t="s">
        <v>586</v>
      </c>
      <c r="H24" s="373" t="e">
        <f t="shared" si="3"/>
        <v>#REF!</v>
      </c>
      <c r="I24" s="12"/>
    </row>
    <row r="25" spans="2:10" x14ac:dyDescent="0.25">
      <c r="B25" s="369"/>
      <c r="C25" s="370" t="s">
        <v>576</v>
      </c>
      <c r="D25" s="347" t="s">
        <v>185</v>
      </c>
      <c r="E25" s="74" t="e">
        <f>SUM(E21:E24)</f>
        <v>#REF!</v>
      </c>
      <c r="I25" s="12"/>
    </row>
    <row r="29" spans="2:10" s="99" customFormat="1" ht="12.75" x14ac:dyDescent="0.2"/>
    <row r="30" spans="2:10" s="99" customFormat="1" ht="12.75" x14ac:dyDescent="0.2"/>
  </sheetData>
  <mergeCells count="7">
    <mergeCell ref="I4:I5"/>
    <mergeCell ref="J4:J5"/>
    <mergeCell ref="B4:B5"/>
    <mergeCell ref="C4:C5"/>
    <mergeCell ref="D4:D5"/>
    <mergeCell ref="E4:F4"/>
    <mergeCell ref="G4:H4"/>
  </mergeCells>
  <printOptions horizontalCentered="1"/>
  <pageMargins left="0.19685039370078741" right="0.19685039370078741" top="0.78740157480314965" bottom="0.39370078740157483" header="0.31496062992125984" footer="0.31496062992125984"/>
  <pageSetup paperSize="9" scale="88"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dimension ref="A1:J24"/>
  <sheetViews>
    <sheetView view="pageBreakPreview" zoomScaleNormal="100" zoomScaleSheetLayoutView="100" workbookViewId="0">
      <selection activeCell="A23" sqref="A23:XFD24"/>
    </sheetView>
  </sheetViews>
  <sheetFormatPr defaultRowHeight="15" x14ac:dyDescent="0.25"/>
  <cols>
    <col min="1" max="1" width="1.7109375" style="1" customWidth="1"/>
    <col min="2" max="2" width="4.7109375" style="1" customWidth="1"/>
    <col min="3" max="3" width="50.42578125" style="1" customWidth="1"/>
    <col min="4" max="4" width="9.140625" style="1"/>
    <col min="5" max="11" width="10.7109375" style="1" customWidth="1"/>
    <col min="12" max="12" width="1.7109375" style="1" customWidth="1"/>
    <col min="13" max="16384" width="9.140625" style="1"/>
  </cols>
  <sheetData>
    <row r="1" spans="1:10" s="3" customFormat="1" ht="18.75" x14ac:dyDescent="0.3">
      <c r="A1" s="3" t="s">
        <v>609</v>
      </c>
    </row>
    <row r="3" spans="1:10" ht="15.75" x14ac:dyDescent="0.25">
      <c r="B3" s="59" t="s">
        <v>234</v>
      </c>
    </row>
    <row r="4" spans="1:10" ht="30" customHeight="1" x14ac:dyDescent="0.25">
      <c r="B4" s="574" t="s">
        <v>170</v>
      </c>
      <c r="C4" s="574" t="s">
        <v>92</v>
      </c>
      <c r="D4" s="574" t="s">
        <v>171</v>
      </c>
      <c r="E4" s="574" t="e">
        <f>"Отченый период, "&amp;#REF!</f>
        <v>#REF!</v>
      </c>
      <c r="F4" s="574"/>
      <c r="G4" s="574" t="e">
        <f>"Базисный период, "&amp;#REF!</f>
        <v>#REF!</v>
      </c>
      <c r="H4" s="574"/>
      <c r="I4" s="579" t="e">
        <f>"Абсолютное изменение, "&amp;#REF!</f>
        <v>#REF!</v>
      </c>
      <c r="J4" s="579" t="s">
        <v>106</v>
      </c>
    </row>
    <row r="5" spans="1:10" ht="25.5" x14ac:dyDescent="0.25">
      <c r="B5" s="574"/>
      <c r="C5" s="574"/>
      <c r="D5" s="574"/>
      <c r="E5" s="305" t="s">
        <v>495</v>
      </c>
      <c r="F5" s="305" t="e">
        <f>#REF!</f>
        <v>#REF!</v>
      </c>
      <c r="G5" s="305" t="s">
        <v>495</v>
      </c>
      <c r="H5" s="305" t="e">
        <f>#REF!</f>
        <v>#REF!</v>
      </c>
      <c r="I5" s="579"/>
      <c r="J5" s="579"/>
    </row>
    <row r="6" spans="1:10" ht="18" x14ac:dyDescent="0.25">
      <c r="B6" s="331">
        <v>1</v>
      </c>
      <c r="C6" s="322" t="s">
        <v>135</v>
      </c>
      <c r="D6" s="323" t="s">
        <v>177</v>
      </c>
      <c r="E6" s="311" t="s">
        <v>588</v>
      </c>
      <c r="F6" s="130" t="e">
        <f>#REF!</f>
        <v>#REF!</v>
      </c>
      <c r="G6" s="311" t="s">
        <v>595</v>
      </c>
      <c r="H6" s="130" t="e">
        <f>#REF!</f>
        <v>#REF!</v>
      </c>
      <c r="I6" s="131" t="e">
        <f t="shared" ref="I6:I11" si="0">F6-H6</f>
        <v>#REF!</v>
      </c>
      <c r="J6" s="133" t="str">
        <f t="shared" ref="J6:J11" si="1">IFERROR(I6/H6,"")</f>
        <v/>
      </c>
    </row>
    <row r="7" spans="1:10" ht="18" x14ac:dyDescent="0.25">
      <c r="B7" s="332">
        <f>B6+1</f>
        <v>2</v>
      </c>
      <c r="C7" s="322" t="s">
        <v>598</v>
      </c>
      <c r="D7" s="323" t="s">
        <v>177</v>
      </c>
      <c r="E7" s="311" t="s">
        <v>589</v>
      </c>
      <c r="F7" s="130" t="e">
        <f>#REF!</f>
        <v>#REF!</v>
      </c>
      <c r="G7" s="311" t="s">
        <v>596</v>
      </c>
      <c r="H7" s="130" t="e">
        <f>#REF!</f>
        <v>#REF!</v>
      </c>
      <c r="I7" s="131" t="e">
        <f t="shared" si="0"/>
        <v>#REF!</v>
      </c>
      <c r="J7" s="133" t="str">
        <f t="shared" si="1"/>
        <v/>
      </c>
    </row>
    <row r="8" spans="1:10" ht="18" x14ac:dyDescent="0.25">
      <c r="B8" s="332">
        <f t="shared" ref="B8:B10" si="2">B7+1</f>
        <v>3</v>
      </c>
      <c r="C8" s="322" t="s">
        <v>338</v>
      </c>
      <c r="D8" s="323" t="s">
        <v>177</v>
      </c>
      <c r="E8" s="311" t="s">
        <v>590</v>
      </c>
      <c r="F8" s="130" t="e">
        <f>#REF!+#REF!</f>
        <v>#REF!</v>
      </c>
      <c r="G8" s="311" t="s">
        <v>597</v>
      </c>
      <c r="H8" s="130" t="e">
        <f>#REF!+#REF!</f>
        <v>#REF!</v>
      </c>
      <c r="I8" s="131" t="e">
        <f t="shared" si="0"/>
        <v>#REF!</v>
      </c>
      <c r="J8" s="133" t="str">
        <f t="shared" si="1"/>
        <v/>
      </c>
    </row>
    <row r="9" spans="1:10" ht="18" x14ac:dyDescent="0.25">
      <c r="B9" s="332">
        <f t="shared" si="2"/>
        <v>4</v>
      </c>
      <c r="C9" s="322" t="s">
        <v>599</v>
      </c>
      <c r="D9" s="323" t="s">
        <v>177</v>
      </c>
      <c r="E9" s="311" t="s">
        <v>592</v>
      </c>
      <c r="F9" s="130" t="e">
        <f>#REF!+#REF!</f>
        <v>#REF!</v>
      </c>
      <c r="G9" s="311" t="s">
        <v>594</v>
      </c>
      <c r="H9" s="130" t="e">
        <f>#REF!+#REF!</f>
        <v>#REF!</v>
      </c>
      <c r="I9" s="131" t="e">
        <f t="shared" si="0"/>
        <v>#REF!</v>
      </c>
      <c r="J9" s="133" t="str">
        <f t="shared" si="1"/>
        <v/>
      </c>
    </row>
    <row r="10" spans="1:10" ht="18" x14ac:dyDescent="0.25">
      <c r="B10" s="355">
        <f t="shared" si="2"/>
        <v>5</v>
      </c>
      <c r="C10" s="384" t="s">
        <v>600</v>
      </c>
      <c r="D10" s="343" t="s">
        <v>177</v>
      </c>
      <c r="E10" s="385" t="s">
        <v>591</v>
      </c>
      <c r="F10" s="274" t="e">
        <f>#REF!+#REF!-F9</f>
        <v>#REF!</v>
      </c>
      <c r="G10" s="385" t="s">
        <v>593</v>
      </c>
      <c r="H10" s="274" t="e">
        <f>#REF!+#REF!-H9</f>
        <v>#REF!</v>
      </c>
      <c r="I10" s="292" t="e">
        <f t="shared" si="0"/>
        <v>#REF!</v>
      </c>
      <c r="J10" s="251" t="str">
        <f t="shared" si="1"/>
        <v/>
      </c>
    </row>
    <row r="11" spans="1:10" x14ac:dyDescent="0.25">
      <c r="B11" s="354"/>
      <c r="C11" s="386" t="s">
        <v>587</v>
      </c>
      <c r="D11" s="347" t="s">
        <v>177</v>
      </c>
      <c r="E11" s="387"/>
      <c r="F11" s="278" t="e">
        <f>F6-F10</f>
        <v>#REF!</v>
      </c>
      <c r="G11" s="388"/>
      <c r="H11" s="278" t="e">
        <f>H6-H10</f>
        <v>#REF!</v>
      </c>
      <c r="I11" s="278" t="e">
        <f t="shared" si="0"/>
        <v>#REF!</v>
      </c>
      <c r="J11" s="280" t="str">
        <f t="shared" si="1"/>
        <v/>
      </c>
    </row>
    <row r="13" spans="1:10" ht="15.75" x14ac:dyDescent="0.25">
      <c r="B13" s="59" t="s">
        <v>601</v>
      </c>
    </row>
    <row r="14" spans="1:10" ht="30" customHeight="1" x14ac:dyDescent="0.25">
      <c r="B14" s="535" t="s">
        <v>170</v>
      </c>
      <c r="C14" s="535" t="s">
        <v>524</v>
      </c>
      <c r="D14" s="535" t="s">
        <v>171</v>
      </c>
      <c r="E14" s="581" t="s">
        <v>607</v>
      </c>
      <c r="F14" s="581"/>
    </row>
    <row r="15" spans="1:10" ht="38.25" x14ac:dyDescent="0.25">
      <c r="B15" s="535"/>
      <c r="C15" s="535"/>
      <c r="D15" s="535"/>
      <c r="E15" s="337" t="e">
        <f>E4</f>
        <v>#REF!</v>
      </c>
      <c r="F15" s="337" t="e">
        <f>G4</f>
        <v>#REF!</v>
      </c>
    </row>
    <row r="16" spans="1:10" ht="15" customHeight="1" x14ac:dyDescent="0.25">
      <c r="B16" s="331">
        <v>1</v>
      </c>
      <c r="C16" s="367" t="s">
        <v>602</v>
      </c>
      <c r="D16" s="339" t="e">
        <f>#REF!</f>
        <v>#REF!</v>
      </c>
      <c r="E16" s="377" t="e">
        <f>F6/F9</f>
        <v>#REF!</v>
      </c>
      <c r="F16" s="378" t="e">
        <f>H6/H9</f>
        <v>#REF!</v>
      </c>
      <c r="H16" s="373"/>
      <c r="I16" s="12"/>
    </row>
    <row r="17" spans="2:9" ht="15" customHeight="1" x14ac:dyDescent="0.25">
      <c r="B17" s="332">
        <v>2</v>
      </c>
      <c r="C17" s="340" t="s">
        <v>603</v>
      </c>
      <c r="D17" s="323" t="e">
        <f>#REF!</f>
        <v>#REF!</v>
      </c>
      <c r="E17" s="379" t="e">
        <f>F9/F8</f>
        <v>#REF!</v>
      </c>
      <c r="F17" s="375" t="e">
        <f>H9/H8</f>
        <v>#REF!</v>
      </c>
      <c r="H17" s="373"/>
      <c r="I17" s="12"/>
    </row>
    <row r="18" spans="2:9" ht="15" customHeight="1" x14ac:dyDescent="0.25">
      <c r="B18" s="332">
        <v>3</v>
      </c>
      <c r="C18" s="340" t="s">
        <v>604</v>
      </c>
      <c r="D18" s="323" t="e">
        <f>#REF!</f>
        <v>#REF!</v>
      </c>
      <c r="E18" s="379" t="e">
        <f>F8/F7</f>
        <v>#REF!</v>
      </c>
      <c r="F18" s="375" t="e">
        <f>H8/H7</f>
        <v>#REF!</v>
      </c>
      <c r="H18" s="373"/>
      <c r="I18" s="12"/>
    </row>
    <row r="19" spans="2:9" ht="15" customHeight="1" x14ac:dyDescent="0.25">
      <c r="B19" s="332">
        <v>4</v>
      </c>
      <c r="C19" s="340" t="s">
        <v>605</v>
      </c>
      <c r="D19" s="323" t="e">
        <f>#REF!</f>
        <v>#REF!</v>
      </c>
      <c r="E19" s="379" t="e">
        <f>F6/F10</f>
        <v>#REF!</v>
      </c>
      <c r="F19" s="375" t="e">
        <f>H6/H10</f>
        <v>#REF!</v>
      </c>
      <c r="H19" s="373"/>
      <c r="I19" s="12"/>
    </row>
    <row r="20" spans="2:9" ht="15" customHeight="1" x14ac:dyDescent="0.25">
      <c r="B20" s="333">
        <v>5</v>
      </c>
      <c r="C20" s="380" t="s">
        <v>606</v>
      </c>
      <c r="D20" s="352" t="e">
        <f>#REF!</f>
        <v>#REF!</v>
      </c>
      <c r="E20" s="381" t="e">
        <f>F10/F7</f>
        <v>#REF!</v>
      </c>
      <c r="F20" s="382" t="e">
        <f>H10/H7</f>
        <v>#REF!</v>
      </c>
      <c r="H20" s="373"/>
      <c r="I20" s="12"/>
    </row>
    <row r="21" spans="2:9" ht="15" customHeight="1" x14ac:dyDescent="0.25">
      <c r="B21" s="369"/>
      <c r="C21" s="370" t="s">
        <v>608</v>
      </c>
      <c r="D21" s="347" t="e">
        <f>#REF!</f>
        <v>#REF!</v>
      </c>
      <c r="E21" s="383" t="e">
        <f>E16*E17*E18</f>
        <v>#REF!</v>
      </c>
      <c r="F21" s="376" t="e">
        <f>F16*F17*F18</f>
        <v>#REF!</v>
      </c>
    </row>
    <row r="23" spans="2:9" s="99" customFormat="1" ht="12.75" x14ac:dyDescent="0.2"/>
    <row r="24" spans="2:9" s="99" customFormat="1" ht="12.75" x14ac:dyDescent="0.2"/>
  </sheetData>
  <mergeCells count="11">
    <mergeCell ref="J4:J5"/>
    <mergeCell ref="B14:B15"/>
    <mergeCell ref="C14:C15"/>
    <mergeCell ref="D14:D15"/>
    <mergeCell ref="E14:F14"/>
    <mergeCell ref="B4:B5"/>
    <mergeCell ref="C4:C5"/>
    <mergeCell ref="D4:D5"/>
    <mergeCell ref="E4:F4"/>
    <mergeCell ref="G4:H4"/>
    <mergeCell ref="I4:I5"/>
  </mergeCells>
  <printOptions horizontalCentered="1"/>
  <pageMargins left="0.19685039370078741" right="0.19685039370078741" top="0.78740157480314965" bottom="0.39370078740157483" header="0.31496062992125984" footer="0.31496062992125984"/>
  <pageSetup paperSize="9" scale="8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dimension ref="A1:J41"/>
  <sheetViews>
    <sheetView view="pageBreakPreview" zoomScaleNormal="100" zoomScaleSheetLayoutView="100" workbookViewId="0">
      <selection activeCell="K14" sqref="K14"/>
    </sheetView>
  </sheetViews>
  <sheetFormatPr defaultRowHeight="15" x14ac:dyDescent="0.25"/>
  <cols>
    <col min="1" max="1" width="1.7109375" style="1" customWidth="1"/>
    <col min="2" max="2" width="4.7109375" style="1" customWidth="1"/>
    <col min="3" max="3" width="50.42578125" style="1" customWidth="1"/>
    <col min="4" max="4" width="9.140625" style="1"/>
    <col min="5" max="11" width="10.7109375" style="1" customWidth="1"/>
    <col min="12" max="12" width="1.7109375" style="1" customWidth="1"/>
    <col min="13" max="16384" width="9.140625" style="1"/>
  </cols>
  <sheetData>
    <row r="1" spans="1:10" s="3" customFormat="1" ht="18.75" x14ac:dyDescent="0.3">
      <c r="A1" s="3" t="s">
        <v>748</v>
      </c>
    </row>
    <row r="3" spans="1:10" ht="15.75" x14ac:dyDescent="0.25">
      <c r="B3" s="59" t="s">
        <v>234</v>
      </c>
    </row>
    <row r="4" spans="1:10" ht="30" customHeight="1" x14ac:dyDescent="0.25">
      <c r="B4" s="574" t="s">
        <v>170</v>
      </c>
      <c r="C4" s="574" t="s">
        <v>92</v>
      </c>
      <c r="D4" s="574" t="s">
        <v>171</v>
      </c>
      <c r="E4" s="574" t="e">
        <f>"Отченый период, "&amp;#REF!</f>
        <v>#REF!</v>
      </c>
      <c r="F4" s="574"/>
      <c r="G4" s="574" t="e">
        <f>"Базисный период, "&amp;#REF!</f>
        <v>#REF!</v>
      </c>
      <c r="H4" s="574"/>
      <c r="I4" s="579" t="e">
        <f>"Абсолютное изменение, "&amp;#REF!</f>
        <v>#REF!</v>
      </c>
      <c r="J4" s="579" t="s">
        <v>106</v>
      </c>
    </row>
    <row r="5" spans="1:10" ht="25.5" x14ac:dyDescent="0.25">
      <c r="B5" s="574"/>
      <c r="C5" s="574"/>
      <c r="D5" s="574"/>
      <c r="E5" s="305" t="s">
        <v>495</v>
      </c>
      <c r="F5" s="305" t="e">
        <f>#REF!</f>
        <v>#REF!</v>
      </c>
      <c r="G5" s="305" t="s">
        <v>495</v>
      </c>
      <c r="H5" s="305" t="e">
        <f>#REF!</f>
        <v>#REF!</v>
      </c>
      <c r="I5" s="579"/>
      <c r="J5" s="579"/>
    </row>
    <row r="6" spans="1:10" ht="18" x14ac:dyDescent="0.25">
      <c r="B6" s="331">
        <v>1</v>
      </c>
      <c r="C6" s="349" t="s">
        <v>75</v>
      </c>
      <c r="D6" s="339" t="s">
        <v>177</v>
      </c>
      <c r="E6" s="351" t="s">
        <v>514</v>
      </c>
      <c r="F6" s="124" t="e">
        <f>#REF!</f>
        <v>#REF!</v>
      </c>
      <c r="G6" s="351" t="s">
        <v>515</v>
      </c>
      <c r="H6" s="124" t="e">
        <f>#REF!</f>
        <v>#REF!</v>
      </c>
      <c r="I6" s="125" t="e">
        <f t="shared" ref="I6:I10" si="0">F6-H6</f>
        <v>#REF!</v>
      </c>
      <c r="J6" s="127" t="str">
        <f t="shared" ref="J6:J10" si="1">IFERROR(I6/H6,"")</f>
        <v/>
      </c>
    </row>
    <row r="7" spans="1:10" ht="18" x14ac:dyDescent="0.25">
      <c r="B7" s="332">
        <v>2</v>
      </c>
      <c r="C7" s="481" t="s">
        <v>69</v>
      </c>
      <c r="D7" s="482" t="s">
        <v>177</v>
      </c>
      <c r="E7" s="311" t="s">
        <v>749</v>
      </c>
      <c r="F7" s="130" t="e">
        <f>#REF!</f>
        <v>#REF!</v>
      </c>
      <c r="G7" s="311" t="s">
        <v>750</v>
      </c>
      <c r="H7" s="288" t="e">
        <f>#REF!</f>
        <v>#REF!</v>
      </c>
      <c r="I7" s="131" t="e">
        <f t="shared" ref="I7" si="2">F7-H7</f>
        <v>#REF!</v>
      </c>
      <c r="J7" s="133" t="str">
        <f t="shared" ref="J7" si="3">IFERROR(I7/H7,"")</f>
        <v/>
      </c>
    </row>
    <row r="8" spans="1:10" ht="18" x14ac:dyDescent="0.25">
      <c r="B8" s="332">
        <v>3</v>
      </c>
      <c r="C8" s="322" t="s">
        <v>539</v>
      </c>
      <c r="D8" s="323" t="s">
        <v>177</v>
      </c>
      <c r="E8" s="311" t="s">
        <v>505</v>
      </c>
      <c r="F8" s="130" t="e">
        <f>#REF!</f>
        <v>#REF!</v>
      </c>
      <c r="G8" s="311" t="s">
        <v>506</v>
      </c>
      <c r="H8" s="130" t="e">
        <f>#REF!</f>
        <v>#REF!</v>
      </c>
      <c r="I8" s="131" t="e">
        <f t="shared" si="0"/>
        <v>#REF!</v>
      </c>
      <c r="J8" s="133" t="str">
        <f t="shared" si="1"/>
        <v/>
      </c>
    </row>
    <row r="9" spans="1:10" ht="18" x14ac:dyDescent="0.25">
      <c r="B9" s="332">
        <v>4</v>
      </c>
      <c r="C9" s="322" t="s">
        <v>777</v>
      </c>
      <c r="D9" s="323" t="s">
        <v>177</v>
      </c>
      <c r="E9" s="310" t="s">
        <v>564</v>
      </c>
      <c r="F9" s="130" t="e">
        <f>#REF!</f>
        <v>#REF!</v>
      </c>
      <c r="G9" s="310" t="s">
        <v>565</v>
      </c>
      <c r="H9" s="130" t="e">
        <f>#REF!</f>
        <v>#REF!</v>
      </c>
      <c r="I9" s="131" t="e">
        <f t="shared" si="0"/>
        <v>#REF!</v>
      </c>
      <c r="J9" s="133" t="str">
        <f t="shared" si="1"/>
        <v/>
      </c>
    </row>
    <row r="10" spans="1:10" ht="18" x14ac:dyDescent="0.25">
      <c r="B10" s="332">
        <v>5</v>
      </c>
      <c r="C10" s="322" t="s">
        <v>778</v>
      </c>
      <c r="D10" s="323" t="s">
        <v>177</v>
      </c>
      <c r="E10" s="310" t="s">
        <v>588</v>
      </c>
      <c r="F10" s="130" t="e">
        <f>#REF!</f>
        <v>#REF!</v>
      </c>
      <c r="G10" s="310" t="s">
        <v>595</v>
      </c>
      <c r="H10" s="130" t="e">
        <f>#REF!</f>
        <v>#REF!</v>
      </c>
      <c r="I10" s="131" t="e">
        <f t="shared" si="0"/>
        <v>#REF!</v>
      </c>
      <c r="J10" s="133" t="str">
        <f t="shared" si="1"/>
        <v/>
      </c>
    </row>
    <row r="11" spans="1:10" ht="18" x14ac:dyDescent="0.25">
      <c r="B11" s="332">
        <v>6</v>
      </c>
      <c r="C11" s="322" t="s">
        <v>756</v>
      </c>
      <c r="D11" s="323" t="s">
        <v>185</v>
      </c>
      <c r="E11" s="310" t="s">
        <v>758</v>
      </c>
      <c r="F11" s="480">
        <v>0</v>
      </c>
      <c r="G11" s="310" t="s">
        <v>759</v>
      </c>
      <c r="H11" s="480">
        <v>0</v>
      </c>
      <c r="I11" s="132">
        <f t="shared" ref="I11" si="4">F11-H11</f>
        <v>0</v>
      </c>
      <c r="J11" s="133" t="str">
        <f t="shared" ref="J11" si="5">IFERROR(I11/H11,"")</f>
        <v/>
      </c>
    </row>
    <row r="12" spans="1:10" ht="18" x14ac:dyDescent="0.25">
      <c r="B12" s="332">
        <v>7</v>
      </c>
      <c r="C12" s="322" t="s">
        <v>347</v>
      </c>
      <c r="D12" s="323"/>
      <c r="E12" s="310" t="s">
        <v>769</v>
      </c>
      <c r="F12" s="478" t="e">
        <f>F6/F10</f>
        <v>#REF!</v>
      </c>
      <c r="G12" s="310" t="s">
        <v>770</v>
      </c>
      <c r="H12" s="478" t="e">
        <f>H6/H10</f>
        <v>#REF!</v>
      </c>
      <c r="I12" s="402" t="e">
        <f t="shared" ref="I12:I16" si="6">F12-H12</f>
        <v>#REF!</v>
      </c>
      <c r="J12" s="133" t="str">
        <f t="shared" ref="J12:J16" si="7">IFERROR(I12/H12,"")</f>
        <v/>
      </c>
    </row>
    <row r="13" spans="1:10" ht="18" x14ac:dyDescent="0.25">
      <c r="B13" s="332">
        <v>8</v>
      </c>
      <c r="C13" s="322" t="s">
        <v>756</v>
      </c>
      <c r="D13" s="323"/>
      <c r="E13" s="310" t="s">
        <v>761</v>
      </c>
      <c r="F13" s="140" t="e">
        <f>F7*(1-F11)/F7</f>
        <v>#REF!</v>
      </c>
      <c r="G13" s="310" t="s">
        <v>765</v>
      </c>
      <c r="H13" s="140" t="e">
        <f>H7*(1-H11)/H7</f>
        <v>#REF!</v>
      </c>
      <c r="I13" s="140" t="e">
        <f t="shared" si="6"/>
        <v>#REF!</v>
      </c>
      <c r="J13" s="133" t="str">
        <f t="shared" si="7"/>
        <v/>
      </c>
    </row>
    <row r="14" spans="1:10" ht="18" x14ac:dyDescent="0.25">
      <c r="B14" s="332">
        <v>9</v>
      </c>
      <c r="C14" s="322" t="s">
        <v>772</v>
      </c>
      <c r="D14" s="323"/>
      <c r="E14" s="310" t="s">
        <v>762</v>
      </c>
      <c r="F14" s="140" t="e">
        <f>(F9/F10)</f>
        <v>#REF!</v>
      </c>
      <c r="G14" s="310" t="s">
        <v>766</v>
      </c>
      <c r="H14" s="140" t="e">
        <f>(H9/H10)</f>
        <v>#REF!</v>
      </c>
      <c r="I14" s="140" t="e">
        <f t="shared" si="6"/>
        <v>#REF!</v>
      </c>
      <c r="J14" s="133" t="str">
        <f t="shared" si="7"/>
        <v/>
      </c>
    </row>
    <row r="15" spans="1:10" ht="18" x14ac:dyDescent="0.25">
      <c r="B15" s="332">
        <v>10</v>
      </c>
      <c r="C15" s="322" t="s">
        <v>773</v>
      </c>
      <c r="D15" s="323"/>
      <c r="E15" s="310" t="s">
        <v>763</v>
      </c>
      <c r="F15" s="140" t="e">
        <f>(F8/F9)</f>
        <v>#REF!</v>
      </c>
      <c r="G15" s="310" t="s">
        <v>767</v>
      </c>
      <c r="H15" s="140" t="e">
        <f>(H8/H9)</f>
        <v>#REF!</v>
      </c>
      <c r="I15" s="140" t="e">
        <f t="shared" si="6"/>
        <v>#REF!</v>
      </c>
      <c r="J15" s="133" t="str">
        <f t="shared" si="7"/>
        <v/>
      </c>
    </row>
    <row r="16" spans="1:10" ht="18" x14ac:dyDescent="0.25">
      <c r="B16" s="333">
        <v>11</v>
      </c>
      <c r="C16" s="350" t="s">
        <v>774</v>
      </c>
      <c r="D16" s="352"/>
      <c r="E16" s="353" t="s">
        <v>764</v>
      </c>
      <c r="F16" s="241" t="e">
        <f>(F7/F8)</f>
        <v>#REF!</v>
      </c>
      <c r="G16" s="353" t="s">
        <v>768</v>
      </c>
      <c r="H16" s="241" t="e">
        <f>(H7/H8)</f>
        <v>#REF!</v>
      </c>
      <c r="I16" s="241" t="e">
        <f t="shared" si="6"/>
        <v>#REF!</v>
      </c>
      <c r="J16" s="145" t="str">
        <f t="shared" si="7"/>
        <v/>
      </c>
    </row>
    <row r="17" spans="2:9" x14ac:dyDescent="0.25">
      <c r="F17" s="373"/>
    </row>
    <row r="18" spans="2:9" ht="15.75" x14ac:dyDescent="0.25">
      <c r="B18" s="59" t="s">
        <v>757</v>
      </c>
      <c r="F18" s="373"/>
    </row>
    <row r="19" spans="2:9" ht="30" x14ac:dyDescent="0.25">
      <c r="B19" s="4" t="s">
        <v>170</v>
      </c>
      <c r="C19" s="4" t="s">
        <v>524</v>
      </c>
      <c r="D19" s="4" t="s">
        <v>171</v>
      </c>
      <c r="E19" s="337" t="s">
        <v>607</v>
      </c>
      <c r="F19" s="373"/>
    </row>
    <row r="20" spans="2:9" ht="30" x14ac:dyDescent="0.25">
      <c r="B20" s="331">
        <v>1</v>
      </c>
      <c r="C20" s="367" t="s">
        <v>760</v>
      </c>
      <c r="D20" s="339" t="s">
        <v>185</v>
      </c>
      <c r="E20" s="66" t="e">
        <f>I13*H14*H15*H16</f>
        <v>#REF!</v>
      </c>
      <c r="F20" s="373"/>
      <c r="G20" s="1" t="s">
        <v>779</v>
      </c>
      <c r="H20" s="373" t="e">
        <f>E20</f>
        <v>#REF!</v>
      </c>
    </row>
    <row r="21" spans="2:9" x14ac:dyDescent="0.25">
      <c r="B21" s="332">
        <v>2</v>
      </c>
      <c r="C21" s="340" t="s">
        <v>771</v>
      </c>
      <c r="D21" s="323" t="s">
        <v>185</v>
      </c>
      <c r="E21" s="45" t="e">
        <f>F13*I14*H15*H16</f>
        <v>#REF!</v>
      </c>
      <c r="F21" s="373"/>
      <c r="G21" s="1" t="s">
        <v>780</v>
      </c>
      <c r="H21" s="373" t="e">
        <f t="shared" ref="H21:H23" si="8">E21</f>
        <v>#REF!</v>
      </c>
    </row>
    <row r="22" spans="2:9" x14ac:dyDescent="0.25">
      <c r="B22" s="332">
        <v>3</v>
      </c>
      <c r="C22" s="340" t="s">
        <v>775</v>
      </c>
      <c r="D22" s="323" t="s">
        <v>185</v>
      </c>
      <c r="E22" s="45" t="e">
        <f>F13*F14*I15*H16</f>
        <v>#REF!</v>
      </c>
      <c r="F22" s="373"/>
      <c r="G22" s="1" t="s">
        <v>781</v>
      </c>
      <c r="H22" s="373" t="e">
        <f t="shared" si="8"/>
        <v>#REF!</v>
      </c>
    </row>
    <row r="23" spans="2:9" x14ac:dyDescent="0.25">
      <c r="B23" s="333">
        <v>4</v>
      </c>
      <c r="C23" s="380" t="s">
        <v>776</v>
      </c>
      <c r="D23" s="352" t="s">
        <v>185</v>
      </c>
      <c r="E23" s="479" t="e">
        <f>F13*F14*F15*I16</f>
        <v>#REF!</v>
      </c>
      <c r="F23" s="373"/>
      <c r="G23" s="1" t="s">
        <v>782</v>
      </c>
      <c r="H23" s="373" t="e">
        <f t="shared" si="8"/>
        <v>#REF!</v>
      </c>
    </row>
    <row r="24" spans="2:9" x14ac:dyDescent="0.25">
      <c r="B24" s="369"/>
      <c r="C24" s="370" t="s">
        <v>576</v>
      </c>
      <c r="D24" s="347" t="s">
        <v>185</v>
      </c>
      <c r="E24" s="74" t="e">
        <f>SUM(E20:E23)</f>
        <v>#REF!</v>
      </c>
      <c r="F24" s="373"/>
    </row>
    <row r="25" spans="2:9" x14ac:dyDescent="0.25">
      <c r="F25" s="373"/>
    </row>
    <row r="26" spans="2:9" x14ac:dyDescent="0.25">
      <c r="F26" s="373"/>
    </row>
    <row r="27" spans="2:9" x14ac:dyDescent="0.25">
      <c r="F27" s="373"/>
    </row>
    <row r="28" spans="2:9" x14ac:dyDescent="0.25">
      <c r="F28" s="373"/>
    </row>
    <row r="29" spans="2:9" x14ac:dyDescent="0.25">
      <c r="F29" s="373"/>
    </row>
    <row r="30" spans="2:9" ht="15.75" x14ac:dyDescent="0.25">
      <c r="B30" s="59" t="s">
        <v>755</v>
      </c>
      <c r="F30" s="12"/>
      <c r="H30" s="12"/>
    </row>
    <row r="31" spans="2:9" ht="30" x14ac:dyDescent="0.25">
      <c r="B31" s="4" t="s">
        <v>170</v>
      </c>
      <c r="C31" s="4" t="s">
        <v>524</v>
      </c>
      <c r="D31" s="4" t="s">
        <v>171</v>
      </c>
      <c r="E31" s="337" t="s">
        <v>607</v>
      </c>
    </row>
    <row r="32" spans="2:9" x14ac:dyDescent="0.25">
      <c r="B32" s="331"/>
      <c r="C32" s="367" t="s">
        <v>754</v>
      </c>
      <c r="D32" s="339" t="s">
        <v>185</v>
      </c>
      <c r="E32" s="66" t="e">
        <f>(F6-H6)*(1/F10)</f>
        <v>#REF!</v>
      </c>
      <c r="G32" s="1" t="s">
        <v>751</v>
      </c>
      <c r="H32" s="373" t="e">
        <f>E32</f>
        <v>#REF!</v>
      </c>
      <c r="I32" s="12"/>
    </row>
    <row r="33" spans="2:9" x14ac:dyDescent="0.25">
      <c r="B33" s="333"/>
      <c r="C33" s="380" t="s">
        <v>753</v>
      </c>
      <c r="D33" s="352" t="s">
        <v>185</v>
      </c>
      <c r="E33" s="479" t="e">
        <f>F6*(1/F10-1/H10)</f>
        <v>#REF!</v>
      </c>
      <c r="G33" s="1" t="s">
        <v>752</v>
      </c>
      <c r="H33" s="373" t="e">
        <f>E33</f>
        <v>#REF!</v>
      </c>
      <c r="I33" s="12"/>
    </row>
    <row r="34" spans="2:9" x14ac:dyDescent="0.25">
      <c r="B34" s="369"/>
      <c r="C34" s="370" t="s">
        <v>576</v>
      </c>
      <c r="D34" s="347" t="s">
        <v>185</v>
      </c>
      <c r="E34" s="74" t="e">
        <f>SUM(E32:E33)</f>
        <v>#REF!</v>
      </c>
    </row>
    <row r="40" spans="2:9" s="99" customFormat="1" ht="12.75" x14ac:dyDescent="0.2"/>
    <row r="41" spans="2:9" s="99" customFormat="1" ht="12.75" x14ac:dyDescent="0.2"/>
  </sheetData>
  <mergeCells count="7">
    <mergeCell ref="J4:J5"/>
    <mergeCell ref="B4:B5"/>
    <mergeCell ref="C4:C5"/>
    <mergeCell ref="D4:D5"/>
    <mergeCell ref="E4:F4"/>
    <mergeCell ref="G4:H4"/>
    <mergeCell ref="I4:I5"/>
  </mergeCells>
  <printOptions horizontalCentered="1"/>
  <pageMargins left="0.19685039370078741" right="0.19685039370078741" top="0.78740157480314965" bottom="0.39370078740157483" header="0.31496062992125984" footer="0.31496062992125984"/>
  <pageSetup paperSize="9" scale="88" orientation="landscape" r:id="rId1"/>
  <rowBreaks count="1" manualBreakCount="1">
    <brk id="17" max="11"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I75"/>
  <sheetViews>
    <sheetView topLeftCell="A58" zoomScaleNormal="100" zoomScaleSheetLayoutView="100" workbookViewId="0">
      <selection activeCell="A77" sqref="A77:XFD78"/>
    </sheetView>
  </sheetViews>
  <sheetFormatPr defaultRowHeight="15" x14ac:dyDescent="0.25"/>
  <cols>
    <col min="1" max="1" width="1.7109375" style="1" customWidth="1"/>
    <col min="2" max="2" width="36.85546875" style="1" customWidth="1"/>
    <col min="3" max="4" width="12.7109375" style="1" customWidth="1"/>
    <col min="5" max="9" width="10.7109375" style="1" customWidth="1"/>
    <col min="10" max="10" width="1.7109375" style="1" customWidth="1"/>
    <col min="11" max="16384" width="9.140625" style="1"/>
  </cols>
  <sheetData>
    <row r="1" spans="1:9" s="3" customFormat="1" ht="18.75" x14ac:dyDescent="0.3">
      <c r="A1" s="3" t="e">
        <f>"Анализ структуры бухгалтерского баланса предприятия за "&amp;#REF!</f>
        <v>#REF!</v>
      </c>
    </row>
    <row r="3" spans="1:9" s="59" customFormat="1" ht="15.75" x14ac:dyDescent="0.25">
      <c r="A3" s="59" t="s">
        <v>148</v>
      </c>
    </row>
    <row r="4" spans="1:9" ht="45" x14ac:dyDescent="0.25">
      <c r="B4" s="90" t="s">
        <v>149</v>
      </c>
      <c r="C4" s="90" t="e">
        <f>"Отченый период, "&amp;#REF!</f>
        <v>#REF!</v>
      </c>
      <c r="D4" s="90" t="e">
        <f>"Базисный период, "&amp;#REF!</f>
        <v>#REF!</v>
      </c>
      <c r="E4" s="91" t="s">
        <v>152</v>
      </c>
    </row>
    <row r="5" spans="1:9" ht="30" x14ac:dyDescent="0.25">
      <c r="B5" s="92" t="s">
        <v>153</v>
      </c>
      <c r="C5" s="27" t="e">
        <f>Пояснения!D52</f>
        <v>#REF!</v>
      </c>
      <c r="D5" s="27" t="e">
        <f>Пояснения!E52</f>
        <v>#REF!</v>
      </c>
      <c r="E5" s="95" t="e">
        <f>(C5-D5)/D5</f>
        <v>#REF!</v>
      </c>
    </row>
    <row r="6" spans="1:9" x14ac:dyDescent="0.25">
      <c r="B6" s="93" t="s">
        <v>154</v>
      </c>
      <c r="C6" s="32" t="e">
        <f>#REF!</f>
        <v>#REF!</v>
      </c>
      <c r="D6" s="32" t="e">
        <f>#REF!</f>
        <v>#REF!</v>
      </c>
      <c r="E6" s="96" t="e">
        <f t="shared" ref="E6:E7" si="0">(C6-D6)/D6</f>
        <v>#REF!</v>
      </c>
    </row>
    <row r="7" spans="1:9" x14ac:dyDescent="0.25">
      <c r="B7" s="94" t="s">
        <v>155</v>
      </c>
      <c r="C7" s="97" t="e">
        <f>#REF!</f>
        <v>#REF!</v>
      </c>
      <c r="D7" s="97" t="e">
        <f>#REF!</f>
        <v>#REF!</v>
      </c>
      <c r="E7" s="98" t="e">
        <f t="shared" si="0"/>
        <v>#REF!</v>
      </c>
    </row>
    <row r="8" spans="1:9" s="99" customFormat="1" ht="12.75" x14ac:dyDescent="0.2"/>
    <row r="9" spans="1:9" s="99" customFormat="1" ht="12.75" x14ac:dyDescent="0.2">
      <c r="A9" s="99" t="s">
        <v>156</v>
      </c>
    </row>
    <row r="10" spans="1:9" s="100" customFormat="1" ht="15" customHeight="1" x14ac:dyDescent="0.25">
      <c r="B10" s="541" t="s">
        <v>157</v>
      </c>
      <c r="C10" s="541"/>
      <c r="D10" s="541"/>
      <c r="E10" s="541"/>
      <c r="F10" s="541"/>
      <c r="G10" s="541"/>
      <c r="H10" s="541"/>
      <c r="I10" s="541"/>
    </row>
    <row r="11" spans="1:9" s="100" customFormat="1" ht="45" customHeight="1" x14ac:dyDescent="0.25">
      <c r="B11" s="541" t="s">
        <v>158</v>
      </c>
      <c r="C11" s="541"/>
      <c r="D11" s="541"/>
      <c r="E11" s="541"/>
      <c r="F11" s="541"/>
      <c r="G11" s="541"/>
      <c r="H11" s="541"/>
      <c r="I11" s="541"/>
    </row>
    <row r="12" spans="1:9" s="100" customFormat="1" ht="15" customHeight="1" x14ac:dyDescent="0.25">
      <c r="B12" s="541" t="s">
        <v>159</v>
      </c>
      <c r="C12" s="541"/>
      <c r="D12" s="541"/>
      <c r="E12" s="541"/>
      <c r="F12" s="541"/>
      <c r="G12" s="541"/>
      <c r="H12" s="541"/>
      <c r="I12" s="541"/>
    </row>
    <row r="13" spans="1:9" s="101" customFormat="1" ht="15" customHeight="1" x14ac:dyDescent="0.25"/>
    <row r="14" spans="1:9" s="59" customFormat="1" ht="15.75" x14ac:dyDescent="0.25">
      <c r="A14" s="59" t="s">
        <v>108</v>
      </c>
    </row>
    <row r="15" spans="1:9" ht="30" customHeight="1" x14ac:dyDescent="0.25">
      <c r="B15" s="542" t="s">
        <v>109</v>
      </c>
      <c r="C15" s="544" t="e">
        <f>"Абсолютное изменение, "&amp;#REF!</f>
        <v>#REF!</v>
      </c>
      <c r="D15" s="545"/>
      <c r="E15" s="544" t="s">
        <v>110</v>
      </c>
      <c r="F15" s="545"/>
      <c r="G15" s="544" t="s">
        <v>111</v>
      </c>
      <c r="H15" s="546"/>
      <c r="I15" s="545"/>
    </row>
    <row r="16" spans="1:9" ht="48" x14ac:dyDescent="0.25">
      <c r="B16" s="543"/>
      <c r="C16" s="60" t="s">
        <v>150</v>
      </c>
      <c r="D16" s="61" t="s">
        <v>151</v>
      </c>
      <c r="E16" s="61" t="s">
        <v>112</v>
      </c>
      <c r="F16" s="61" t="s">
        <v>113</v>
      </c>
      <c r="G16" s="61" t="s">
        <v>114</v>
      </c>
      <c r="H16" s="61" t="s">
        <v>115</v>
      </c>
      <c r="I16" s="61" t="s">
        <v>116</v>
      </c>
    </row>
    <row r="17" spans="1:9" x14ac:dyDescent="0.25">
      <c r="B17" s="62" t="s">
        <v>117</v>
      </c>
      <c r="C17" s="27" t="e">
        <f>C30</f>
        <v>#REF!</v>
      </c>
      <c r="D17" s="27" t="e">
        <f>D30</f>
        <v>#REF!</v>
      </c>
      <c r="E17" s="63" t="str">
        <f>IFERROR(C17/C$19,"")</f>
        <v/>
      </c>
      <c r="F17" s="63" t="str">
        <f t="shared" ref="F17:F19" si="1">IFERROR(D17/D$19,"")</f>
        <v/>
      </c>
      <c r="G17" s="64" t="e">
        <f>D17-C17</f>
        <v>#REF!</v>
      </c>
      <c r="H17" s="65" t="str">
        <f>IFERROR(F17-E17,"")</f>
        <v/>
      </c>
      <c r="I17" s="66" t="str">
        <f t="shared" ref="I17:I19" si="2">IFERROR(G17/G$19,"")</f>
        <v/>
      </c>
    </row>
    <row r="18" spans="1:9" x14ac:dyDescent="0.25">
      <c r="B18" s="67" t="s">
        <v>118</v>
      </c>
      <c r="C18" s="32" t="e">
        <f>C40</f>
        <v>#REF!</v>
      </c>
      <c r="D18" s="32" t="e">
        <f>D40</f>
        <v>#REF!</v>
      </c>
      <c r="E18" s="68" t="str">
        <f t="shared" ref="E18:E19" si="3">IFERROR(C18/C$19,"")</f>
        <v/>
      </c>
      <c r="F18" s="68" t="str">
        <f t="shared" si="1"/>
        <v/>
      </c>
      <c r="G18" s="69" t="e">
        <f t="shared" ref="G18" si="4">D18-C18</f>
        <v>#REF!</v>
      </c>
      <c r="H18" s="44" t="str">
        <f t="shared" ref="H18" si="5">IFERROR(F18-E18,"")</f>
        <v/>
      </c>
      <c r="I18" s="45" t="str">
        <f t="shared" si="2"/>
        <v/>
      </c>
    </row>
    <row r="19" spans="1:9" x14ac:dyDescent="0.25">
      <c r="B19" s="70" t="s">
        <v>119</v>
      </c>
      <c r="C19" s="71" t="e">
        <f>SUM(C17:C18)</f>
        <v>#REF!</v>
      </c>
      <c r="D19" s="71" t="e">
        <f>SUM(D17:D18)</f>
        <v>#REF!</v>
      </c>
      <c r="E19" s="72" t="str">
        <f t="shared" si="3"/>
        <v/>
      </c>
      <c r="F19" s="72" t="str">
        <f t="shared" si="1"/>
        <v/>
      </c>
      <c r="G19" s="71" t="e">
        <f>SUM(G17:G18)</f>
        <v>#REF!</v>
      </c>
      <c r="H19" s="73"/>
      <c r="I19" s="74" t="str">
        <f t="shared" si="2"/>
        <v/>
      </c>
    </row>
    <row r="20" spans="1:9" ht="30" x14ac:dyDescent="0.25">
      <c r="B20" s="62" t="s">
        <v>120</v>
      </c>
      <c r="C20" s="105" t="str">
        <f>IFERROR(C18/C17,"")</f>
        <v/>
      </c>
      <c r="D20" s="105" t="str">
        <f>IFERROR(D18/D17,"")</f>
        <v/>
      </c>
      <c r="E20" s="106"/>
      <c r="F20" s="107"/>
      <c r="G20" s="108"/>
      <c r="H20" s="109"/>
      <c r="I20" s="110"/>
    </row>
    <row r="21" spans="1:9" ht="30" x14ac:dyDescent="0.25">
      <c r="B21" s="75" t="s">
        <v>161</v>
      </c>
      <c r="C21" s="76" t="e">
        <f>(#REF!+#REF!+#REF!)/#REF!</f>
        <v>#REF!</v>
      </c>
      <c r="D21" s="76" t="e">
        <f>(#REF!+#REF!+#REF!)/#REF!</f>
        <v>#REF!</v>
      </c>
      <c r="E21" s="111"/>
      <c r="F21" s="112"/>
      <c r="G21" s="113"/>
      <c r="H21" s="114"/>
      <c r="I21" s="115"/>
    </row>
    <row r="23" spans="1:9" s="59" customFormat="1" ht="15.75" x14ac:dyDescent="0.25">
      <c r="A23" s="59" t="s">
        <v>121</v>
      </c>
    </row>
    <row r="24" spans="1:9" ht="30" customHeight="1" x14ac:dyDescent="0.25">
      <c r="B24" s="542" t="s">
        <v>109</v>
      </c>
      <c r="C24" s="544" t="e">
        <f>"Абсолютное изменение, "&amp;#REF!</f>
        <v>#REF!</v>
      </c>
      <c r="D24" s="545"/>
      <c r="E24" s="544" t="s">
        <v>110</v>
      </c>
      <c r="F24" s="545"/>
      <c r="G24" s="544" t="s">
        <v>111</v>
      </c>
      <c r="H24" s="546"/>
      <c r="I24" s="545"/>
    </row>
    <row r="25" spans="1:9" ht="48" x14ac:dyDescent="0.25">
      <c r="B25" s="543"/>
      <c r="C25" s="60" t="s">
        <v>112</v>
      </c>
      <c r="D25" s="61" t="s">
        <v>113</v>
      </c>
      <c r="E25" s="61" t="s">
        <v>112</v>
      </c>
      <c r="F25" s="61" t="s">
        <v>113</v>
      </c>
      <c r="G25" s="61" t="s">
        <v>114</v>
      </c>
      <c r="H25" s="61" t="s">
        <v>115</v>
      </c>
      <c r="I25" s="61" t="s">
        <v>116</v>
      </c>
    </row>
    <row r="26" spans="1:9" x14ac:dyDescent="0.25">
      <c r="B26" s="62" t="s">
        <v>20</v>
      </c>
      <c r="C26" s="27" t="e">
        <f>#REF!+#REF!</f>
        <v>#REF!</v>
      </c>
      <c r="D26" s="27" t="e">
        <f>#REF!+#REF!</f>
        <v>#REF!</v>
      </c>
      <c r="E26" s="63" t="str">
        <f t="shared" ref="E26:F30" si="6">IFERROR(C26/C$30,"")</f>
        <v/>
      </c>
      <c r="F26" s="63" t="str">
        <f t="shared" si="6"/>
        <v/>
      </c>
      <c r="G26" s="64" t="e">
        <f>D26-C26</f>
        <v>#REF!</v>
      </c>
      <c r="H26" s="65" t="str">
        <f t="shared" ref="H26:H29" si="7">IFERROR(F26-E26,"")</f>
        <v/>
      </c>
      <c r="I26" s="66" t="str">
        <f>IFERROR(G26/G$30,"")</f>
        <v/>
      </c>
    </row>
    <row r="27" spans="1:9" x14ac:dyDescent="0.25">
      <c r="B27" s="67" t="s">
        <v>24</v>
      </c>
      <c r="C27" s="32" t="e">
        <f>#REF!</f>
        <v>#REF!</v>
      </c>
      <c r="D27" s="32" t="e">
        <f>#REF!</f>
        <v>#REF!</v>
      </c>
      <c r="E27" s="68" t="str">
        <f t="shared" si="6"/>
        <v/>
      </c>
      <c r="F27" s="68" t="str">
        <f t="shared" si="6"/>
        <v/>
      </c>
      <c r="G27" s="69" t="e">
        <f t="shared" ref="G27:G29" si="8">D27-C27</f>
        <v>#REF!</v>
      </c>
      <c r="H27" s="44" t="str">
        <f t="shared" si="7"/>
        <v/>
      </c>
      <c r="I27" s="45" t="str">
        <f>IFERROR(G27/G$30,"")</f>
        <v/>
      </c>
    </row>
    <row r="28" spans="1:9" x14ac:dyDescent="0.25">
      <c r="B28" s="67" t="s">
        <v>122</v>
      </c>
      <c r="C28" s="32" t="e">
        <f>#REF!+#REF!</f>
        <v>#REF!</v>
      </c>
      <c r="D28" s="32" t="e">
        <f>#REF!+#REF!</f>
        <v>#REF!</v>
      </c>
      <c r="E28" s="68" t="str">
        <f t="shared" si="6"/>
        <v/>
      </c>
      <c r="F28" s="68" t="str">
        <f t="shared" si="6"/>
        <v/>
      </c>
      <c r="G28" s="69" t="e">
        <f t="shared" si="8"/>
        <v>#REF!</v>
      </c>
      <c r="H28" s="44" t="str">
        <f t="shared" si="7"/>
        <v/>
      </c>
      <c r="I28" s="45" t="str">
        <f>IFERROR(G28/G$30,"")</f>
        <v/>
      </c>
    </row>
    <row r="29" spans="1:9" x14ac:dyDescent="0.25">
      <c r="B29" s="67" t="s">
        <v>28</v>
      </c>
      <c r="C29" s="32" t="e">
        <f>#REF!+#REF!+#REF!+#REF!</f>
        <v>#REF!</v>
      </c>
      <c r="D29" s="32" t="e">
        <f>#REF!+#REF!+#REF!+#REF!</f>
        <v>#REF!</v>
      </c>
      <c r="E29" s="68" t="str">
        <f t="shared" si="6"/>
        <v/>
      </c>
      <c r="F29" s="68" t="str">
        <f t="shared" si="6"/>
        <v/>
      </c>
      <c r="G29" s="69" t="e">
        <f t="shared" si="8"/>
        <v>#REF!</v>
      </c>
      <c r="H29" s="44" t="str">
        <f t="shared" si="7"/>
        <v/>
      </c>
      <c r="I29" s="45" t="str">
        <f>IFERROR(G29/G$30,"")</f>
        <v/>
      </c>
    </row>
    <row r="30" spans="1:9" x14ac:dyDescent="0.25">
      <c r="B30" s="70" t="s">
        <v>123</v>
      </c>
      <c r="C30" s="71" t="e">
        <f>SUM(C26:C29)</f>
        <v>#REF!</v>
      </c>
      <c r="D30" s="71" t="e">
        <f>SUM(D26:D29)</f>
        <v>#REF!</v>
      </c>
      <c r="E30" s="72" t="str">
        <f t="shared" si="6"/>
        <v/>
      </c>
      <c r="F30" s="72" t="str">
        <f t="shared" si="6"/>
        <v/>
      </c>
      <c r="G30" s="71" t="e">
        <f>SUM(G26:G29)</f>
        <v>#REF!</v>
      </c>
      <c r="H30" s="73"/>
      <c r="I30" s="74" t="str">
        <f>IFERROR(G30/G$30,"")</f>
        <v/>
      </c>
    </row>
    <row r="32" spans="1:9" s="59" customFormat="1" ht="15.75" x14ac:dyDescent="0.25">
      <c r="A32" s="59" t="s">
        <v>124</v>
      </c>
    </row>
    <row r="33" spans="1:9" ht="30" customHeight="1" x14ac:dyDescent="0.25">
      <c r="B33" s="542" t="s">
        <v>109</v>
      </c>
      <c r="C33" s="544" t="e">
        <f>"Абсолютное изменение, "&amp;#REF!</f>
        <v>#REF!</v>
      </c>
      <c r="D33" s="545"/>
      <c r="E33" s="544" t="s">
        <v>110</v>
      </c>
      <c r="F33" s="545"/>
      <c r="G33" s="544" t="s">
        <v>111</v>
      </c>
      <c r="H33" s="546"/>
      <c r="I33" s="545"/>
    </row>
    <row r="34" spans="1:9" ht="48" x14ac:dyDescent="0.25">
      <c r="B34" s="543"/>
      <c r="C34" s="60" t="s">
        <v>112</v>
      </c>
      <c r="D34" s="61" t="s">
        <v>113</v>
      </c>
      <c r="E34" s="61" t="s">
        <v>112</v>
      </c>
      <c r="F34" s="61" t="s">
        <v>113</v>
      </c>
      <c r="G34" s="61" t="s">
        <v>114</v>
      </c>
      <c r="H34" s="61" t="s">
        <v>115</v>
      </c>
      <c r="I34" s="61" t="s">
        <v>116</v>
      </c>
    </row>
    <row r="35" spans="1:9" x14ac:dyDescent="0.25">
      <c r="B35" s="62" t="s">
        <v>160</v>
      </c>
      <c r="C35" s="27" t="e">
        <f>#REF!+#REF!</f>
        <v>#REF!</v>
      </c>
      <c r="D35" s="27" t="e">
        <f>#REF!+#REF!</f>
        <v>#REF!</v>
      </c>
      <c r="E35" s="63" t="str">
        <f t="shared" ref="E35:F40" si="9">IFERROR(C35/C$40,"")</f>
        <v/>
      </c>
      <c r="F35" s="63" t="str">
        <f t="shared" si="9"/>
        <v/>
      </c>
      <c r="G35" s="64" t="e">
        <f>D35-C35</f>
        <v>#REF!</v>
      </c>
      <c r="H35" s="65" t="str">
        <f t="shared" ref="H35:H39" si="10">IFERROR(F35-E35,"")</f>
        <v/>
      </c>
      <c r="I35" s="66" t="str">
        <f t="shared" ref="I35:I40" si="11">IFERROR(G35/G$40,"")</f>
        <v/>
      </c>
    </row>
    <row r="36" spans="1:9" x14ac:dyDescent="0.25">
      <c r="B36" s="67" t="s">
        <v>33</v>
      </c>
      <c r="C36" s="32" t="e">
        <f>#REF!</f>
        <v>#REF!</v>
      </c>
      <c r="D36" s="32" t="e">
        <f>#REF!</f>
        <v>#REF!</v>
      </c>
      <c r="E36" s="68" t="str">
        <f t="shared" si="9"/>
        <v/>
      </c>
      <c r="F36" s="68" t="str">
        <f t="shared" si="9"/>
        <v/>
      </c>
      <c r="G36" s="69" t="e">
        <f t="shared" ref="G36:G39" si="12">D36-C36</f>
        <v>#REF!</v>
      </c>
      <c r="H36" s="44" t="str">
        <f t="shared" si="10"/>
        <v/>
      </c>
      <c r="I36" s="45" t="str">
        <f t="shared" si="11"/>
        <v/>
      </c>
    </row>
    <row r="37" spans="1:9" ht="30" x14ac:dyDescent="0.25">
      <c r="B37" s="67" t="s">
        <v>125</v>
      </c>
      <c r="C37" s="32" t="e">
        <f>#REF!</f>
        <v>#REF!</v>
      </c>
      <c r="D37" s="32" t="e">
        <f>#REF!</f>
        <v>#REF!</v>
      </c>
      <c r="E37" s="68" t="str">
        <f t="shared" si="9"/>
        <v/>
      </c>
      <c r="F37" s="68" t="str">
        <f t="shared" si="9"/>
        <v/>
      </c>
      <c r="G37" s="69" t="e">
        <f t="shared" si="12"/>
        <v>#REF!</v>
      </c>
      <c r="H37" s="44" t="str">
        <f t="shared" si="10"/>
        <v/>
      </c>
      <c r="I37" s="45" t="str">
        <f t="shared" si="11"/>
        <v/>
      </c>
    </row>
    <row r="38" spans="1:9" x14ac:dyDescent="0.25">
      <c r="B38" s="67" t="s">
        <v>126</v>
      </c>
      <c r="C38" s="32" t="e">
        <f>#REF!</f>
        <v>#REF!</v>
      </c>
      <c r="D38" s="32" t="e">
        <f>#REF!</f>
        <v>#REF!</v>
      </c>
      <c r="E38" s="68" t="str">
        <f t="shared" si="9"/>
        <v/>
      </c>
      <c r="F38" s="68" t="str">
        <f t="shared" si="9"/>
        <v/>
      </c>
      <c r="G38" s="69" t="e">
        <f t="shared" si="12"/>
        <v>#REF!</v>
      </c>
      <c r="H38" s="44" t="str">
        <f t="shared" si="10"/>
        <v/>
      </c>
      <c r="I38" s="45" t="str">
        <f t="shared" si="11"/>
        <v/>
      </c>
    </row>
    <row r="39" spans="1:9" x14ac:dyDescent="0.25">
      <c r="B39" s="67" t="s">
        <v>36</v>
      </c>
      <c r="C39" s="32" t="e">
        <f>#REF!</f>
        <v>#REF!</v>
      </c>
      <c r="D39" s="32" t="e">
        <f>#REF!</f>
        <v>#REF!</v>
      </c>
      <c r="E39" s="68" t="str">
        <f t="shared" si="9"/>
        <v/>
      </c>
      <c r="F39" s="68" t="str">
        <f t="shared" si="9"/>
        <v/>
      </c>
      <c r="G39" s="69" t="e">
        <f t="shared" si="12"/>
        <v>#REF!</v>
      </c>
      <c r="H39" s="44" t="str">
        <f t="shared" si="10"/>
        <v/>
      </c>
      <c r="I39" s="45" t="str">
        <f t="shared" si="11"/>
        <v/>
      </c>
    </row>
    <row r="40" spans="1:9" x14ac:dyDescent="0.25">
      <c r="B40" s="70" t="s">
        <v>123</v>
      </c>
      <c r="C40" s="71" t="e">
        <f>SUM(C35:C39)</f>
        <v>#REF!</v>
      </c>
      <c r="D40" s="71" t="e">
        <f>SUM(D35:D39)</f>
        <v>#REF!</v>
      </c>
      <c r="E40" s="72" t="str">
        <f t="shared" si="9"/>
        <v/>
      </c>
      <c r="F40" s="72" t="str">
        <f t="shared" si="9"/>
        <v/>
      </c>
      <c r="G40" s="71" t="e">
        <f>SUM(G35:G39)</f>
        <v>#REF!</v>
      </c>
      <c r="H40" s="73"/>
      <c r="I40" s="74" t="str">
        <f t="shared" si="11"/>
        <v/>
      </c>
    </row>
    <row r="42" spans="1:9" s="59" customFormat="1" ht="15.75" x14ac:dyDescent="0.25">
      <c r="A42" s="59" t="s">
        <v>127</v>
      </c>
    </row>
    <row r="43" spans="1:9" ht="30" customHeight="1" x14ac:dyDescent="0.25">
      <c r="B43" s="542" t="s">
        <v>109</v>
      </c>
      <c r="C43" s="544" t="e">
        <f>"Абсолютное изменение, "&amp;#REF!</f>
        <v>#REF!</v>
      </c>
      <c r="D43" s="545"/>
      <c r="E43" s="544" t="s">
        <v>110</v>
      </c>
      <c r="F43" s="545"/>
      <c r="G43" s="544" t="s">
        <v>111</v>
      </c>
      <c r="H43" s="546"/>
      <c r="I43" s="545"/>
    </row>
    <row r="44" spans="1:9" ht="48" x14ac:dyDescent="0.25">
      <c r="B44" s="543"/>
      <c r="C44" s="60" t="s">
        <v>112</v>
      </c>
      <c r="D44" s="61" t="s">
        <v>113</v>
      </c>
      <c r="E44" s="61" t="s">
        <v>112</v>
      </c>
      <c r="F44" s="61" t="s">
        <v>113</v>
      </c>
      <c r="G44" s="61" t="s">
        <v>114</v>
      </c>
      <c r="H44" s="61" t="s">
        <v>115</v>
      </c>
      <c r="I44" s="61" t="s">
        <v>116</v>
      </c>
    </row>
    <row r="45" spans="1:9" x14ac:dyDescent="0.25">
      <c r="B45" s="62" t="s">
        <v>128</v>
      </c>
      <c r="C45" s="77"/>
      <c r="D45" s="77"/>
      <c r="E45" s="63" t="str">
        <f t="shared" ref="E45:E53" si="13">IFERROR(C45/C$53,"")</f>
        <v/>
      </c>
      <c r="F45" s="63" t="str">
        <f t="shared" ref="F45:F53" si="14">IFERROR(D45/D$53,"")</f>
        <v/>
      </c>
      <c r="G45" s="64">
        <f>D45-C45</f>
        <v>0</v>
      </c>
      <c r="H45" s="65" t="str">
        <f t="shared" ref="H45:H52" si="15">IFERROR(F45-E45,"")</f>
        <v/>
      </c>
      <c r="I45" s="66" t="str">
        <f t="shared" ref="I45:I53" si="16">IFERROR(G45/G$53,"")</f>
        <v/>
      </c>
    </row>
    <row r="46" spans="1:9" ht="30" x14ac:dyDescent="0.25">
      <c r="B46" s="67" t="s">
        <v>129</v>
      </c>
      <c r="C46" s="78"/>
      <c r="D46" s="78"/>
      <c r="E46" s="68" t="str">
        <f t="shared" si="13"/>
        <v/>
      </c>
      <c r="F46" s="68" t="str">
        <f t="shared" si="14"/>
        <v/>
      </c>
      <c r="G46" s="69">
        <f t="shared" ref="G46:G51" si="17">D46-C46</f>
        <v>0</v>
      </c>
      <c r="H46" s="44" t="str">
        <f t="shared" si="15"/>
        <v/>
      </c>
      <c r="I46" s="45" t="str">
        <f t="shared" si="16"/>
        <v/>
      </c>
    </row>
    <row r="47" spans="1:9" ht="30" x14ac:dyDescent="0.25">
      <c r="B47" s="67" t="s">
        <v>130</v>
      </c>
      <c r="C47" s="78"/>
      <c r="D47" s="78"/>
      <c r="E47" s="68" t="str">
        <f t="shared" si="13"/>
        <v/>
      </c>
      <c r="F47" s="68" t="str">
        <f t="shared" si="14"/>
        <v/>
      </c>
      <c r="G47" s="69">
        <f t="shared" si="17"/>
        <v>0</v>
      </c>
      <c r="H47" s="44" t="str">
        <f t="shared" si="15"/>
        <v/>
      </c>
      <c r="I47" s="45" t="str">
        <f t="shared" si="16"/>
        <v/>
      </c>
    </row>
    <row r="48" spans="1:9" ht="30" x14ac:dyDescent="0.25">
      <c r="B48" s="67" t="s">
        <v>131</v>
      </c>
      <c r="C48" s="78"/>
      <c r="D48" s="78"/>
      <c r="E48" s="68" t="str">
        <f t="shared" si="13"/>
        <v/>
      </c>
      <c r="F48" s="68" t="str">
        <f t="shared" si="14"/>
        <v/>
      </c>
      <c r="G48" s="69">
        <f t="shared" si="17"/>
        <v>0</v>
      </c>
      <c r="H48" s="44" t="str">
        <f t="shared" si="15"/>
        <v/>
      </c>
      <c r="I48" s="45" t="str">
        <f t="shared" si="16"/>
        <v/>
      </c>
    </row>
    <row r="49" spans="1:9" x14ac:dyDescent="0.25">
      <c r="B49" s="67" t="s">
        <v>132</v>
      </c>
      <c r="C49" s="78"/>
      <c r="D49" s="78"/>
      <c r="E49" s="68" t="str">
        <f t="shared" si="13"/>
        <v/>
      </c>
      <c r="F49" s="68" t="str">
        <f t="shared" si="14"/>
        <v/>
      </c>
      <c r="G49" s="69">
        <f t="shared" si="17"/>
        <v>0</v>
      </c>
      <c r="H49" s="44" t="str">
        <f t="shared" si="15"/>
        <v/>
      </c>
      <c r="I49" s="45" t="str">
        <f t="shared" si="16"/>
        <v/>
      </c>
    </row>
    <row r="50" spans="1:9" x14ac:dyDescent="0.25">
      <c r="B50" s="67" t="s">
        <v>86</v>
      </c>
      <c r="C50" s="32">
        <f>Пояснения!E19</f>
        <v>0</v>
      </c>
      <c r="D50" s="32">
        <f>Пояснения!D19</f>
        <v>0</v>
      </c>
      <c r="E50" s="68" t="str">
        <f t="shared" si="13"/>
        <v/>
      </c>
      <c r="F50" s="68" t="str">
        <f t="shared" si="14"/>
        <v/>
      </c>
      <c r="G50" s="69">
        <f t="shared" si="17"/>
        <v>0</v>
      </c>
      <c r="H50" s="44" t="str">
        <f t="shared" si="15"/>
        <v/>
      </c>
      <c r="I50" s="45" t="str">
        <f t="shared" si="16"/>
        <v/>
      </c>
    </row>
    <row r="51" spans="1:9" x14ac:dyDescent="0.25">
      <c r="B51" s="67" t="s">
        <v>133</v>
      </c>
      <c r="C51" s="78"/>
      <c r="D51" s="78"/>
      <c r="E51" s="68" t="str">
        <f t="shared" si="13"/>
        <v/>
      </c>
      <c r="F51" s="68" t="str">
        <f t="shared" si="14"/>
        <v/>
      </c>
      <c r="G51" s="69">
        <f t="shared" si="17"/>
        <v>0</v>
      </c>
      <c r="H51" s="44" t="str">
        <f t="shared" si="15"/>
        <v/>
      </c>
      <c r="I51" s="45" t="str">
        <f t="shared" si="16"/>
        <v/>
      </c>
    </row>
    <row r="52" spans="1:9" ht="30" x14ac:dyDescent="0.25">
      <c r="B52" s="102" t="s">
        <v>32</v>
      </c>
      <c r="C52" s="103" t="e">
        <f>#REF!</f>
        <v>#REF!</v>
      </c>
      <c r="D52" s="103" t="e">
        <f>#REF!</f>
        <v>#REF!</v>
      </c>
      <c r="E52" s="68" t="str">
        <f t="shared" si="13"/>
        <v/>
      </c>
      <c r="F52" s="68" t="str">
        <f t="shared" si="14"/>
        <v/>
      </c>
      <c r="G52" s="69" t="e">
        <f t="shared" ref="G52" si="18">D52-C52</f>
        <v>#REF!</v>
      </c>
      <c r="H52" s="44" t="str">
        <f t="shared" si="15"/>
        <v/>
      </c>
      <c r="I52" s="45" t="str">
        <f t="shared" si="16"/>
        <v/>
      </c>
    </row>
    <row r="53" spans="1:9" x14ac:dyDescent="0.25">
      <c r="B53" s="70" t="s">
        <v>123</v>
      </c>
      <c r="C53" s="71" t="e">
        <f>SUM(C45:C52)</f>
        <v>#REF!</v>
      </c>
      <c r="D53" s="71" t="e">
        <f>SUM(D45:D52)</f>
        <v>#REF!</v>
      </c>
      <c r="E53" s="72" t="str">
        <f t="shared" si="13"/>
        <v/>
      </c>
      <c r="F53" s="72" t="str">
        <f t="shared" si="14"/>
        <v/>
      </c>
      <c r="G53" s="71" t="e">
        <f>SUM(G45:G52)</f>
        <v>#REF!</v>
      </c>
      <c r="H53" s="73"/>
      <c r="I53" s="74" t="str">
        <f t="shared" si="16"/>
        <v/>
      </c>
    </row>
    <row r="56" spans="1:9" s="59" customFormat="1" ht="15.75" x14ac:dyDescent="0.25">
      <c r="A56" s="59" t="s">
        <v>134</v>
      </c>
    </row>
    <row r="57" spans="1:9" ht="30" customHeight="1" x14ac:dyDescent="0.25">
      <c r="B57" s="542" t="s">
        <v>109</v>
      </c>
      <c r="C57" s="544" t="e">
        <f>"Абсолютное изменение, "&amp;#REF!</f>
        <v>#REF!</v>
      </c>
      <c r="D57" s="545"/>
      <c r="E57" s="544" t="s">
        <v>110</v>
      </c>
      <c r="F57" s="545"/>
      <c r="G57" s="544" t="s">
        <v>111</v>
      </c>
      <c r="H57" s="546"/>
      <c r="I57" s="545"/>
    </row>
    <row r="58" spans="1:9" ht="48" x14ac:dyDescent="0.25">
      <c r="B58" s="543"/>
      <c r="C58" s="60" t="s">
        <v>112</v>
      </c>
      <c r="D58" s="61" t="s">
        <v>113</v>
      </c>
      <c r="E58" s="61" t="s">
        <v>112</v>
      </c>
      <c r="F58" s="61" t="s">
        <v>113</v>
      </c>
      <c r="G58" s="61" t="s">
        <v>114</v>
      </c>
      <c r="H58" s="61" t="s">
        <v>115</v>
      </c>
      <c r="I58" s="61" t="s">
        <v>116</v>
      </c>
    </row>
    <row r="59" spans="1:9" x14ac:dyDescent="0.25">
      <c r="B59" s="62" t="s">
        <v>135</v>
      </c>
      <c r="C59" s="27" t="e">
        <f>#REF!</f>
        <v>#REF!</v>
      </c>
      <c r="D59" s="27" t="e">
        <f>#REF!</f>
        <v>#REF!</v>
      </c>
      <c r="E59" s="63" t="str">
        <f>IFERROR(C59/C$62,"")</f>
        <v/>
      </c>
      <c r="F59" s="63" t="str">
        <f t="shared" ref="F59:F62" si="19">IFERROR(D59/D$62,"")</f>
        <v/>
      </c>
      <c r="G59" s="64" t="e">
        <f>D59-C59</f>
        <v>#REF!</v>
      </c>
      <c r="H59" s="65" t="str">
        <f t="shared" ref="H59:H61" si="20">IFERROR(F59-E59,"")</f>
        <v/>
      </c>
      <c r="I59" s="66" t="str">
        <f t="shared" ref="I59:I62" si="21">IFERROR(G59/G$62,"")</f>
        <v/>
      </c>
    </row>
    <row r="60" spans="1:9" x14ac:dyDescent="0.25">
      <c r="B60" s="67" t="s">
        <v>136</v>
      </c>
      <c r="C60" s="32" t="e">
        <f>#REF!</f>
        <v>#REF!</v>
      </c>
      <c r="D60" s="32" t="e">
        <f>#REF!</f>
        <v>#REF!</v>
      </c>
      <c r="E60" s="68" t="str">
        <f t="shared" ref="E60:E62" si="22">IFERROR(C60/C$62,"")</f>
        <v/>
      </c>
      <c r="F60" s="68" t="str">
        <f t="shared" si="19"/>
        <v/>
      </c>
      <c r="G60" s="69" t="e">
        <f t="shared" ref="G60:G61" si="23">D60-C60</f>
        <v>#REF!</v>
      </c>
      <c r="H60" s="44" t="str">
        <f t="shared" si="20"/>
        <v/>
      </c>
      <c r="I60" s="45" t="str">
        <f t="shared" si="21"/>
        <v/>
      </c>
    </row>
    <row r="61" spans="1:9" x14ac:dyDescent="0.25">
      <c r="B61" s="67" t="s">
        <v>137</v>
      </c>
      <c r="C61" s="32" t="e">
        <f>#REF!</f>
        <v>#REF!</v>
      </c>
      <c r="D61" s="32" t="e">
        <f>#REF!</f>
        <v>#REF!</v>
      </c>
      <c r="E61" s="68" t="str">
        <f t="shared" si="22"/>
        <v/>
      </c>
      <c r="F61" s="68" t="str">
        <f t="shared" si="19"/>
        <v/>
      </c>
      <c r="G61" s="69" t="e">
        <f t="shared" si="23"/>
        <v>#REF!</v>
      </c>
      <c r="H61" s="44" t="str">
        <f t="shared" si="20"/>
        <v/>
      </c>
      <c r="I61" s="45" t="str">
        <f t="shared" si="21"/>
        <v/>
      </c>
    </row>
    <row r="62" spans="1:9" x14ac:dyDescent="0.25">
      <c r="B62" s="70" t="s">
        <v>138</v>
      </c>
      <c r="C62" s="71" t="e">
        <f>SUM(C59:C61)</f>
        <v>#REF!</v>
      </c>
      <c r="D62" s="71" t="e">
        <f>SUM(D59:D61)</f>
        <v>#REF!</v>
      </c>
      <c r="E62" s="72" t="str">
        <f t="shared" si="22"/>
        <v/>
      </c>
      <c r="F62" s="72" t="str">
        <f t="shared" si="19"/>
        <v/>
      </c>
      <c r="G62" s="71" t="e">
        <f>SUM(G59:G61)</f>
        <v>#REF!</v>
      </c>
      <c r="H62" s="73"/>
      <c r="I62" s="74" t="str">
        <f t="shared" si="21"/>
        <v/>
      </c>
    </row>
    <row r="63" spans="1:9" x14ac:dyDescent="0.25">
      <c r="B63" s="67" t="s">
        <v>139</v>
      </c>
      <c r="C63" s="89" t="e">
        <f>#REF!/#REF!</f>
        <v>#REF!</v>
      </c>
      <c r="D63" s="89" t="e">
        <f>#REF!/#REF!</f>
        <v>#REF!</v>
      </c>
      <c r="E63" s="79"/>
      <c r="F63" s="80"/>
      <c r="G63" s="81"/>
      <c r="H63" s="82"/>
      <c r="I63" s="83"/>
    </row>
    <row r="64" spans="1:9" ht="30" x14ac:dyDescent="0.25">
      <c r="B64" s="67" t="s">
        <v>140</v>
      </c>
      <c r="C64" s="89" t="e">
        <f>(#REF!+#REF!)/#REF!</f>
        <v>#REF!</v>
      </c>
      <c r="D64" s="89" t="e">
        <f>(#REF!+#REF!)/#REF!</f>
        <v>#REF!</v>
      </c>
      <c r="E64" s="84"/>
      <c r="F64" s="85"/>
      <c r="G64" s="86"/>
      <c r="H64" s="87"/>
      <c r="I64" s="88"/>
    </row>
    <row r="65" spans="1:9" ht="45" x14ac:dyDescent="0.25">
      <c r="B65" s="75" t="s">
        <v>141</v>
      </c>
      <c r="C65" s="76" t="e">
        <f>C61/(C59+C60)</f>
        <v>#REF!</v>
      </c>
      <c r="D65" s="76" t="e">
        <f>D61/(D59+D60)</f>
        <v>#REF!</v>
      </c>
      <c r="E65" s="116"/>
      <c r="F65" s="117"/>
      <c r="G65" s="118"/>
      <c r="H65" s="119"/>
      <c r="I65" s="120"/>
    </row>
    <row r="67" spans="1:9" s="59" customFormat="1" ht="15.75" x14ac:dyDescent="0.25">
      <c r="A67" s="59" t="s">
        <v>142</v>
      </c>
    </row>
    <row r="68" spans="1:9" ht="30" customHeight="1" x14ac:dyDescent="0.25">
      <c r="B68" s="542" t="s">
        <v>109</v>
      </c>
      <c r="C68" s="544" t="e">
        <f>"Абсолютное изменение, "&amp;#REF!</f>
        <v>#REF!</v>
      </c>
      <c r="D68" s="545"/>
      <c r="E68" s="544" t="s">
        <v>110</v>
      </c>
      <c r="F68" s="545"/>
      <c r="G68" s="544" t="s">
        <v>111</v>
      </c>
      <c r="H68" s="546"/>
      <c r="I68" s="545"/>
    </row>
    <row r="69" spans="1:9" ht="48" x14ac:dyDescent="0.25">
      <c r="B69" s="543"/>
      <c r="C69" s="60" t="s">
        <v>112</v>
      </c>
      <c r="D69" s="61" t="s">
        <v>113</v>
      </c>
      <c r="E69" s="61" t="s">
        <v>112</v>
      </c>
      <c r="F69" s="61" t="s">
        <v>113</v>
      </c>
      <c r="G69" s="61" t="s">
        <v>114</v>
      </c>
      <c r="H69" s="61" t="s">
        <v>115</v>
      </c>
      <c r="I69" s="61" t="s">
        <v>116</v>
      </c>
    </row>
    <row r="70" spans="1:9" x14ac:dyDescent="0.25">
      <c r="B70" s="62" t="s">
        <v>143</v>
      </c>
      <c r="C70" s="27" t="e">
        <f>#REF!</f>
        <v>#REF!</v>
      </c>
      <c r="D70" s="27" t="e">
        <f>#REF!</f>
        <v>#REF!</v>
      </c>
      <c r="E70" s="63" t="str">
        <f>IFERROR(C70/C$75,"")</f>
        <v/>
      </c>
      <c r="F70" s="63" t="str">
        <f t="shared" ref="F70:F75" si="24">IFERROR(D70/D$75,"")</f>
        <v/>
      </c>
      <c r="G70" s="64" t="e">
        <f>D70-C70</f>
        <v>#REF!</v>
      </c>
      <c r="H70" s="65" t="e">
        <f>F70-E70</f>
        <v>#VALUE!</v>
      </c>
      <c r="I70" s="66" t="str">
        <f t="shared" ref="I70:I75" si="25">IFERROR(G70/G$75,"")</f>
        <v/>
      </c>
    </row>
    <row r="71" spans="1:9" x14ac:dyDescent="0.25">
      <c r="B71" s="67" t="s">
        <v>144</v>
      </c>
      <c r="C71" s="32" t="e">
        <f>#REF!-C70</f>
        <v>#REF!</v>
      </c>
      <c r="D71" s="32" t="e">
        <f>#REF!-D70</f>
        <v>#REF!</v>
      </c>
      <c r="E71" s="68" t="str">
        <f t="shared" ref="E71:E75" si="26">IFERROR(C71/C$75,"")</f>
        <v/>
      </c>
      <c r="F71" s="68" t="str">
        <f t="shared" si="24"/>
        <v/>
      </c>
      <c r="G71" s="69" t="e">
        <f t="shared" ref="G71:G74" si="27">D71-C71</f>
        <v>#REF!</v>
      </c>
      <c r="H71" s="44" t="e">
        <f t="shared" ref="H71:H74" si="28">F71-E71</f>
        <v>#VALUE!</v>
      </c>
      <c r="I71" s="45" t="str">
        <f t="shared" si="25"/>
        <v/>
      </c>
    </row>
    <row r="72" spans="1:9" x14ac:dyDescent="0.25">
      <c r="B72" s="67" t="s">
        <v>145</v>
      </c>
      <c r="C72" s="32" t="e">
        <f>#REF!</f>
        <v>#REF!</v>
      </c>
      <c r="D72" s="32" t="e">
        <f>#REF!</f>
        <v>#REF!</v>
      </c>
      <c r="E72" s="68" t="str">
        <f t="shared" si="26"/>
        <v/>
      </c>
      <c r="F72" s="68" t="str">
        <f t="shared" si="24"/>
        <v/>
      </c>
      <c r="G72" s="69" t="e">
        <f t="shared" si="27"/>
        <v>#REF!</v>
      </c>
      <c r="H72" s="44" t="e">
        <f t="shared" si="28"/>
        <v>#VALUE!</v>
      </c>
      <c r="I72" s="45" t="str">
        <f t="shared" si="25"/>
        <v/>
      </c>
    </row>
    <row r="73" spans="1:9" ht="30" x14ac:dyDescent="0.25">
      <c r="B73" s="67" t="s">
        <v>146</v>
      </c>
      <c r="C73" s="32" t="e">
        <f>#REF!</f>
        <v>#REF!</v>
      </c>
      <c r="D73" s="32" t="e">
        <f>#REF!</f>
        <v>#REF!</v>
      </c>
      <c r="E73" s="68" t="str">
        <f t="shared" si="26"/>
        <v/>
      </c>
      <c r="F73" s="68" t="str">
        <f t="shared" si="24"/>
        <v/>
      </c>
      <c r="G73" s="69" t="e">
        <f t="shared" si="27"/>
        <v>#REF!</v>
      </c>
      <c r="H73" s="44" t="e">
        <f t="shared" si="28"/>
        <v>#VALUE!</v>
      </c>
      <c r="I73" s="45" t="str">
        <f t="shared" si="25"/>
        <v/>
      </c>
    </row>
    <row r="74" spans="1:9" x14ac:dyDescent="0.25">
      <c r="B74" s="67" t="s">
        <v>147</v>
      </c>
      <c r="C74" s="32" t="e">
        <f>SUM(#REF!)</f>
        <v>#REF!</v>
      </c>
      <c r="D74" s="32" t="e">
        <f>SUM(#REF!)</f>
        <v>#REF!</v>
      </c>
      <c r="E74" s="68" t="str">
        <f t="shared" si="26"/>
        <v/>
      </c>
      <c r="F74" s="68" t="str">
        <f t="shared" si="24"/>
        <v/>
      </c>
      <c r="G74" s="69" t="e">
        <f t="shared" si="27"/>
        <v>#REF!</v>
      </c>
      <c r="H74" s="44" t="e">
        <f t="shared" si="28"/>
        <v>#VALUE!</v>
      </c>
      <c r="I74" s="45" t="str">
        <f t="shared" si="25"/>
        <v/>
      </c>
    </row>
    <row r="75" spans="1:9" x14ac:dyDescent="0.25">
      <c r="B75" s="70" t="s">
        <v>123</v>
      </c>
      <c r="C75" s="71" t="e">
        <f>SUM(C70:C74)</f>
        <v>#REF!</v>
      </c>
      <c r="D75" s="71" t="e">
        <f>SUM(D70:D74)</f>
        <v>#REF!</v>
      </c>
      <c r="E75" s="72" t="str">
        <f t="shared" si="26"/>
        <v/>
      </c>
      <c r="F75" s="72" t="str">
        <f t="shared" si="24"/>
        <v/>
      </c>
      <c r="G75" s="71" t="e">
        <f>SUM(G70:G74)</f>
        <v>#REF!</v>
      </c>
      <c r="H75" s="73"/>
      <c r="I75" s="74" t="str">
        <f t="shared" si="25"/>
        <v/>
      </c>
    </row>
  </sheetData>
  <mergeCells count="27">
    <mergeCell ref="B68:B69"/>
    <mergeCell ref="C68:D68"/>
    <mergeCell ref="E68:F68"/>
    <mergeCell ref="G68:I68"/>
    <mergeCell ref="B33:B34"/>
    <mergeCell ref="C33:D33"/>
    <mergeCell ref="E33:F33"/>
    <mergeCell ref="G33:I33"/>
    <mergeCell ref="B43:B44"/>
    <mergeCell ref="C43:D43"/>
    <mergeCell ref="E43:F43"/>
    <mergeCell ref="G43:I43"/>
    <mergeCell ref="B10:I10"/>
    <mergeCell ref="B11:I11"/>
    <mergeCell ref="B12:I12"/>
    <mergeCell ref="B57:B58"/>
    <mergeCell ref="C57:D57"/>
    <mergeCell ref="E57:F57"/>
    <mergeCell ref="G57:I57"/>
    <mergeCell ref="B15:B16"/>
    <mergeCell ref="C15:D15"/>
    <mergeCell ref="E15:F15"/>
    <mergeCell ref="G15:I15"/>
    <mergeCell ref="B24:B25"/>
    <mergeCell ref="C24:D24"/>
    <mergeCell ref="E24:F24"/>
    <mergeCell ref="G24:I24"/>
  </mergeCells>
  <printOptions horizontalCentered="1"/>
  <pageMargins left="0.19685039370078741" right="0.19685039370078741" top="0.78740157480314965" bottom="0.39370078740157483" header="0.31496062992125984" footer="0.31496062992125984"/>
  <pageSetup paperSize="9" orientation="landscape" r:id="rId1"/>
  <rowBreaks count="3" manualBreakCount="3">
    <brk id="22" max="16383" man="1"/>
    <brk id="41" max="16383" man="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topLeftCell="A73" zoomScaleNormal="100" workbookViewId="0">
      <selection activeCell="S36" sqref="S36"/>
    </sheetView>
  </sheetViews>
  <sheetFormatPr defaultRowHeight="15" x14ac:dyDescent="0.25"/>
  <cols>
    <col min="1" max="16384" width="9.140625" style="1"/>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H59"/>
  <sheetViews>
    <sheetView topLeftCell="A46" zoomScaleNormal="100" zoomScaleSheetLayoutView="100" workbookViewId="0">
      <selection activeCell="E67" sqref="E67"/>
    </sheetView>
  </sheetViews>
  <sheetFormatPr defaultRowHeight="15" x14ac:dyDescent="0.25"/>
  <cols>
    <col min="1" max="1" width="1.7109375" style="1" customWidth="1"/>
    <col min="2" max="2" width="4.7109375" style="1" customWidth="1"/>
    <col min="3" max="3" width="50.42578125" style="1" customWidth="1"/>
    <col min="4" max="4" width="9.140625" style="1"/>
    <col min="5" max="7" width="12.7109375" style="1" customWidth="1"/>
    <col min="8" max="8" width="10.7109375" style="1" customWidth="1"/>
    <col min="9" max="9" width="1.7109375" style="1" customWidth="1"/>
    <col min="10" max="16384" width="9.140625" style="1"/>
  </cols>
  <sheetData>
    <row r="1" spans="1:8" s="3" customFormat="1" ht="18.75" x14ac:dyDescent="0.3">
      <c r="A1" s="3" t="s">
        <v>657</v>
      </c>
    </row>
    <row r="3" spans="1:8" ht="45" x14ac:dyDescent="0.25">
      <c r="B3" s="262" t="s">
        <v>170</v>
      </c>
      <c r="C3" s="264" t="s">
        <v>92</v>
      </c>
      <c r="D3" s="264" t="s">
        <v>171</v>
      </c>
      <c r="E3" s="90" t="e">
        <f>"Отченый период, "&amp;#REF!</f>
        <v>#REF!</v>
      </c>
      <c r="F3" s="90" t="e">
        <f>"Базисный период, "&amp;#REF!</f>
        <v>#REF!</v>
      </c>
      <c r="G3" s="263" t="s">
        <v>173</v>
      </c>
      <c r="H3" s="192" t="s">
        <v>174</v>
      </c>
    </row>
    <row r="4" spans="1:8" ht="15.75" x14ac:dyDescent="0.25">
      <c r="B4" s="147" t="s">
        <v>610</v>
      </c>
      <c r="C4" s="148"/>
      <c r="D4" s="148"/>
      <c r="E4" s="148"/>
      <c r="F4" s="148"/>
      <c r="G4" s="148"/>
      <c r="H4" s="149"/>
    </row>
    <row r="5" spans="1:8" x14ac:dyDescent="0.25">
      <c r="B5" s="15" t="s">
        <v>3</v>
      </c>
      <c r="C5" s="128" t="s">
        <v>545</v>
      </c>
      <c r="D5" s="129" t="e">
        <f>#REF!</f>
        <v>#REF!</v>
      </c>
      <c r="E5" s="130" t="e">
        <f>#REF!</f>
        <v>#REF!</v>
      </c>
      <c r="F5" s="130" t="e">
        <f>#REF!</f>
        <v>#REF!</v>
      </c>
      <c r="G5" s="131" t="e">
        <f>E5-F5</f>
        <v>#REF!</v>
      </c>
      <c r="H5" s="133" t="str">
        <f>IFERROR(E5/F5,"")</f>
        <v/>
      </c>
    </row>
    <row r="6" spans="1:8" x14ac:dyDescent="0.25">
      <c r="B6" s="15" t="s">
        <v>4</v>
      </c>
      <c r="C6" s="128" t="s">
        <v>611</v>
      </c>
      <c r="D6" s="129" t="e">
        <f>#REF!</f>
        <v>#REF!</v>
      </c>
      <c r="E6" s="130" t="e">
        <f>#REF!</f>
        <v>#REF!</v>
      </c>
      <c r="F6" s="130" t="e">
        <f>#REF!</f>
        <v>#REF!</v>
      </c>
      <c r="G6" s="131" t="e">
        <f t="shared" ref="G6:G17" si="0">E6-F6</f>
        <v>#REF!</v>
      </c>
      <c r="H6" s="133" t="str">
        <f t="shared" ref="H6:H17" si="1">IFERROR(E6/F6,"")</f>
        <v/>
      </c>
    </row>
    <row r="7" spans="1:8" x14ac:dyDescent="0.25">
      <c r="B7" s="15" t="s">
        <v>5</v>
      </c>
      <c r="C7" s="128" t="s">
        <v>612</v>
      </c>
      <c r="D7" s="129" t="e">
        <f>#REF!</f>
        <v>#REF!</v>
      </c>
      <c r="E7" s="130" t="e">
        <f>#REF!</f>
        <v>#REF!</v>
      </c>
      <c r="F7" s="130" t="e">
        <f>#REF!</f>
        <v>#REF!</v>
      </c>
      <c r="G7" s="131" t="e">
        <f t="shared" si="0"/>
        <v>#REF!</v>
      </c>
      <c r="H7" s="133" t="str">
        <f t="shared" si="1"/>
        <v/>
      </c>
    </row>
    <row r="8" spans="1:8" x14ac:dyDescent="0.25">
      <c r="B8" s="15" t="s">
        <v>6</v>
      </c>
      <c r="C8" s="128" t="s">
        <v>613</v>
      </c>
      <c r="D8" s="129" t="e">
        <f>#REF!</f>
        <v>#REF!</v>
      </c>
      <c r="E8" s="130" t="e">
        <f>Пояснения!D52</f>
        <v>#REF!</v>
      </c>
      <c r="F8" s="130" t="e">
        <f>Пояснения!E52</f>
        <v>#REF!</v>
      </c>
      <c r="G8" s="131" t="e">
        <f t="shared" si="0"/>
        <v>#REF!</v>
      </c>
      <c r="H8" s="133" t="str">
        <f t="shared" si="1"/>
        <v/>
      </c>
    </row>
    <row r="9" spans="1:8" x14ac:dyDescent="0.25">
      <c r="B9" s="15" t="s">
        <v>189</v>
      </c>
      <c r="C9" s="128" t="s">
        <v>614</v>
      </c>
      <c r="D9" s="129" t="e">
        <f>#REF!</f>
        <v>#REF!</v>
      </c>
      <c r="E9" s="130" t="e">
        <f>Пояснения!D61</f>
        <v>#REF!</v>
      </c>
      <c r="F9" s="130" t="e">
        <f>Пояснения!E61</f>
        <v>#REF!</v>
      </c>
      <c r="G9" s="131" t="e">
        <f t="shared" si="0"/>
        <v>#REF!</v>
      </c>
      <c r="H9" s="133" t="str">
        <f t="shared" si="1"/>
        <v/>
      </c>
    </row>
    <row r="10" spans="1:8" x14ac:dyDescent="0.25">
      <c r="B10" s="15" t="s">
        <v>312</v>
      </c>
      <c r="C10" s="128" t="s">
        <v>615</v>
      </c>
      <c r="D10" s="129" t="s">
        <v>185</v>
      </c>
      <c r="E10" s="132" t="e">
        <f>E5/E7</f>
        <v>#REF!</v>
      </c>
      <c r="F10" s="132" t="e">
        <f>F5/F7</f>
        <v>#REF!</v>
      </c>
      <c r="G10" s="132" t="e">
        <f t="shared" si="0"/>
        <v>#REF!</v>
      </c>
      <c r="H10" s="133" t="str">
        <f t="shared" si="1"/>
        <v/>
      </c>
    </row>
    <row r="11" spans="1:8" x14ac:dyDescent="0.25">
      <c r="B11" s="15" t="s">
        <v>313</v>
      </c>
      <c r="C11" s="128" t="s">
        <v>616</v>
      </c>
      <c r="D11" s="129" t="s">
        <v>185</v>
      </c>
      <c r="E11" s="132" t="e">
        <f>E6/E7</f>
        <v>#REF!</v>
      </c>
      <c r="F11" s="132" t="e">
        <f>F6/F7</f>
        <v>#REF!</v>
      </c>
      <c r="G11" s="132" t="e">
        <f t="shared" si="0"/>
        <v>#REF!</v>
      </c>
      <c r="H11" s="133" t="str">
        <f t="shared" si="1"/>
        <v/>
      </c>
    </row>
    <row r="12" spans="1:8" x14ac:dyDescent="0.25">
      <c r="B12" s="15" t="s">
        <v>314</v>
      </c>
      <c r="C12" s="128" t="s">
        <v>617</v>
      </c>
      <c r="D12" s="129"/>
      <c r="E12" s="392"/>
      <c r="F12" s="392"/>
      <c r="G12" s="392"/>
      <c r="H12" s="393"/>
    </row>
    <row r="13" spans="1:8" x14ac:dyDescent="0.25">
      <c r="B13" s="15"/>
      <c r="C13" s="389" t="s">
        <v>618</v>
      </c>
      <c r="D13" s="129" t="s">
        <v>185</v>
      </c>
      <c r="E13" s="132" t="e">
        <f>E6/E8</f>
        <v>#REF!</v>
      </c>
      <c r="F13" s="132" t="e">
        <f>F6/F8</f>
        <v>#REF!</v>
      </c>
      <c r="G13" s="402" t="e">
        <f t="shared" si="0"/>
        <v>#REF!</v>
      </c>
      <c r="H13" s="133" t="str">
        <f t="shared" si="1"/>
        <v/>
      </c>
    </row>
    <row r="14" spans="1:8" x14ac:dyDescent="0.25">
      <c r="B14" s="15"/>
      <c r="C14" s="389" t="s">
        <v>619</v>
      </c>
      <c r="D14" s="129" t="s">
        <v>185</v>
      </c>
      <c r="E14" s="132" t="e">
        <f>E5/E9</f>
        <v>#REF!</v>
      </c>
      <c r="F14" s="132" t="e">
        <f>F5/F9</f>
        <v>#REF!</v>
      </c>
      <c r="G14" s="402" t="e">
        <f t="shared" si="0"/>
        <v>#REF!</v>
      </c>
      <c r="H14" s="133" t="str">
        <f t="shared" si="1"/>
        <v/>
      </c>
    </row>
    <row r="15" spans="1:8" x14ac:dyDescent="0.25">
      <c r="B15" s="15" t="s">
        <v>315</v>
      </c>
      <c r="C15" s="128" t="s">
        <v>620</v>
      </c>
      <c r="D15" s="129"/>
      <c r="E15" s="392"/>
      <c r="F15" s="392"/>
      <c r="G15" s="392"/>
      <c r="H15" s="393"/>
    </row>
    <row r="16" spans="1:8" x14ac:dyDescent="0.25">
      <c r="B16" s="15"/>
      <c r="C16" s="389" t="s">
        <v>618</v>
      </c>
      <c r="D16" s="129"/>
      <c r="E16" s="140" t="e">
        <f>E7/E8</f>
        <v>#REF!</v>
      </c>
      <c r="F16" s="140" t="e">
        <f>F7/F8</f>
        <v>#REF!</v>
      </c>
      <c r="G16" s="140" t="e">
        <f t="shared" si="0"/>
        <v>#REF!</v>
      </c>
      <c r="H16" s="133" t="str">
        <f t="shared" si="1"/>
        <v/>
      </c>
    </row>
    <row r="17" spans="2:8" x14ac:dyDescent="0.25">
      <c r="B17" s="15"/>
      <c r="C17" s="389" t="s">
        <v>619</v>
      </c>
      <c r="D17" s="129"/>
      <c r="E17" s="140" t="e">
        <f>E7/E9</f>
        <v>#REF!</v>
      </c>
      <c r="F17" s="140" t="e">
        <f>F7/F9</f>
        <v>#REF!</v>
      </c>
      <c r="G17" s="140" t="e">
        <f t="shared" si="0"/>
        <v>#REF!</v>
      </c>
      <c r="H17" s="133" t="str">
        <f t="shared" si="1"/>
        <v/>
      </c>
    </row>
    <row r="18" spans="2:8" x14ac:dyDescent="0.25">
      <c r="B18" s="15" t="s">
        <v>316</v>
      </c>
      <c r="C18" s="128" t="s">
        <v>621</v>
      </c>
      <c r="D18" s="129" t="s">
        <v>185</v>
      </c>
      <c r="E18" s="402" t="e">
        <f>E19+E20</f>
        <v>#REF!</v>
      </c>
      <c r="F18" s="395"/>
      <c r="G18" s="396"/>
      <c r="H18" s="362"/>
    </row>
    <row r="19" spans="2:8" x14ac:dyDescent="0.25">
      <c r="B19" s="15"/>
      <c r="C19" s="389" t="s">
        <v>622</v>
      </c>
      <c r="D19" s="129"/>
      <c r="E19" s="403" t="e">
        <f>(E16-F16)*F11</f>
        <v>#REF!</v>
      </c>
      <c r="F19" s="397"/>
      <c r="G19" s="398"/>
      <c r="H19" s="364"/>
    </row>
    <row r="20" spans="2:8" x14ac:dyDescent="0.25">
      <c r="B20" s="15"/>
      <c r="C20" s="389" t="s">
        <v>623</v>
      </c>
      <c r="D20" s="129"/>
      <c r="E20" s="403" t="e">
        <f>(E11-F11)*E16</f>
        <v>#REF!</v>
      </c>
      <c r="F20" s="400"/>
      <c r="G20" s="371"/>
      <c r="H20" s="364"/>
    </row>
    <row r="21" spans="2:8" ht="30" x14ac:dyDescent="0.25">
      <c r="B21" s="15" t="s">
        <v>317</v>
      </c>
      <c r="C21" s="128" t="s">
        <v>624</v>
      </c>
      <c r="D21" s="129" t="s">
        <v>185</v>
      </c>
      <c r="E21" s="402" t="e">
        <f>E22+E23</f>
        <v>#REF!</v>
      </c>
      <c r="F21" s="401"/>
      <c r="G21" s="372"/>
      <c r="H21" s="364"/>
    </row>
    <row r="22" spans="2:8" x14ac:dyDescent="0.25">
      <c r="B22" s="15"/>
      <c r="C22" s="389" t="s">
        <v>622</v>
      </c>
      <c r="D22" s="129"/>
      <c r="E22" s="403" t="e">
        <f>(E17-F17)*F10</f>
        <v>#REF!</v>
      </c>
      <c r="F22" s="363"/>
      <c r="G22" s="371"/>
      <c r="H22" s="364"/>
    </row>
    <row r="23" spans="2:8" x14ac:dyDescent="0.25">
      <c r="B23" s="141"/>
      <c r="C23" s="391" t="s">
        <v>625</v>
      </c>
      <c r="D23" s="143"/>
      <c r="E23" s="404" t="e">
        <f>(E10-F10)*E17</f>
        <v>#REF!</v>
      </c>
      <c r="F23" s="365"/>
      <c r="G23" s="399"/>
      <c r="H23" s="366"/>
    </row>
    <row r="24" spans="2:8" ht="15.75" x14ac:dyDescent="0.25">
      <c r="B24" s="147" t="s">
        <v>629</v>
      </c>
      <c r="C24" s="148"/>
      <c r="D24" s="148"/>
      <c r="E24" s="148"/>
      <c r="F24" s="148"/>
      <c r="G24" s="148"/>
      <c r="H24" s="149"/>
    </row>
    <row r="25" spans="2:8" x14ac:dyDescent="0.25">
      <c r="B25" s="15" t="s">
        <v>7</v>
      </c>
      <c r="C25" s="128" t="s">
        <v>612</v>
      </c>
      <c r="D25" s="129" t="e">
        <f>#REF!</f>
        <v>#REF!</v>
      </c>
      <c r="E25" s="130" t="e">
        <f>E7</f>
        <v>#REF!</v>
      </c>
      <c r="F25" s="130" t="e">
        <f>F7</f>
        <v>#REF!</v>
      </c>
      <c r="G25" s="131" t="e">
        <f t="shared" ref="G25:G33" si="2">E25-F25</f>
        <v>#REF!</v>
      </c>
      <c r="H25" s="133" t="str">
        <f t="shared" ref="H25:H33" si="3">IFERROR(E25/F25,"")</f>
        <v/>
      </c>
    </row>
    <row r="26" spans="2:8" x14ac:dyDescent="0.25">
      <c r="B26" s="15" t="s">
        <v>8</v>
      </c>
      <c r="C26" s="128" t="s">
        <v>613</v>
      </c>
      <c r="D26" s="129" t="e">
        <f>#REF!</f>
        <v>#REF!</v>
      </c>
      <c r="E26" s="130" t="e">
        <f>E8</f>
        <v>#REF!</v>
      </c>
      <c r="F26" s="130" t="e">
        <f>F8</f>
        <v>#REF!</v>
      </c>
      <c r="G26" s="131" t="e">
        <f t="shared" si="2"/>
        <v>#REF!</v>
      </c>
      <c r="H26" s="133" t="str">
        <f t="shared" si="3"/>
        <v/>
      </c>
    </row>
    <row r="27" spans="2:8" x14ac:dyDescent="0.25">
      <c r="B27" s="15" t="s">
        <v>9</v>
      </c>
      <c r="C27" s="128" t="s">
        <v>635</v>
      </c>
      <c r="D27" s="129" t="e">
        <f>#REF!</f>
        <v>#REF!</v>
      </c>
      <c r="E27" s="130" t="e">
        <f>Пояснения!D57</f>
        <v>#REF!</v>
      </c>
      <c r="F27" s="130" t="e">
        <f>Пояснения!E57</f>
        <v>#REF!</v>
      </c>
      <c r="G27" s="131" t="e">
        <f t="shared" si="2"/>
        <v>#REF!</v>
      </c>
      <c r="H27" s="133" t="str">
        <f t="shared" si="3"/>
        <v/>
      </c>
    </row>
    <row r="28" spans="2:8" x14ac:dyDescent="0.25">
      <c r="B28" s="15" t="s">
        <v>10</v>
      </c>
      <c r="C28" s="128" t="s">
        <v>636</v>
      </c>
      <c r="D28" s="129" t="s">
        <v>185</v>
      </c>
      <c r="E28" s="132" t="e">
        <f>E27/E26</f>
        <v>#REF!</v>
      </c>
      <c r="F28" s="132" t="e">
        <f>F27/F26</f>
        <v>#REF!</v>
      </c>
      <c r="G28" s="132" t="e">
        <f t="shared" si="2"/>
        <v>#REF!</v>
      </c>
      <c r="H28" s="133" t="str">
        <f t="shared" si="3"/>
        <v/>
      </c>
    </row>
    <row r="29" spans="2:8" x14ac:dyDescent="0.25">
      <c r="B29" s="15" t="s">
        <v>11</v>
      </c>
      <c r="C29" s="128" t="s">
        <v>620</v>
      </c>
      <c r="D29" s="129"/>
      <c r="E29" s="392"/>
      <c r="F29" s="392"/>
      <c r="G29" s="392"/>
      <c r="H29" s="393"/>
    </row>
    <row r="30" spans="2:8" x14ac:dyDescent="0.25">
      <c r="B30" s="15"/>
      <c r="C30" s="389" t="s">
        <v>618</v>
      </c>
      <c r="D30" s="129"/>
      <c r="E30" s="140" t="e">
        <f>E25/E26</f>
        <v>#REF!</v>
      </c>
      <c r="F30" s="140" t="e">
        <f>F25/F26</f>
        <v>#REF!</v>
      </c>
      <c r="G30" s="406" t="e">
        <f t="shared" ref="G30" si="4">E30-F30</f>
        <v>#REF!</v>
      </c>
      <c r="H30" s="133" t="str">
        <f t="shared" ref="H30" si="5">IFERROR(E30/F30,"")</f>
        <v/>
      </c>
    </row>
    <row r="31" spans="2:8" x14ac:dyDescent="0.25">
      <c r="B31" s="15"/>
      <c r="C31" s="389" t="s">
        <v>637</v>
      </c>
      <c r="D31" s="129"/>
      <c r="E31" s="140" t="e">
        <f>E25/E27</f>
        <v>#REF!</v>
      </c>
      <c r="F31" s="140" t="e">
        <f>F25/F27</f>
        <v>#REF!</v>
      </c>
      <c r="G31" s="140" t="e">
        <f t="shared" si="2"/>
        <v>#REF!</v>
      </c>
      <c r="H31" s="133" t="str">
        <f t="shared" si="3"/>
        <v/>
      </c>
    </row>
    <row r="32" spans="2:8" x14ac:dyDescent="0.25">
      <c r="B32" s="15" t="s">
        <v>195</v>
      </c>
      <c r="C32" s="128" t="s">
        <v>638</v>
      </c>
      <c r="D32" s="129"/>
      <c r="E32" s="392"/>
      <c r="F32" s="392"/>
      <c r="G32" s="392"/>
      <c r="H32" s="393"/>
    </row>
    <row r="33" spans="2:8" x14ac:dyDescent="0.25">
      <c r="B33" s="15"/>
      <c r="C33" s="389" t="s">
        <v>618</v>
      </c>
      <c r="D33" s="129"/>
      <c r="E33" s="131" t="e">
        <f>360/E30</f>
        <v>#REF!</v>
      </c>
      <c r="F33" s="131" t="e">
        <f>360/F30</f>
        <v>#REF!</v>
      </c>
      <c r="G33" s="408" t="e">
        <f t="shared" si="2"/>
        <v>#REF!</v>
      </c>
      <c r="H33" s="133" t="str">
        <f t="shared" si="3"/>
        <v/>
      </c>
    </row>
    <row r="34" spans="2:8" x14ac:dyDescent="0.25">
      <c r="B34" s="15"/>
      <c r="C34" s="389" t="s">
        <v>637</v>
      </c>
      <c r="D34" s="129"/>
      <c r="E34" s="131" t="e">
        <f>360/E31</f>
        <v>#REF!</v>
      </c>
      <c r="F34" s="131" t="e">
        <f>360/F31</f>
        <v>#REF!</v>
      </c>
      <c r="G34" s="131" t="e">
        <f t="shared" ref="G34" si="6">E34-F34</f>
        <v>#REF!</v>
      </c>
      <c r="H34" s="133" t="str">
        <f t="shared" ref="H34" si="7">IFERROR(E34/F34,"")</f>
        <v/>
      </c>
    </row>
    <row r="35" spans="2:8" ht="30" x14ac:dyDescent="0.25">
      <c r="B35" s="15" t="s">
        <v>633</v>
      </c>
      <c r="C35" s="128" t="s">
        <v>639</v>
      </c>
      <c r="D35" s="129"/>
      <c r="E35" s="405" t="e">
        <f>E36+E37</f>
        <v>#REF!</v>
      </c>
      <c r="F35" s="395"/>
      <c r="G35" s="396"/>
      <c r="H35" s="362"/>
    </row>
    <row r="36" spans="2:8" x14ac:dyDescent="0.25">
      <c r="B36" s="15"/>
      <c r="C36" s="389" t="s">
        <v>630</v>
      </c>
      <c r="D36" s="129"/>
      <c r="E36" s="140" t="e">
        <f>(E28*F31)-(F28*F31)</f>
        <v>#REF!</v>
      </c>
      <c r="F36" s="401"/>
      <c r="G36" s="372"/>
      <c r="H36" s="364"/>
    </row>
    <row r="37" spans="2:8" x14ac:dyDescent="0.25">
      <c r="B37" s="15"/>
      <c r="C37" s="389" t="s">
        <v>631</v>
      </c>
      <c r="D37" s="129"/>
      <c r="E37" s="140" t="e">
        <f>(E28*E31)-(E28*F31)</f>
        <v>#REF!</v>
      </c>
      <c r="F37" s="401"/>
      <c r="G37" s="372"/>
      <c r="H37" s="364"/>
    </row>
    <row r="38" spans="2:8" ht="30" x14ac:dyDescent="0.25">
      <c r="B38" s="15" t="s">
        <v>634</v>
      </c>
      <c r="C38" s="128" t="s">
        <v>640</v>
      </c>
      <c r="D38" s="129"/>
      <c r="E38" s="407" t="e">
        <f>E39+E40</f>
        <v>#REF!</v>
      </c>
      <c r="F38" s="401"/>
      <c r="G38" s="372"/>
      <c r="H38" s="364"/>
    </row>
    <row r="39" spans="2:8" x14ac:dyDescent="0.25">
      <c r="B39" s="15"/>
      <c r="C39" s="389" t="s">
        <v>630</v>
      </c>
      <c r="D39" s="129"/>
      <c r="E39" s="131" t="e">
        <f>F34/E28-F34/F28</f>
        <v>#REF!</v>
      </c>
      <c r="F39" s="401"/>
      <c r="G39" s="372"/>
      <c r="H39" s="364"/>
    </row>
    <row r="40" spans="2:8" x14ac:dyDescent="0.25">
      <c r="B40" s="15"/>
      <c r="C40" s="389" t="s">
        <v>631</v>
      </c>
      <c r="D40" s="129"/>
      <c r="E40" s="131" t="e">
        <f>E34/E28-F34/E28</f>
        <v>#REF!</v>
      </c>
      <c r="F40" s="401"/>
      <c r="G40" s="372"/>
      <c r="H40" s="364"/>
    </row>
    <row r="41" spans="2:8" x14ac:dyDescent="0.25">
      <c r="B41" s="141" t="s">
        <v>641</v>
      </c>
      <c r="C41" s="142" t="s">
        <v>642</v>
      </c>
      <c r="D41" s="143" t="e">
        <f>#REF!</f>
        <v>#REF!</v>
      </c>
      <c r="E41" s="218" t="e">
        <f>E25/360*(E34-F34)</f>
        <v>#REF!</v>
      </c>
      <c r="F41" s="365"/>
      <c r="G41" s="399"/>
      <c r="H41" s="366"/>
    </row>
    <row r="42" spans="2:8" ht="15.75" x14ac:dyDescent="0.25">
      <c r="B42" s="147" t="s">
        <v>644</v>
      </c>
      <c r="C42" s="220"/>
      <c r="D42" s="221"/>
      <c r="E42" s="222"/>
      <c r="F42" s="222"/>
      <c r="G42" s="222"/>
      <c r="H42" s="224"/>
    </row>
    <row r="43" spans="2:8" x14ac:dyDescent="0.25">
      <c r="B43" s="15" t="s">
        <v>12</v>
      </c>
      <c r="C43" s="128" t="s">
        <v>646</v>
      </c>
      <c r="D43" s="129" t="e">
        <f>#REF!</f>
        <v>#REF!</v>
      </c>
      <c r="E43" s="130" t="e">
        <f>E27</f>
        <v>#REF!</v>
      </c>
      <c r="F43" s="130" t="e">
        <f>F27</f>
        <v>#REF!</v>
      </c>
      <c r="G43" s="131" t="e">
        <f t="shared" ref="G43:G47" si="8">E43-F43</f>
        <v>#REF!</v>
      </c>
      <c r="H43" s="133" t="str">
        <f t="shared" ref="H43:H47" si="9">IFERROR(E43/F43,"")</f>
        <v/>
      </c>
    </row>
    <row r="44" spans="2:8" x14ac:dyDescent="0.25">
      <c r="B44" s="15"/>
      <c r="C44" s="389" t="s">
        <v>647</v>
      </c>
      <c r="D44" s="129"/>
      <c r="E44" s="130" t="e">
        <f>(#REF!+#REF!)/2</f>
        <v>#REF!</v>
      </c>
      <c r="F44" s="130" t="e">
        <f>(#REF!+#REF!)/2</f>
        <v>#REF!</v>
      </c>
      <c r="G44" s="131" t="e">
        <f t="shared" si="8"/>
        <v>#REF!</v>
      </c>
      <c r="H44" s="133" t="str">
        <f t="shared" si="9"/>
        <v/>
      </c>
    </row>
    <row r="45" spans="2:8" x14ac:dyDescent="0.25">
      <c r="B45" s="15"/>
      <c r="C45" s="389" t="s">
        <v>648</v>
      </c>
      <c r="D45" s="129"/>
      <c r="E45" s="130" t="e">
        <f>(#REF!+#REF!)/2</f>
        <v>#REF!</v>
      </c>
      <c r="F45" s="130" t="e">
        <f>(#REF!+#REF!)/2</f>
        <v>#REF!</v>
      </c>
      <c r="G45" s="131" t="e">
        <f t="shared" si="8"/>
        <v>#REF!</v>
      </c>
      <c r="H45" s="133" t="str">
        <f t="shared" si="9"/>
        <v/>
      </c>
    </row>
    <row r="46" spans="2:8" x14ac:dyDescent="0.25">
      <c r="B46" s="15"/>
      <c r="C46" s="389" t="s">
        <v>649</v>
      </c>
      <c r="D46" s="129"/>
      <c r="E46" s="130" t="e">
        <f>(#REF!+#REF!)/2+(#REF!+#REF!)/2</f>
        <v>#REF!</v>
      </c>
      <c r="F46" s="130" t="e">
        <f>(#REF!+#REF!)/2+(#REF!+#REF!)/2</f>
        <v>#REF!</v>
      </c>
      <c r="G46" s="131" t="e">
        <f t="shared" si="8"/>
        <v>#REF!</v>
      </c>
      <c r="H46" s="133" t="str">
        <f t="shared" si="9"/>
        <v/>
      </c>
    </row>
    <row r="47" spans="2:8" x14ac:dyDescent="0.25">
      <c r="B47" s="15" t="s">
        <v>13</v>
      </c>
      <c r="C47" s="128" t="s">
        <v>612</v>
      </c>
      <c r="D47" s="129" t="e">
        <f>#REF!</f>
        <v>#REF!</v>
      </c>
      <c r="E47" s="130" t="e">
        <f>E7</f>
        <v>#REF!</v>
      </c>
      <c r="F47" s="130" t="e">
        <f>F7</f>
        <v>#REF!</v>
      </c>
      <c r="G47" s="131" t="e">
        <f t="shared" si="8"/>
        <v>#REF!</v>
      </c>
      <c r="H47" s="133" t="str">
        <f t="shared" si="9"/>
        <v/>
      </c>
    </row>
    <row r="48" spans="2:8" ht="30" x14ac:dyDescent="0.25">
      <c r="B48" s="15" t="s">
        <v>244</v>
      </c>
      <c r="C48" s="128" t="s">
        <v>650</v>
      </c>
      <c r="D48" s="129" t="s">
        <v>183</v>
      </c>
      <c r="E48" s="131" t="e">
        <f>E43*360/E$47</f>
        <v>#REF!</v>
      </c>
      <c r="F48" s="131" t="e">
        <f>F43*360/F$47</f>
        <v>#REF!</v>
      </c>
      <c r="G48" s="408" t="e">
        <f t="shared" ref="G48:G51" si="10">E48-F48</f>
        <v>#REF!</v>
      </c>
      <c r="H48" s="133" t="str">
        <f t="shared" ref="H48:H51" si="11">IFERROR(E48/F48,"")</f>
        <v/>
      </c>
    </row>
    <row r="49" spans="2:8" x14ac:dyDescent="0.25">
      <c r="B49" s="15"/>
      <c r="C49" s="389" t="s">
        <v>647</v>
      </c>
      <c r="D49" s="129"/>
      <c r="E49" s="131" t="e">
        <f t="shared" ref="E49" si="12">E44*360/E$47</f>
        <v>#REF!</v>
      </c>
      <c r="F49" s="131" t="e">
        <f t="shared" ref="F49:F51" si="13">F44*360/F$47</f>
        <v>#REF!</v>
      </c>
      <c r="G49" s="131" t="e">
        <f t="shared" si="10"/>
        <v>#REF!</v>
      </c>
      <c r="H49" s="133" t="str">
        <f t="shared" si="11"/>
        <v/>
      </c>
    </row>
    <row r="50" spans="2:8" x14ac:dyDescent="0.25">
      <c r="B50" s="15"/>
      <c r="C50" s="389" t="s">
        <v>648</v>
      </c>
      <c r="D50" s="129"/>
      <c r="E50" s="131" t="e">
        <f t="shared" ref="E50" si="14">E45*360/E$47</f>
        <v>#REF!</v>
      </c>
      <c r="F50" s="131" t="e">
        <f t="shared" si="13"/>
        <v>#REF!</v>
      </c>
      <c r="G50" s="131" t="e">
        <f t="shared" si="10"/>
        <v>#REF!</v>
      </c>
      <c r="H50" s="133" t="str">
        <f t="shared" si="11"/>
        <v/>
      </c>
    </row>
    <row r="51" spans="2:8" x14ac:dyDescent="0.25">
      <c r="B51" s="15"/>
      <c r="C51" s="389" t="s">
        <v>649</v>
      </c>
      <c r="D51" s="129"/>
      <c r="E51" s="131" t="e">
        <f t="shared" ref="E51" si="15">E46*360/E$47</f>
        <v>#REF!</v>
      </c>
      <c r="F51" s="131" t="e">
        <f t="shared" si="13"/>
        <v>#REF!</v>
      </c>
      <c r="G51" s="131" t="e">
        <f t="shared" si="10"/>
        <v>#REF!</v>
      </c>
      <c r="H51" s="133" t="str">
        <f t="shared" si="11"/>
        <v/>
      </c>
    </row>
    <row r="52" spans="2:8" ht="30" x14ac:dyDescent="0.25">
      <c r="B52" s="15" t="s">
        <v>247</v>
      </c>
      <c r="C52" s="128" t="s">
        <v>651</v>
      </c>
      <c r="D52" s="129"/>
      <c r="E52" s="408" t="e">
        <f>E53+E54</f>
        <v>#REF!</v>
      </c>
      <c r="F52" s="401"/>
      <c r="G52" s="372"/>
      <c r="H52" s="364"/>
    </row>
    <row r="53" spans="2:8" x14ac:dyDescent="0.25">
      <c r="B53" s="15"/>
      <c r="C53" s="389" t="s">
        <v>645</v>
      </c>
      <c r="D53" s="129"/>
      <c r="E53" s="131" t="e">
        <f>(E43*360/F47)-(F43*360/F47)</f>
        <v>#REF!</v>
      </c>
      <c r="F53" s="401"/>
      <c r="G53" s="372"/>
      <c r="H53" s="364"/>
    </row>
    <row r="54" spans="2:8" x14ac:dyDescent="0.25">
      <c r="B54" s="15"/>
      <c r="C54" s="389" t="s">
        <v>652</v>
      </c>
      <c r="D54" s="129"/>
      <c r="E54" s="131" t="e">
        <f>(E43*360/E47)-(E43*360/F47)</f>
        <v>#REF!</v>
      </c>
      <c r="F54" s="401"/>
      <c r="G54" s="372"/>
      <c r="H54" s="364"/>
    </row>
    <row r="55" spans="2:8" ht="30" customHeight="1" x14ac:dyDescent="0.25">
      <c r="B55" s="15"/>
      <c r="C55" s="390" t="s">
        <v>653</v>
      </c>
      <c r="D55" s="129"/>
      <c r="E55" s="394"/>
      <c r="F55" s="401"/>
      <c r="G55" s="372"/>
      <c r="H55" s="364"/>
    </row>
    <row r="56" spans="2:8" x14ac:dyDescent="0.25">
      <c r="B56" s="15"/>
      <c r="C56" s="409" t="s">
        <v>654</v>
      </c>
      <c r="D56" s="129"/>
      <c r="E56" s="131" t="e">
        <f>G44*360/F47</f>
        <v>#REF!</v>
      </c>
      <c r="F56" s="401"/>
      <c r="G56" s="372"/>
      <c r="H56" s="364"/>
    </row>
    <row r="57" spans="2:8" x14ac:dyDescent="0.25">
      <c r="B57" s="15"/>
      <c r="C57" s="409" t="s">
        <v>655</v>
      </c>
      <c r="D57" s="129"/>
      <c r="E57" s="131" t="e">
        <f>G45*360/F47</f>
        <v>#REF!</v>
      </c>
      <c r="F57" s="401"/>
      <c r="G57" s="372"/>
      <c r="H57" s="364"/>
    </row>
    <row r="58" spans="2:8" x14ac:dyDescent="0.25">
      <c r="B58" s="141"/>
      <c r="C58" s="410" t="s">
        <v>656</v>
      </c>
      <c r="D58" s="143"/>
      <c r="E58" s="219" t="e">
        <f>G46*360/F47</f>
        <v>#REF!</v>
      </c>
      <c r="F58" s="411"/>
      <c r="G58" s="412"/>
      <c r="H58" s="366"/>
    </row>
    <row r="59" spans="2:8" ht="30" customHeight="1" x14ac:dyDescent="0.25">
      <c r="C59" s="547" t="s">
        <v>643</v>
      </c>
      <c r="D59" s="547"/>
      <c r="E59" s="547"/>
      <c r="F59" s="547"/>
      <c r="G59" s="547"/>
      <c r="H59" s="547"/>
    </row>
  </sheetData>
  <mergeCells count="1">
    <mergeCell ref="C59:H59"/>
  </mergeCells>
  <printOptions horizontalCentered="1"/>
  <pageMargins left="0.19685039370078741" right="0.19685039370078741" top="0.78740157480314965" bottom="0.39370078740157483" header="0.31496062992125984" footer="0.31496062992125984"/>
  <pageSetup paperSize="9" orientation="landscape" r:id="rId1"/>
  <rowBreaks count="2" manualBreakCount="2">
    <brk id="23" max="8" man="1"/>
    <brk id="4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N14"/>
  <sheetViews>
    <sheetView zoomScaleNormal="100" zoomScaleSheetLayoutView="100" workbookViewId="0">
      <selection activeCell="N23" sqref="N23"/>
    </sheetView>
  </sheetViews>
  <sheetFormatPr defaultRowHeight="15" x14ac:dyDescent="0.25"/>
  <cols>
    <col min="1" max="1" width="1.7109375" style="1" customWidth="1"/>
    <col min="2" max="2" width="4.7109375" style="1" customWidth="1"/>
    <col min="3" max="3" width="50.42578125" style="1" customWidth="1"/>
    <col min="4" max="4" width="9.140625" style="1"/>
    <col min="5" max="7" width="12.7109375" style="1" customWidth="1"/>
    <col min="8" max="9" width="9.28515625" style="1" customWidth="1"/>
    <col min="10" max="11" width="9.28515625" style="1" bestFit="1" customWidth="1"/>
    <col min="12" max="12" width="1.7109375" style="1" customWidth="1"/>
    <col min="13" max="16384" width="9.140625" style="1"/>
  </cols>
  <sheetData>
    <row r="1" spans="1:14" s="507" customFormat="1" ht="18.75" x14ac:dyDescent="0.3">
      <c r="A1" s="507" t="e">
        <f>CONCATENATE("Оценка стоимости чистых активов ",#REF!)</f>
        <v>#REF!</v>
      </c>
    </row>
    <row r="3" spans="1:14" ht="30" customHeight="1" x14ac:dyDescent="0.25">
      <c r="B3" s="542" t="s">
        <v>170</v>
      </c>
      <c r="C3" s="550" t="s">
        <v>92</v>
      </c>
      <c r="D3" s="550" t="s">
        <v>171</v>
      </c>
      <c r="E3" s="550" t="s">
        <v>172</v>
      </c>
      <c r="F3" s="550"/>
      <c r="G3" s="550"/>
      <c r="H3" s="548" t="s">
        <v>173</v>
      </c>
      <c r="I3" s="549"/>
      <c r="J3" s="548" t="s">
        <v>174</v>
      </c>
      <c r="K3" s="549"/>
    </row>
    <row r="4" spans="1:14" ht="24" x14ac:dyDescent="0.25">
      <c r="B4" s="543"/>
      <c r="C4" s="550"/>
      <c r="D4" s="550"/>
      <c r="E4" s="34" t="e">
        <f>#REF!</f>
        <v>#REF!</v>
      </c>
      <c r="F4" s="34" t="e">
        <f>#REF!</f>
        <v>#REF!</v>
      </c>
      <c r="G4" s="34" t="e">
        <f>#REF!</f>
        <v>#REF!</v>
      </c>
      <c r="H4" s="34" t="e">
        <f>#REF!&amp;" - "&amp;#REF!</f>
        <v>#REF!</v>
      </c>
      <c r="I4" s="34" t="e">
        <f>#REF!&amp;" - "&amp;#REF!</f>
        <v>#REF!</v>
      </c>
      <c r="J4" s="60" t="s">
        <v>175</v>
      </c>
      <c r="K4" s="60" t="s">
        <v>176</v>
      </c>
      <c r="M4" s="22"/>
      <c r="N4" s="22"/>
    </row>
    <row r="5" spans="1:14" x14ac:dyDescent="0.25">
      <c r="B5" s="121">
        <v>1</v>
      </c>
      <c r="C5" s="122" t="s">
        <v>58</v>
      </c>
      <c r="D5" s="123" t="e">
        <f>#REF!</f>
        <v>#REF!</v>
      </c>
      <c r="E5" s="124" t="e">
        <f>#REF!</f>
        <v>#REF!</v>
      </c>
      <c r="F5" s="124" t="e">
        <f>#REF!</f>
        <v>#REF!</v>
      </c>
      <c r="G5" s="124" t="e">
        <f>#REF!</f>
        <v>#REF!</v>
      </c>
      <c r="H5" s="125" t="e">
        <f t="shared" ref="H5:H8" si="0">E5-F5</f>
        <v>#REF!</v>
      </c>
      <c r="I5" s="125" t="e">
        <f t="shared" ref="I5:I8" si="1">E5-G5</f>
        <v>#REF!</v>
      </c>
      <c r="J5" s="126" t="str">
        <f t="shared" ref="J5:J6" si="2">IFERROR(E5/F5,"")</f>
        <v/>
      </c>
      <c r="K5" s="127" t="str">
        <f t="shared" ref="K5:K6" si="3">IFERROR(E5/G5,"")</f>
        <v/>
      </c>
    </row>
    <row r="6" spans="1:14" x14ac:dyDescent="0.25">
      <c r="B6" s="15">
        <f>B5+1</f>
        <v>2</v>
      </c>
      <c r="C6" s="128" t="s">
        <v>75</v>
      </c>
      <c r="D6" s="129" t="e">
        <f>#REF!</f>
        <v>#REF!</v>
      </c>
      <c r="E6" s="130" t="e">
        <f>#REF!</f>
        <v>#REF!</v>
      </c>
      <c r="F6" s="130" t="e">
        <f>#REF!</f>
        <v>#REF!</v>
      </c>
      <c r="G6" s="130" t="e">
        <f>#REF!</f>
        <v>#REF!</v>
      </c>
      <c r="H6" s="131" t="e">
        <f t="shared" si="0"/>
        <v>#REF!</v>
      </c>
      <c r="I6" s="131" t="e">
        <f t="shared" si="1"/>
        <v>#REF!</v>
      </c>
      <c r="J6" s="132" t="str">
        <f t="shared" si="2"/>
        <v/>
      </c>
      <c r="K6" s="133" t="str">
        <f t="shared" si="3"/>
        <v/>
      </c>
    </row>
    <row r="7" spans="1:14" x14ac:dyDescent="0.25">
      <c r="B7" s="15">
        <f t="shared" ref="B7:B8" si="4">B6+1</f>
        <v>3</v>
      </c>
      <c r="C7" s="128" t="s">
        <v>178</v>
      </c>
      <c r="D7" s="129" t="e">
        <f>#REF!</f>
        <v>#REF!</v>
      </c>
      <c r="E7" s="130" t="e">
        <f>#REF!</f>
        <v>#REF!</v>
      </c>
      <c r="F7" s="130" t="e">
        <f>#REF!</f>
        <v>#REF!</v>
      </c>
      <c r="G7" s="130" t="e">
        <f>#REF!</f>
        <v>#REF!</v>
      </c>
      <c r="H7" s="131" t="e">
        <f t="shared" si="0"/>
        <v>#REF!</v>
      </c>
      <c r="I7" s="131" t="e">
        <f t="shared" si="1"/>
        <v>#REF!</v>
      </c>
      <c r="J7" s="132" t="str">
        <f>IFERROR(E7/F7,"")</f>
        <v/>
      </c>
      <c r="K7" s="133" t="str">
        <f>IFERROR(E7/G7,"")</f>
        <v/>
      </c>
    </row>
    <row r="8" spans="1:14" x14ac:dyDescent="0.25">
      <c r="B8" s="15">
        <f t="shared" si="4"/>
        <v>4</v>
      </c>
      <c r="C8" s="128" t="s">
        <v>179</v>
      </c>
      <c r="D8" s="129" t="e">
        <f>#REF!</f>
        <v>#REF!</v>
      </c>
      <c r="E8" s="130" t="e">
        <f>(#REF!-Пояснения!D20)-(#REF!+#REF!-Пояснения!D21)</f>
        <v>#REF!</v>
      </c>
      <c r="F8" s="130" t="e">
        <f>(#REF!-Пояснения!E20)-(#REF!+#REF!-Пояснения!E21)</f>
        <v>#REF!</v>
      </c>
      <c r="G8" s="130" t="e">
        <f>(#REF!-Пояснения!F20)-(#REF!+#REF!-Пояснения!F21)</f>
        <v>#REF!</v>
      </c>
      <c r="H8" s="131" t="e">
        <f t="shared" si="0"/>
        <v>#REF!</v>
      </c>
      <c r="I8" s="131" t="e">
        <f t="shared" si="1"/>
        <v>#REF!</v>
      </c>
      <c r="J8" s="132" t="str">
        <f t="shared" ref="J8:J13" si="5">IFERROR(E8/F8,"")</f>
        <v/>
      </c>
      <c r="K8" s="133" t="str">
        <f t="shared" ref="K8:K13" si="6">IFERROR(E8/G8,"")</f>
        <v/>
      </c>
    </row>
    <row r="9" spans="1:14" ht="6.95" customHeight="1" x14ac:dyDescent="0.25">
      <c r="B9" s="134"/>
      <c r="C9" s="135"/>
      <c r="D9" s="136"/>
      <c r="E9" s="137"/>
      <c r="F9" s="137"/>
      <c r="G9" s="137"/>
      <c r="H9" s="137"/>
      <c r="I9" s="137"/>
      <c r="J9" s="138" t="str">
        <f t="shared" si="5"/>
        <v/>
      </c>
      <c r="K9" s="139" t="str">
        <f t="shared" si="6"/>
        <v/>
      </c>
    </row>
    <row r="10" spans="1:14" x14ac:dyDescent="0.25">
      <c r="B10" s="15">
        <f>B8+1</f>
        <v>5</v>
      </c>
      <c r="C10" s="128" t="s">
        <v>180</v>
      </c>
      <c r="D10" s="129"/>
      <c r="E10" s="140" t="e">
        <f>E8/E7</f>
        <v>#REF!</v>
      </c>
      <c r="F10" s="140" t="e">
        <f>F8/F7</f>
        <v>#REF!</v>
      </c>
      <c r="G10" s="140" t="e">
        <f>G8/G7</f>
        <v>#REF!</v>
      </c>
      <c r="H10" s="140" t="e">
        <f t="shared" ref="H10:H13" si="7">E10-F10</f>
        <v>#REF!</v>
      </c>
      <c r="I10" s="140" t="e">
        <f t="shared" ref="I10:I13" si="8">E10-G10</f>
        <v>#REF!</v>
      </c>
      <c r="J10" s="132" t="str">
        <f t="shared" si="5"/>
        <v/>
      </c>
      <c r="K10" s="133" t="str">
        <f t="shared" si="6"/>
        <v/>
      </c>
    </row>
    <row r="11" spans="1:14" x14ac:dyDescent="0.25">
      <c r="B11" s="15">
        <f>B10+1</f>
        <v>6</v>
      </c>
      <c r="C11" s="128" t="s">
        <v>181</v>
      </c>
      <c r="D11" s="129"/>
      <c r="E11" s="140" t="e">
        <f>E5/E8</f>
        <v>#REF!</v>
      </c>
      <c r="F11" s="140" t="e">
        <f>F5/F8</f>
        <v>#REF!</v>
      </c>
      <c r="G11" s="140" t="e">
        <f>G5/G8</f>
        <v>#REF!</v>
      </c>
      <c r="H11" s="140" t="e">
        <f t="shared" si="7"/>
        <v>#REF!</v>
      </c>
      <c r="I11" s="140" t="e">
        <f t="shared" si="8"/>
        <v>#REF!</v>
      </c>
      <c r="J11" s="132" t="str">
        <f t="shared" si="5"/>
        <v/>
      </c>
      <c r="K11" s="133" t="str">
        <f t="shared" si="6"/>
        <v/>
      </c>
    </row>
    <row r="12" spans="1:14" x14ac:dyDescent="0.25">
      <c r="B12" s="15">
        <f t="shared" ref="B12:B14" si="9">B11+1</f>
        <v>7</v>
      </c>
      <c r="C12" s="128" t="s">
        <v>182</v>
      </c>
      <c r="D12" s="129" t="s">
        <v>183</v>
      </c>
      <c r="E12" s="131" t="str">
        <f>IFERROR(360/E11,"")</f>
        <v/>
      </c>
      <c r="F12" s="131" t="str">
        <f t="shared" ref="F12:G12" si="10">IFERROR(360/F11,"")</f>
        <v/>
      </c>
      <c r="G12" s="131" t="str">
        <f t="shared" si="10"/>
        <v/>
      </c>
      <c r="H12" s="131" t="e">
        <f t="shared" si="7"/>
        <v>#VALUE!</v>
      </c>
      <c r="I12" s="131" t="e">
        <f t="shared" si="8"/>
        <v>#VALUE!</v>
      </c>
      <c r="J12" s="132" t="str">
        <f t="shared" si="5"/>
        <v/>
      </c>
      <c r="K12" s="133" t="str">
        <f t="shared" si="6"/>
        <v/>
      </c>
    </row>
    <row r="13" spans="1:14" x14ac:dyDescent="0.25">
      <c r="B13" s="15">
        <f t="shared" si="9"/>
        <v>8</v>
      </c>
      <c r="C13" s="128" t="s">
        <v>184</v>
      </c>
      <c r="D13" s="129" t="s">
        <v>185</v>
      </c>
      <c r="E13" s="132" t="e">
        <f>E6/E8</f>
        <v>#REF!</v>
      </c>
      <c r="F13" s="132" t="e">
        <f>F6/F8</f>
        <v>#REF!</v>
      </c>
      <c r="G13" s="132" t="e">
        <f>G6/G8</f>
        <v>#REF!</v>
      </c>
      <c r="H13" s="132" t="e">
        <f t="shared" si="7"/>
        <v>#REF!</v>
      </c>
      <c r="I13" s="132" t="e">
        <f t="shared" si="8"/>
        <v>#REF!</v>
      </c>
      <c r="J13" s="132" t="str">
        <f t="shared" si="5"/>
        <v/>
      </c>
      <c r="K13" s="133" t="str">
        <f t="shared" si="6"/>
        <v/>
      </c>
    </row>
    <row r="14" spans="1:14" x14ac:dyDescent="0.25">
      <c r="B14" s="141">
        <f t="shared" si="9"/>
        <v>9</v>
      </c>
      <c r="C14" s="142" t="s">
        <v>186</v>
      </c>
      <c r="D14" s="143"/>
      <c r="E14" s="146" t="e">
        <f>(#REF!+#REF!)/E8</f>
        <v>#REF!</v>
      </c>
      <c r="F14" s="146" t="e">
        <f>(#REF!+#REF!)/F8</f>
        <v>#REF!</v>
      </c>
      <c r="G14" s="146" t="e">
        <f>(#REF!+#REF!)/G8</f>
        <v>#REF!</v>
      </c>
      <c r="H14" s="144" t="e">
        <f t="shared" ref="H14" si="11">E14-F14</f>
        <v>#REF!</v>
      </c>
      <c r="I14" s="144" t="e">
        <f t="shared" ref="I14" si="12">E14-G14</f>
        <v>#REF!</v>
      </c>
      <c r="J14" s="144" t="str">
        <f t="shared" ref="J14" si="13">IFERROR(E14/F14,"")</f>
        <v/>
      </c>
      <c r="K14" s="145" t="str">
        <f t="shared" ref="K14" si="14">IFERROR(E14/G14,"")</f>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J16"/>
  <sheetViews>
    <sheetView zoomScaleNormal="100" zoomScaleSheetLayoutView="100" workbookViewId="0">
      <selection activeCell="D12" sqref="D12"/>
    </sheetView>
  </sheetViews>
  <sheetFormatPr defaultRowHeight="15" x14ac:dyDescent="0.25"/>
  <cols>
    <col min="1" max="1" width="1.7109375" style="1" customWidth="1"/>
    <col min="2" max="2" width="44.28515625" style="1" customWidth="1"/>
    <col min="3" max="3" width="9.140625" style="1"/>
    <col min="4" max="8" width="12.7109375" style="1" customWidth="1"/>
    <col min="9" max="10" width="10.7109375" style="1" customWidth="1"/>
    <col min="11" max="11" width="1.7109375" style="1" customWidth="1"/>
    <col min="12" max="16384" width="9.140625" style="1"/>
  </cols>
  <sheetData>
    <row r="1" spans="1:10" s="3" customFormat="1" ht="18.75" x14ac:dyDescent="0.3">
      <c r="A1" s="3" t="s">
        <v>336</v>
      </c>
    </row>
    <row r="3" spans="1:10" x14ac:dyDescent="0.25">
      <c r="B3" s="551" t="s">
        <v>109</v>
      </c>
      <c r="C3" s="551" t="s">
        <v>337</v>
      </c>
      <c r="D3" s="550" t="s">
        <v>172</v>
      </c>
      <c r="E3" s="550"/>
      <c r="F3" s="550"/>
      <c r="G3" s="548" t="s">
        <v>173</v>
      </c>
      <c r="H3" s="549"/>
      <c r="I3" s="548" t="s">
        <v>174</v>
      </c>
      <c r="J3" s="549"/>
    </row>
    <row r="4" spans="1:10" ht="24" x14ac:dyDescent="0.25">
      <c r="B4" s="551"/>
      <c r="C4" s="551"/>
      <c r="D4" s="34" t="e">
        <f>#REF!</f>
        <v>#REF!</v>
      </c>
      <c r="E4" s="34" t="e">
        <f>#REF!</f>
        <v>#REF!</v>
      </c>
      <c r="F4" s="34" t="e">
        <f>#REF!</f>
        <v>#REF!</v>
      </c>
      <c r="G4" s="34" t="e">
        <f>#REF!&amp;" - "&amp;#REF!</f>
        <v>#REF!</v>
      </c>
      <c r="H4" s="34" t="e">
        <f>#REF!&amp;" - "&amp;#REF!</f>
        <v>#REF!</v>
      </c>
      <c r="I4" s="34" t="e">
        <f>#REF!&amp;" / "&amp;#REF!</f>
        <v>#REF!</v>
      </c>
      <c r="J4" s="34" t="e">
        <f>#REF!&amp;" / "&amp;#REF!</f>
        <v>#REF!</v>
      </c>
    </row>
    <row r="5" spans="1:10" x14ac:dyDescent="0.25">
      <c r="B5" s="256" t="s">
        <v>135</v>
      </c>
      <c r="C5" s="257" t="e">
        <f>#REF!</f>
        <v>#REF!</v>
      </c>
      <c r="D5" s="124" t="e">
        <f>#REF!</f>
        <v>#REF!</v>
      </c>
      <c r="E5" s="124" t="e">
        <f>#REF!</f>
        <v>#REF!</v>
      </c>
      <c r="F5" s="124" t="e">
        <f>#REF!</f>
        <v>#REF!</v>
      </c>
      <c r="G5" s="125" t="e">
        <f t="shared" ref="G5:G16" si="0">D5-E5</f>
        <v>#REF!</v>
      </c>
      <c r="H5" s="125" t="e">
        <f t="shared" ref="H5:H16" si="1">D5-F5</f>
        <v>#REF!</v>
      </c>
      <c r="I5" s="126" t="str">
        <f t="shared" ref="I5:I16" si="2">IFERROR(D5/E5,"")</f>
        <v/>
      </c>
      <c r="J5" s="127" t="str">
        <f t="shared" ref="J5:J16" si="3">IFERROR(D5/F5,"")</f>
        <v/>
      </c>
    </row>
    <row r="6" spans="1:10" x14ac:dyDescent="0.25">
      <c r="B6" s="258" t="s">
        <v>338</v>
      </c>
      <c r="C6" s="150" t="e">
        <f>#REF!</f>
        <v>#REF!</v>
      </c>
      <c r="D6" s="130" t="e">
        <f>#REF!+#REF!</f>
        <v>#REF!</v>
      </c>
      <c r="E6" s="130" t="e">
        <f>#REF!+#REF!</f>
        <v>#REF!</v>
      </c>
      <c r="F6" s="130" t="e">
        <f>#REF!+#REF!</f>
        <v>#REF!</v>
      </c>
      <c r="G6" s="131" t="e">
        <f t="shared" si="0"/>
        <v>#REF!</v>
      </c>
      <c r="H6" s="131" t="e">
        <f t="shared" si="1"/>
        <v>#REF!</v>
      </c>
      <c r="I6" s="132" t="str">
        <f t="shared" si="2"/>
        <v/>
      </c>
      <c r="J6" s="133" t="str">
        <f t="shared" si="3"/>
        <v/>
      </c>
    </row>
    <row r="7" spans="1:10" x14ac:dyDescent="0.25">
      <c r="B7" s="258" t="s">
        <v>339</v>
      </c>
      <c r="C7" s="150" t="e">
        <f>#REF!</f>
        <v>#REF!</v>
      </c>
      <c r="D7" s="131" t="e">
        <f t="shared" ref="D7:F7" si="4">D5+D6</f>
        <v>#REF!</v>
      </c>
      <c r="E7" s="131" t="e">
        <f t="shared" si="4"/>
        <v>#REF!</v>
      </c>
      <c r="F7" s="131" t="e">
        <f t="shared" si="4"/>
        <v>#REF!</v>
      </c>
      <c r="G7" s="131" t="e">
        <f t="shared" si="0"/>
        <v>#REF!</v>
      </c>
      <c r="H7" s="131" t="e">
        <f t="shared" si="1"/>
        <v>#REF!</v>
      </c>
      <c r="I7" s="132" t="str">
        <f t="shared" si="2"/>
        <v/>
      </c>
      <c r="J7" s="133" t="str">
        <f t="shared" si="3"/>
        <v/>
      </c>
    </row>
    <row r="8" spans="1:10" x14ac:dyDescent="0.25">
      <c r="B8" s="258" t="s">
        <v>340</v>
      </c>
      <c r="C8" s="150" t="e">
        <f>#REF!</f>
        <v>#REF!</v>
      </c>
      <c r="D8" s="130" t="e">
        <f>#REF!-#REF!</f>
        <v>#REF!</v>
      </c>
      <c r="E8" s="130" t="e">
        <f>#REF!-#REF!</f>
        <v>#REF!</v>
      </c>
      <c r="F8" s="130" t="e">
        <f>#REF!-#REF!</f>
        <v>#REF!</v>
      </c>
      <c r="G8" s="131" t="e">
        <f t="shared" si="0"/>
        <v>#REF!</v>
      </c>
      <c r="H8" s="131" t="e">
        <f t="shared" si="1"/>
        <v>#REF!</v>
      </c>
      <c r="I8" s="132" t="str">
        <f t="shared" si="2"/>
        <v/>
      </c>
      <c r="J8" s="133" t="str">
        <f t="shared" si="3"/>
        <v/>
      </c>
    </row>
    <row r="9" spans="1:10" x14ac:dyDescent="0.25">
      <c r="B9" s="258" t="s">
        <v>341</v>
      </c>
      <c r="C9" s="150" t="s">
        <v>185</v>
      </c>
      <c r="D9" s="246">
        <v>0</v>
      </c>
      <c r="E9" s="246">
        <v>0</v>
      </c>
      <c r="F9" s="246">
        <v>0</v>
      </c>
      <c r="G9" s="247">
        <f t="shared" si="0"/>
        <v>0</v>
      </c>
      <c r="H9" s="247">
        <f t="shared" si="1"/>
        <v>0</v>
      </c>
      <c r="I9" s="132" t="str">
        <f t="shared" si="2"/>
        <v/>
      </c>
      <c r="J9" s="133" t="str">
        <f t="shared" si="3"/>
        <v/>
      </c>
    </row>
    <row r="10" spans="1:10" x14ac:dyDescent="0.25">
      <c r="B10" s="258" t="s">
        <v>342</v>
      </c>
      <c r="C10" s="150" t="e">
        <f>#REF!</f>
        <v>#REF!</v>
      </c>
      <c r="D10" s="131" t="e">
        <f>D9*D6/100</f>
        <v>#REF!</v>
      </c>
      <c r="E10" s="131" t="e">
        <f t="shared" ref="E10:F10" si="5">E9*E6/100</f>
        <v>#REF!</v>
      </c>
      <c r="F10" s="131" t="e">
        <f t="shared" si="5"/>
        <v>#REF!</v>
      </c>
      <c r="G10" s="131" t="e">
        <f t="shared" si="0"/>
        <v>#REF!</v>
      </c>
      <c r="H10" s="131" t="e">
        <f t="shared" si="1"/>
        <v>#REF!</v>
      </c>
      <c r="I10" s="132" t="str">
        <f t="shared" si="2"/>
        <v/>
      </c>
      <c r="J10" s="133" t="str">
        <f t="shared" si="3"/>
        <v/>
      </c>
    </row>
    <row r="11" spans="1:10" x14ac:dyDescent="0.25">
      <c r="B11" s="258" t="s">
        <v>343</v>
      </c>
      <c r="C11" s="150" t="s">
        <v>185</v>
      </c>
      <c r="D11" s="246">
        <v>0</v>
      </c>
      <c r="E11" s="246">
        <v>0</v>
      </c>
      <c r="F11" s="246">
        <v>0</v>
      </c>
      <c r="G11" s="247">
        <f t="shared" si="0"/>
        <v>0</v>
      </c>
      <c r="H11" s="247">
        <f t="shared" si="1"/>
        <v>0</v>
      </c>
      <c r="I11" s="132" t="str">
        <f t="shared" si="2"/>
        <v/>
      </c>
      <c r="J11" s="133" t="str">
        <f t="shared" si="3"/>
        <v/>
      </c>
    </row>
    <row r="12" spans="1:10" x14ac:dyDescent="0.25">
      <c r="B12" s="258" t="s">
        <v>344</v>
      </c>
      <c r="C12" s="150" t="e">
        <f>#REF!</f>
        <v>#REF!</v>
      </c>
      <c r="D12" s="130" t="e">
        <f>#REF!</f>
        <v>#REF!</v>
      </c>
      <c r="E12" s="130" t="e">
        <f>#REF!</f>
        <v>#REF!</v>
      </c>
      <c r="F12" s="130" t="e">
        <f>#REF!</f>
        <v>#REF!</v>
      </c>
      <c r="G12" s="131" t="e">
        <f t="shared" si="0"/>
        <v>#REF!</v>
      </c>
      <c r="H12" s="131" t="e">
        <f t="shared" si="1"/>
        <v>#REF!</v>
      </c>
      <c r="I12" s="132" t="str">
        <f t="shared" si="2"/>
        <v/>
      </c>
      <c r="J12" s="133" t="str">
        <f t="shared" si="3"/>
        <v/>
      </c>
    </row>
    <row r="13" spans="1:10" x14ac:dyDescent="0.25">
      <c r="B13" s="258" t="s">
        <v>345</v>
      </c>
      <c r="C13" s="150" t="e">
        <f>#REF!</f>
        <v>#REF!</v>
      </c>
      <c r="D13" s="131" t="e">
        <f>D12*D11/100</f>
        <v>#REF!</v>
      </c>
      <c r="E13" s="131" t="e">
        <f t="shared" ref="E13:F13" si="6">E12*E11/100</f>
        <v>#REF!</v>
      </c>
      <c r="F13" s="131" t="e">
        <f t="shared" si="6"/>
        <v>#REF!</v>
      </c>
      <c r="G13" s="131" t="e">
        <f t="shared" si="0"/>
        <v>#REF!</v>
      </c>
      <c r="H13" s="131" t="e">
        <f t="shared" si="1"/>
        <v>#REF!</v>
      </c>
      <c r="I13" s="132" t="str">
        <f t="shared" si="2"/>
        <v/>
      </c>
      <c r="J13" s="133" t="str">
        <f t="shared" si="3"/>
        <v/>
      </c>
    </row>
    <row r="14" spans="1:10" x14ac:dyDescent="0.25">
      <c r="B14" s="258" t="s">
        <v>346</v>
      </c>
      <c r="C14" s="150" t="e">
        <f>#REF!</f>
        <v>#REF!</v>
      </c>
      <c r="D14" s="130" t="e">
        <f>#REF!</f>
        <v>#REF!</v>
      </c>
      <c r="E14" s="130" t="e">
        <f>#REF!</f>
        <v>#REF!</v>
      </c>
      <c r="F14" s="130" t="e">
        <f>#REF!</f>
        <v>#REF!</v>
      </c>
      <c r="G14" s="131" t="e">
        <f t="shared" si="0"/>
        <v>#REF!</v>
      </c>
      <c r="H14" s="131" t="e">
        <f t="shared" si="1"/>
        <v>#REF!</v>
      </c>
      <c r="I14" s="132" t="str">
        <f t="shared" si="2"/>
        <v/>
      </c>
      <c r="J14" s="133" t="str">
        <f t="shared" si="3"/>
        <v/>
      </c>
    </row>
    <row r="15" spans="1:10" x14ac:dyDescent="0.25">
      <c r="B15" s="259" t="s">
        <v>347</v>
      </c>
      <c r="C15" s="248" t="s">
        <v>185</v>
      </c>
      <c r="D15" s="249" t="str">
        <f>IFERROR(D14/D5*100,"")</f>
        <v/>
      </c>
      <c r="E15" s="249" t="str">
        <f t="shared" ref="E15:F15" si="7">IFERROR(E14/E5*100,"")</f>
        <v/>
      </c>
      <c r="F15" s="249" t="str">
        <f t="shared" si="7"/>
        <v/>
      </c>
      <c r="G15" s="250" t="e">
        <f t="shared" si="0"/>
        <v>#VALUE!</v>
      </c>
      <c r="H15" s="250" t="e">
        <f t="shared" si="1"/>
        <v>#VALUE!</v>
      </c>
      <c r="I15" s="250" t="str">
        <f t="shared" si="2"/>
        <v/>
      </c>
      <c r="J15" s="251" t="str">
        <f t="shared" si="3"/>
        <v/>
      </c>
    </row>
    <row r="16" spans="1:10" x14ac:dyDescent="0.25">
      <c r="B16" s="253" t="s">
        <v>348</v>
      </c>
      <c r="C16" s="252" t="s">
        <v>185</v>
      </c>
      <c r="D16" s="254" t="e">
        <f>(1-D11/100)*(D8*100%/D7-D9/100)*(D6/D5)</f>
        <v>#REF!</v>
      </c>
      <c r="E16" s="254" t="e">
        <f t="shared" ref="E16:F16" si="8">(1-E11/100)*(E8*100%/E7-E9/100)*(E6/E5)</f>
        <v>#REF!</v>
      </c>
      <c r="F16" s="254" t="e">
        <f t="shared" si="8"/>
        <v>#REF!</v>
      </c>
      <c r="G16" s="254" t="e">
        <f t="shared" si="0"/>
        <v>#REF!</v>
      </c>
      <c r="H16" s="254" t="e">
        <f t="shared" si="1"/>
        <v>#REF!</v>
      </c>
      <c r="I16" s="254" t="str">
        <f t="shared" si="2"/>
        <v/>
      </c>
      <c r="J16" s="255" t="str">
        <f t="shared" si="3"/>
        <v/>
      </c>
    </row>
  </sheetData>
  <mergeCells count="5">
    <mergeCell ref="D3:F3"/>
    <mergeCell ref="G3:H3"/>
    <mergeCell ref="I3:J3"/>
    <mergeCell ref="B3:B4"/>
    <mergeCell ref="C3:C4"/>
  </mergeCells>
  <printOptions horizontalCentered="1"/>
  <pageMargins left="0.19685039370078741" right="0.19685039370078741" top="0.78740157480314965"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N33"/>
  <sheetViews>
    <sheetView zoomScaleNormal="100" zoomScaleSheetLayoutView="100" workbookViewId="0">
      <selection activeCell="B27" sqref="B27"/>
    </sheetView>
  </sheetViews>
  <sheetFormatPr defaultRowHeight="15" x14ac:dyDescent="0.25"/>
  <cols>
    <col min="1" max="1" width="1.7109375" style="1" customWidth="1"/>
    <col min="2" max="2" width="4.7109375" style="1" customWidth="1"/>
    <col min="3" max="3" width="50.42578125" style="1" customWidth="1"/>
    <col min="4" max="4" width="9.28515625" style="1" customWidth="1"/>
    <col min="5" max="9" width="12.7109375" style="1" customWidth="1"/>
    <col min="10" max="11" width="10.7109375" style="1" customWidth="1"/>
    <col min="12" max="12" width="1.7109375" style="1" customWidth="1"/>
    <col min="13" max="16384" width="9.140625" style="1"/>
  </cols>
  <sheetData>
    <row r="1" spans="1:14" s="3" customFormat="1" ht="18.75" x14ac:dyDescent="0.3">
      <c r="A1" s="3" t="s">
        <v>658</v>
      </c>
    </row>
    <row r="3" spans="1:14" ht="30" customHeight="1" x14ac:dyDescent="0.25">
      <c r="B3" s="542" t="s">
        <v>170</v>
      </c>
      <c r="C3" s="550" t="s">
        <v>92</v>
      </c>
      <c r="D3" s="542" t="s">
        <v>164</v>
      </c>
      <c r="E3" s="550" t="s">
        <v>172</v>
      </c>
      <c r="F3" s="550"/>
      <c r="G3" s="550"/>
      <c r="H3" s="548" t="e">
        <f>"Изменение, "&amp;#REF!</f>
        <v>#REF!</v>
      </c>
      <c r="I3" s="549"/>
      <c r="J3" s="548" t="s">
        <v>174</v>
      </c>
      <c r="K3" s="549"/>
    </row>
    <row r="4" spans="1:14" ht="24" x14ac:dyDescent="0.25">
      <c r="B4" s="543"/>
      <c r="C4" s="550"/>
      <c r="D4" s="543"/>
      <c r="E4" s="34" t="e">
        <f>#REF!</f>
        <v>#REF!</v>
      </c>
      <c r="F4" s="34" t="e">
        <f>#REF!</f>
        <v>#REF!</v>
      </c>
      <c r="G4" s="34" t="e">
        <f>#REF!</f>
        <v>#REF!</v>
      </c>
      <c r="H4" s="34" t="e">
        <f>#REF!&amp;" - "&amp;#REF!</f>
        <v>#REF!</v>
      </c>
      <c r="I4" s="34" t="e">
        <f>#REF!&amp;" - "&amp;#REF!</f>
        <v>#REF!</v>
      </c>
      <c r="J4" s="34" t="e">
        <f>#REF!&amp;" / "&amp;#REF!</f>
        <v>#REF!</v>
      </c>
      <c r="K4" s="34" t="e">
        <f>#REF!&amp;" / "&amp;#REF!</f>
        <v>#REF!</v>
      </c>
      <c r="M4" s="22"/>
      <c r="N4" s="22"/>
    </row>
    <row r="5" spans="1:14" ht="15.75" x14ac:dyDescent="0.25">
      <c r="B5" s="147" t="s">
        <v>311</v>
      </c>
      <c r="C5" s="148"/>
      <c r="D5" s="148"/>
      <c r="E5" s="148"/>
      <c r="F5" s="148"/>
      <c r="G5" s="148"/>
      <c r="H5" s="148"/>
      <c r="I5" s="148"/>
      <c r="J5" s="148"/>
      <c r="K5" s="149"/>
    </row>
    <row r="6" spans="1:14" ht="25.5" x14ac:dyDescent="0.25">
      <c r="B6" s="15" t="s">
        <v>3</v>
      </c>
      <c r="C6" s="128" t="s">
        <v>326</v>
      </c>
      <c r="D6" s="150" t="s">
        <v>246</v>
      </c>
      <c r="E6" s="151" t="e">
        <f>#REF!/#REF!</f>
        <v>#REF!</v>
      </c>
      <c r="F6" s="151" t="e">
        <f>#REF!/#REF!</f>
        <v>#REF!</v>
      </c>
      <c r="G6" s="151" t="e">
        <f>#REF!/#REF!</f>
        <v>#REF!</v>
      </c>
      <c r="H6" s="140" t="e">
        <f>E6-F6</f>
        <v>#REF!</v>
      </c>
      <c r="I6" s="140" t="e">
        <f>E6-G6</f>
        <v>#REF!</v>
      </c>
      <c r="J6" s="132" t="str">
        <f>IFERROR(E6/F6,"")</f>
        <v/>
      </c>
      <c r="K6" s="133" t="str">
        <f>IFERROR(E6/G6,"")</f>
        <v/>
      </c>
    </row>
    <row r="7" spans="1:14" ht="30" x14ac:dyDescent="0.25">
      <c r="B7" s="15" t="s">
        <v>4</v>
      </c>
      <c r="C7" s="128" t="s">
        <v>329</v>
      </c>
      <c r="D7" s="150" t="s">
        <v>291</v>
      </c>
      <c r="E7" s="151" t="e">
        <f>(#REF!+#REF!)/#REF!</f>
        <v>#REF!</v>
      </c>
      <c r="F7" s="151" t="e">
        <f>(#REF!+#REF!)/#REF!</f>
        <v>#REF!</v>
      </c>
      <c r="G7" s="151" t="e">
        <f>(#REF!+#REF!)/#REF!</f>
        <v>#REF!</v>
      </c>
      <c r="H7" s="140" t="e">
        <f>E7-F7</f>
        <v>#REF!</v>
      </c>
      <c r="I7" s="140" t="e">
        <f>E7-G7</f>
        <v>#REF!</v>
      </c>
      <c r="J7" s="132" t="str">
        <f>IFERROR(E7/F7,"")</f>
        <v/>
      </c>
      <c r="K7" s="133" t="str">
        <f>IFERROR(E7/G7,"")</f>
        <v/>
      </c>
    </row>
    <row r="8" spans="1:14" ht="30" x14ac:dyDescent="0.25">
      <c r="B8" s="15" t="s">
        <v>5</v>
      </c>
      <c r="C8" s="128" t="s">
        <v>330</v>
      </c>
      <c r="D8" s="150" t="s">
        <v>335</v>
      </c>
      <c r="E8" s="151" t="e">
        <f>#REF!/(#REF!+#REF!)</f>
        <v>#REF!</v>
      </c>
      <c r="F8" s="151" t="e">
        <f>#REF!/(#REF!+#REF!)</f>
        <v>#REF!</v>
      </c>
      <c r="G8" s="151" t="e">
        <f>#REF!/(#REF!+#REF!)</f>
        <v>#REF!</v>
      </c>
      <c r="H8" s="140" t="e">
        <f>E8-F8</f>
        <v>#REF!</v>
      </c>
      <c r="I8" s="140" t="e">
        <f>E8-G8</f>
        <v>#REF!</v>
      </c>
      <c r="J8" s="132" t="str">
        <f>IFERROR(E8/F8,"")</f>
        <v/>
      </c>
      <c r="K8" s="133" t="str">
        <f>IFERROR(E8/G8,"")</f>
        <v/>
      </c>
    </row>
    <row r="9" spans="1:14" ht="30" x14ac:dyDescent="0.25">
      <c r="B9" s="15" t="s">
        <v>6</v>
      </c>
      <c r="C9" s="128" t="s">
        <v>332</v>
      </c>
      <c r="D9" s="150" t="s">
        <v>334</v>
      </c>
      <c r="E9" s="151" t="e">
        <f>#REF!/(#REF!+#REF!)</f>
        <v>#REF!</v>
      </c>
      <c r="F9" s="151" t="e">
        <f>#REF!/(#REF!+#REF!)</f>
        <v>#REF!</v>
      </c>
      <c r="G9" s="151" t="e">
        <f>#REF!/(#REF!+#REF!)</f>
        <v>#REF!</v>
      </c>
      <c r="H9" s="140" t="e">
        <f>E9-F9</f>
        <v>#REF!</v>
      </c>
      <c r="I9" s="140" t="e">
        <f>E9-G9</f>
        <v>#REF!</v>
      </c>
      <c r="J9" s="132" t="str">
        <f>IFERROR(E9/F9,"")</f>
        <v/>
      </c>
      <c r="K9" s="133" t="str">
        <f>IFERROR(E9/G9,"")</f>
        <v/>
      </c>
    </row>
    <row r="10" spans="1:14" x14ac:dyDescent="0.25">
      <c r="B10" s="15" t="s">
        <v>189</v>
      </c>
      <c r="C10" s="128" t="s">
        <v>394</v>
      </c>
      <c r="D10" s="150"/>
      <c r="E10" s="151" t="e">
        <f>#REF!/#REF!</f>
        <v>#REF!</v>
      </c>
      <c r="F10" s="151" t="e">
        <f>#REF!/#REF!</f>
        <v>#REF!</v>
      </c>
      <c r="G10" s="151" t="e">
        <f>#REF!/#REF!</f>
        <v>#REF!</v>
      </c>
      <c r="H10" s="140" t="e">
        <f t="shared" ref="H10:H12" si="0">E10-F10</f>
        <v>#REF!</v>
      </c>
      <c r="I10" s="140" t="e">
        <f t="shared" ref="I10:I12" si="1">E10-G10</f>
        <v>#REF!</v>
      </c>
      <c r="J10" s="132" t="str">
        <f t="shared" ref="J10:J12" si="2">IFERROR(E10/F10,"")</f>
        <v/>
      </c>
      <c r="K10" s="133" t="str">
        <f t="shared" ref="K10:K12" si="3">IFERROR(E10/G10,"")</f>
        <v/>
      </c>
    </row>
    <row r="11" spans="1:14" ht="25.5" x14ac:dyDescent="0.25">
      <c r="B11" s="15" t="s">
        <v>312</v>
      </c>
      <c r="C11" s="128" t="s">
        <v>395</v>
      </c>
      <c r="D11" s="150" t="s">
        <v>249</v>
      </c>
      <c r="E11" s="151" t="e">
        <f>(#REF!+-#REF!)/-#REF!</f>
        <v>#REF!</v>
      </c>
      <c r="F11" s="151" t="e">
        <f>(#REF!+-#REF!)/-#REF!</f>
        <v>#REF!</v>
      </c>
      <c r="G11" s="151" t="e">
        <f>(#REF!+-#REF!)/-#REF!</f>
        <v>#REF!</v>
      </c>
      <c r="H11" s="140" t="e">
        <f t="shared" si="0"/>
        <v>#REF!</v>
      </c>
      <c r="I11" s="140" t="e">
        <f t="shared" si="1"/>
        <v>#REF!</v>
      </c>
      <c r="J11" s="132" t="str">
        <f t="shared" si="2"/>
        <v/>
      </c>
      <c r="K11" s="133" t="str">
        <f t="shared" si="3"/>
        <v/>
      </c>
    </row>
    <row r="12" spans="1:14" ht="30" x14ac:dyDescent="0.25">
      <c r="B12" s="15" t="s">
        <v>313</v>
      </c>
      <c r="C12" s="128" t="s">
        <v>397</v>
      </c>
      <c r="D12" s="150"/>
      <c r="E12" s="151" t="e">
        <f>(#REF!+-#REF!+Пояснения!D22)/(Пояснения!D22+-#REF!)</f>
        <v>#REF!</v>
      </c>
      <c r="F12" s="151" t="e">
        <f>(#REF!+-#REF!+Пояснения!E22)/(Пояснения!E22+-#REF!)</f>
        <v>#REF!</v>
      </c>
      <c r="G12" s="151" t="e">
        <f>(#REF!+-#REF!+Пояснения!F22)/(Пояснения!F22+-#REF!)</f>
        <v>#REF!</v>
      </c>
      <c r="H12" s="140" t="e">
        <f t="shared" si="0"/>
        <v>#REF!</v>
      </c>
      <c r="I12" s="140" t="e">
        <f t="shared" si="1"/>
        <v>#REF!</v>
      </c>
      <c r="J12" s="132" t="str">
        <f t="shared" si="2"/>
        <v/>
      </c>
      <c r="K12" s="133" t="str">
        <f t="shared" si="3"/>
        <v/>
      </c>
    </row>
    <row r="13" spans="1:14" ht="15.75" x14ac:dyDescent="0.25">
      <c r="B13" s="147" t="s">
        <v>862</v>
      </c>
      <c r="C13" s="148"/>
      <c r="D13" s="148"/>
      <c r="E13" s="148"/>
      <c r="F13" s="148"/>
      <c r="G13" s="148"/>
      <c r="H13" s="148"/>
      <c r="I13" s="148"/>
      <c r="J13" s="148"/>
      <c r="K13" s="149"/>
    </row>
    <row r="14" spans="1:14" ht="25.5" x14ac:dyDescent="0.25">
      <c r="B14" s="15" t="s">
        <v>7</v>
      </c>
      <c r="C14" s="128" t="s">
        <v>191</v>
      </c>
      <c r="D14" s="150" t="s">
        <v>168</v>
      </c>
      <c r="E14" s="151" t="e">
        <f>#REF!/#REF!</f>
        <v>#REF!</v>
      </c>
      <c r="F14" s="151" t="e">
        <f>#REF!/#REF!</f>
        <v>#REF!</v>
      </c>
      <c r="G14" s="151" t="e">
        <f>#REF!/#REF!</f>
        <v>#REF!</v>
      </c>
      <c r="H14" s="140" t="e">
        <f t="shared" ref="H14" si="4">E14-F14</f>
        <v>#REF!</v>
      </c>
      <c r="I14" s="140" t="e">
        <f t="shared" ref="I14" si="5">E14-G14</f>
        <v>#REF!</v>
      </c>
      <c r="J14" s="132" t="str">
        <f t="shared" ref="J14" si="6">IFERROR(E14/F14,"")</f>
        <v/>
      </c>
      <c r="K14" s="133" t="str">
        <f t="shared" ref="K14" si="7">IFERROR(E14/G14,"")</f>
        <v/>
      </c>
    </row>
    <row r="15" spans="1:14" ht="25.5" x14ac:dyDescent="0.25">
      <c r="B15" s="15" t="s">
        <v>8</v>
      </c>
      <c r="C15" s="128" t="s">
        <v>261</v>
      </c>
      <c r="D15" s="150" t="s">
        <v>360</v>
      </c>
      <c r="E15" s="151" t="e">
        <f>(#REF!+#REF!+#REF!+#REF!)/#REF!</f>
        <v>#REF!</v>
      </c>
      <c r="F15" s="151" t="e">
        <f>(#REF!+#REF!+#REF!+#REF!)/#REF!</f>
        <v>#REF!</v>
      </c>
      <c r="G15" s="151" t="e">
        <f>(#REF!+#REF!+#REF!+#REF!)/#REF!</f>
        <v>#REF!</v>
      </c>
      <c r="H15" s="140" t="e">
        <f t="shared" ref="H15:H21" si="8">E15-F15</f>
        <v>#REF!</v>
      </c>
      <c r="I15" s="140" t="e">
        <f t="shared" ref="I15:I21" si="9">E15-G15</f>
        <v>#REF!</v>
      </c>
      <c r="J15" s="132" t="str">
        <f t="shared" ref="J15:J21" si="10">IFERROR(E15/F15,"")</f>
        <v/>
      </c>
      <c r="K15" s="133" t="str">
        <f t="shared" ref="K15:K21" si="11">IFERROR(E15/G15,"")</f>
        <v/>
      </c>
    </row>
    <row r="16" spans="1:14" ht="25.5" x14ac:dyDescent="0.25">
      <c r="B16" s="15" t="s">
        <v>9</v>
      </c>
      <c r="C16" s="128" t="s">
        <v>351</v>
      </c>
      <c r="D16" s="150" t="s">
        <v>352</v>
      </c>
      <c r="E16" s="151" t="e">
        <f>(#REF!+#REF!+#REF!)/#REF!</f>
        <v>#REF!</v>
      </c>
      <c r="F16" s="151" t="e">
        <f>(#REF!+#REF!+#REF!)/#REF!</f>
        <v>#REF!</v>
      </c>
      <c r="G16" s="151" t="e">
        <f>(#REF!+#REF!+#REF!)/#REF!</f>
        <v>#REF!</v>
      </c>
      <c r="H16" s="140" t="e">
        <f t="shared" si="8"/>
        <v>#REF!</v>
      </c>
      <c r="I16" s="140" t="e">
        <f t="shared" si="9"/>
        <v>#REF!</v>
      </c>
      <c r="J16" s="132" t="str">
        <f t="shared" si="10"/>
        <v/>
      </c>
      <c r="K16" s="133" t="str">
        <f t="shared" si="11"/>
        <v/>
      </c>
    </row>
    <row r="17" spans="2:11" ht="45" x14ac:dyDescent="0.25">
      <c r="B17" s="15" t="s">
        <v>10</v>
      </c>
      <c r="C17" s="128" t="s">
        <v>354</v>
      </c>
      <c r="D17" s="150" t="s">
        <v>194</v>
      </c>
      <c r="E17" s="151" t="e">
        <f>(#REF!+#REF!)/#REF!</f>
        <v>#REF!</v>
      </c>
      <c r="F17" s="151" t="e">
        <f>(#REF!+#REF!)/#REF!</f>
        <v>#REF!</v>
      </c>
      <c r="G17" s="151" t="e">
        <f>(#REF!+#REF!)/#REF!</f>
        <v>#REF!</v>
      </c>
      <c r="H17" s="140" t="e">
        <f t="shared" si="8"/>
        <v>#REF!</v>
      </c>
      <c r="I17" s="140" t="e">
        <f t="shared" si="9"/>
        <v>#REF!</v>
      </c>
      <c r="J17" s="132" t="str">
        <f t="shared" si="10"/>
        <v/>
      </c>
      <c r="K17" s="133" t="str">
        <f t="shared" si="11"/>
        <v/>
      </c>
    </row>
    <row r="18" spans="2:11" ht="30" x14ac:dyDescent="0.25">
      <c r="B18" s="15" t="s">
        <v>11</v>
      </c>
      <c r="C18" s="128" t="s">
        <v>356</v>
      </c>
      <c r="D18" s="150" t="s">
        <v>357</v>
      </c>
      <c r="E18" s="151" t="e">
        <f>#REF!/(#REF!+#REF!)</f>
        <v>#REF!</v>
      </c>
      <c r="F18" s="151" t="e">
        <f>#REF!/(#REF!+#REF!)</f>
        <v>#REF!</v>
      </c>
      <c r="G18" s="151" t="e">
        <f>#REF!/(#REF!+#REF!)</f>
        <v>#REF!</v>
      </c>
      <c r="H18" s="140" t="e">
        <f t="shared" si="8"/>
        <v>#REF!</v>
      </c>
      <c r="I18" s="140" t="e">
        <f t="shared" si="9"/>
        <v>#REF!</v>
      </c>
      <c r="J18" s="132" t="str">
        <f t="shared" si="10"/>
        <v/>
      </c>
      <c r="K18" s="133" t="str">
        <f t="shared" si="11"/>
        <v/>
      </c>
    </row>
    <row r="19" spans="2:11" ht="30" x14ac:dyDescent="0.25">
      <c r="B19" s="15" t="s">
        <v>195</v>
      </c>
      <c r="C19" s="128" t="s">
        <v>359</v>
      </c>
      <c r="D19" s="150"/>
      <c r="E19" s="151" t="e">
        <f>(#REF!+#REF!)/#REF!</f>
        <v>#REF!</v>
      </c>
      <c r="F19" s="151" t="e">
        <f>(#REF!+#REF!)/#REF!</f>
        <v>#REF!</v>
      </c>
      <c r="G19" s="151" t="e">
        <f>(#REF!+#REF!)/#REF!</f>
        <v>#REF!</v>
      </c>
      <c r="H19" s="140" t="e">
        <f t="shared" si="8"/>
        <v>#REF!</v>
      </c>
      <c r="I19" s="140" t="e">
        <f t="shared" si="9"/>
        <v>#REF!</v>
      </c>
      <c r="J19" s="132" t="str">
        <f t="shared" si="10"/>
        <v/>
      </c>
      <c r="K19" s="133" t="str">
        <f t="shared" si="11"/>
        <v/>
      </c>
    </row>
    <row r="20" spans="2:11" ht="15.75" x14ac:dyDescent="0.25">
      <c r="B20" s="147" t="s">
        <v>863</v>
      </c>
      <c r="C20" s="148"/>
      <c r="D20" s="148"/>
      <c r="E20" s="148"/>
      <c r="F20" s="148"/>
      <c r="G20" s="148"/>
      <c r="H20" s="148"/>
      <c r="I20" s="148"/>
      <c r="J20" s="148"/>
      <c r="K20" s="149"/>
    </row>
    <row r="21" spans="2:11" ht="30" x14ac:dyDescent="0.25">
      <c r="B21" s="15" t="s">
        <v>12</v>
      </c>
      <c r="C21" s="128" t="s">
        <v>267</v>
      </c>
      <c r="D21" s="150" t="s">
        <v>269</v>
      </c>
      <c r="E21" s="151" t="e">
        <f>(#REF!+#REF!)/#REF!</f>
        <v>#REF!</v>
      </c>
      <c r="F21" s="151" t="e">
        <f>(#REF!+#REF!)/#REF!</f>
        <v>#REF!</v>
      </c>
      <c r="G21" s="151" t="e">
        <f>(#REF!+#REF!)/#REF!</f>
        <v>#REF!</v>
      </c>
      <c r="H21" s="140" t="e">
        <f t="shared" si="8"/>
        <v>#REF!</v>
      </c>
      <c r="I21" s="140" t="e">
        <f t="shared" si="9"/>
        <v>#REF!</v>
      </c>
      <c r="J21" s="132" t="str">
        <f t="shared" si="10"/>
        <v/>
      </c>
      <c r="K21" s="133" t="str">
        <f t="shared" si="11"/>
        <v/>
      </c>
    </row>
    <row r="22" spans="2:11" ht="30" x14ac:dyDescent="0.25">
      <c r="B22" s="15" t="s">
        <v>13</v>
      </c>
      <c r="C22" s="128" t="s">
        <v>368</v>
      </c>
      <c r="D22" s="150" t="s">
        <v>188</v>
      </c>
      <c r="E22" s="151" t="e">
        <f>(#REF!-#REF!)/#REF!</f>
        <v>#REF!</v>
      </c>
      <c r="F22" s="151" t="e">
        <f>(#REF!-#REF!)/#REF!</f>
        <v>#REF!</v>
      </c>
      <c r="G22" s="151" t="e">
        <f>(#REF!-#REF!)/#REF!</f>
        <v>#REF!</v>
      </c>
      <c r="H22" s="140" t="e">
        <f t="shared" ref="H22:H25" si="12">E22-F22</f>
        <v>#REF!</v>
      </c>
      <c r="I22" s="140" t="e">
        <f t="shared" ref="I22:I25" si="13">E22-G22</f>
        <v>#REF!</v>
      </c>
      <c r="J22" s="132" t="str">
        <f t="shared" ref="J22:J25" si="14">IFERROR(E22/F22,"")</f>
        <v/>
      </c>
      <c r="K22" s="133" t="str">
        <f t="shared" ref="K22:K25" si="15">IFERROR(E22/G22,"")</f>
        <v/>
      </c>
    </row>
    <row r="23" spans="2:11" ht="25.5" x14ac:dyDescent="0.25">
      <c r="B23" s="15" t="s">
        <v>244</v>
      </c>
      <c r="C23" s="128" t="s">
        <v>363</v>
      </c>
      <c r="D23" s="150" t="s">
        <v>365</v>
      </c>
      <c r="E23" s="151" t="e">
        <f>#REF!/#REF!</f>
        <v>#REF!</v>
      </c>
      <c r="F23" s="151" t="e">
        <f>#REF!/#REF!</f>
        <v>#REF!</v>
      </c>
      <c r="G23" s="151" t="e">
        <f>#REF!/#REF!</f>
        <v>#REF!</v>
      </c>
      <c r="H23" s="140" t="e">
        <f t="shared" si="12"/>
        <v>#REF!</v>
      </c>
      <c r="I23" s="140" t="e">
        <f t="shared" si="13"/>
        <v>#REF!</v>
      </c>
      <c r="J23" s="132" t="str">
        <f t="shared" si="14"/>
        <v/>
      </c>
      <c r="K23" s="133" t="str">
        <f t="shared" si="15"/>
        <v/>
      </c>
    </row>
    <row r="24" spans="2:11" ht="25.5" x14ac:dyDescent="0.25">
      <c r="B24" s="15" t="s">
        <v>247</v>
      </c>
      <c r="C24" s="128" t="s">
        <v>192</v>
      </c>
      <c r="D24" s="150" t="s">
        <v>357</v>
      </c>
      <c r="E24" s="151" t="e">
        <f>#REF!/(#REF!+#REF!)</f>
        <v>#REF!</v>
      </c>
      <c r="F24" s="151" t="e">
        <f>#REF!/(#REF!+#REF!)</f>
        <v>#REF!</v>
      </c>
      <c r="G24" s="151" t="e">
        <f>#REF!/(#REF!+#REF!)</f>
        <v>#REF!</v>
      </c>
      <c r="H24" s="140" t="e">
        <f t="shared" si="12"/>
        <v>#REF!</v>
      </c>
      <c r="I24" s="140" t="e">
        <f t="shared" si="13"/>
        <v>#REF!</v>
      </c>
      <c r="J24" s="132" t="str">
        <f t="shared" si="14"/>
        <v/>
      </c>
      <c r="K24" s="133" t="str">
        <f t="shared" si="15"/>
        <v/>
      </c>
    </row>
    <row r="25" spans="2:11" ht="25.5" x14ac:dyDescent="0.25">
      <c r="B25" s="141" t="s">
        <v>250</v>
      </c>
      <c r="C25" s="142" t="s">
        <v>294</v>
      </c>
      <c r="D25" s="240" t="s">
        <v>334</v>
      </c>
      <c r="E25" s="152" t="e">
        <f>(#REF!+#REF!)/#REF!</f>
        <v>#REF!</v>
      </c>
      <c r="F25" s="152" t="e">
        <f>(#REF!+#REF!)/#REF!</f>
        <v>#REF!</v>
      </c>
      <c r="G25" s="152" t="e">
        <f>(#REF!+#REF!)/#REF!</f>
        <v>#REF!</v>
      </c>
      <c r="H25" s="241" t="e">
        <f t="shared" si="12"/>
        <v>#REF!</v>
      </c>
      <c r="I25" s="241" t="e">
        <f t="shared" si="13"/>
        <v>#REF!</v>
      </c>
      <c r="J25" s="144" t="str">
        <f t="shared" si="14"/>
        <v/>
      </c>
      <c r="K25" s="145" t="str">
        <f t="shared" si="15"/>
        <v/>
      </c>
    </row>
    <row r="26" spans="2:11" ht="15.75" x14ac:dyDescent="0.25">
      <c r="B26" s="147" t="s">
        <v>864</v>
      </c>
      <c r="C26" s="148"/>
      <c r="D26" s="148"/>
      <c r="E26" s="148"/>
      <c r="F26" s="148"/>
      <c r="G26" s="148"/>
      <c r="H26" s="148"/>
      <c r="I26" s="148"/>
      <c r="J26" s="148"/>
      <c r="K26" s="149"/>
    </row>
    <row r="27" spans="2:11" ht="25.5" x14ac:dyDescent="0.25">
      <c r="B27" s="265" t="s">
        <v>14</v>
      </c>
      <c r="C27" s="128" t="s">
        <v>139</v>
      </c>
      <c r="D27" s="150" t="s">
        <v>168</v>
      </c>
      <c r="E27" s="151" t="e">
        <f>#REF!/#REF!</f>
        <v>#REF!</v>
      </c>
      <c r="F27" s="151" t="e">
        <f>#REF!/#REF!</f>
        <v>#REF!</v>
      </c>
      <c r="G27" s="151" t="e">
        <f>#REF!/#REF!</f>
        <v>#REF!</v>
      </c>
      <c r="H27" s="140" t="e">
        <f t="shared" ref="H27:H33" si="16">E27-F27</f>
        <v>#REF!</v>
      </c>
      <c r="I27" s="140" t="e">
        <f t="shared" ref="I27:I33" si="17">E27-G27</f>
        <v>#REF!</v>
      </c>
      <c r="J27" s="132" t="str">
        <f t="shared" ref="J27:J33" si="18">IFERROR(E27/F27,"")</f>
        <v/>
      </c>
      <c r="K27" s="133" t="str">
        <f t="shared" ref="K27:K33" si="19">IFERROR(E27/G27,"")</f>
        <v/>
      </c>
    </row>
    <row r="28" spans="2:11" ht="30" x14ac:dyDescent="0.25">
      <c r="B28" s="15" t="s">
        <v>15</v>
      </c>
      <c r="C28" s="128" t="s">
        <v>378</v>
      </c>
      <c r="D28" s="150" t="s">
        <v>379</v>
      </c>
      <c r="E28" s="151" t="e">
        <f>(#REF!+#REF!)/#REF!</f>
        <v>#REF!</v>
      </c>
      <c r="F28" s="151" t="e">
        <f>(#REF!+#REF!)/#REF!</f>
        <v>#REF!</v>
      </c>
      <c r="G28" s="151" t="e">
        <f>(#REF!+#REF!)/#REF!</f>
        <v>#REF!</v>
      </c>
      <c r="H28" s="140" t="e">
        <f t="shared" si="16"/>
        <v>#REF!</v>
      </c>
      <c r="I28" s="140" t="e">
        <f t="shared" si="17"/>
        <v>#REF!</v>
      </c>
      <c r="J28" s="132" t="str">
        <f t="shared" si="18"/>
        <v/>
      </c>
      <c r="K28" s="133" t="str">
        <f t="shared" si="19"/>
        <v/>
      </c>
    </row>
    <row r="29" spans="2:11" ht="30" x14ac:dyDescent="0.25">
      <c r="B29" s="15" t="s">
        <v>386</v>
      </c>
      <c r="C29" s="128" t="s">
        <v>196</v>
      </c>
      <c r="D29" s="150"/>
      <c r="E29" s="151" t="e">
        <f>#REF!/#REF!</f>
        <v>#REF!</v>
      </c>
      <c r="F29" s="151" t="e">
        <f>#REF!/#REF!</f>
        <v>#REF!</v>
      </c>
      <c r="G29" s="151" t="e">
        <f>#REF!/#REF!</f>
        <v>#REF!</v>
      </c>
      <c r="H29" s="140" t="e">
        <f t="shared" si="16"/>
        <v>#REF!</v>
      </c>
      <c r="I29" s="140" t="e">
        <f t="shared" si="17"/>
        <v>#REF!</v>
      </c>
      <c r="J29" s="132" t="str">
        <f t="shared" si="18"/>
        <v/>
      </c>
      <c r="K29" s="133" t="str">
        <f t="shared" si="19"/>
        <v/>
      </c>
    </row>
    <row r="30" spans="2:11" ht="30" x14ac:dyDescent="0.25">
      <c r="B30" s="15" t="s">
        <v>387</v>
      </c>
      <c r="C30" s="128" t="s">
        <v>161</v>
      </c>
      <c r="D30" s="150" t="s">
        <v>165</v>
      </c>
      <c r="E30" s="151" t="e">
        <f>(#REF!+#REF!+#REF!)/#REF!</f>
        <v>#REF!</v>
      </c>
      <c r="F30" s="151" t="e">
        <f>(#REF!+#REF!+#REF!)/#REF!</f>
        <v>#REF!</v>
      </c>
      <c r="G30" s="151" t="e">
        <f>(#REF!+#REF!+#REF!)/#REF!</f>
        <v>#REF!</v>
      </c>
      <c r="H30" s="140" t="e">
        <f t="shared" si="16"/>
        <v>#REF!</v>
      </c>
      <c r="I30" s="140" t="e">
        <f t="shared" si="17"/>
        <v>#REF!</v>
      </c>
      <c r="J30" s="132" t="str">
        <f t="shared" si="18"/>
        <v/>
      </c>
      <c r="K30" s="133" t="str">
        <f t="shared" si="19"/>
        <v/>
      </c>
    </row>
    <row r="31" spans="2:11" x14ac:dyDescent="0.25">
      <c r="B31" s="15" t="s">
        <v>388</v>
      </c>
      <c r="C31" s="128" t="s">
        <v>380</v>
      </c>
      <c r="D31" s="150"/>
      <c r="E31" s="151" t="e">
        <f>#REF!/#REF!</f>
        <v>#REF!</v>
      </c>
      <c r="F31" s="151" t="e">
        <f>#REF!/#REF!</f>
        <v>#REF!</v>
      </c>
      <c r="G31" s="151" t="e">
        <f>#REF!/#REF!</f>
        <v>#REF!</v>
      </c>
      <c r="H31" s="140" t="e">
        <f t="shared" si="16"/>
        <v>#REF!</v>
      </c>
      <c r="I31" s="140" t="e">
        <f t="shared" si="17"/>
        <v>#REF!</v>
      </c>
      <c r="J31" s="132" t="str">
        <f t="shared" si="18"/>
        <v/>
      </c>
      <c r="K31" s="133" t="str">
        <f t="shared" si="19"/>
        <v/>
      </c>
    </row>
    <row r="32" spans="2:11" ht="30" x14ac:dyDescent="0.25">
      <c r="B32" s="15" t="s">
        <v>389</v>
      </c>
      <c r="C32" s="128" t="s">
        <v>382</v>
      </c>
      <c r="D32" s="150" t="s">
        <v>246</v>
      </c>
      <c r="E32" s="151" t="e">
        <f>(#REF!-#REF!)/#REF!</f>
        <v>#REF!</v>
      </c>
      <c r="F32" s="151" t="e">
        <f>(#REF!-#REF!)/#REF!</f>
        <v>#REF!</v>
      </c>
      <c r="G32" s="151" t="e">
        <f>(#REF!-#REF!)/#REF!</f>
        <v>#REF!</v>
      </c>
      <c r="H32" s="140" t="e">
        <f t="shared" si="16"/>
        <v>#REF!</v>
      </c>
      <c r="I32" s="140" t="e">
        <f t="shared" si="17"/>
        <v>#REF!</v>
      </c>
      <c r="J32" s="132" t="str">
        <f t="shared" si="18"/>
        <v/>
      </c>
      <c r="K32" s="133" t="str">
        <f t="shared" si="19"/>
        <v/>
      </c>
    </row>
    <row r="33" spans="2:11" ht="30" x14ac:dyDescent="0.25">
      <c r="B33" s="141" t="s">
        <v>390</v>
      </c>
      <c r="C33" s="142" t="s">
        <v>383</v>
      </c>
      <c r="D33" s="240"/>
      <c r="E33" s="152" t="e">
        <f>(#REF!-#REF!)/(#REF!+#REF!)</f>
        <v>#REF!</v>
      </c>
      <c r="F33" s="152" t="e">
        <f>(#REF!-#REF!)/(#REF!+#REF!)</f>
        <v>#REF!</v>
      </c>
      <c r="G33" s="152" t="e">
        <f>(#REF!-#REF!)/(#REF!+#REF!)</f>
        <v>#REF!</v>
      </c>
      <c r="H33" s="241" t="e">
        <f t="shared" si="16"/>
        <v>#REF!</v>
      </c>
      <c r="I33" s="241" t="e">
        <f t="shared" si="17"/>
        <v>#REF!</v>
      </c>
      <c r="J33" s="144" t="str">
        <f t="shared" si="18"/>
        <v/>
      </c>
      <c r="K33" s="145" t="str">
        <f t="shared" si="19"/>
        <v/>
      </c>
    </row>
  </sheetData>
  <mergeCells count="6">
    <mergeCell ref="J3:K3"/>
    <mergeCell ref="B3:B4"/>
    <mergeCell ref="C3:C4"/>
    <mergeCell ref="D3:D4"/>
    <mergeCell ref="E3:G3"/>
    <mergeCell ref="H3:I3"/>
  </mergeCells>
  <printOptions horizontalCentered="1"/>
  <pageMargins left="0.19685039370078741" right="0.19685039370078741" top="0.78740157480314965" bottom="0.39370078740157483" header="0.31496062992125984" footer="0.31496062992125984"/>
  <pageSetup paperSize="9" scale="94" orientation="landscape" r:id="rId1"/>
  <rowBreaks count="1" manualBreakCount="1">
    <brk id="1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36</vt:i4>
      </vt:variant>
      <vt:variant>
        <vt:lpstr>Именованные диапазоны</vt:lpstr>
      </vt:variant>
      <vt:variant>
        <vt:i4>34</vt:i4>
      </vt:variant>
    </vt:vector>
  </HeadingPairs>
  <TitlesOfParts>
    <vt:vector size="70" baseType="lpstr">
      <vt:lpstr>Пояснения</vt:lpstr>
      <vt:lpstr>Коэфф</vt:lpstr>
      <vt:lpstr>Струк</vt:lpstr>
      <vt:lpstr>Струк2</vt:lpstr>
      <vt:lpstr>Диаг1</vt:lpstr>
      <vt:lpstr>Струк3</vt:lpstr>
      <vt:lpstr>Струк4</vt:lpstr>
      <vt:lpstr>Струк5</vt:lpstr>
      <vt:lpstr>Устойчивость</vt:lpstr>
      <vt:lpstr>УстИонова</vt:lpstr>
      <vt:lpstr>УстШеремет</vt:lpstr>
      <vt:lpstr>АбсолПоказ</vt:lpstr>
      <vt:lpstr>Ликв</vt:lpstr>
      <vt:lpstr>Диаг2</vt:lpstr>
      <vt:lpstr>Ликв1</vt:lpstr>
      <vt:lpstr>Ликв2</vt:lpstr>
      <vt:lpstr>Расчет по старой методике</vt:lpstr>
      <vt:lpstr>Итог</vt:lpstr>
      <vt:lpstr>Лист1</vt:lpstr>
      <vt:lpstr>Оборачиваемость</vt:lpstr>
      <vt:lpstr>Диаг3</vt:lpstr>
      <vt:lpstr>Рент</vt:lpstr>
      <vt:lpstr>Диаг4</vt:lpstr>
      <vt:lpstr>Прибыль</vt:lpstr>
      <vt:lpstr>Прибыль1</vt:lpstr>
      <vt:lpstr>Прибыль2</vt:lpstr>
      <vt:lpstr>Неплат</vt:lpstr>
      <vt:lpstr>Диаг5</vt:lpstr>
      <vt:lpstr>Неплат2</vt:lpstr>
      <vt:lpstr>DuPont</vt:lpstr>
      <vt:lpstr>Фактор1</vt:lpstr>
      <vt:lpstr>Фактор2</vt:lpstr>
      <vt:lpstr>Фактор3</vt:lpstr>
      <vt:lpstr>Фактор4</vt:lpstr>
      <vt:lpstr>Фактор5</vt:lpstr>
      <vt:lpstr>Лист2</vt:lpstr>
      <vt:lpstr>Cikl</vt:lpstr>
      <vt:lpstr>dopd</vt:lpstr>
      <vt:lpstr>explanations</vt:lpstr>
      <vt:lpstr>DuPont!Заголовки_для_печати</vt:lpstr>
      <vt:lpstr>Оборачиваемость!Заголовки_для_печати</vt:lpstr>
      <vt:lpstr>Рент!Заголовки_для_печати</vt:lpstr>
      <vt:lpstr>Струк!Заголовки_для_печати</vt:lpstr>
      <vt:lpstr>Струк3!Заголовки_для_печати</vt:lpstr>
      <vt:lpstr>Устойчивость!Заголовки_для_печати</vt:lpstr>
      <vt:lpstr>DuPont!Область_печати</vt:lpstr>
      <vt:lpstr>АбсолПоказ!Область_печати</vt:lpstr>
      <vt:lpstr>Ликв!Область_печати</vt:lpstr>
      <vt:lpstr>Ликв1!Область_печати</vt:lpstr>
      <vt:lpstr>Ликв2!Область_печати</vt:lpstr>
      <vt:lpstr>Неплат!Область_печати</vt:lpstr>
      <vt:lpstr>Неплат2!Область_печати</vt:lpstr>
      <vt:lpstr>Оборачиваемость!Область_печати</vt:lpstr>
      <vt:lpstr>Пояснения!Область_печати</vt:lpstr>
      <vt:lpstr>Прибыль!Область_печати</vt:lpstr>
      <vt:lpstr>Прибыль2!Область_печати</vt:lpstr>
      <vt:lpstr>Рент!Область_печати</vt:lpstr>
      <vt:lpstr>Струк!Область_печати</vt:lpstr>
      <vt:lpstr>Струк2!Область_печати</vt:lpstr>
      <vt:lpstr>Струк3!Область_печати</vt:lpstr>
      <vt:lpstr>Струк4!Область_печати</vt:lpstr>
      <vt:lpstr>Струк5!Область_печати</vt:lpstr>
      <vt:lpstr>УстИонова!Область_печати</vt:lpstr>
      <vt:lpstr>Устойчивость!Область_печати</vt:lpstr>
      <vt:lpstr>УстШеремет!Область_печати</vt:lpstr>
      <vt:lpstr>Фактор1!Область_печати</vt:lpstr>
      <vt:lpstr>Фактор2!Область_печати</vt:lpstr>
      <vt:lpstr>Фактор3!Область_печати</vt:lpstr>
      <vt:lpstr>Фактор4!Область_печати</vt:lpstr>
      <vt:lpstr>Фактор5!Область_печати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Nplan</dc:creator>
  <cp:lastModifiedBy>Белозерцев Л.Н.</cp:lastModifiedBy>
  <cp:lastPrinted>2021-06-04T07:14:41Z</cp:lastPrinted>
  <dcterms:created xsi:type="dcterms:W3CDTF">2016-03-03T11:18:38Z</dcterms:created>
  <dcterms:modified xsi:type="dcterms:W3CDTF">2021-06-04T09:23:00Z</dcterms:modified>
</cp:coreProperties>
</file>