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E536EC1-F777-47EC-9BD1-FF773C70AE39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/>
  <c r="M14" i="1" l="1" a="1"/>
  <c r="M14" i="1" s="1"/>
  <c r="M30" i="1" a="1"/>
  <c r="M30" i="1" s="1"/>
  <c r="P12" i="1" a="1"/>
  <c r="P12" i="1" s="1"/>
  <c r="Q31" i="1" a="1"/>
  <c r="Q31" i="1" s="1"/>
  <c r="N17" i="1" a="1"/>
  <c r="N17" i="1" s="1"/>
  <c r="M22" i="1" a="1"/>
  <c r="M22" i="1" s="1"/>
  <c r="N10" i="1" a="1"/>
  <c r="N10" i="1" s="1"/>
  <c r="P20" i="1" a="1"/>
  <c r="P20" i="1" s="1"/>
  <c r="P10" i="1" a="1"/>
  <c r="P10" i="1" s="1"/>
  <c r="Q23" i="1" a="1"/>
  <c r="Q23" i="1" s="1"/>
  <c r="Q10" i="1" a="1"/>
  <c r="Q10" i="1" s="1"/>
  <c r="N25" i="1" a="1"/>
  <c r="N25" i="1" s="1"/>
  <c r="N12" i="1" a="1"/>
  <c r="N12" i="1" s="1"/>
  <c r="P28" i="1" a="1"/>
  <c r="P28" i="1" s="1"/>
  <c r="Q15" i="1" a="1"/>
  <c r="Q15" i="1" s="1"/>
  <c r="N30" i="1" a="1"/>
  <c r="N30" i="1" s="1"/>
  <c r="Q28" i="1" a="1"/>
  <c r="Q28" i="1" s="1"/>
  <c r="M27" i="1" a="1"/>
  <c r="M27" i="1" s="1"/>
  <c r="P25" i="1" a="1"/>
  <c r="P25" i="1" s="1"/>
  <c r="N22" i="1" a="1"/>
  <c r="N22" i="1" s="1"/>
  <c r="Q20" i="1" a="1"/>
  <c r="Q20" i="1" s="1"/>
  <c r="M19" i="1" a="1"/>
  <c r="M19" i="1" s="1"/>
  <c r="P17" i="1" a="1"/>
  <c r="P17" i="1" s="1"/>
  <c r="N14" i="1" a="1"/>
  <c r="N14" i="1" s="1"/>
  <c r="Q12" i="1" a="1"/>
  <c r="Q12" i="1" s="1"/>
  <c r="M11" i="1" a="1"/>
  <c r="M11" i="1" s="1"/>
  <c r="M32" i="1" a="1"/>
  <c r="M32" i="1" s="1"/>
  <c r="P30" i="1" a="1"/>
  <c r="P30" i="1" s="1"/>
  <c r="N27" i="1" a="1"/>
  <c r="N27" i="1" s="1"/>
  <c r="Q25" i="1" a="1"/>
  <c r="Q25" i="1" s="1"/>
  <c r="M24" i="1" a="1"/>
  <c r="M24" i="1" s="1"/>
  <c r="P22" i="1" a="1"/>
  <c r="P22" i="1" s="1"/>
  <c r="N19" i="1" a="1"/>
  <c r="N19" i="1" s="1"/>
  <c r="Q17" i="1" a="1"/>
  <c r="Q17" i="1" s="1"/>
  <c r="M16" i="1" a="1"/>
  <c r="M16" i="1" s="1"/>
  <c r="P14" i="1" a="1"/>
  <c r="P14" i="1" s="1"/>
  <c r="N11" i="1" a="1"/>
  <c r="N11" i="1" s="1"/>
  <c r="N32" i="1" a="1"/>
  <c r="N32" i="1" s="1"/>
  <c r="Q30" i="1" a="1"/>
  <c r="Q30" i="1" s="1"/>
  <c r="M29" i="1" a="1"/>
  <c r="M29" i="1" s="1"/>
  <c r="P27" i="1" a="1"/>
  <c r="P27" i="1" s="1"/>
  <c r="N24" i="1" a="1"/>
  <c r="N24" i="1" s="1"/>
  <c r="Q22" i="1" a="1"/>
  <c r="Q22" i="1" s="1"/>
  <c r="M21" i="1" a="1"/>
  <c r="M21" i="1" s="1"/>
  <c r="P19" i="1" a="1"/>
  <c r="P19" i="1" s="1"/>
  <c r="N16" i="1" a="1"/>
  <c r="N16" i="1" s="1"/>
  <c r="Q14" i="1" a="1"/>
  <c r="Q14" i="1" s="1"/>
  <c r="M13" i="1" a="1"/>
  <c r="M13" i="1" s="1"/>
  <c r="P11" i="1" a="1"/>
  <c r="P11" i="1" s="1"/>
  <c r="P32" i="1" a="1"/>
  <c r="P32" i="1" s="1"/>
  <c r="N29" i="1" a="1"/>
  <c r="N29" i="1" s="1"/>
  <c r="Q27" i="1" a="1"/>
  <c r="Q27" i="1" s="1"/>
  <c r="M26" i="1" a="1"/>
  <c r="M26" i="1" s="1"/>
  <c r="P24" i="1" a="1"/>
  <c r="P24" i="1" s="1"/>
  <c r="N21" i="1" a="1"/>
  <c r="N21" i="1" s="1"/>
  <c r="Q19" i="1" a="1"/>
  <c r="Q19" i="1" s="1"/>
  <c r="M18" i="1" a="1"/>
  <c r="M18" i="1" s="1"/>
  <c r="P16" i="1" a="1"/>
  <c r="P16" i="1" s="1"/>
  <c r="N13" i="1" a="1"/>
  <c r="N13" i="1" s="1"/>
  <c r="Q11" i="1" a="1"/>
  <c r="Q11" i="1" s="1"/>
  <c r="Q32" i="1" a="1"/>
  <c r="Q32" i="1" s="1"/>
  <c r="S32" i="1" s="1"/>
  <c r="M31" i="1" a="1"/>
  <c r="M31" i="1" s="1"/>
  <c r="P29" i="1" a="1"/>
  <c r="P29" i="1" s="1"/>
  <c r="N26" i="1" a="1"/>
  <c r="N26" i="1" s="1"/>
  <c r="Q24" i="1" a="1"/>
  <c r="Q24" i="1" s="1"/>
  <c r="M23" i="1" a="1"/>
  <c r="M23" i="1" s="1"/>
  <c r="P21" i="1" a="1"/>
  <c r="P21" i="1" s="1"/>
  <c r="N18" i="1" a="1"/>
  <c r="N18" i="1" s="1"/>
  <c r="Q16" i="1" a="1"/>
  <c r="Q16" i="1" s="1"/>
  <c r="M15" i="1" a="1"/>
  <c r="M15" i="1" s="1"/>
  <c r="P13" i="1" a="1"/>
  <c r="P13" i="1" s="1"/>
  <c r="N31" i="1" a="1"/>
  <c r="N31" i="1" s="1"/>
  <c r="Q29" i="1" a="1"/>
  <c r="Q29" i="1" s="1"/>
  <c r="M28" i="1" a="1"/>
  <c r="M28" i="1" s="1"/>
  <c r="P26" i="1" a="1"/>
  <c r="P26" i="1" s="1"/>
  <c r="N23" i="1" a="1"/>
  <c r="N23" i="1" s="1"/>
  <c r="Q21" i="1" a="1"/>
  <c r="Q21" i="1" s="1"/>
  <c r="M20" i="1" a="1"/>
  <c r="M20" i="1" s="1"/>
  <c r="P18" i="1" a="1"/>
  <c r="P18" i="1" s="1"/>
  <c r="N15" i="1" a="1"/>
  <c r="N15" i="1" s="1"/>
  <c r="Q13" i="1" a="1"/>
  <c r="Q13" i="1" s="1"/>
  <c r="M12" i="1" a="1"/>
  <c r="M12" i="1" s="1"/>
  <c r="M10" i="1" a="1"/>
  <c r="M10" i="1" s="1"/>
  <c r="P31" i="1" a="1"/>
  <c r="P31" i="1" s="1"/>
  <c r="N28" i="1" a="1"/>
  <c r="N28" i="1" s="1"/>
  <c r="Q26" i="1" a="1"/>
  <c r="Q26" i="1" s="1"/>
  <c r="M25" i="1" a="1"/>
  <c r="M25" i="1" s="1"/>
  <c r="P23" i="1" a="1"/>
  <c r="P23" i="1" s="1"/>
  <c r="N20" i="1" a="1"/>
  <c r="N20" i="1" s="1"/>
  <c r="Q18" i="1" a="1"/>
  <c r="Q18" i="1" s="1"/>
  <c r="M17" i="1" a="1"/>
  <c r="M17" i="1" s="1"/>
  <c r="P15" i="1" a="1"/>
  <c r="P15" i="1" s="1"/>
  <c r="X10" i="1"/>
  <c r="Z4" i="1" l="1"/>
  <c r="L9" i="1" l="1"/>
  <c r="O9" i="1"/>
  <c r="K10" i="1" l="1"/>
  <c r="L32" i="1" a="1"/>
  <c r="L32" i="1" s="1"/>
  <c r="L27" i="1" a="1"/>
  <c r="L27" i="1" s="1"/>
  <c r="L22" i="1" a="1"/>
  <c r="L22" i="1" s="1"/>
  <c r="L24" i="1" a="1"/>
  <c r="L24" i="1" s="1"/>
  <c r="L19" i="1" a="1"/>
  <c r="L19" i="1" s="1"/>
  <c r="L15" i="1" a="1"/>
  <c r="L15" i="1" s="1"/>
  <c r="L16" i="1" a="1"/>
  <c r="L16" i="1" s="1"/>
  <c r="L31" i="1" a="1"/>
  <c r="L31" i="1" s="1"/>
  <c r="L11" i="1" a="1"/>
  <c r="L11" i="1" s="1"/>
  <c r="L12" i="1" a="1"/>
  <c r="L12" i="1" s="1"/>
  <c r="L26" i="1" a="1"/>
  <c r="L26" i="1" s="1"/>
  <c r="L29" i="1" a="1"/>
  <c r="L29" i="1" s="1"/>
  <c r="L18" i="1" a="1"/>
  <c r="L18" i="1" s="1"/>
  <c r="L21" i="1" a="1"/>
  <c r="L21" i="1" s="1"/>
  <c r="L13" i="1" a="1"/>
  <c r="L13" i="1" s="1"/>
  <c r="L28" i="1" a="1"/>
  <c r="L28" i="1" s="1"/>
  <c r="L23" i="1" a="1"/>
  <c r="L23" i="1" s="1"/>
  <c r="L25" i="1" a="1"/>
  <c r="L25" i="1" s="1"/>
  <c r="L20" i="1" a="1"/>
  <c r="L20" i="1" s="1"/>
  <c r="L10" i="1" a="1"/>
  <c r="L10" i="1" s="1"/>
  <c r="L17" i="1" a="1"/>
  <c r="L17" i="1" s="1"/>
  <c r="L14" i="1" a="1"/>
  <c r="L14" i="1" s="1"/>
  <c r="L30" i="1" a="1"/>
  <c r="L30" i="1" s="1"/>
  <c r="O28" i="1" a="1"/>
  <c r="O28" i="1" s="1"/>
  <c r="O23" i="1" a="1"/>
  <c r="O23" i="1" s="1"/>
  <c r="O10" i="1" a="1"/>
  <c r="O10" i="1" s="1"/>
  <c r="O20" i="1" a="1"/>
  <c r="O20" i="1" s="1"/>
  <c r="O12" i="1" a="1"/>
  <c r="O12" i="1" s="1"/>
  <c r="O25" i="1" a="1"/>
  <c r="O25" i="1" s="1"/>
  <c r="O31" i="1" a="1"/>
  <c r="O31" i="1" s="1"/>
  <c r="O13" i="1" a="1"/>
  <c r="O13" i="1" s="1"/>
  <c r="O30" i="1" a="1"/>
  <c r="O30" i="1" s="1"/>
  <c r="O17" i="1" a="1"/>
  <c r="O17" i="1" s="1"/>
  <c r="O18" i="1" a="1"/>
  <c r="O18" i="1" s="1"/>
  <c r="O27" i="1" a="1"/>
  <c r="O27" i="1" s="1"/>
  <c r="O22" i="1" a="1"/>
  <c r="O22" i="1" s="1"/>
  <c r="O32" i="1" a="1"/>
  <c r="O32" i="1" s="1"/>
  <c r="O26" i="1" a="1"/>
  <c r="O26" i="1" s="1"/>
  <c r="O19" i="1" a="1"/>
  <c r="O19" i="1" s="1"/>
  <c r="O14" i="1" a="1"/>
  <c r="O14" i="1" s="1"/>
  <c r="O24" i="1" a="1"/>
  <c r="O24" i="1" s="1"/>
  <c r="O29" i="1" a="1"/>
  <c r="O29" i="1" s="1"/>
  <c r="O16" i="1" a="1"/>
  <c r="O16" i="1" s="1"/>
  <c r="O21" i="1" a="1"/>
  <c r="O21" i="1" s="1"/>
  <c r="O11" i="1" a="1"/>
  <c r="O11" i="1" s="1"/>
  <c r="O15" i="1" a="1"/>
  <c r="O15" i="1" s="1"/>
  <c r="W10" i="1"/>
  <c r="Y10" i="1"/>
  <c r="W16" i="1" l="1"/>
  <c r="X16" i="1"/>
  <c r="K15" i="1"/>
  <c r="K23" i="1"/>
  <c r="K31" i="1"/>
  <c r="K13" i="1"/>
  <c r="K18" i="1"/>
  <c r="K25" i="1"/>
  <c r="K16" i="1"/>
  <c r="K14" i="1"/>
  <c r="K22" i="1"/>
  <c r="K30" i="1"/>
  <c r="K21" i="1"/>
  <c r="K29" i="1"/>
  <c r="K26" i="1"/>
  <c r="K17" i="1"/>
  <c r="K24" i="1"/>
  <c r="K12" i="1"/>
  <c r="K20" i="1"/>
  <c r="K28" i="1"/>
  <c r="K19" i="1"/>
  <c r="K27" i="1"/>
  <c r="K11" i="1"/>
  <c r="K32" i="1"/>
  <c r="Z10" i="1"/>
  <c r="R4" i="1" l="1" a="1"/>
  <c r="R4" i="1" s="1"/>
  <c r="R7" i="1" s="1"/>
  <c r="Q4" i="1" a="1"/>
  <c r="Q4" i="1" s="1"/>
  <c r="S26" i="1" s="1"/>
  <c r="S21" i="1" l="1"/>
  <c r="S28" i="1"/>
  <c r="S29" i="1"/>
  <c r="S22" i="1"/>
  <c r="S17" i="1"/>
  <c r="S14" i="1"/>
  <c r="S18" i="1"/>
  <c r="S23" i="1"/>
  <c r="S24" i="1"/>
  <c r="S25" i="1"/>
  <c r="S31" i="1"/>
  <c r="S19" i="1"/>
  <c r="S27" i="1"/>
  <c r="S10" i="1"/>
  <c r="W11" i="1" s="1"/>
  <c r="W17" i="1" s="1"/>
  <c r="Y19" i="1" s="1"/>
  <c r="T11" i="1" s="1"/>
  <c r="S12" i="1"/>
  <c r="S11" i="1"/>
  <c r="Y11" i="1" s="1"/>
  <c r="X17" i="1" s="1"/>
  <c r="S30" i="1"/>
  <c r="S16" i="1"/>
  <c r="S13" i="1"/>
  <c r="S15" i="1"/>
  <c r="S20" i="1"/>
  <c r="Q7" i="1"/>
  <c r="S7" i="1" s="1"/>
  <c r="Z15" i="1"/>
  <c r="Z16" i="1" s="1"/>
  <c r="Z11" i="1" l="1"/>
  <c r="Z12" i="1" s="1"/>
  <c r="Z13" i="1" s="1"/>
  <c r="X11" i="1" s="1"/>
  <c r="Z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<sst xmlns="http://schemas.openxmlformats.org/spreadsheetml/2006/main" count="158" uniqueCount="94">
  <si>
    <t>Таблица 1</t>
  </si>
  <si>
    <t>Таблица 2</t>
  </si>
  <si>
    <t>№ П/П</t>
  </si>
  <si>
    <t>Масса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</si>
  <si>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</si>
  <si>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</si>
  <si>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</si>
  <si>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</si>
  <si>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</si>
  <si>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</si>
  <si>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</si>
  <si>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</si>
  <si>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</si>
  <si>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</si>
  <si>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</si>
  <si>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</si>
  <si>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</si>
  <si>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</si>
  <si>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</si>
  <si>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</si>
  <si>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</si>
  <si>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</si>
  <si>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</si>
  <si>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</si>
  <si>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</si>
  <si>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</si>
  <si>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</si>
  <si>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</si>
  <si>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</si>
  <si>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</si>
  <si>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</si>
  <si>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</si>
  <si>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</si>
  <si>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</si>
  <si>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</si>
  <si>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</si>
  <si>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</si>
  <si>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</si>
  <si>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</si>
  <si>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</si>
  <si>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</si>
  <si>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</si>
  <si>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</si>
  <si>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</si>
  <si>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</si>
  <si>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</si>
  <si>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</si>
  <si>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</si>
  <si>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</si>
  <si>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</si>
  <si>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</si>
  <si>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</si>
  <si>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</si>
  <si>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</si>
  <si>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</si>
  <si>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</si>
  <si>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</si>
  <si>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</si>
  <si>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</si>
  <si>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</si>
  <si>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</si>
  <si>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</si>
  <si>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</si>
  <si>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</si>
  <si>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</si>
  <si>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</si>
  <si>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</si>
  <si>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</si>
  <si>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</si>
  <si>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</si>
  <si>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</si>
  <si>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</si>
  <si>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</si>
  <si>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</si>
  <si>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</si>
  <si>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</si>
  <si>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</si>
  <si>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</si>
  <si>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</si>
  <si>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</si>
  <si>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</si>
  <si>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</si>
  <si>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</si>
  <si>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</si>
  <si>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</si>
  <si>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</si>
  <si>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</si>
  <si>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</si>
  <si>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</si>
  <si>
    <t>Аппроксимация</t>
  </si>
  <si>
    <t>R^2=</t>
  </si>
  <si>
    <t xml:space="preserve"> =ПРЕДСКАЗ(</t>
  </si>
  <si>
    <t>не знаю как вычислить из мануального вычисления тренда</t>
  </si>
  <si>
    <t>R^2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</si>
</sst>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0.000000000"/>
    <numFmt numFmtId="167" formatCode="_-* #,##0\ _₽_-;\-* #,##0\ _₽_-;_-* &quot;-&quot;??\ _₽_-;_-@_-"/>
    <numFmt numFmtId="168" formatCode="_-* #,##0.0\ _₽_-;\-* #,##0.0\ _₽_-;_-* &quot;-&quot;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5" fontId="0" fillId="0" borderId="0" xfId="0" applyNumberFormat="1" applyBorder="1"/>
    <xf numFmtId="166" fontId="0" fillId="0" borderId="0" xfId="0" applyNumberFormat="1" applyBorder="1"/>
    <xf numFmtId="164" fontId="0" fillId="0" borderId="0" xfId="1" applyFont="1" applyBorder="1"/>
    <xf numFmtId="164" fontId="0" fillId="0" borderId="0" xfId="0" applyNumberFormat="1" applyBorder="1"/>
    <xf numFmtId="167" fontId="0" fillId="0" borderId="3" xfId="1" applyNumberFormat="1" applyFont="1" applyBorder="1" applyAlignment="1">
      <alignment horizontal="right"/>
    </xf>
    <xf numFmtId="168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5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164" fontId="0" fillId="2" borderId="8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67" fontId="0" fillId="8" borderId="4" xfId="0" applyNumberFormat="1" applyFill="1" applyBorder="1"/>
    <xf numFmtId="167" fontId="0" fillId="8" borderId="15" xfId="0" applyNumberFormat="1" applyFill="1" applyBorder="1"/>
    <xf numFmtId="167" fontId="0" fillId="8" borderId="16" xfId="0" applyNumberFormat="1" applyFill="1" applyBorder="1"/>
    <xf numFmtId="167" fontId="0" fillId="8" borderId="17" xfId="0" applyNumberFormat="1" applyFill="1" applyBorder="1"/>
    <xf numFmtId="0" fontId="0" fillId="8" borderId="13" xfId="0" applyFill="1" applyBorder="1"/>
    <xf numFmtId="0" fontId="0" fillId="8" borderId="14" xfId="0" applyFill="1" applyBorder="1"/>
    <xf numFmtId="0" fontId="0" fillId="7" borderId="3" xfId="0" applyFill="1" applyBorder="1"/>
    <xf numFmtId="0" fontId="0" fillId="9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26185271616807E-2"/>
          <c:y val="0.12358966091783689"/>
          <c:w val="0.91243860084206896"/>
          <c:h val="0.79425595977154206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[0]!Масса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[0]!Апроксимация</c:f>
              <c:numCache>
                <c:formatCode>_-* #\ ##0.00\ _₽_-;\-* #\ ##0.00\ _₽_-;_-* "-"??\ _₽_-;_-@_-</c:formatCode>
                <c:ptCount val="22"/>
                <c:pt idx="0">
                  <c:v>1018.8967670672071</c:v>
                </c:pt>
                <c:pt idx="1">
                  <c:v>816.58153339912576</c:v>
                </c:pt>
                <c:pt idx="2">
                  <c:v>698.23470837865989</c:v>
                </c:pt>
                <c:pt idx="3">
                  <c:v>614.26629973104446</c:v>
                </c:pt>
                <c:pt idx="4">
                  <c:v>549.13534198958757</c:v>
                </c:pt>
                <c:pt idx="5">
                  <c:v>495.9194747105787</c:v>
                </c:pt>
                <c:pt idx="6">
                  <c:v>450.92610002188485</c:v>
                </c:pt>
                <c:pt idx="7">
                  <c:v>411.95106606296326</c:v>
                </c:pt>
                <c:pt idx="8">
                  <c:v>377.57264969011271</c:v>
                </c:pt>
                <c:pt idx="9">
                  <c:v>346.82010832150627</c:v>
                </c:pt>
                <c:pt idx="10">
                  <c:v>319.00105078385366</c:v>
                </c:pt>
                <c:pt idx="11">
                  <c:v>293.60424104249739</c:v>
                </c:pt>
                <c:pt idx="12">
                  <c:v>270.24144081684324</c:v>
                </c:pt>
                <c:pt idx="13">
                  <c:v>248.61086635380354</c:v>
                </c:pt>
                <c:pt idx="14">
                  <c:v>228.4732833010404</c:v>
                </c:pt>
                <c:pt idx="15">
                  <c:v>209.63583239488196</c:v>
                </c:pt>
                <c:pt idx="16">
                  <c:v>191.94076723004525</c:v>
                </c:pt>
                <c:pt idx="17">
                  <c:v>175.25741602203152</c:v>
                </c:pt>
                <c:pt idx="18">
                  <c:v>159.47631957979672</c:v>
                </c:pt>
                <c:pt idx="19">
                  <c:v>144.50487465342508</c:v>
                </c:pt>
                <c:pt idx="20">
                  <c:v>130.26404133333767</c:v>
                </c:pt>
                <c:pt idx="21">
                  <c:v>116.68581711577235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stdErr"/>
            <c:noEndCap val="0"/>
          </c:errBars>
          <c:cat>
            <c:numRef>
              <c:f>'1'!$P$10:$P$31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'1'!$T$10:$T$21</c:f>
              <c:numCache>
                <c:formatCode>0.0</c:formatCode>
                <c:ptCount val="12"/>
                <c:pt idx="1">
                  <c:v>847.36863417470329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5-429F-B940-156D7548BF8B}"/>
            </c:ext>
          </c:extLst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46E-2"/>
                  <c:y val="-0.7736607275447589"/>
                </c:manualLayout>
              </c:layout>
              <c:numFmt formatCode="#,##0.00" sourceLinked="0"/>
            </c:trendlineLbl>
          </c:trendline>
          <c:cat>
            <c:numRef>
              <c:f>[0]!Масса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[0]!Цена</c:f>
              <c:numCache>
                <c:formatCode>General</c:formatCode>
                <c:ptCount val="21"/>
                <c:pt idx="0">
                  <c:v>1257</c:v>
                </c:pt>
                <c:pt idx="1">
                  <c:v>776</c:v>
                </c:pt>
                <c:pt idx="2">
                  <c:v>520</c:v>
                </c:pt>
                <c:pt idx="3">
                  <c:v>766</c:v>
                </c:pt>
                <c:pt idx="4">
                  <c:v>479</c:v>
                </c:pt>
                <c:pt idx="5">
                  <c:v>366</c:v>
                </c:pt>
                <c:pt idx="6">
                  <c:v>299</c:v>
                </c:pt>
                <c:pt idx="7">
                  <c:v>316</c:v>
                </c:pt>
                <c:pt idx="8">
                  <c:v>349</c:v>
                </c:pt>
                <c:pt idx="9">
                  <c:v>285</c:v>
                </c:pt>
                <c:pt idx="10">
                  <c:v>387</c:v>
                </c:pt>
                <c:pt idx="11">
                  <c:v>350</c:v>
                </c:pt>
                <c:pt idx="12">
                  <c:v>278</c:v>
                </c:pt>
                <c:pt idx="13">
                  <c:v>265</c:v>
                </c:pt>
                <c:pt idx="14">
                  <c:v>254</c:v>
                </c:pt>
                <c:pt idx="15">
                  <c:v>0</c:v>
                </c:pt>
                <c:pt idx="16">
                  <c:v>225</c:v>
                </c:pt>
                <c:pt idx="17">
                  <c:v>225</c:v>
                </c:pt>
                <c:pt idx="18">
                  <c:v>242</c:v>
                </c:pt>
                <c:pt idx="19">
                  <c:v>206</c:v>
                </c:pt>
                <c:pt idx="20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11136"/>
        <c:axId val="143221120"/>
      </c:lineChart>
      <c:catAx>
        <c:axId val="1432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21120"/>
        <c:crosses val="autoZero"/>
        <c:auto val="1"/>
        <c:lblAlgn val="ctr"/>
        <c:lblOffset val="100"/>
        <c:noMultiLvlLbl val="0"/>
      </c:catAx>
      <c:valAx>
        <c:axId val="1432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₽_-;\-* #\ ##0.0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1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269260</xdr:colOff>
      <xdr:row>36</xdr:row>
      <xdr:rowOff>133394</xdr:rowOff>
    </xdr:from>
    <xdr:to>
      <xdr:col>23</xdr:col>
      <xdr:colOff>290673</xdr:colOff>
      <xdr:row>69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I63" totalsRowShown="0" headerRowDxfId="12" dataDxfId="10" headerRowBorderDxfId="11" tableBorderDxfId="9" totalsRowBorderDxfId="8">
  <autoFilter ref="B9:I63" xr:uid="{00000000-0009-0000-0100-000001000000}"/>
  <tableColumns count="8">
    <tableColumn id="1" xr3:uid="{00000000-0010-0000-0000-000001000000}" name="№ П/П" dataDxfId="7"/>
    <tableColumn id="2" xr3:uid="{00000000-0010-0000-0000-000002000000}" name="Признак 1" dataDxfId="6"/>
    <tableColumn id="3" xr3:uid="{00000000-0010-0000-0000-000003000000}" name="Номенклатура" dataDxfId="5"/>
    <tableColumn id="4" xr3:uid="{00000000-0010-0000-0000-000004000000}" name="Дата" dataDxfId="4"/>
    <tableColumn id="5" xr3:uid="{00000000-0010-0000-0000-000005000000}" name="Группа" dataDxfId="3"/>
    <tableColumn id="6" xr3:uid="{00000000-0010-0000-0000-000006000000}" name="Признак 2" dataDxfId="2"/>
    <tableColumn id="7" xr3:uid="{00000000-0010-0000-0000-000007000000}" name="Масса" dataDxfId="1"/>
    <tableColumn id="8" xr3:uid="{00000000-0010-0000-0000-000008000000}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30"/>
  <sheetViews>
    <sheetView tabSelected="1" topLeftCell="I1" zoomScale="70" zoomScaleNormal="70" workbookViewId="0">
      <selection activeCell="O3" sqref="O3"/>
    </sheetView>
  </sheetViews>
  <sheetFormatPr defaultRowHeight="15" x14ac:dyDescent="0.25"/>
  <cols>
    <col min="2" max="2" width="3.28515625" style="61" bestFit="1" customWidth="1"/>
    <col min="3" max="3" width="10" style="61" bestFit="1" customWidth="1"/>
    <col min="4" max="4" width="19.42578125" style="68" customWidth="1"/>
    <col min="5" max="5" width="12.7109375" style="62" customWidth="1"/>
    <col min="6" max="6" width="4.28515625" style="61" bestFit="1" customWidth="1"/>
    <col min="7" max="7" width="4.140625" style="61" bestFit="1" customWidth="1"/>
    <col min="8" max="8" width="8.7109375" style="61" bestFit="1" customWidth="1"/>
    <col min="9" max="9" width="7.5703125" style="61" customWidth="1"/>
    <col min="11" max="11" width="5.140625" customWidth="1"/>
    <col min="12" max="12" width="10.28515625" customWidth="1"/>
    <col min="13" max="14" width="6.85546875" customWidth="1"/>
    <col min="15" max="15" width="11.42578125" customWidth="1"/>
    <col min="16" max="16" width="10.5703125" bestFit="1" customWidth="1"/>
    <col min="17" max="17" width="10.28515625" bestFit="1" customWidth="1"/>
    <col min="18" max="18" width="13.85546875" customWidth="1"/>
    <col min="19" max="19" width="37.42578125" customWidth="1"/>
    <col min="20" max="20" width="10.28515625" style="12" customWidth="1"/>
    <col min="21" max="21" width="14" customWidth="1"/>
    <col min="22" max="23" width="11.28515625" customWidth="1"/>
    <col min="24" max="24" width="9.5703125" bestFit="1" customWidth="1"/>
    <col min="25" max="25" width="10.28515625" customWidth="1"/>
    <col min="26" max="26" width="18.85546875" customWidth="1"/>
  </cols>
  <sheetData>
    <row r="1" spans="2:32" ht="15.75" thickBot="1" x14ac:dyDescent="0.3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17</v>
      </c>
      <c r="V1" s="6"/>
      <c r="W1" s="6"/>
      <c r="X1" s="6"/>
      <c r="Y1" s="6"/>
      <c r="Z1" s="6"/>
      <c r="AA1" s="6"/>
    </row>
    <row r="2" spans="2:32" ht="15.75" thickBot="1" x14ac:dyDescent="0.3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U2" s="13" t="s">
        <v>26</v>
      </c>
      <c r="V2" s="5" t="s">
        <v>4</v>
      </c>
      <c r="W2" s="5"/>
      <c r="X2" s="12"/>
      <c r="Y2" s="23"/>
      <c r="Z2" s="24"/>
      <c r="AA2" s="5"/>
    </row>
    <row r="3" spans="2:32" ht="15.75" thickBot="1" x14ac:dyDescent="0.3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78" t="s">
        <v>27</v>
      </c>
      <c r="R3" s="78" t="s">
        <v>28</v>
      </c>
      <c r="S3" s="78" t="s">
        <v>93</v>
      </c>
      <c r="U3" s="2"/>
      <c r="V3" s="5" t="s">
        <v>12</v>
      </c>
      <c r="W3" s="5"/>
      <c r="X3" s="5"/>
      <c r="Y3" s="5"/>
      <c r="Z3" s="27"/>
      <c r="AA3" s="5"/>
    </row>
    <row r="4" spans="2:32" ht="15.75" thickBot="1" x14ac:dyDescent="0.3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76" cm="1">
        <f t="array" ref="Q4">INTERCEPT(Q10:Q31,LN(K10:K31))</f>
        <v>1018.8967670672071</v>
      </c>
      <c r="R4" s="76" cm="1">
        <f t="array" ref="R4">SLOPE(Q10:Q31,LN(K10:K31))</f>
        <v>-291.8791843092327</v>
      </c>
      <c r="S4" s="77">
        <f>1-SUMXMY2(Q10:Q31,S10:S31)/DEVSQ(Q10:Q31)</f>
        <v>0.82611453592602424</v>
      </c>
      <c r="U4" s="2">
        <v>7</v>
      </c>
      <c r="V4" s="5" t="s">
        <v>11</v>
      </c>
      <c r="W4" s="5"/>
      <c r="X4" s="5"/>
      <c r="Y4" s="5"/>
      <c r="Z4" s="5">
        <f>360-300</f>
        <v>60</v>
      </c>
      <c r="AA4" s="5"/>
    </row>
    <row r="5" spans="2:32" ht="15.75" thickBot="1" x14ac:dyDescent="0.3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50</v>
      </c>
      <c r="V5" s="5" t="s">
        <v>14</v>
      </c>
      <c r="W5" s="5"/>
      <c r="X5" s="5"/>
      <c r="Y5" s="5"/>
      <c r="Z5" s="5"/>
      <c r="AA5" s="5"/>
    </row>
    <row r="6" spans="2:32" ht="15.75" thickBot="1" x14ac:dyDescent="0.3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27</v>
      </c>
      <c r="R6" s="34" t="s">
        <v>28</v>
      </c>
      <c r="S6" s="34" t="s">
        <v>34</v>
      </c>
      <c r="T6" s="35"/>
      <c r="U6" s="3"/>
      <c r="V6" s="5" t="s">
        <v>15</v>
      </c>
      <c r="W6" s="5"/>
      <c r="X6" s="5"/>
      <c r="Y6" s="5"/>
      <c r="Z6" s="5"/>
      <c r="AA6" s="5"/>
    </row>
    <row r="7" spans="2:32" x14ac:dyDescent="0.25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>Q4</f>
        <v>1018.8967670672071</v>
      </c>
      <c r="R7" s="1">
        <f>R4</f>
        <v>-291.8791843092327</v>
      </c>
      <c r="S7" s="1">
        <f>LN(Q7)</f>
        <v>6.9264757200114282</v>
      </c>
      <c r="U7" s="5"/>
      <c r="V7" s="5"/>
      <c r="W7" s="5"/>
      <c r="X7" s="5"/>
      <c r="Y7" s="5"/>
      <c r="Z7" s="5"/>
      <c r="AA7" s="5"/>
    </row>
    <row r="8" spans="2:32" x14ac:dyDescent="0.25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8</v>
      </c>
      <c r="V8" s="7"/>
      <c r="W8" s="7"/>
      <c r="X8" s="5"/>
      <c r="Y8" s="5"/>
      <c r="Z8" s="5"/>
      <c r="AA8" s="5"/>
    </row>
    <row r="9" spans="2:32" ht="77.45" customHeight="1" x14ac:dyDescent="0.25">
      <c r="B9" s="16" t="s">
        <v>2</v>
      </c>
      <c r="C9" s="17" t="s">
        <v>12</v>
      </c>
      <c r="D9" s="17" t="s">
        <v>9</v>
      </c>
      <c r="E9" s="44" t="s">
        <v>13</v>
      </c>
      <c r="F9" s="17" t="s">
        <v>4</v>
      </c>
      <c r="G9" s="17" t="s">
        <v>11</v>
      </c>
      <c r="H9" s="17" t="s">
        <v>3</v>
      </c>
      <c r="I9" s="18" t="s">
        <v>10</v>
      </c>
      <c r="J9" s="5"/>
      <c r="K9" s="9" t="s">
        <v>2</v>
      </c>
      <c r="L9" s="9" t="str">
        <f>F9</f>
        <v>Группа</v>
      </c>
      <c r="M9" s="9" t="s">
        <v>12</v>
      </c>
      <c r="N9" s="9" t="s">
        <v>11</v>
      </c>
      <c r="O9" s="9" t="str">
        <f>D9</f>
        <v>Номенклатура</v>
      </c>
      <c r="P9" s="9" t="s">
        <v>3</v>
      </c>
      <c r="Q9" s="9" t="s">
        <v>10</v>
      </c>
      <c r="R9" s="40" t="s">
        <v>30</v>
      </c>
      <c r="S9" s="41" t="s">
        <v>89</v>
      </c>
      <c r="T9" s="39" t="s">
        <v>35</v>
      </c>
      <c r="U9" s="5"/>
      <c r="V9" s="10" t="s">
        <v>4</v>
      </c>
      <c r="W9" s="10" t="s">
        <v>5</v>
      </c>
      <c r="X9" s="10" t="s">
        <v>33</v>
      </c>
      <c r="Y9" s="10" t="s">
        <v>6</v>
      </c>
      <c r="Z9" s="11" t="s">
        <v>7</v>
      </c>
      <c r="AA9" s="5"/>
    </row>
    <row r="10" spans="2:32" x14ac:dyDescent="0.25">
      <c r="B10" s="53">
        <v>1</v>
      </c>
      <c r="C10" s="54"/>
      <c r="D10" s="65" t="s">
        <v>36</v>
      </c>
      <c r="E10" s="55">
        <v>44124</v>
      </c>
      <c r="F10" s="54" t="s">
        <v>23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7</v>
      </c>
      <c r="O10" s="22" t="str">
        <f t="array" ref="O10">IFERROR(INDEX($C$10:$I$63,MATCH(SMALL(IF(($C$10:$C$63=$U$3)*($G$10:$G$63=$U$4)*(LEFT($F$10:$F$63,2)=$U$2),$H$10:$H$63,""),ROW($B1)),$H$10:$H$63,),MATCH(O$9,$C$9:$I$9,)),"")</f>
        <v>Ж-1</v>
      </c>
      <c r="P10" s="14">
        <f t="array" ref="P10">IFERROR(INDEX($C$10:$I$63,MATCH(SMALL(IF(($C$10:$C$63=$U$3)*($G$10:$G$63=$U$4)*(LEFT($F$10:$F$63,2)=$U$2),$H$10:$H$63,""),ROW($B1)),$H$10:$H$63,),MATCH(P$9,$C$9:$I$9,)),"")</f>
        <v>43</v>
      </c>
      <c r="Q10" s="14">
        <f t="array" ref="Q10">IFERROR(INDEX($C$10:$I$63,MATCH(SMALL(IF(($C$10:$C$63=$U$3)*($G$10:$G$63=$U$4)*(LEFT($F$10:$F$63,2)=$U$2),$H$10:$H$63,""),ROW($B1)),$H$10:$H$63,),MATCH(Q$9,$C$9:$I$9,)),"")</f>
        <v>1257</v>
      </c>
      <c r="R10" s="42"/>
      <c r="S10" s="43">
        <f>IF(ISNUMBER(Q10),$Q$4+$R$4*LN(K10),"")</f>
        <v>1018.8967670672071</v>
      </c>
      <c r="T10" s="37"/>
      <c r="U10" s="5"/>
      <c r="V10" s="1" t="s">
        <v>3</v>
      </c>
      <c r="W10" s="30">
        <f>INDEX(P11:P31,MATCH($U$5,P10:P31))</f>
        <v>89</v>
      </c>
      <c r="X10" s="30">
        <f>U5</f>
        <v>50</v>
      </c>
      <c r="Y10" s="30">
        <f>LOOKUP($U$5,$P$10:$P$31)</f>
        <v>43</v>
      </c>
      <c r="Z10" s="30">
        <f>W10-Y10</f>
        <v>46</v>
      </c>
      <c r="AA10" s="5"/>
    </row>
    <row r="11" spans="2:32" x14ac:dyDescent="0.25">
      <c r="B11" s="53">
        <v>2</v>
      </c>
      <c r="C11" s="54"/>
      <c r="D11" s="65" t="s">
        <v>37</v>
      </c>
      <c r="E11" s="55">
        <v>44125</v>
      </c>
      <c r="F11" s="54" t="s">
        <v>24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7</v>
      </c>
      <c r="O11" s="22" t="str">
        <f t="array" ref="O11">IFERROR(INDEX($C$10:$I$63,MATCH(SMALL(IF(($C$10:$C$63=$U$3)*($G$10:$G$63=$U$4)*(LEFT($F$10:$F$63,2)=$U$2),$H$10:$H$63,""),ROW($B2)),$H$10:$H$63,),MATCH(O$9,$C$9:$I$9,)),"")</f>
        <v>Ж2</v>
      </c>
      <c r="P11" s="14">
        <f t="array" ref="P11">IFERROR(INDEX($C$10:$I$63,MATCH(SMALL(IF(($C$10:$C$63=$U$3)*($G$10:$G$63=$U$4)*(LEFT($F$10:$F$63,2)=$U$2),$H$10:$H$63,""),ROW($B2)),$H$10:$H$63,),MATCH(P$9,$C$9:$I$9,)),"")</f>
        <v>89</v>
      </c>
      <c r="Q11" s="14">
        <f t="array" ref="Q11">IFERROR(INDEX($C$10:$I$63,MATCH(SMALL(IF(($C$10:$C$63=$U$3)*($G$10:$G$63=$U$4)*(LEFT($F$10:$F$63,2)=$U$2),$H$10:$H$63,""),ROW($B2)),$H$10:$H$63,),MATCH(Q$9,$C$9:$I$9,)),"")</f>
        <v>776</v>
      </c>
      <c r="R11" s="42"/>
      <c r="S11" s="43">
        <f t="shared" ref="S11:S32" si="0">IF(ISNUMBER(Q11),$Q$4+$R$4*LN(K11),"")</f>
        <v>816.58153339912576</v>
      </c>
      <c r="T11" s="37">
        <f>Y19</f>
        <v>847.36863417470329</v>
      </c>
      <c r="U11" s="5"/>
      <c r="V11" s="1" t="s">
        <v>29</v>
      </c>
      <c r="W11" s="30">
        <f>VLOOKUP(Y10,$P$10:$S$32,4,0)</f>
        <v>1018.8967670672071</v>
      </c>
      <c r="X11" s="30">
        <f>Z13</f>
        <v>988.10966629162942</v>
      </c>
      <c r="Y11" s="30">
        <f>VLOOKUP(W10,$P$10:$S$32,4,0)</f>
        <v>816.58153339912576</v>
      </c>
      <c r="Z11" s="30">
        <f>W11-Y11</f>
        <v>202.31523366808131</v>
      </c>
      <c r="AA11" s="5"/>
    </row>
    <row r="12" spans="2:32" x14ac:dyDescent="0.25">
      <c r="B12" s="53">
        <v>3</v>
      </c>
      <c r="C12" s="54"/>
      <c r="D12" s="65" t="s">
        <v>38</v>
      </c>
      <c r="E12" s="55">
        <v>44126</v>
      </c>
      <c r="F12" s="54" t="s">
        <v>24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7</v>
      </c>
      <c r="O12" s="14" t="str">
        <f t="array" ref="O12">IFERROR(INDEX($C$10:$I$63,MATCH(SMALL(IF(($C$10:$C$63=$U$3)*($G$10:$G$63=$U$4)*(LEFT($F$10:$F$63,2)=$U$2),$H$10:$H$63,""),ROW($B3)),$H$10:$H$63,),MATCH(O$9,$C$9:$I$9,)),"")</f>
        <v>Ж-3</v>
      </c>
      <c r="P12" s="14">
        <f t="array" ref="P12">IFERROR(INDEX($C$10:$I$63,MATCH(SMALL(IF(($C$10:$C$63=$U$3)*($G$10:$G$63=$U$4)*(LEFT($F$10:$F$63,2)=$U$2),$H$10:$H$63,""),ROW($B3)),$H$10:$H$63,),MATCH(P$9,$C$9:$I$9,)),"")</f>
        <v>135</v>
      </c>
      <c r="Q12" s="14">
        <f t="array" ref="Q12">IFERROR(INDEX($C$10:$I$63,MATCH(SMALL(IF(($C$10:$C$63=$U$3)*($G$10:$G$63=$U$4)*(LEFT($F$10:$F$63,2)=$U$2),$H$10:$H$63,""),ROW($B3)),$H$10:$H$63,),MATCH(Q$9,$C$9:$I$9,)),"")</f>
        <v>520</v>
      </c>
      <c r="R12" s="42"/>
      <c r="S12" s="43">
        <f>IF(ISNUMBER(Q12),$Q$4+$R$4*LN(K12),"")</f>
        <v>698.23470837865989</v>
      </c>
      <c r="T12" s="37"/>
      <c r="U12" s="5"/>
      <c r="V12" s="1" t="s">
        <v>31</v>
      </c>
      <c r="W12" s="30"/>
      <c r="X12" s="30"/>
      <c r="Y12" s="30"/>
      <c r="Z12" s="30">
        <f>Z11/Z10</f>
        <v>4.3981572536539417</v>
      </c>
      <c r="AA12" s="5"/>
    </row>
    <row r="13" spans="2:32" x14ac:dyDescent="0.25">
      <c r="B13" s="53">
        <v>4</v>
      </c>
      <c r="C13" s="54"/>
      <c r="D13" s="65" t="s">
        <v>39</v>
      </c>
      <c r="E13" s="55">
        <v>44127</v>
      </c>
      <c r="F13" s="54" t="s">
        <v>24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7</v>
      </c>
      <c r="O13" s="14" t="str">
        <f t="array" ref="O13">IFERROR(INDEX($C$10:$I$63,MATCH(SMALL(IF(($C$10:$C$63=$U$3)*($G$10:$G$63=$U$4)*(LEFT($F$10:$F$63,2)=$U$2),$H$10:$H$63,""),ROW($B4)),$H$10:$H$63,),MATCH(O$9,$C$9:$I$9,)),"")</f>
        <v>Ж-6</v>
      </c>
      <c r="P13" s="14">
        <f t="array" ref="P13">IFERROR(INDEX($C$10:$I$63,MATCH(SMALL(IF(($C$10:$C$63=$U$3)*($G$10:$G$63=$U$4)*(LEFT($F$10:$F$63,2)=$U$2),$H$10:$H$63,""),ROW($B4)),$H$10:$H$63,),MATCH(P$9,$C$9:$I$9,)),"")</f>
        <v>156</v>
      </c>
      <c r="Q13" s="14">
        <f t="array" ref="Q13">IFERROR(INDEX($C$10:$I$63,MATCH(SMALL(IF(($C$10:$C$63=$U$3)*($G$10:$G$63=$U$4)*(LEFT($F$10:$F$63,2)=$U$2),$H$10:$H$63,""),ROW($B4)),$H$10:$H$63,),MATCH(Q$9,$C$9:$I$9,)),"")</f>
        <v>766</v>
      </c>
      <c r="R13" s="42"/>
      <c r="S13" s="43">
        <f t="shared" si="0"/>
        <v>614.26629973104446</v>
      </c>
      <c r="T13" s="37"/>
      <c r="U13" s="32"/>
      <c r="V13" s="1" t="s">
        <v>32</v>
      </c>
      <c r="W13" s="30"/>
      <c r="X13" s="30"/>
      <c r="Y13" s="30"/>
      <c r="Z13" s="30">
        <f>W11-(U5-Y10)*Z12</f>
        <v>988.10966629162942</v>
      </c>
      <c r="AA13" s="5"/>
    </row>
    <row r="14" spans="2:32" x14ac:dyDescent="0.25">
      <c r="B14" s="53">
        <v>5</v>
      </c>
      <c r="C14" s="54"/>
      <c r="D14" s="65" t="s">
        <v>40</v>
      </c>
      <c r="E14" s="55">
        <v>43762</v>
      </c>
      <c r="F14" s="54" t="s">
        <v>24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7</v>
      </c>
      <c r="O14" s="14" t="str">
        <f t="array" ref="O14">IFERROR(INDEX($C$10:$I$63,MATCH(SMALL(IF(($C$10:$C$63=$U$3)*($G$10:$G$63=$U$4)*(LEFT($F$10:$F$63,2)=$U$2),$H$10:$H$63,""),ROW($B5)),$H$10:$H$63,),MATCH(O$9,$C$9:$I$9,)),"")</f>
        <v>Ж-7</v>
      </c>
      <c r="P14" s="14">
        <f t="array" ref="P14">IFERROR(INDEX($C$10:$I$63,MATCH(SMALL(IF(($C$10:$C$63=$U$3)*($G$10:$G$63=$U$4)*(LEFT($F$10:$F$63,2)=$U$2),$H$10:$H$63,""),ROW($B5)),$H$10:$H$63,),MATCH(P$9,$C$9:$I$9,)),"")</f>
        <v>273</v>
      </c>
      <c r="Q14" s="14">
        <f t="array" ref="Q14">IFERROR(INDEX($C$10:$I$63,MATCH(SMALL(IF(($C$10:$C$63=$U$3)*($G$10:$G$63=$U$4)*(LEFT($F$10:$F$63,2)=$U$2),$H$10:$H$63,""),ROW($B5)),$H$10:$H$63,),MATCH(Q$9,$C$9:$I$9,)),"")</f>
        <v>479</v>
      </c>
      <c r="R14" s="42"/>
      <c r="S14" s="43">
        <f t="shared" si="0"/>
        <v>549.13534198958757</v>
      </c>
      <c r="T14" s="37"/>
      <c r="U14" s="32"/>
      <c r="V14" s="5"/>
      <c r="W14" s="5"/>
      <c r="X14" s="5"/>
      <c r="Y14" s="5"/>
      <c r="Z14" s="5"/>
      <c r="AA14" s="5"/>
    </row>
    <row r="15" spans="2:32" ht="15.75" thickBot="1" x14ac:dyDescent="0.3">
      <c r="B15" s="53">
        <v>6</v>
      </c>
      <c r="C15" s="54"/>
      <c r="D15" s="65" t="s">
        <v>41</v>
      </c>
      <c r="E15" s="55">
        <v>43763</v>
      </c>
      <c r="F15" s="54" t="s">
        <v>23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7</v>
      </c>
      <c r="O15" s="14" t="str">
        <f t="array" ref="O15">IFERROR(INDEX($C$10:$I$63,MATCH(SMALL(IF(($C$10:$C$63=$U$3)*($G$10:$G$63=$U$4)*(LEFT($F$10:$F$63,2)=$U$2),$H$10:$H$63,""),ROW($B6)),$H$10:$H$63,),MATCH(O$9,$C$9:$I$9,)),"")</f>
        <v>К-5</v>
      </c>
      <c r="P15" s="14">
        <f t="array" ref="P15">IFERROR(INDEX($C$10:$I$63,MATCH(SMALL(IF(($C$10:$C$63=$U$3)*($G$10:$G$63=$U$4)*(LEFT($F$10:$F$63,2)=$U$2),$H$10:$H$63,""),ROW($B6)),$H$10:$H$63,),MATCH(P$9,$C$9:$I$9,)),"")</f>
        <v>305</v>
      </c>
      <c r="Q15" s="14">
        <f t="array" ref="Q15">IFERROR(INDEX($C$10:$I$63,MATCH(SMALL(IF(($C$10:$C$63=$U$3)*($G$10:$G$63=$U$4)*(LEFT($F$10:$F$63,2)=$U$2),$H$10:$H$63,""),ROW($B6)),$H$10:$H$63,),MATCH(Q$9,$C$9:$I$9,)),"")</f>
        <v>366</v>
      </c>
      <c r="R15" s="42"/>
      <c r="S15" s="43">
        <f t="shared" si="0"/>
        <v>495.9194747105787</v>
      </c>
      <c r="T15" s="37"/>
      <c r="U15" s="5"/>
      <c r="V15" s="5"/>
      <c r="W15" s="5"/>
      <c r="X15" s="5"/>
      <c r="Y15" s="5"/>
      <c r="Z15" s="26">
        <f>S13-S14</f>
        <v>65.130957741456882</v>
      </c>
      <c r="AA15" s="5"/>
      <c r="AF15" s="33"/>
    </row>
    <row r="16" spans="2:32" x14ac:dyDescent="0.25">
      <c r="B16" s="53">
        <v>7</v>
      </c>
      <c r="C16" s="54"/>
      <c r="D16" s="65" t="s">
        <v>42</v>
      </c>
      <c r="E16" s="55">
        <v>43764</v>
      </c>
      <c r="F16" s="54" t="s">
        <v>23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7</v>
      </c>
      <c r="O16" s="14" t="str">
        <f t="array" ref="O16">IFERROR(INDEX($C$10:$I$63,MATCH(SMALL(IF(($C$10:$C$63=$U$3)*($G$10:$G$63=$U$4)*(LEFT($F$10:$F$63,2)=$U$2),$H$10:$H$63,""),ROW($B7)),$H$10:$H$63,),MATCH(O$9,$C$9:$I$9,)),"")</f>
        <v>Ч-21</v>
      </c>
      <c r="P16" s="14">
        <f t="array" ref="P16">IFERROR(INDEX($C$10:$I$63,MATCH(SMALL(IF(($C$10:$C$63=$U$3)*($G$10:$G$63=$U$4)*(LEFT($F$10:$F$63,2)=$U$2),$H$10:$H$63,""),ROW($B7)),$H$10:$H$63,),MATCH(P$9,$C$9:$I$9,)),"")</f>
        <v>510</v>
      </c>
      <c r="Q16" s="14">
        <f t="array" ref="Q16">IFERROR(INDEX($C$10:$I$63,MATCH(SMALL(IF(($C$10:$C$63=$U$3)*($G$10:$G$63=$U$4)*(LEFT($F$10:$F$63,2)=$U$2),$H$10:$H$63,""),ROW($B7)),$H$10:$H$63,),MATCH(Q$9,$C$9:$I$9,)),"")</f>
        <v>299</v>
      </c>
      <c r="R16" s="42"/>
      <c r="S16" s="43">
        <f t="shared" si="0"/>
        <v>450.92610002188485</v>
      </c>
      <c r="T16" s="37"/>
      <c r="U16" s="5"/>
      <c r="V16" s="5"/>
      <c r="W16" s="70">
        <f>W10</f>
        <v>89</v>
      </c>
      <c r="X16" s="71">
        <f>Y10</f>
        <v>43</v>
      </c>
      <c r="Y16" s="5"/>
      <c r="Z16" s="31">
        <f>Z15/Z10</f>
        <v>1.4158903856838452</v>
      </c>
      <c r="AA16" s="28"/>
    </row>
    <row r="17" spans="2:33" ht="15.75" thickBot="1" x14ac:dyDescent="0.3">
      <c r="B17" s="53">
        <v>8</v>
      </c>
      <c r="C17" s="54"/>
      <c r="D17" s="65" t="s">
        <v>43</v>
      </c>
      <c r="E17" s="55">
        <v>43765</v>
      </c>
      <c r="F17" s="54" t="s">
        <v>23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7</v>
      </c>
      <c r="O17" s="14" t="str">
        <f t="array" ref="O17">IFERROR(INDEX($C$10:$I$63,MATCH(SMALL(IF(($C$10:$C$63=$U$3)*($G$10:$G$63=$U$4)*(LEFT($F$10:$F$63,2)=$U$2),$H$10:$H$63,""),ROW($B8)),$H$10:$H$63,),MATCH(O$9,$C$9:$I$9,)),"")</f>
        <v>Ж-4</v>
      </c>
      <c r="P17" s="14">
        <f t="array" ref="P17">IFERROR(INDEX($C$10:$I$63,MATCH(SMALL(IF(($C$10:$C$63=$U$3)*($G$10:$G$63=$U$4)*(LEFT($F$10:$F$63,2)=$U$2),$H$10:$H$63,""),ROW($B8)),$H$10:$H$63,),MATCH(P$9,$C$9:$I$9,)),"")</f>
        <v>585</v>
      </c>
      <c r="Q17" s="14">
        <f t="array" ref="Q17">IFERROR(INDEX($C$10:$I$63,MATCH(SMALL(IF(($C$10:$C$63=$U$3)*($G$10:$G$63=$U$4)*(LEFT($F$10:$F$63,2)=$U$2),$H$10:$H$63,""),ROW($B8)),$H$10:$H$63,),MATCH(Q$9,$C$9:$I$9,)),"")</f>
        <v>316</v>
      </c>
      <c r="R17" s="42"/>
      <c r="S17" s="43">
        <f t="shared" si="0"/>
        <v>411.95106606296326</v>
      </c>
      <c r="T17" s="37"/>
      <c r="U17" s="5"/>
      <c r="V17" s="5"/>
      <c r="W17" s="72">
        <f>W11</f>
        <v>1018.8967670672071</v>
      </c>
      <c r="X17" s="73">
        <f>Y11</f>
        <v>816.58153339912576</v>
      </c>
      <c r="Y17" s="5"/>
      <c r="Z17" s="32">
        <f>W11-(U5-Y10)*Z12</f>
        <v>988.10966629162942</v>
      </c>
      <c r="AA17" s="28"/>
      <c r="AG17" s="33"/>
    </row>
    <row r="18" spans="2:33" ht="15.75" thickBot="1" x14ac:dyDescent="0.3">
      <c r="B18" s="53">
        <v>9</v>
      </c>
      <c r="C18" s="54"/>
      <c r="D18" s="65" t="s">
        <v>44</v>
      </c>
      <c r="E18" s="55">
        <v>43766</v>
      </c>
      <c r="F18" s="54" t="s">
        <v>24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7</v>
      </c>
      <c r="O18" s="14" t="str">
        <f t="array" ref="O18">IFERROR(INDEX($C$10:$I$63,MATCH(SMALL(IF(($C$10:$C$63=$U$3)*($G$10:$G$63=$U$4)*(LEFT($F$10:$F$63,2)=$U$2),$H$10:$H$63,""),ROW($B9)),$H$10:$H$63,),MATCH(O$9,$C$9:$I$9,)),"")</f>
        <v>Ж-25</v>
      </c>
      <c r="P18" s="14">
        <f t="array" ref="P18">IFERROR(INDEX($C$10:$I$63,MATCH(SMALL(IF(($C$10:$C$63=$U$3)*($G$10:$G$63=$U$4)*(LEFT($F$10:$F$63,2)=$U$2),$H$10:$H$63,""),ROW($B9)),$H$10:$H$63,),MATCH(P$9,$C$9:$I$9,)),"")</f>
        <v>750</v>
      </c>
      <c r="Q18" s="14">
        <f t="array" ref="Q18">IFERROR(INDEX($C$10:$I$63,MATCH(SMALL(IF(($C$10:$C$63=$U$3)*($G$10:$G$63=$U$4)*(LEFT($F$10:$F$63,2)=$U$2),$H$10:$H$63,""),ROW($B9)),$H$10:$H$63,),MATCH(Q$9,$C$9:$I$9,)),"")</f>
        <v>349</v>
      </c>
      <c r="R18" s="42"/>
      <c r="S18" s="43">
        <f t="shared" si="0"/>
        <v>377.57264969011271</v>
      </c>
      <c r="T18" s="37"/>
      <c r="U18" s="5"/>
      <c r="V18" s="5"/>
      <c r="W18" s="5"/>
      <c r="X18" s="5"/>
      <c r="Y18" s="5"/>
      <c r="Z18" s="5"/>
      <c r="AA18" s="28"/>
    </row>
    <row r="19" spans="2:33" ht="15.75" thickBot="1" x14ac:dyDescent="0.3">
      <c r="B19" s="53">
        <v>10</v>
      </c>
      <c r="C19" s="54"/>
      <c r="D19" s="65" t="s">
        <v>45</v>
      </c>
      <c r="E19" s="55">
        <v>43767</v>
      </c>
      <c r="F19" s="54" t="s">
        <v>23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1.1.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7</v>
      </c>
      <c r="O19" s="14" t="str">
        <f t="array" ref="O19">IFERROR(INDEX($C$10:$I$63,MATCH(SMALL(IF(($C$10:$C$63=$U$3)*($G$10:$G$63=$U$4)*(LEFT($F$10:$F$63,2)=$U$2),$H$10:$H$63,""),ROW($B10)),$H$10:$H$63,),MATCH(O$9,$C$9:$I$9,)),"")</f>
        <v>Ж-5</v>
      </c>
      <c r="P19" s="14">
        <f t="array" ref="P19">IFERROR(INDEX($C$10:$I$63,MATCH(SMALL(IF(($C$10:$C$63=$U$3)*($G$10:$G$63=$U$4)*(LEFT($F$10:$F$63,2)=$U$2),$H$10:$H$63,""),ROW($B10)),$H$10:$H$63,),MATCH(P$9,$C$9:$I$9,)),"")</f>
        <v>760</v>
      </c>
      <c r="Q19" s="14">
        <f t="array" ref="Q19">IFERROR(INDEX($C$10:$I$63,MATCH(SMALL(IF(($C$10:$C$63=$U$3)*($G$10:$G$63=$U$4)*(LEFT($F$10:$F$63,2)=$U$2),$H$10:$H$63,""),ROW($B10)),$H$10:$H$63,),MATCH(Q$9,$C$9:$I$9,)),"")</f>
        <v>285</v>
      </c>
      <c r="R19" s="42"/>
      <c r="S19" s="43">
        <f t="shared" si="0"/>
        <v>346.82010832150627</v>
      </c>
      <c r="T19" s="37"/>
      <c r="U19" s="5"/>
      <c r="V19" s="5"/>
      <c r="W19" s="5"/>
      <c r="X19" s="5"/>
      <c r="Y19" s="74">
        <f>FORECAST(U5,W17:X17,W16:X16)</f>
        <v>847.36863417470329</v>
      </c>
      <c r="Z19" s="75" t="s">
        <v>91</v>
      </c>
      <c r="AA19" s="29"/>
    </row>
    <row r="20" spans="2:33" x14ac:dyDescent="0.25">
      <c r="B20" s="53">
        <v>11</v>
      </c>
      <c r="C20" s="54"/>
      <c r="D20" s="65" t="s">
        <v>46</v>
      </c>
      <c r="E20" s="55">
        <v>43768</v>
      </c>
      <c r="F20" s="54" t="s">
        <v>24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1.1.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7</v>
      </c>
      <c r="O20" s="14" t="str">
        <f t="array" ref="O20">IFERROR(INDEX($C$10:$I$63,MATCH(SMALL(IF(($C$10:$C$63=$U$3)*($G$10:$G$63=$U$4)*(LEFT($F$10:$F$63,2)=$U$2),$H$10:$H$63,""),ROW($B11)),$H$10:$H$63,),MATCH(O$9,$C$9:$I$9,)),"")</f>
        <v>Ж-8</v>
      </c>
      <c r="P20" s="14">
        <f t="array" ref="P20">IFERROR(INDEX($C$10:$I$63,MATCH(SMALL(IF(($C$10:$C$63=$U$3)*($G$10:$G$63=$U$4)*(LEFT($F$10:$F$63,2)=$U$2),$H$10:$H$63,""),ROW($B11)),$H$10:$H$63,),MATCH(P$9,$C$9:$I$9,)),"")</f>
        <v>780</v>
      </c>
      <c r="Q20" s="14">
        <f t="array" ref="Q20">IFERROR(INDEX($C$10:$I$63,MATCH(SMALL(IF(($C$10:$C$63=$U$3)*($G$10:$G$63=$U$4)*(LEFT($F$10:$F$63,2)=$U$2),$H$10:$H$63,""),ROW($B11)),$H$10:$H$63,),MATCH(Q$9,$C$9:$I$9,)),"")</f>
        <v>387</v>
      </c>
      <c r="R20" s="42"/>
      <c r="S20" s="43">
        <f t="shared" si="0"/>
        <v>319.00105078385366</v>
      </c>
      <c r="T20" s="37"/>
      <c r="U20" s="5"/>
      <c r="V20" s="5"/>
      <c r="W20" s="5"/>
      <c r="X20" s="5"/>
      <c r="Y20" s="5"/>
      <c r="Z20" s="5"/>
      <c r="AA20" s="5"/>
    </row>
    <row r="21" spans="2:33" ht="15.75" thickBot="1" x14ac:dyDescent="0.3">
      <c r="B21" s="53">
        <v>12</v>
      </c>
      <c r="C21" s="54"/>
      <c r="D21" s="65" t="s">
        <v>47</v>
      </c>
      <c r="E21" s="55">
        <v>43769</v>
      </c>
      <c r="F21" s="54" t="s">
        <v>24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1.1.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7</v>
      </c>
      <c r="O21" s="14" t="str">
        <f t="array" ref="O21">IFERROR(INDEX($C$10:$I$63,MATCH(SMALL(IF(($C$10:$C$63=$U$3)*($G$10:$G$63=$U$4)*(LEFT($F$10:$F$63,2)=$U$2),$H$10:$H$63,""),ROW($B12)),$H$10:$H$63,),MATCH(O$9,$C$9:$I$9,)),"")</f>
        <v>Ч-25</v>
      </c>
      <c r="P21" s="14">
        <f t="array" ref="P21">IFERROR(INDEX($C$10:$I$63,MATCH(SMALL(IF(($C$10:$C$63=$U$3)*($G$10:$G$63=$U$4)*(LEFT($F$10:$F$63,2)=$U$2),$H$10:$H$63,""),ROW($B12)),$H$10:$H$63,),MATCH(P$9,$C$9:$I$9,)),"")</f>
        <v>960</v>
      </c>
      <c r="Q21" s="14">
        <f t="array" ref="Q21">IFERROR(INDEX($C$10:$I$63,MATCH(SMALL(IF(($C$10:$C$63=$U$3)*($G$10:$G$63=$U$4)*(LEFT($F$10:$F$63,2)=$U$2),$H$10:$H$63,""),ROW($B12)),$H$10:$H$63,),MATCH(Q$9,$C$9:$I$9,)),"")</f>
        <v>350</v>
      </c>
      <c r="R21" s="42"/>
      <c r="S21" s="43">
        <f t="shared" si="0"/>
        <v>293.60424104249739</v>
      </c>
      <c r="T21" s="37"/>
      <c r="U21" s="5"/>
      <c r="V21" s="5"/>
      <c r="W21" s="5"/>
      <c r="X21" s="5"/>
      <c r="Y21" s="5"/>
      <c r="Z21" s="5"/>
      <c r="AA21" s="5"/>
    </row>
    <row r="22" spans="2:33" ht="15.75" thickBot="1" x14ac:dyDescent="0.3">
      <c r="B22" s="53">
        <v>13</v>
      </c>
      <c r="C22" s="54"/>
      <c r="D22" s="65" t="s">
        <v>48</v>
      </c>
      <c r="E22" s="55">
        <v>43770</v>
      </c>
      <c r="F22" s="54" t="s">
        <v>24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>1.2.</v>
      </c>
      <c r="M22" s="14">
        <f t="array" ref="M22">IFERROR(INDEX($C$10:$I$63,MATCH(SMALL(IF(($C$10:$C$63=$U$3)*($G$10:$G$63=$U$4)*(LEFT($F$10:$F$63,2)=$U$2),$H$10:$H$63,""),ROW($B13)),$H$10:$H$63,),MATCH(M$9,$C$9:$I$9,)),"")</f>
        <v>0</v>
      </c>
      <c r="N22" s="14">
        <f t="array" ref="N22">IFERROR(INDEX($C$10:$I$63,MATCH(SMALL(IF(($C$10:$C$63=$U$3)*($G$10:$G$63=$U$4)*(LEFT($F$10:$F$63,2)=$U$2),$H$10:$H$63,""),ROW($B13)),$H$10:$H$63,),MATCH(N$9,$C$9:$I$9,)),"")</f>
        <v>7</v>
      </c>
      <c r="O22" s="14" t="str">
        <f t="array" ref="O22">IFERROR(INDEX($C$10:$I$63,MATCH(SMALL(IF(($C$10:$C$63=$U$3)*($G$10:$G$63=$U$4)*(LEFT($F$10:$F$63,2)=$U$2),$H$10:$H$63,""),ROW($B13)),$H$10:$H$63,),MATCH(O$9,$C$9:$I$9,)),"")</f>
        <v>К-6</v>
      </c>
      <c r="P22" s="14">
        <f t="array" ref="P22">IFERROR(INDEX($C$10:$I$63,MATCH(SMALL(IF(($C$10:$C$63=$U$3)*($G$10:$G$63=$U$4)*(LEFT($F$10:$F$63,2)=$U$2),$H$10:$H$63,""),ROW($B13)),$H$10:$H$63,),MATCH(P$9,$C$9:$I$9,)),"")</f>
        <v>1600</v>
      </c>
      <c r="Q22" s="14">
        <f t="array" ref="Q22">IFERROR(INDEX($C$10:$I$63,MATCH(SMALL(IF(($C$10:$C$63=$U$3)*($G$10:$G$63=$U$4)*(LEFT($F$10:$F$63,2)=$U$2),$H$10:$H$63,""),ROW($B13)),$H$10:$H$63,),MATCH(Q$9,$C$9:$I$9,)),"")</f>
        <v>278</v>
      </c>
      <c r="R22" s="42"/>
      <c r="S22" s="43">
        <f t="shared" si="0"/>
        <v>270.24144081684324</v>
      </c>
      <c r="T22" s="37"/>
      <c r="U22" s="5"/>
      <c r="V22" s="5" t="s">
        <v>90</v>
      </c>
      <c r="W22" s="69"/>
      <c r="X22" s="5" t="s">
        <v>92</v>
      </c>
      <c r="Y22" s="5"/>
      <c r="Z22" s="5"/>
      <c r="AA22" s="5"/>
    </row>
    <row r="23" spans="2:33" x14ac:dyDescent="0.25">
      <c r="B23" s="53">
        <v>14</v>
      </c>
      <c r="C23" s="54"/>
      <c r="D23" s="65" t="s">
        <v>49</v>
      </c>
      <c r="E23" s="55">
        <v>43771</v>
      </c>
      <c r="F23" s="54" t="s">
        <v>24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>1.2.</v>
      </c>
      <c r="M23" s="14">
        <f t="array" ref="M23">IFERROR(INDEX($C$10:$I$63,MATCH(SMALL(IF(($C$10:$C$63=$U$3)*($G$10:$G$63=$U$4)*(LEFT($F$10:$F$63,2)=$U$2),$H$10:$H$63,""),ROW($B14)),$H$10:$H$63,),MATCH(M$9,$C$9:$I$9,)),"")</f>
        <v>0</v>
      </c>
      <c r="N23" s="14">
        <f t="array" ref="N23">IFERROR(INDEX($C$10:$I$63,MATCH(SMALL(IF(($C$10:$C$63=$U$3)*($G$10:$G$63=$U$4)*(LEFT($F$10:$F$63,2)=$U$2),$H$10:$H$63,""),ROW($B14)),$H$10:$H$63,),MATCH(N$9,$C$9:$I$9,)),"")</f>
        <v>7</v>
      </c>
      <c r="O23" s="14" t="str">
        <f t="array" ref="O23">IFERROR(INDEX($C$10:$I$63,MATCH(SMALL(IF(($C$10:$C$63=$U$3)*($G$10:$G$63=$U$4)*(LEFT($F$10:$F$63,2)=$U$2),$H$10:$H$63,""),ROW($B14)),$H$10:$H$63,),MATCH(O$9,$C$9:$I$9,)),"")</f>
        <v>Д-35</v>
      </c>
      <c r="P23" s="14">
        <f t="array" ref="P23">IFERROR(INDEX($C$10:$I$63,MATCH(SMALL(IF(($C$10:$C$63=$U$3)*($G$10:$G$63=$U$4)*(LEFT($F$10:$F$63,2)=$U$2),$H$10:$H$63,""),ROW($B14)),$H$10:$H$63,),MATCH(P$9,$C$9:$I$9,)),"")</f>
        <v>1700</v>
      </c>
      <c r="Q23" s="14">
        <f t="array" ref="Q23">IFERROR(INDEX($C$10:$I$63,MATCH(SMALL(IF(($C$10:$C$63=$U$3)*($G$10:$G$63=$U$4)*(LEFT($F$10:$F$63,2)=$U$2),$H$10:$H$63,""),ROW($B14)),$H$10:$H$63,),MATCH(Q$9,$C$9:$I$9,)),"")</f>
        <v>265</v>
      </c>
      <c r="R23" s="42"/>
      <c r="S23" s="43">
        <f t="shared" si="0"/>
        <v>248.61086635380354</v>
      </c>
      <c r="T23" s="37"/>
      <c r="U23" s="5"/>
      <c r="V23" s="5"/>
      <c r="W23" s="5"/>
      <c r="X23" s="5"/>
      <c r="Y23" s="5"/>
      <c r="Z23" s="5"/>
      <c r="AA23" s="5"/>
    </row>
    <row r="24" spans="2:33" x14ac:dyDescent="0.25">
      <c r="B24" s="53">
        <v>15</v>
      </c>
      <c r="C24" s="54"/>
      <c r="D24" s="65" t="s">
        <v>50</v>
      </c>
      <c r="E24" s="55">
        <v>43406</v>
      </c>
      <c r="F24" s="54" t="s">
        <v>24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>1.2.</v>
      </c>
      <c r="M24" s="14">
        <f t="array" ref="M24">IFERROR(INDEX($C$10:$I$63,MATCH(SMALL(IF(($C$10:$C$63=$U$3)*($G$10:$G$63=$U$4)*(LEFT($F$10:$F$63,2)=$U$2),$H$10:$H$63,""),ROW($B15)),$H$10:$H$63,),MATCH(M$9,$C$9:$I$9,)),"")</f>
        <v>0</v>
      </c>
      <c r="N24" s="14">
        <f t="array" ref="N24">IFERROR(INDEX($C$10:$I$63,MATCH(SMALL(IF(($C$10:$C$63=$U$3)*($G$10:$G$63=$U$4)*(LEFT($F$10:$F$63,2)=$U$2),$H$10:$H$63,""),ROW($B15)),$H$10:$H$63,),MATCH(N$9,$C$9:$I$9,)),"")</f>
        <v>7</v>
      </c>
      <c r="O24" s="14" t="str">
        <f t="array" ref="O24">IFERROR(INDEX($C$10:$I$63,MATCH(SMALL(IF(($C$10:$C$63=$U$3)*($G$10:$G$63=$U$4)*(LEFT($F$10:$F$63,2)=$U$2),$H$10:$H$63,""),ROW($B15)),$H$10:$H$63,),MATCH(O$9,$C$9:$I$9,)),"")</f>
        <v>К-7</v>
      </c>
      <c r="P24" s="14">
        <f t="array" ref="P24">IFERROR(INDEX($C$10:$I$63,MATCH(SMALL(IF(($C$10:$C$63=$U$3)*($G$10:$G$63=$U$4)*(LEFT($F$10:$F$63,2)=$U$2),$H$10:$H$63,""),ROW($B15)),$H$10:$H$63,),MATCH(P$9,$C$9:$I$9,)),"")</f>
        <v>2100</v>
      </c>
      <c r="Q24" s="14">
        <f t="array" ref="Q24">IFERROR(INDEX($C$10:$I$63,MATCH(SMALL(IF(($C$10:$C$63=$U$3)*($G$10:$G$63=$U$4)*(LEFT($F$10:$F$63,2)=$U$2),$H$10:$H$63,""),ROW($B15)),$H$10:$H$63,),MATCH(Q$9,$C$9:$I$9,)),"")</f>
        <v>254</v>
      </c>
      <c r="R24" s="42"/>
      <c r="S24" s="43">
        <f t="shared" si="0"/>
        <v>228.4732833010404</v>
      </c>
      <c r="T24" s="37"/>
      <c r="U24" s="5"/>
      <c r="V24" s="5"/>
      <c r="W24" s="5"/>
      <c r="X24" s="5"/>
      <c r="Y24" s="5"/>
      <c r="Z24" s="5"/>
      <c r="AA24" s="5"/>
    </row>
    <row r="25" spans="2:33" x14ac:dyDescent="0.25">
      <c r="B25" s="53">
        <v>16</v>
      </c>
      <c r="C25" s="54"/>
      <c r="D25" s="65" t="s">
        <v>51</v>
      </c>
      <c r="E25" s="55">
        <v>43407</v>
      </c>
      <c r="F25" s="54" t="s">
        <v>24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>1.2.</v>
      </c>
      <c r="M25" s="14">
        <f t="array" ref="M25">IFERROR(INDEX($C$10:$I$63,MATCH(SMALL(IF(($C$10:$C$63=$U$3)*($G$10:$G$63=$U$4)*(LEFT($F$10:$F$63,2)=$U$2),$H$10:$H$63,""),ROW($B16)),$H$10:$H$63,),MATCH(M$9,$C$9:$I$9,)),"")</f>
        <v>0</v>
      </c>
      <c r="N25" s="14">
        <f t="array" ref="N25">IFERROR(INDEX($C$10:$I$63,MATCH(SMALL(IF(($C$10:$C$63=$U$3)*($G$10:$G$63=$U$4)*(LEFT($F$10:$F$63,2)=$U$2),$H$10:$H$63,""),ROW($B16)),$H$10:$H$63,),MATCH(N$9,$C$9:$I$9,)),"")</f>
        <v>7</v>
      </c>
      <c r="O25" s="14" t="str">
        <f t="array" ref="O25">IFERROR(INDEX($C$10:$I$63,MATCH(SMALL(IF(($C$10:$C$63=$U$3)*($G$10:$G$63=$U$4)*(LEFT($F$10:$F$63,2)=$U$2),$H$10:$H$63,""),ROW($B16)),$H$10:$H$63,),MATCH(O$9,$C$9:$I$9,)),"")</f>
        <v>К-1</v>
      </c>
      <c r="P25" s="14">
        <f t="array" ref="P25">IFERROR(INDEX($C$10:$I$63,MATCH(SMALL(IF(($C$10:$C$63=$U$3)*($G$10:$G$63=$U$4)*(LEFT($F$10:$F$63,2)=$U$2),$H$10:$H$63,""),ROW($B16)),$H$10:$H$63,),MATCH(P$9,$C$9:$I$9,)),"")</f>
        <v>2300</v>
      </c>
      <c r="Q25" s="14">
        <f t="array" ref="Q25">IFERROR(INDEX($C$10:$I$63,MATCH(SMALL(IF(($C$10:$C$63=$U$3)*($G$10:$G$63=$U$4)*(LEFT($F$10:$F$63,2)=$U$2),$H$10:$H$63,""),ROW($B16)),$H$10:$H$63,),MATCH(Q$9,$C$9:$I$9,)),"")</f>
        <v>0</v>
      </c>
      <c r="R25" s="42"/>
      <c r="S25" s="43">
        <f t="shared" si="0"/>
        <v>209.63583239488196</v>
      </c>
      <c r="T25" s="37"/>
      <c r="U25" s="5"/>
      <c r="V25" s="5"/>
      <c r="W25" s="5"/>
      <c r="X25" s="5"/>
      <c r="Y25" s="5"/>
      <c r="Z25" s="5"/>
      <c r="AA25" s="5"/>
    </row>
    <row r="26" spans="2:33" x14ac:dyDescent="0.25">
      <c r="B26" s="53">
        <v>17</v>
      </c>
      <c r="C26" s="54"/>
      <c r="D26" s="65" t="s">
        <v>52</v>
      </c>
      <c r="E26" s="55">
        <v>43408</v>
      </c>
      <c r="F26" s="54" t="s">
        <v>24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>1.2.</v>
      </c>
      <c r="M26" s="14">
        <f t="array" ref="M26">IFERROR(INDEX($C$10:$I$63,MATCH(SMALL(IF(($C$10:$C$63=$U$3)*($G$10:$G$63=$U$4)*(LEFT($F$10:$F$63,2)=$U$2),$H$10:$H$63,""),ROW($B17)),$H$10:$H$63,),MATCH(M$9,$C$9:$I$9,)),"")</f>
        <v>0</v>
      </c>
      <c r="N26" s="14">
        <f t="array" ref="N26">IFERROR(INDEX($C$10:$I$63,MATCH(SMALL(IF(($C$10:$C$63=$U$3)*($G$10:$G$63=$U$4)*(LEFT($F$10:$F$63,2)=$U$2),$H$10:$H$63,""),ROW($B17)),$H$10:$H$63,),MATCH(N$9,$C$9:$I$9,)),"")</f>
        <v>7</v>
      </c>
      <c r="O26" s="14" t="str">
        <f t="array" ref="O26">IFERROR(INDEX($C$10:$I$63,MATCH(SMALL(IF(($C$10:$C$63=$U$3)*($G$10:$G$63=$U$4)*(LEFT($F$10:$F$63,2)=$U$2),$H$10:$H$63,""),ROW($B17)),$H$10:$H$63,),MATCH(O$9,$C$9:$I$9,)),"")</f>
        <v>С-26</v>
      </c>
      <c r="P26" s="14">
        <f t="array" ref="P26">IFERROR(INDEX($C$10:$I$63,MATCH(SMALL(IF(($C$10:$C$63=$U$3)*($G$10:$G$63=$U$4)*(LEFT($F$10:$F$63,2)=$U$2),$H$10:$H$63,""),ROW($B17)),$H$10:$H$63,),MATCH(P$9,$C$9:$I$9,)),"")</f>
        <v>3691</v>
      </c>
      <c r="Q26" s="14">
        <f t="array" ref="Q26">IFERROR(INDEX($C$10:$I$63,MATCH(SMALL(IF(($C$10:$C$63=$U$3)*($G$10:$G$63=$U$4)*(LEFT($F$10:$F$63,2)=$U$2),$H$10:$H$63,""),ROW($B17)),$H$10:$H$63,),MATCH(Q$9,$C$9:$I$9,)),"")</f>
        <v>225</v>
      </c>
      <c r="R26" s="42"/>
      <c r="S26" s="43">
        <f t="shared" si="0"/>
        <v>191.94076723004525</v>
      </c>
      <c r="T26" s="37"/>
      <c r="U26" s="5"/>
      <c r="V26" s="5"/>
      <c r="W26" s="5"/>
      <c r="X26" s="5"/>
      <c r="Y26" s="5"/>
      <c r="Z26" s="5"/>
      <c r="AA26" s="5"/>
    </row>
    <row r="27" spans="2:33" x14ac:dyDescent="0.25">
      <c r="B27" s="53">
        <v>18</v>
      </c>
      <c r="C27" s="54"/>
      <c r="D27" s="65" t="s">
        <v>53</v>
      </c>
      <c r="E27" s="55">
        <v>43409</v>
      </c>
      <c r="F27" s="54" t="s">
        <v>24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>1.2.</v>
      </c>
      <c r="M27" s="14">
        <f t="array" ref="M27">IFERROR(INDEX($C$10:$I$63,MATCH(SMALL(IF(($C$10:$C$63=$U$3)*($G$10:$G$63=$U$4)*(LEFT($F$10:$F$63,2)=$U$2),$H$10:$H$63,""),ROW($B18)),$H$10:$H$63,),MATCH(M$9,$C$9:$I$9,)),"")</f>
        <v>0</v>
      </c>
      <c r="N27" s="14">
        <f t="array" ref="N27">IFERROR(INDEX($C$10:$I$63,MATCH(SMALL(IF(($C$10:$C$63=$U$3)*($G$10:$G$63=$U$4)*(LEFT($F$10:$F$63,2)=$U$2),$H$10:$H$63,""),ROW($B18)),$H$10:$H$63,),MATCH(N$9,$C$9:$I$9,)),"")</f>
        <v>7</v>
      </c>
      <c r="O27" s="14" t="str">
        <f t="array" ref="O27">IFERROR(INDEX($C$10:$I$63,MATCH(SMALL(IF(($C$10:$C$63=$U$3)*($G$10:$G$63=$U$4)*(LEFT($F$10:$F$63,2)=$U$2),$H$10:$H$63,""),ROW($B18)),$H$10:$H$63,),MATCH(O$9,$C$9:$I$9,)),"")</f>
        <v>С-26</v>
      </c>
      <c r="P27" s="14">
        <f t="array" ref="P27">IFERROR(INDEX($C$10:$I$63,MATCH(SMALL(IF(($C$10:$C$63=$U$3)*($G$10:$G$63=$U$4)*(LEFT($F$10:$F$63,2)=$U$2),$H$10:$H$63,""),ROW($B18)),$H$10:$H$63,),MATCH(P$9,$C$9:$I$9,)),"")</f>
        <v>3691</v>
      </c>
      <c r="Q27" s="14">
        <f t="array" ref="Q27">IFERROR(INDEX($C$10:$I$63,MATCH(SMALL(IF(($C$10:$C$63=$U$3)*($G$10:$G$63=$U$4)*(LEFT($F$10:$F$63,2)=$U$2),$H$10:$H$63,""),ROW($B18)),$H$10:$H$63,),MATCH(Q$9,$C$9:$I$9,)),"")</f>
        <v>225</v>
      </c>
      <c r="R27" s="42"/>
      <c r="S27" s="43">
        <f t="shared" si="0"/>
        <v>175.25741602203152</v>
      </c>
      <c r="T27" s="37"/>
      <c r="U27" s="5"/>
      <c r="V27" s="5"/>
      <c r="W27" s="5"/>
      <c r="X27" s="5"/>
      <c r="Y27" s="5"/>
      <c r="Z27" s="5"/>
      <c r="AA27" s="5"/>
    </row>
    <row r="28" spans="2:33" x14ac:dyDescent="0.25">
      <c r="B28" s="53">
        <v>19</v>
      </c>
      <c r="C28" s="54"/>
      <c r="D28" s="65" t="s">
        <v>54</v>
      </c>
      <c r="E28" s="55">
        <v>43410</v>
      </c>
      <c r="F28" s="54" t="s">
        <v>24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>1.2.</v>
      </c>
      <c r="M28" s="14">
        <f t="array" ref="M28">IFERROR(INDEX($C$10:$I$63,MATCH(SMALL(IF(($C$10:$C$63=$U$3)*($G$10:$G$63=$U$4)*(LEFT($F$10:$F$63,2)=$U$2),$H$10:$H$63,""),ROW($B19)),$H$10:$H$63,),MATCH(M$9,$C$9:$I$9,)),"")</f>
        <v>0</v>
      </c>
      <c r="N28" s="14">
        <f t="array" ref="N28">IFERROR(INDEX($C$10:$I$63,MATCH(SMALL(IF(($C$10:$C$63=$U$3)*($G$10:$G$63=$U$4)*(LEFT($F$10:$F$63,2)=$U$2),$H$10:$H$63,""),ROW($B19)),$H$10:$H$63,),MATCH(N$9,$C$9:$I$9,)),"")</f>
        <v>7</v>
      </c>
      <c r="O28" s="14" t="str">
        <f t="array" ref="O28">IFERROR(INDEX($C$10:$I$63,MATCH(SMALL(IF(($C$10:$C$63=$U$3)*($G$10:$G$63=$U$4)*(LEFT($F$10:$F$63,2)=$U$2),$H$10:$H$63,""),ROW($B19)),$H$10:$H$63,),MATCH(O$9,$C$9:$I$9,)),"")</f>
        <v>Ч-23</v>
      </c>
      <c r="P28" s="14">
        <f t="array" ref="P28">IFERROR(INDEX($C$10:$I$63,MATCH(SMALL(IF(($C$10:$C$63=$U$3)*($G$10:$G$63=$U$4)*(LEFT($F$10:$F$63,2)=$U$2),$H$10:$H$63,""),ROW($B19)),$H$10:$H$63,),MATCH(P$9,$C$9:$I$9,)),"")</f>
        <v>3900</v>
      </c>
      <c r="Q28" s="14">
        <f t="array" ref="Q28">IFERROR(INDEX($C$10:$I$63,MATCH(SMALL(IF(($C$10:$C$63=$U$3)*($G$10:$G$63=$U$4)*(LEFT($F$10:$F$63,2)=$U$2),$H$10:$H$63,""),ROW($B19)),$H$10:$H$63,),MATCH(Q$9,$C$9:$I$9,)),"")</f>
        <v>242</v>
      </c>
      <c r="R28" s="42"/>
      <c r="S28" s="43">
        <f t="shared" si="0"/>
        <v>159.47631957979672</v>
      </c>
      <c r="T28" s="37"/>
      <c r="U28" s="5"/>
      <c r="V28" s="5"/>
      <c r="W28" s="5"/>
      <c r="X28" s="5"/>
      <c r="Y28" s="5"/>
      <c r="Z28" s="5"/>
      <c r="AA28" s="5"/>
    </row>
    <row r="29" spans="2:33" x14ac:dyDescent="0.25">
      <c r="B29" s="53">
        <v>20</v>
      </c>
      <c r="C29" s="54"/>
      <c r="D29" s="65" t="s">
        <v>55</v>
      </c>
      <c r="E29" s="55">
        <v>43411</v>
      </c>
      <c r="F29" s="54" t="s">
        <v>24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>1.2.</v>
      </c>
      <c r="M29" s="14">
        <f t="array" ref="M29">IFERROR(INDEX($C$10:$I$63,MATCH(SMALL(IF(($C$10:$C$63=$U$3)*($G$10:$G$63=$U$4)*(LEFT($F$10:$F$63,2)=$U$2),$H$10:$H$63,""),ROW($B20)),$H$10:$H$63,),MATCH(M$9,$C$9:$I$9,)),"")</f>
        <v>0</v>
      </c>
      <c r="N29" s="14">
        <f t="array" ref="N29">IFERROR(INDEX($C$10:$I$63,MATCH(SMALL(IF(($C$10:$C$63=$U$3)*($G$10:$G$63=$U$4)*(LEFT($F$10:$F$63,2)=$U$2),$H$10:$H$63,""),ROW($B20)),$H$10:$H$63,),MATCH(N$9,$C$9:$I$9,)),"")</f>
        <v>7</v>
      </c>
      <c r="O29" s="14" t="str">
        <f t="array" ref="O29">IFERROR(INDEX($C$10:$I$63,MATCH(SMALL(IF(($C$10:$C$63=$U$3)*($G$10:$G$63=$U$4)*(LEFT($F$10:$F$63,2)=$U$2),$H$10:$H$63,""),ROW($B20)),$H$10:$H$63,),MATCH(O$9,$C$9:$I$9,)),"")</f>
        <v>Ч-24</v>
      </c>
      <c r="P29" s="14">
        <f t="array" ref="P29">IFERROR(INDEX($C$10:$I$63,MATCH(SMALL(IF(($C$10:$C$63=$U$3)*($G$10:$G$63=$U$4)*(LEFT($F$10:$F$63,2)=$U$2),$H$10:$H$63,""),ROW($B20)),$H$10:$H$63,),MATCH(P$9,$C$9:$I$9,)),"")</f>
        <v>4920</v>
      </c>
      <c r="Q29" s="14">
        <f t="array" ref="Q29">IFERROR(INDEX($C$10:$I$63,MATCH(SMALL(IF(($C$10:$C$63=$U$3)*($G$10:$G$63=$U$4)*(LEFT($F$10:$F$63,2)=$U$2),$H$10:$H$63,""),ROW($B20)),$H$10:$H$63,),MATCH(Q$9,$C$9:$I$9,)),"")</f>
        <v>206</v>
      </c>
      <c r="R29" s="42"/>
      <c r="S29" s="43">
        <f t="shared" si="0"/>
        <v>144.50487465342508</v>
      </c>
      <c r="T29" s="37"/>
      <c r="U29" s="5"/>
      <c r="V29" s="5"/>
      <c r="W29" s="5"/>
      <c r="X29" s="5"/>
      <c r="Y29" s="5"/>
      <c r="Z29" s="5"/>
      <c r="AA29" s="5"/>
    </row>
    <row r="30" spans="2:33" x14ac:dyDescent="0.25">
      <c r="B30" s="53">
        <v>21</v>
      </c>
      <c r="C30" s="54"/>
      <c r="D30" s="65" t="s">
        <v>56</v>
      </c>
      <c r="E30" s="55">
        <v>43412</v>
      </c>
      <c r="F30" s="54" t="s">
        <v>24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>1.2.</v>
      </c>
      <c r="M30" s="14">
        <f t="array" ref="M30">IFERROR(INDEX($C$10:$I$63,MATCH(SMALL(IF(($C$10:$C$63=$U$3)*($G$10:$G$63=$U$4)*(LEFT($F$10:$F$63,2)=$U$2),$H$10:$H$63,""),ROW($B21)),$H$10:$H$63,),MATCH(M$9,$C$9:$I$9,)),"")</f>
        <v>0</v>
      </c>
      <c r="N30" s="14">
        <f t="array" ref="N30">IFERROR(INDEX($C$10:$I$63,MATCH(SMALL(IF(($C$10:$C$63=$U$3)*($G$10:$G$63=$U$4)*(LEFT($F$10:$F$63,2)=$U$2),$H$10:$H$63,""),ROW($B21)),$H$10:$H$63,),MATCH(N$9,$C$9:$I$9,)),"")</f>
        <v>7</v>
      </c>
      <c r="O30" s="14" t="str">
        <f t="array" ref="O30">IFERROR(INDEX($C$10:$I$63,MATCH(SMALL(IF(($C$10:$C$63=$U$3)*($G$10:$G$63=$U$4)*(LEFT($F$10:$F$63,2)=$U$2),$H$10:$H$63,""),ROW($B21)),$H$10:$H$63,),MATCH(O$9,$C$9:$I$9,)),"")</f>
        <v>Ч-24</v>
      </c>
      <c r="P30" s="14">
        <f t="array" ref="P30">IFERROR(INDEX($C$10:$I$63,MATCH(SMALL(IF(($C$10:$C$63=$U$3)*($G$10:$G$63=$U$4)*(LEFT($F$10:$F$63,2)=$U$2),$H$10:$H$63,""),ROW($B21)),$H$10:$H$63,),MATCH(P$9,$C$9:$I$9,)),"")</f>
        <v>4920</v>
      </c>
      <c r="Q30" s="14">
        <f t="array" ref="Q30">IFERROR(INDEX($C$10:$I$63,MATCH(SMALL(IF(($C$10:$C$63=$U$3)*($G$10:$G$63=$U$4)*(LEFT($F$10:$F$63,2)=$U$2),$H$10:$H$63,""),ROW($B21)),$H$10:$H$63,),MATCH(Q$9,$C$9:$I$9,)),"")</f>
        <v>206</v>
      </c>
      <c r="R30" s="42"/>
      <c r="S30" s="43">
        <f t="shared" si="0"/>
        <v>130.26404133333767</v>
      </c>
      <c r="T30" s="37"/>
      <c r="U30" s="5"/>
      <c r="V30" s="5"/>
      <c r="W30" s="5"/>
      <c r="X30" s="5"/>
      <c r="Y30" s="5"/>
      <c r="Z30" s="5"/>
      <c r="AA30" s="5"/>
    </row>
    <row r="31" spans="2:33" x14ac:dyDescent="0.25">
      <c r="B31" s="53">
        <v>22</v>
      </c>
      <c r="C31" s="54"/>
      <c r="D31" s="65" t="s">
        <v>57</v>
      </c>
      <c r="E31" s="55">
        <v>43413</v>
      </c>
      <c r="F31" s="54" t="s">
        <v>24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>1.3.</v>
      </c>
      <c r="M31" s="14">
        <f t="array" ref="M31">IFERROR(INDEX($C$10:$I$63,MATCH(SMALL(IF(($C$10:$C$63=$U$3)*($G$10:$G$63=$U$4)*(LEFT($F$10:$F$63,2)=$U$2),$H$10:$H$63,""),ROW($B22)),$H$10:$H$63,),MATCH(M$9,$C$9:$I$9,)),"")</f>
        <v>0</v>
      </c>
      <c r="N31" s="14">
        <f t="array" ref="N31">IFERROR(INDEX($C$10:$I$63,MATCH(SMALL(IF(($C$10:$C$63=$U$3)*($G$10:$G$63=$U$4)*(LEFT($F$10:$F$63,2)=$U$2),$H$10:$H$63,""),ROW($B22)),$H$10:$H$63,),MATCH(N$9,$C$9:$I$9,)),"")</f>
        <v>7</v>
      </c>
      <c r="O31" s="14" t="str">
        <f t="array" ref="O31">IFERROR(INDEX($C$10:$I$63,MATCH(SMALL(IF(($C$10:$C$63=$U$3)*($G$10:$G$63=$U$4)*(LEFT($F$10:$F$63,2)=$U$2),$H$10:$H$63,""),ROW($B22)),$H$10:$H$63,),MATCH(O$9,$C$9:$I$9,)),"")</f>
        <v>Ч-24</v>
      </c>
      <c r="P31" s="14">
        <f t="array" ref="P31">IFERROR(INDEX($C$10:$I$63,MATCH(SMALL(IF(($C$10:$C$63=$U$3)*($G$10:$G$63=$U$4)*(LEFT($F$10:$F$63,2)=$U$2),$H$10:$H$63,""),ROW($B22)),$H$10:$H$63,),MATCH(P$9,$C$9:$I$9,)),"")</f>
        <v>5020</v>
      </c>
      <c r="Q31" s="14">
        <f t="array" ref="Q31">IFERROR(INDEX($C$10:$I$63,MATCH(SMALL(IF(($C$10:$C$63=$U$3)*($G$10:$G$63=$U$4)*(LEFT($F$10:$F$63,2)=$U$2),$H$10:$H$63,""),ROW($B22)),$H$10:$H$63,),MATCH(Q$9,$C$9:$I$9,)),"")</f>
        <v>217</v>
      </c>
      <c r="R31" s="42"/>
      <c r="S31" s="43">
        <f t="shared" si="0"/>
        <v>116.68581711577235</v>
      </c>
      <c r="T31" s="37"/>
      <c r="U31" s="5"/>
      <c r="V31" s="5"/>
      <c r="W31" s="5"/>
      <c r="X31" s="5"/>
      <c r="Y31" s="5"/>
      <c r="Z31" s="5"/>
      <c r="AA31" s="5"/>
    </row>
    <row r="32" spans="2:33" x14ac:dyDescent="0.25">
      <c r="B32" s="58">
        <v>23</v>
      </c>
      <c r="C32" s="59"/>
      <c r="D32" s="65" t="s">
        <v>58</v>
      </c>
      <c r="E32" s="60">
        <v>43414</v>
      </c>
      <c r="F32" s="54" t="s">
        <v>24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/>
      <c r="S32" s="43" t="str">
        <f t="shared" si="0"/>
        <v/>
      </c>
      <c r="T32" s="38"/>
      <c r="U32" s="5"/>
      <c r="V32" s="5"/>
      <c r="W32" s="5"/>
      <c r="X32" s="5"/>
      <c r="Y32" s="5"/>
      <c r="Z32" s="5"/>
      <c r="AA32" s="5"/>
    </row>
    <row r="33" spans="2:27" x14ac:dyDescent="0.25">
      <c r="B33" s="53">
        <v>24</v>
      </c>
      <c r="C33" s="54"/>
      <c r="D33" s="65" t="s">
        <v>59</v>
      </c>
      <c r="E33" s="55">
        <v>43768</v>
      </c>
      <c r="F33" s="54" t="s">
        <v>23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 x14ac:dyDescent="0.25">
      <c r="B34" s="58">
        <v>25</v>
      </c>
      <c r="C34" s="54"/>
      <c r="D34" s="65" t="s">
        <v>60</v>
      </c>
      <c r="E34" s="55">
        <v>43769</v>
      </c>
      <c r="F34" s="54" t="s">
        <v>23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 x14ac:dyDescent="0.25">
      <c r="B35" s="53">
        <v>26</v>
      </c>
      <c r="C35" s="54"/>
      <c r="D35" s="65" t="s">
        <v>61</v>
      </c>
      <c r="E35" s="55">
        <v>43770</v>
      </c>
      <c r="F35" s="54" t="s">
        <v>24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 x14ac:dyDescent="0.25">
      <c r="B36" s="58">
        <v>27</v>
      </c>
      <c r="C36" s="54"/>
      <c r="D36" s="65" t="s">
        <v>62</v>
      </c>
      <c r="E36" s="55">
        <v>43771</v>
      </c>
      <c r="F36" s="54" t="s">
        <v>24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 x14ac:dyDescent="0.25">
      <c r="B37" s="53">
        <v>28</v>
      </c>
      <c r="C37" s="59"/>
      <c r="D37" s="65" t="s">
        <v>63</v>
      </c>
      <c r="E37" s="55">
        <v>43406</v>
      </c>
      <c r="F37" s="54" t="s">
        <v>24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 x14ac:dyDescent="0.25">
      <c r="B38" s="58">
        <v>29</v>
      </c>
      <c r="C38" s="54"/>
      <c r="D38" s="65" t="s">
        <v>64</v>
      </c>
      <c r="E38" s="55">
        <v>43407</v>
      </c>
      <c r="F38" s="54" t="s">
        <v>24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 x14ac:dyDescent="0.25">
      <c r="B39" s="53">
        <v>30</v>
      </c>
      <c r="C39" s="54"/>
      <c r="D39" s="65" t="s">
        <v>65</v>
      </c>
      <c r="E39" s="55">
        <v>43768</v>
      </c>
      <c r="F39" s="54" t="s">
        <v>23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 x14ac:dyDescent="0.25">
      <c r="B40" s="58">
        <v>31</v>
      </c>
      <c r="C40" s="54"/>
      <c r="D40" s="65" t="s">
        <v>66</v>
      </c>
      <c r="E40" s="55">
        <v>43769</v>
      </c>
      <c r="F40" s="54" t="s">
        <v>23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 x14ac:dyDescent="0.25">
      <c r="B41" s="53">
        <v>32</v>
      </c>
      <c r="C41" s="54"/>
      <c r="D41" s="65" t="s">
        <v>67</v>
      </c>
      <c r="E41" s="55">
        <v>43770</v>
      </c>
      <c r="F41" s="54" t="s">
        <v>23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 x14ac:dyDescent="0.25">
      <c r="B42" s="58">
        <v>33</v>
      </c>
      <c r="C42" s="54"/>
      <c r="D42" s="65" t="s">
        <v>68</v>
      </c>
      <c r="E42" s="55">
        <v>43771</v>
      </c>
      <c r="F42" s="54" t="s">
        <v>24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 x14ac:dyDescent="0.25">
      <c r="B43" s="53">
        <v>34</v>
      </c>
      <c r="C43" s="54"/>
      <c r="D43" s="65" t="s">
        <v>69</v>
      </c>
      <c r="E43" s="55">
        <v>43406</v>
      </c>
      <c r="F43" s="54" t="s">
        <v>24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 x14ac:dyDescent="0.25">
      <c r="B44" s="58">
        <v>35</v>
      </c>
      <c r="C44" s="54"/>
      <c r="D44" s="65" t="s">
        <v>70</v>
      </c>
      <c r="E44" s="55">
        <v>43407</v>
      </c>
      <c r="F44" s="54" t="s">
        <v>24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 x14ac:dyDescent="0.25">
      <c r="B45" s="53">
        <v>36</v>
      </c>
      <c r="C45" s="54"/>
      <c r="D45" s="65" t="s">
        <v>71</v>
      </c>
      <c r="E45" s="55">
        <v>43770</v>
      </c>
      <c r="F45" s="54" t="s">
        <v>24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 x14ac:dyDescent="0.25">
      <c r="B46" s="58">
        <v>37</v>
      </c>
      <c r="C46" s="54"/>
      <c r="D46" s="65" t="s">
        <v>72</v>
      </c>
      <c r="E46" s="55">
        <v>43771</v>
      </c>
      <c r="F46" s="54" t="s">
        <v>24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 x14ac:dyDescent="0.25">
      <c r="B47" s="53">
        <v>38</v>
      </c>
      <c r="C47" s="54"/>
      <c r="D47" s="65" t="s">
        <v>73</v>
      </c>
      <c r="E47" s="55">
        <v>43406</v>
      </c>
      <c r="F47" s="54" t="s">
        <v>24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 x14ac:dyDescent="0.25">
      <c r="B48" s="58">
        <v>39</v>
      </c>
      <c r="C48" s="54"/>
      <c r="D48" s="65" t="s">
        <v>74</v>
      </c>
      <c r="E48" s="55">
        <v>43407</v>
      </c>
      <c r="F48" s="54" t="s">
        <v>24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 x14ac:dyDescent="0.25">
      <c r="B49" s="53">
        <v>40</v>
      </c>
      <c r="C49" s="54"/>
      <c r="D49" s="65" t="s">
        <v>75</v>
      </c>
      <c r="E49" s="55">
        <v>43408</v>
      </c>
      <c r="F49" s="54" t="s">
        <v>23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 x14ac:dyDescent="0.25">
      <c r="B50" s="58">
        <v>41</v>
      </c>
      <c r="C50" s="54"/>
      <c r="D50" s="65" t="s">
        <v>76</v>
      </c>
      <c r="E50" s="55">
        <v>43409</v>
      </c>
      <c r="F50" s="54" t="s">
        <v>23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 x14ac:dyDescent="0.25">
      <c r="B51" s="53">
        <v>42</v>
      </c>
      <c r="C51" s="54"/>
      <c r="D51" s="65" t="s">
        <v>77</v>
      </c>
      <c r="E51" s="55">
        <v>43410</v>
      </c>
      <c r="F51" s="54" t="s">
        <v>23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 x14ac:dyDescent="0.25">
      <c r="B52" s="58">
        <v>43</v>
      </c>
      <c r="C52" s="54"/>
      <c r="D52" s="65" t="s">
        <v>78</v>
      </c>
      <c r="E52" s="55">
        <v>43411</v>
      </c>
      <c r="F52" s="54" t="s">
        <v>23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 x14ac:dyDescent="0.25">
      <c r="B53" s="53">
        <v>44</v>
      </c>
      <c r="C53" s="54"/>
      <c r="D53" s="66" t="s">
        <v>79</v>
      </c>
      <c r="E53" s="55">
        <v>43412</v>
      </c>
      <c r="F53" s="54" t="s">
        <v>23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 x14ac:dyDescent="0.25">
      <c r="B54" s="58">
        <v>45</v>
      </c>
      <c r="C54" s="54"/>
      <c r="D54" s="66" t="s">
        <v>80</v>
      </c>
      <c r="E54" s="55">
        <v>43413</v>
      </c>
      <c r="F54" s="54" t="s">
        <v>24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 x14ac:dyDescent="0.25">
      <c r="B55" s="53">
        <v>46</v>
      </c>
      <c r="C55" s="54"/>
      <c r="D55" s="66" t="s">
        <v>81</v>
      </c>
      <c r="E55" s="60">
        <v>43414</v>
      </c>
      <c r="F55" s="54" t="s">
        <v>24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 x14ac:dyDescent="0.25">
      <c r="B56" s="58">
        <v>47</v>
      </c>
      <c r="C56" s="54"/>
      <c r="D56" s="66" t="s">
        <v>82</v>
      </c>
      <c r="E56" s="55">
        <v>43768</v>
      </c>
      <c r="F56" s="54" t="s">
        <v>24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 x14ac:dyDescent="0.25">
      <c r="B57" s="53">
        <v>48</v>
      </c>
      <c r="C57" s="54"/>
      <c r="D57" s="66" t="s">
        <v>83</v>
      </c>
      <c r="E57" s="55">
        <v>43769</v>
      </c>
      <c r="F57" s="54" t="s">
        <v>24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 x14ac:dyDescent="0.25">
      <c r="B58" s="58">
        <v>49</v>
      </c>
      <c r="C58" s="54"/>
      <c r="D58" s="66" t="s">
        <v>84</v>
      </c>
      <c r="E58" s="55">
        <v>43770</v>
      </c>
      <c r="F58" s="54" t="s">
        <v>24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 x14ac:dyDescent="0.25">
      <c r="B59" s="53">
        <v>50</v>
      </c>
      <c r="C59" s="59"/>
      <c r="D59" s="66" t="s">
        <v>85</v>
      </c>
      <c r="E59" s="55">
        <v>43771</v>
      </c>
      <c r="F59" s="54" t="s">
        <v>23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 x14ac:dyDescent="0.25">
      <c r="B60" s="58">
        <v>51</v>
      </c>
      <c r="C60" s="54"/>
      <c r="D60" s="66" t="s">
        <v>79</v>
      </c>
      <c r="E60" s="55">
        <v>43406</v>
      </c>
      <c r="F60" s="54" t="s">
        <v>25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 x14ac:dyDescent="0.25">
      <c r="B61" s="53">
        <v>52</v>
      </c>
      <c r="C61" s="54"/>
      <c r="D61" s="66" t="s">
        <v>86</v>
      </c>
      <c r="E61" s="55">
        <v>43407</v>
      </c>
      <c r="F61" s="54" t="s">
        <v>24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 x14ac:dyDescent="0.25">
      <c r="B62" s="58">
        <v>53</v>
      </c>
      <c r="C62" s="54"/>
      <c r="D62" s="66" t="s">
        <v>87</v>
      </c>
      <c r="E62" s="55">
        <v>43768</v>
      </c>
      <c r="F62" s="54" t="s">
        <v>23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 x14ac:dyDescent="0.25">
      <c r="B63" s="53">
        <v>54</v>
      </c>
      <c r="C63" s="54"/>
      <c r="D63" s="66" t="s">
        <v>88</v>
      </c>
      <c r="E63" s="55">
        <v>43769</v>
      </c>
      <c r="F63" s="54" t="s">
        <v>23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 x14ac:dyDescent="0.25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 x14ac:dyDescent="0.25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 x14ac:dyDescent="0.25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 x14ac:dyDescent="0.25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 x14ac:dyDescent="0.25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 x14ac:dyDescent="0.25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 x14ac:dyDescent="0.25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 x14ac:dyDescent="0.25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 x14ac:dyDescent="0.25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 x14ac:dyDescent="0.25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 x14ac:dyDescent="0.25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 x14ac:dyDescent="0.25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 x14ac:dyDescent="0.25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 x14ac:dyDescent="0.25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 x14ac:dyDescent="0.25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 x14ac:dyDescent="0.25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 x14ac:dyDescent="0.25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 x14ac:dyDescent="0.25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 x14ac:dyDescent="0.25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 x14ac:dyDescent="0.25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 x14ac:dyDescent="0.25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 x14ac:dyDescent="0.25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 x14ac:dyDescent="0.25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 x14ac:dyDescent="0.25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 x14ac:dyDescent="0.25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 x14ac:dyDescent="0.25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 x14ac:dyDescent="0.25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 x14ac:dyDescent="0.25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 x14ac:dyDescent="0.25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 x14ac:dyDescent="0.25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 x14ac:dyDescent="0.25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 x14ac:dyDescent="0.25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 x14ac:dyDescent="0.25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 x14ac:dyDescent="0.25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 x14ac:dyDescent="0.25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 x14ac:dyDescent="0.25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 x14ac:dyDescent="0.25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 x14ac:dyDescent="0.25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 x14ac:dyDescent="0.25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 x14ac:dyDescent="0.25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 x14ac:dyDescent="0.25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 x14ac:dyDescent="0.25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 x14ac:dyDescent="0.25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 x14ac:dyDescent="0.25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 x14ac:dyDescent="0.25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 x14ac:dyDescent="0.25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 x14ac:dyDescent="0.25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 x14ac:dyDescent="0.25">
      <c r="B111" s="48"/>
      <c r="C111" s="49"/>
      <c r="D111" s="64" t="s">
        <v>16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 x14ac:dyDescent="0.25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 x14ac:dyDescent="0.25">
      <c r="B113" s="48"/>
      <c r="C113" s="49"/>
      <c r="D113" s="64" t="s">
        <v>18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95" x14ac:dyDescent="0.25">
      <c r="B114" s="48"/>
      <c r="C114" s="49"/>
      <c r="D114" s="25" t="s">
        <v>21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 x14ac:dyDescent="0.25">
      <c r="B115" s="48"/>
      <c r="C115" s="49"/>
      <c r="D115" s="64" t="s">
        <v>19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 x14ac:dyDescent="0.25">
      <c r="B116" s="49"/>
      <c r="C116" s="49"/>
      <c r="D116" s="67" t="s">
        <v>22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 x14ac:dyDescent="0.25">
      <c r="B117" s="49"/>
      <c r="C117" s="49"/>
      <c r="D117" s="67" t="s">
        <v>20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 x14ac:dyDescent="0.25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 x14ac:dyDescent="0.25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 x14ac:dyDescent="0.25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 x14ac:dyDescent="0.25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 x14ac:dyDescent="0.25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 x14ac:dyDescent="0.25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 x14ac:dyDescent="0.25">
      <c r="G124" s="49"/>
      <c r="H124" s="49"/>
      <c r="I124" s="49"/>
    </row>
    <row r="125" spans="2:27" x14ac:dyDescent="0.25">
      <c r="G125" s="49"/>
      <c r="H125" s="49"/>
      <c r="I125" s="49"/>
      <c r="J125" s="5"/>
      <c r="K125" s="5"/>
    </row>
    <row r="126" spans="2:27" x14ac:dyDescent="0.25">
      <c r="G126" s="49"/>
      <c r="H126" s="49"/>
      <c r="I126" s="49"/>
      <c r="J126" s="5"/>
      <c r="K126" s="5"/>
    </row>
    <row r="127" spans="2:27" x14ac:dyDescent="0.25">
      <c r="G127" s="49"/>
      <c r="H127" s="49"/>
      <c r="I127" s="49"/>
      <c r="J127" s="5"/>
      <c r="K127" s="5"/>
    </row>
    <row r="128" spans="2:27" x14ac:dyDescent="0.25">
      <c r="G128" s="49"/>
      <c r="H128" s="49"/>
      <c r="I128" s="49"/>
      <c r="J128" s="5"/>
      <c r="K128" s="5"/>
    </row>
    <row r="129" spans="10:11" x14ac:dyDescent="0.25">
      <c r="J129" s="5"/>
      <c r="K129" s="5"/>
    </row>
    <row r="130" spans="10:11" x14ac:dyDescent="0.25">
      <c r="J130" s="5"/>
      <c r="K130" s="5"/>
    </row>
  </sheetData>
  <sortState xmlns:xlrd2="http://schemas.microsoft.com/office/spreadsheetml/2017/richdata2"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H59"/>
  <sheetViews>
    <sheetView workbookViewId="0">
      <selection activeCell="C17" sqref="C17"/>
    </sheetView>
  </sheetViews>
  <sheetFormatPr defaultRowHeight="15" x14ac:dyDescent="0.25"/>
  <cols>
    <col min="4" max="4" width="14" customWidth="1"/>
  </cols>
  <sheetData>
    <row r="6" spans="4:8" x14ac:dyDescent="0.25">
      <c r="D6" s="19"/>
      <c r="G6" s="20"/>
    </row>
    <row r="7" spans="4:8" x14ac:dyDescent="0.25">
      <c r="D7" s="19"/>
    </row>
    <row r="8" spans="4:8" x14ac:dyDescent="0.25">
      <c r="D8" s="19"/>
    </row>
    <row r="9" spans="4:8" x14ac:dyDescent="0.25">
      <c r="D9" s="19"/>
      <c r="H9" s="21"/>
    </row>
    <row r="10" spans="4:8" x14ac:dyDescent="0.25">
      <c r="D10" s="19"/>
    </row>
    <row r="11" spans="4:8" x14ac:dyDescent="0.25">
      <c r="D11" s="19"/>
      <c r="G11" s="20"/>
    </row>
    <row r="12" spans="4:8" x14ac:dyDescent="0.25">
      <c r="D12" s="19"/>
      <c r="G12" s="20"/>
    </row>
    <row r="13" spans="4:8" x14ac:dyDescent="0.25">
      <c r="D13" s="19"/>
      <c r="G13" s="20"/>
    </row>
    <row r="14" spans="4:8" x14ac:dyDescent="0.25">
      <c r="D14" s="19"/>
    </row>
    <row r="15" spans="4:8" x14ac:dyDescent="0.25">
      <c r="D15" s="19"/>
      <c r="G15" s="20"/>
    </row>
    <row r="16" spans="4:8" x14ac:dyDescent="0.25">
      <c r="D16" s="19"/>
    </row>
    <row r="17" spans="4:8" x14ac:dyDescent="0.25">
      <c r="D17" s="19"/>
      <c r="H17" s="21"/>
    </row>
    <row r="18" spans="4:8" x14ac:dyDescent="0.25">
      <c r="D18" s="19"/>
    </row>
    <row r="19" spans="4:8" x14ac:dyDescent="0.25">
      <c r="D19" s="19"/>
    </row>
    <row r="20" spans="4:8" x14ac:dyDescent="0.25">
      <c r="D20" s="19"/>
    </row>
    <row r="21" spans="4:8" x14ac:dyDescent="0.25">
      <c r="D21" s="19"/>
    </row>
    <row r="22" spans="4:8" x14ac:dyDescent="0.25">
      <c r="D22" s="19"/>
    </row>
    <row r="23" spans="4:8" x14ac:dyDescent="0.25">
      <c r="D23" s="19"/>
    </row>
    <row r="24" spans="4:8" x14ac:dyDescent="0.25">
      <c r="D24" s="19"/>
    </row>
    <row r="25" spans="4:8" x14ac:dyDescent="0.25">
      <c r="D25" s="19"/>
    </row>
    <row r="26" spans="4:8" x14ac:dyDescent="0.25">
      <c r="D26" s="19"/>
    </row>
    <row r="27" spans="4:8" x14ac:dyDescent="0.25">
      <c r="D27" s="19"/>
    </row>
    <row r="28" spans="4:8" x14ac:dyDescent="0.25">
      <c r="D28" s="19"/>
    </row>
    <row r="29" spans="4:8" x14ac:dyDescent="0.25">
      <c r="D29" s="19"/>
      <c r="G29" s="20"/>
    </row>
    <row r="30" spans="4:8" x14ac:dyDescent="0.25">
      <c r="D30" s="19"/>
      <c r="G30" s="20"/>
    </row>
    <row r="31" spans="4:8" x14ac:dyDescent="0.25">
      <c r="D31" s="19"/>
      <c r="H31" s="21"/>
    </row>
    <row r="32" spans="4:8" x14ac:dyDescent="0.25">
      <c r="D32" s="19"/>
    </row>
    <row r="33" spans="4:7" x14ac:dyDescent="0.25">
      <c r="D33" s="19"/>
    </row>
    <row r="34" spans="4:7" x14ac:dyDescent="0.25">
      <c r="D34" s="19"/>
    </row>
    <row r="35" spans="4:7" x14ac:dyDescent="0.25">
      <c r="D35" s="19"/>
      <c r="G35" s="20"/>
    </row>
    <row r="36" spans="4:7" x14ac:dyDescent="0.25">
      <c r="D36" s="19"/>
      <c r="G36" s="20"/>
    </row>
    <row r="37" spans="4:7" x14ac:dyDescent="0.25">
      <c r="D37" s="19"/>
      <c r="G37" s="20"/>
    </row>
    <row r="38" spans="4:7" x14ac:dyDescent="0.25">
      <c r="D38" s="19"/>
    </row>
    <row r="39" spans="4:7" x14ac:dyDescent="0.25">
      <c r="D39" s="19"/>
    </row>
    <row r="40" spans="4:7" x14ac:dyDescent="0.25">
      <c r="D40" s="19"/>
    </row>
    <row r="41" spans="4:7" x14ac:dyDescent="0.25">
      <c r="D41" s="19"/>
    </row>
    <row r="42" spans="4:7" x14ac:dyDescent="0.25">
      <c r="D42" s="19"/>
    </row>
    <row r="43" spans="4:7" x14ac:dyDescent="0.25">
      <c r="D43" s="19"/>
    </row>
    <row r="44" spans="4:7" x14ac:dyDescent="0.25">
      <c r="D44" s="19"/>
    </row>
    <row r="45" spans="4:7" x14ac:dyDescent="0.25">
      <c r="D45" s="19"/>
      <c r="G45" s="20"/>
    </row>
    <row r="46" spans="4:7" x14ac:dyDescent="0.25">
      <c r="D46" s="19"/>
      <c r="G46" s="20"/>
    </row>
    <row r="47" spans="4:7" x14ac:dyDescent="0.25">
      <c r="D47" s="19"/>
      <c r="G47" s="20"/>
    </row>
    <row r="48" spans="4:7" x14ac:dyDescent="0.25">
      <c r="D48" s="19"/>
      <c r="G48" s="20"/>
    </row>
    <row r="49" spans="4:7" x14ac:dyDescent="0.25">
      <c r="D49" s="19"/>
      <c r="G49" s="20"/>
    </row>
    <row r="50" spans="4:7" x14ac:dyDescent="0.25">
      <c r="D50" s="19"/>
    </row>
    <row r="51" spans="4:7" x14ac:dyDescent="0.25">
      <c r="D51" s="19"/>
    </row>
    <row r="52" spans="4:7" x14ac:dyDescent="0.25">
      <c r="D52" s="19"/>
    </row>
    <row r="55" spans="4:7" x14ac:dyDescent="0.25">
      <c r="G55" s="20"/>
    </row>
    <row r="56" spans="4:7" x14ac:dyDescent="0.25">
      <c r="G56" s="20"/>
    </row>
    <row r="58" spans="4:7" x14ac:dyDescent="0.25">
      <c r="G58" s="20"/>
    </row>
    <row r="59" spans="4:7" x14ac:dyDescent="0.25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Пользователь Windows</cp:lastModifiedBy>
  <dcterms:created xsi:type="dcterms:W3CDTF">2021-06-09T16:58:47Z</dcterms:created>
  <dcterms:modified xsi:type="dcterms:W3CDTF">2021-06-13T11:39:30Z</dcterms:modified>
</cp:coreProperties>
</file>