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01EA4E2A-6195-43FA-8C32-2965ABD32537}" xr6:coauthVersionLast="47" xr6:coauthVersionMax="47" xr10:uidLastSave="{00000000-0000-0000-0000-000000000000}"/>
  <bookViews>
    <workbookView xWindow="1008" yWindow="-108" windowWidth="22140" windowHeight="13176" xr2:uid="{E5F1CA03-FDAB-4F78-848C-3ABEE68773BB}"/>
  </bookViews>
  <sheets>
    <sheet name="Расчет вентилятора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/>
  <c r="O3" i="1"/>
  <c r="P3" i="1"/>
  <c r="N4" i="1"/>
  <c r="O4" i="1"/>
  <c r="P4" i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S11" i="1" l="1"/>
  <c r="Q13" i="1"/>
  <c r="T8" i="1"/>
  <c r="Q5" i="1"/>
  <c r="S8" i="1"/>
  <c r="Q3" i="1"/>
  <c r="T5" i="1"/>
  <c r="S7" i="1"/>
  <c r="S12" i="1"/>
  <c r="S4" i="1"/>
  <c r="S9" i="1"/>
  <c r="R11" i="1"/>
  <c r="R13" i="1"/>
  <c r="Q11" i="1"/>
  <c r="R5" i="1"/>
  <c r="R8" i="1"/>
  <c r="S13" i="1"/>
  <c r="S5" i="1"/>
  <c r="T12" i="1"/>
  <c r="T7" i="1"/>
  <c r="R3" i="1"/>
  <c r="Q8" i="1"/>
  <c r="T4" i="1"/>
  <c r="S3" i="1"/>
  <c r="R12" i="1"/>
  <c r="R9" i="1"/>
  <c r="R7" i="1"/>
  <c r="R4" i="1"/>
  <c r="T3" i="1"/>
  <c r="Q12" i="1"/>
  <c r="Q9" i="1"/>
  <c r="Q7" i="1"/>
  <c r="Q4" i="1"/>
  <c r="T9" i="1"/>
  <c r="T13" i="1"/>
  <c r="T11" i="1"/>
  <c r="U12" i="1" l="1"/>
  <c r="U11" i="1"/>
  <c r="U5" i="1"/>
  <c r="U3" i="1"/>
  <c r="G22" i="1" s="1"/>
  <c r="U13" i="1"/>
  <c r="U8" i="1"/>
  <c r="U7" i="1"/>
  <c r="U4" i="1"/>
  <c r="U9" i="1"/>
  <c r="I22" i="1" l="1" a="1"/>
  <c r="I22" i="1" s="1"/>
  <c r="G23" i="1"/>
  <c r="M22" i="1" a="1"/>
  <c r="M22" i="1" s="1"/>
  <c r="K22" i="1" a="1"/>
  <c r="K22" i="1" s="1"/>
  <c r="L22" i="1" a="1"/>
  <c r="L22" i="1" s="1"/>
  <c r="H22" i="1" a="1"/>
  <c r="H22" i="1" s="1"/>
  <c r="J22" i="1" l="1"/>
  <c r="H23" i="1" a="1"/>
  <c r="H23" i="1" s="1"/>
  <c r="G24" i="1"/>
  <c r="L23" i="1" a="1"/>
  <c r="L23" i="1" s="1"/>
  <c r="K23" i="1" a="1"/>
  <c r="K23" i="1" s="1"/>
  <c r="I23" i="1" a="1"/>
  <c r="I23" i="1" s="1"/>
  <c r="M23" i="1" a="1"/>
  <c r="M23" i="1" s="1"/>
  <c r="G25" i="1" l="1"/>
  <c r="H24" i="1" a="1"/>
  <c r="H24" i="1" s="1"/>
  <c r="L24" i="1" a="1"/>
  <c r="L24" i="1" s="1"/>
  <c r="I24" i="1" a="1"/>
  <c r="I24" i="1" s="1"/>
  <c r="M24" i="1" a="1"/>
  <c r="M24" i="1" s="1"/>
  <c r="K24" i="1" a="1"/>
  <c r="K24" i="1" s="1"/>
  <c r="J23" i="1"/>
  <c r="J24" i="1" l="1"/>
  <c r="I25" i="1" a="1"/>
  <c r="I25" i="1" s="1"/>
  <c r="L25" i="1" a="1"/>
  <c r="L25" i="1" s="1"/>
  <c r="K25" i="1" a="1"/>
  <c r="K25" i="1" s="1"/>
  <c r="M25" i="1" a="1"/>
  <c r="M25" i="1" s="1"/>
  <c r="H25" i="1" a="1"/>
  <c r="H25" i="1" s="1"/>
  <c r="J25" i="1" l="1"/>
  <c r="Q24" i="1" s="1" a="1"/>
  <c r="Q22" i="1" l="1" a="1"/>
  <c r="Q22" i="1" s="1"/>
  <c r="B33" i="1" s="1"/>
  <c r="Q23" i="1" a="1"/>
  <c r="Q23" i="1" s="1"/>
  <c r="B34" i="1" s="1"/>
  <c r="Q24" i="1"/>
  <c r="B3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<sst xmlns="http://schemas.openxmlformats.org/spreadsheetml/2006/main" count="34" uniqueCount="28">
  <si>
    <t>U V</t>
  </si>
  <si>
    <t>Hz</t>
  </si>
  <si>
    <t>min-1</t>
  </si>
  <si>
    <t>W</t>
  </si>
  <si>
    <t>I A</t>
  </si>
  <si>
    <t>qV
m3/h</t>
  </si>
  <si>
    <t>pfs
Pa</t>
  </si>
  <si>
    <t>qV
cfm</t>
  </si>
  <si>
    <t>pfs
in. Wg</t>
  </si>
  <si>
    <t>рабочая точка</t>
  </si>
  <si>
    <t>Давление</t>
  </si>
  <si>
    <t>Расход, м3/ч</t>
  </si>
  <si>
    <t>Давление, Па</t>
  </si>
  <si>
    <t>напряжение</t>
  </si>
  <si>
    <t>частота</t>
  </si>
  <si>
    <t>кол-во оборотов крыльчатки</t>
  </si>
  <si>
    <t>мощность</t>
  </si>
  <si>
    <t>ток</t>
  </si>
  <si>
    <t>Расход воздуха</t>
  </si>
  <si>
    <t>точка</t>
  </si>
  <si>
    <t>кол-во оборотов в р.т.</t>
  </si>
  <si>
    <t>мощность в р.т.</t>
  </si>
  <si>
    <t>ток в р.т.</t>
  </si>
  <si>
    <t>x</t>
  </si>
  <si>
    <t>y</t>
  </si>
  <si>
    <t>xy</t>
  </si>
  <si>
    <t>w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</si>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</sst>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2" x14ac:knownFonts="1">
    <font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quotePrefix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5" xfId="0" applyFill="1" applyBorder="1"/>
    <xf numFmtId="0" fontId="0" fillId="0" borderId="2" xfId="0" applyFill="1" applyBorder="1"/>
    <xf numFmtId="0" fontId="0" fillId="3" borderId="0" xfId="0" applyFill="1" applyAlignment="1">
      <alignment horizontal="center" vertical="center"/>
    </xf>
    <xf numFmtId="0" fontId="0" fillId="4" borderId="0" xfId="0" applyFill="1"/>
    <xf numFmtId="0" fontId="1" fillId="0" borderId="0" xfId="0" applyFont="1"/>
    <xf numFmtId="0" fontId="0" fillId="2" borderId="0" xfId="0" applyFill="1"/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/>
    <xf numFmtId="0" fontId="0" fillId="0" borderId="15" xfId="0" applyBorder="1"/>
    <xf numFmtId="0" fontId="0" fillId="0" borderId="16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Fill="1" applyBorder="1"/>
    <xf numFmtId="0" fontId="0" fillId="0" borderId="0" xfId="0" applyFill="1" applyBorder="1"/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0" borderId="21" xfId="0" applyFill="1" applyBorder="1"/>
    <xf numFmtId="0" fontId="0" fillId="0" borderId="21" xfId="0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62735610467743E-2"/>
          <c:y val="6.1768032036219979E-2"/>
          <c:w val="0.87119685039370076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1-4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50703EC-FA78-4720-A02E-284762E692C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49F-4043-A6C0-E55D7C75CF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9EF9C4A-A832-4EE9-83A1-0D9823EC2A92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49F-4043-A6C0-E55D7C75CFE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840BABE-0A76-4719-84DA-BFADC02B68A7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49F-4043-A6C0-E55D7C75CFE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98D35A6-FB54-4DAD-8B1F-13FD3DF5106C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49F-4043-A6C0-E55D7C75C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'Расчет вентилятора (2)'!$J$3:$J$6</c:f>
              <c:numCache>
                <c:formatCode>General</c:formatCode>
                <c:ptCount val="4"/>
                <c:pt idx="0">
                  <c:v>755</c:v>
                </c:pt>
                <c:pt idx="1">
                  <c:v>625</c:v>
                </c:pt>
                <c:pt idx="2">
                  <c:v>455</c:v>
                </c:pt>
                <c:pt idx="3">
                  <c:v>305</c:v>
                </c:pt>
              </c:numCache>
            </c:numRef>
          </c:xVal>
          <c:yVal>
            <c:numRef>
              <c:f>'Расчет вентилятора (2)'!$K$3:$K$6</c:f>
              <c:numCache>
                <c:formatCode>General</c:formatCode>
                <c:ptCount val="4"/>
                <c:pt idx="0">
                  <c:v>0</c:v>
                </c:pt>
                <c:pt idx="1">
                  <c:v>200</c:v>
                </c:pt>
                <c:pt idx="2">
                  <c:v>350</c:v>
                </c:pt>
                <c:pt idx="3">
                  <c:v>450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'Расчет вентилятора (2)'!$D$3:$D$6</c15:f>
                <c15:dlblRangeCache>
                  <c:ptCount val="4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649F-4043-A6C0-E55D7C75CFED}"/>
            </c:ext>
          </c:extLst>
        </c:ser>
        <c:ser>
          <c:idx val="1"/>
          <c:order val="1"/>
          <c:tx>
            <c:v>5-8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D440B1F-2D79-4220-96EB-79C669A3434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649F-4043-A6C0-E55D7C75CF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FD90533-79A0-4CDB-AE21-FDC335B6433D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49F-4043-A6C0-E55D7C75CFE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6AFDA9A-DE73-438E-9B52-1440E1915310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49F-4043-A6C0-E55D7C75CFE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84847D8-98A7-404E-914A-8E5FA8F2218B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49F-4043-A6C0-E55D7C75C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'Расчет вентилятора (2)'!$J$7:$J$10</c:f>
              <c:numCache>
                <c:formatCode>General</c:formatCode>
                <c:ptCount val="4"/>
                <c:pt idx="0">
                  <c:v>675</c:v>
                </c:pt>
                <c:pt idx="1">
                  <c:v>570</c:v>
                </c:pt>
                <c:pt idx="2">
                  <c:v>425</c:v>
                </c:pt>
                <c:pt idx="3">
                  <c:v>280</c:v>
                </c:pt>
              </c:numCache>
            </c:numRef>
          </c:xVal>
          <c:yVal>
            <c:numRef>
              <c:f>'Расчет вентилятора (2)'!$K$7:$K$10</c:f>
              <c:numCache>
                <c:formatCode>General</c:formatCode>
                <c:ptCount val="4"/>
                <c:pt idx="0">
                  <c:v>0</c:v>
                </c:pt>
                <c:pt idx="1">
                  <c:v>166</c:v>
                </c:pt>
                <c:pt idx="2">
                  <c:v>308</c:v>
                </c:pt>
                <c:pt idx="3">
                  <c:v>388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'Расчет вентилятора (2)'!$D$7:$D$10</c15:f>
                <c15:dlblRangeCache>
                  <c:ptCount val="4"/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649F-4043-A6C0-E55D7C75CFED}"/>
            </c:ext>
          </c:extLst>
        </c:ser>
        <c:ser>
          <c:idx val="2"/>
          <c:order val="2"/>
          <c:tx>
            <c:v>9-12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4F12920-E6AE-464E-9317-4DAD6C673AF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649F-4043-A6C0-E55D7C75CF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49EF9C7-A3C2-486D-90EB-0F36B85963A5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49F-4043-A6C0-E55D7C75CFE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66740AC-4616-4587-A6B4-B5BF986910DE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49F-4043-A6C0-E55D7C75CFE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ED79399-8881-4F37-82A5-F7C41580A304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49F-4043-A6C0-E55D7C75C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'Расчет вентилятора (2)'!$J$11:$J$14</c:f>
              <c:numCache>
                <c:formatCode>General</c:formatCode>
                <c:ptCount val="4"/>
                <c:pt idx="0">
                  <c:v>545</c:v>
                </c:pt>
                <c:pt idx="1">
                  <c:v>465</c:v>
                </c:pt>
                <c:pt idx="2">
                  <c:v>345</c:v>
                </c:pt>
                <c:pt idx="3">
                  <c:v>230</c:v>
                </c:pt>
              </c:numCache>
            </c:numRef>
          </c:xVal>
          <c:yVal>
            <c:numRef>
              <c:f>'Расчет вентилятора (2)'!$K$11:$K$14</c:f>
              <c:numCache>
                <c:formatCode>General</c:formatCode>
                <c:ptCount val="4"/>
                <c:pt idx="0">
                  <c:v>0</c:v>
                </c:pt>
                <c:pt idx="1">
                  <c:v>110</c:v>
                </c:pt>
                <c:pt idx="2">
                  <c:v>204</c:v>
                </c:pt>
                <c:pt idx="3">
                  <c:v>256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'Расчет вентилятора (2)'!$D$11:$D$14</c15:f>
                <c15:dlblRangeCache>
                  <c:ptCount val="4"/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649F-4043-A6C0-E55D7C75CFED}"/>
            </c:ext>
          </c:extLst>
        </c:ser>
        <c:ser>
          <c:idx val="3"/>
          <c:order val="3"/>
          <c:tx>
            <c:v>13-16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66154AA-D0E3-4E06-8016-13916216060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649F-4043-A6C0-E55D7C75CF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CF33D4C-40EE-4519-B04C-CE6F69A8E8D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49F-4043-A6C0-E55D7C75CFE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15351D6-93B6-439D-9365-C50A268BE765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649F-4043-A6C0-E55D7C75CFE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894182C-A917-419F-9E0C-96810226027B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49F-4043-A6C0-E55D7C75C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'Расчет вентилятора (2)'!$J$15:$J$18</c:f>
              <c:numCache>
                <c:formatCode>General</c:formatCode>
                <c:ptCount val="4"/>
                <c:pt idx="0">
                  <c:v>420</c:v>
                </c:pt>
                <c:pt idx="1">
                  <c:v>355</c:v>
                </c:pt>
                <c:pt idx="2">
                  <c:v>265</c:v>
                </c:pt>
                <c:pt idx="3">
                  <c:v>175</c:v>
                </c:pt>
              </c:numCache>
            </c:numRef>
          </c:xVal>
          <c:yVal>
            <c:numRef>
              <c:f>'Расчет вентилятора (2)'!$K$15:$K$18</c:f>
              <c:numCache>
                <c:formatCode>General</c:formatCode>
                <c:ptCount val="4"/>
                <c:pt idx="0">
                  <c:v>0</c:v>
                </c:pt>
                <c:pt idx="1">
                  <c:v>65</c:v>
                </c:pt>
                <c:pt idx="2">
                  <c:v>120</c:v>
                </c:pt>
                <c:pt idx="3">
                  <c:v>152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'Расчет вентилятора (2)'!$D$15:$D$18</c15:f>
                <c15:dlblRangeCache>
                  <c:ptCount val="4"/>
                  <c:pt idx="0">
                    <c:v>13</c:v>
                  </c:pt>
                  <c:pt idx="1">
                    <c:v>14</c:v>
                  </c:pt>
                  <c:pt idx="2">
                    <c:v>15</c:v>
                  </c:pt>
                  <c:pt idx="3">
                    <c:v>16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649F-4043-A6C0-E55D7C75CFED}"/>
            </c:ext>
          </c:extLst>
        </c:ser>
        <c:ser>
          <c:idx val="4"/>
          <c:order val="4"/>
          <c:tx>
            <c:v>4-8-12-16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2.9312393201212299E-2"/>
                  <c:y val="6.2351039453401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('Расчет вентилятора (2)'!$J$6,'Расчет вентилятора (2)'!$J$10,'Расчет вентилятора (2)'!$J$14,'Расчет вентилятора (2)'!$J$18)</c:f>
              <c:numCache>
                <c:formatCode>General</c:formatCode>
                <c:ptCount val="4"/>
                <c:pt idx="0">
                  <c:v>305</c:v>
                </c:pt>
                <c:pt idx="1">
                  <c:v>280</c:v>
                </c:pt>
                <c:pt idx="2">
                  <c:v>230</c:v>
                </c:pt>
                <c:pt idx="3">
                  <c:v>175</c:v>
                </c:pt>
              </c:numCache>
            </c:numRef>
          </c:xVal>
          <c:yVal>
            <c:numRef>
              <c:f>('Расчет вентилятора (2)'!$K$6,'Расчет вентилятора (2)'!$K$10,'Расчет вентилятора (2)'!$K$14,'Расчет вентилятора (2)'!$K$18)</c:f>
              <c:numCache>
                <c:formatCode>General</c:formatCode>
                <c:ptCount val="4"/>
                <c:pt idx="0">
                  <c:v>450</c:v>
                </c:pt>
                <c:pt idx="1">
                  <c:v>388</c:v>
                </c:pt>
                <c:pt idx="2">
                  <c:v>256</c:v>
                </c:pt>
                <c:pt idx="3">
                  <c:v>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9F-4043-A6C0-E55D7C75CFED}"/>
            </c:ext>
          </c:extLst>
        </c:ser>
        <c:ser>
          <c:idx val="5"/>
          <c:order val="5"/>
          <c:tx>
            <c:v>3-7-11-15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4.46221176234117E-2"/>
                  <c:y val="0.330114569012206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('Расчет вентилятора (2)'!$J$5,'Расчет вентилятора (2)'!$J$9,'Расчет вентилятора (2)'!$J$13,'Расчет вентилятора (2)'!$J$17)</c:f>
              <c:numCache>
                <c:formatCode>General</c:formatCode>
                <c:ptCount val="4"/>
                <c:pt idx="0">
                  <c:v>455</c:v>
                </c:pt>
                <c:pt idx="1">
                  <c:v>425</c:v>
                </c:pt>
                <c:pt idx="2">
                  <c:v>345</c:v>
                </c:pt>
                <c:pt idx="3">
                  <c:v>265</c:v>
                </c:pt>
              </c:numCache>
            </c:numRef>
          </c:xVal>
          <c:yVal>
            <c:numRef>
              <c:f>('Расчет вентилятора (2)'!$K$5,'Расчет вентилятора (2)'!$K$9,'Расчет вентилятора (2)'!$K$13,'Расчет вентилятора (2)'!$K$17)</c:f>
              <c:numCache>
                <c:formatCode>General</c:formatCode>
                <c:ptCount val="4"/>
                <c:pt idx="0">
                  <c:v>350</c:v>
                </c:pt>
                <c:pt idx="1">
                  <c:v>308</c:v>
                </c:pt>
                <c:pt idx="2">
                  <c:v>204</c:v>
                </c:pt>
                <c:pt idx="3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49F-4043-A6C0-E55D7C75CFED}"/>
            </c:ext>
          </c:extLst>
        </c:ser>
        <c:ser>
          <c:idx val="7"/>
          <c:order val="6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8"/>
            <c:spPr>
              <a:noFill/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'Расчет вентилятора (2)'!$B$31</c:f>
              <c:numCache>
                <c:formatCode>General</c:formatCode>
                <c:ptCount val="1"/>
                <c:pt idx="0">
                  <c:v>350</c:v>
                </c:pt>
              </c:numCache>
            </c:numRef>
          </c:xVal>
          <c:yVal>
            <c:numRef>
              <c:f>'Расчет вентилятора (2)'!$B$32</c:f>
              <c:numCache>
                <c:formatCode>General</c:formatCode>
                <c:ptCount val="1"/>
                <c:pt idx="0">
                  <c:v>380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12-4CE8-89C6-9287027F949C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759113496"/>
        <c:axId val="759108248"/>
      </c:scatterChart>
      <c:valAx>
        <c:axId val="75911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9108248"/>
        <c:crosses val="autoZero"/>
        <c:crossBetween val="midCat"/>
      </c:valAx>
      <c:valAx>
        <c:axId val="75910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9113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333809</xdr:colOff>
      <xdr:row>0</xdr:row>
      <xdr:rowOff>129020</xdr:rowOff>
    </xdr:from>
    <xdr:to>
      <xdr:col>39</xdr:col>
      <xdr:colOff>262371</xdr:colOff>
      <xdr:row>47</xdr:row>
      <xdr:rowOff>175780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8DBD125B-4332-4BDD-9043-6AFE44562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48137-5FF6-4CFE-B089-09CF06025D83}">
  <dimension ref="A1:U35"/>
  <sheetViews>
    <sheetView tabSelected="1" zoomScale="55" zoomScaleNormal="55" workbookViewId="0">
      <selection activeCell="C18" sqref="C18"/>
    </sheetView>
  </sheetViews>
  <sheetFormatPr defaultRowHeight="15.6" x14ac:dyDescent="0.3"/>
  <cols>
    <col min="1" max="1" width="19.69921875" bestFit="1" customWidth="1"/>
    <col min="2" max="2" width="13.69921875" bestFit="1" customWidth="1"/>
    <col min="3" max="3" width="27.8984375" bestFit="1" customWidth="1"/>
    <col min="4" max="4" width="3.3984375" customWidth="1"/>
    <col min="5" max="5" width="6.5" customWidth="1"/>
    <col min="6" max="6" width="4.5" customWidth="1"/>
    <col min="7" max="7" width="11.09765625" customWidth="1"/>
    <col min="8" max="8" width="10.3984375" customWidth="1"/>
    <col min="11" max="11" width="10" customWidth="1"/>
    <col min="12" max="13" width="9" customWidth="1"/>
    <col min="15" max="15" width="12.296875" bestFit="1" customWidth="1"/>
  </cols>
  <sheetData>
    <row r="1" spans="4:21" s="11" customFormat="1" ht="45.75" customHeight="1" thickBot="1" x14ac:dyDescent="0.35">
      <c r="D1" s="11" t="s">
        <v>19</v>
      </c>
      <c r="E1" s="11" t="s">
        <v>13</v>
      </c>
      <c r="F1" s="11" t="s">
        <v>14</v>
      </c>
      <c r="G1" s="11" t="s">
        <v>15</v>
      </c>
      <c r="H1" s="11" t="s">
        <v>16</v>
      </c>
      <c r="I1" s="11" t="s">
        <v>17</v>
      </c>
      <c r="J1" s="11" t="s">
        <v>18</v>
      </c>
      <c r="K1" s="11" t="s">
        <v>10</v>
      </c>
    </row>
    <row r="2" spans="4:21" ht="31.2" x14ac:dyDescent="0.3">
      <c r="E2" t="s">
        <v>0</v>
      </c>
      <c r="F2" t="s">
        <v>1</v>
      </c>
      <c r="G2" t="s">
        <v>2</v>
      </c>
      <c r="H2" t="s">
        <v>3</v>
      </c>
      <c r="I2" t="s">
        <v>4</v>
      </c>
      <c r="J2" s="1" t="s">
        <v>5</v>
      </c>
      <c r="K2" s="1" t="s">
        <v>6</v>
      </c>
      <c r="L2" s="1" t="s">
        <v>7</v>
      </c>
      <c r="M2" s="1" t="s">
        <v>8</v>
      </c>
      <c r="N2" s="38"/>
      <c r="O2" s="39" t="s">
        <v>23</v>
      </c>
      <c r="P2" s="39" t="s">
        <v>24</v>
      </c>
      <c r="Q2" s="40">
        <v>1</v>
      </c>
      <c r="R2" s="40">
        <v>2</v>
      </c>
      <c r="S2" s="40">
        <v>3</v>
      </c>
      <c r="T2" s="40">
        <v>4</v>
      </c>
      <c r="U2" s="41"/>
    </row>
    <row r="3" spans="4:21" x14ac:dyDescent="0.3">
      <c r="D3" s="2">
        <v>1</v>
      </c>
      <c r="E3" s="3">
        <v>230</v>
      </c>
      <c r="F3" s="3">
        <v>50</v>
      </c>
      <c r="G3" s="3">
        <v>3585</v>
      </c>
      <c r="H3" s="3">
        <v>84</v>
      </c>
      <c r="I3" s="3">
        <v>0.72</v>
      </c>
      <c r="J3" s="3">
        <v>755</v>
      </c>
      <c r="K3" s="3">
        <v>0</v>
      </c>
      <c r="L3" s="3">
        <v>445</v>
      </c>
      <c r="M3" s="3">
        <v>0</v>
      </c>
      <c r="N3" s="42">
        <f>SQRT(($B$31-J3)^2+($B$32-K3)^2)</f>
        <v>555.36024344563953</v>
      </c>
      <c r="O3" s="43">
        <f>$B$31-J3</f>
        <v>-405</v>
      </c>
      <c r="P3" s="43">
        <f>$B$32-K3</f>
        <v>380</v>
      </c>
      <c r="Q3" s="37">
        <f>DEGREES(ACOS((O4*O3+P4*P3)/N3/N4))</f>
        <v>9.9693398525343468</v>
      </c>
      <c r="R3" s="37">
        <f>DEGREES(ACOS((O4*O8+P4*P8)/N4/N8))</f>
        <v>11.001372592748089</v>
      </c>
      <c r="S3" s="37">
        <f>DEGREES(ACOS((O8*O7+P8*P7)/N8/N7))</f>
        <v>5.2529053506789669</v>
      </c>
      <c r="T3" s="37">
        <f>DEGREES(ACOS((O3*O7+P3*P7)/N3/N7))</f>
        <v>6.2849380908926706</v>
      </c>
      <c r="U3" s="44">
        <f>ROUND(SUM(Q3:T3),)</f>
        <v>33</v>
      </c>
    </row>
    <row r="4" spans="4:21" x14ac:dyDescent="0.3">
      <c r="D4" s="4">
        <v>2</v>
      </c>
      <c r="E4">
        <v>230</v>
      </c>
      <c r="F4">
        <v>50</v>
      </c>
      <c r="G4">
        <v>3500</v>
      </c>
      <c r="H4">
        <v>90</v>
      </c>
      <c r="I4">
        <v>0.77</v>
      </c>
      <c r="J4">
        <v>625</v>
      </c>
      <c r="K4">
        <v>200</v>
      </c>
      <c r="L4">
        <v>365</v>
      </c>
      <c r="M4" s="37">
        <v>0.8</v>
      </c>
      <c r="N4" s="42">
        <f t="shared" ref="N4:N18" si="0">SQRT(($B$31-J4)^2+($B$32-K4)^2)</f>
        <v>328.6715685908959</v>
      </c>
      <c r="O4" s="43">
        <f t="shared" ref="O4:O18" si="1">$B$31-J4</f>
        <v>-275</v>
      </c>
      <c r="P4" s="43">
        <f t="shared" ref="P4:P18" si="2">$B$32-K4</f>
        <v>180</v>
      </c>
      <c r="Q4" s="37">
        <f>DEGREES(ACOS((O5*O4+P5*P4)/N4/N5))</f>
        <v>17.261174414166671</v>
      </c>
      <c r="R4" s="37">
        <f>DEGREES(ACOS((O5*O9+P5*P9)/N5/N9))</f>
        <v>27.88546477116973</v>
      </c>
      <c r="S4" s="37">
        <f>DEGREES(ACOS((O9*O8+P9*P8)/N9/N8))</f>
        <v>0.37708223574351757</v>
      </c>
      <c r="T4" s="37">
        <f>DEGREES(ACOS((O4*O8+P4*P8)/N4/N8))</f>
        <v>11.001372592748089</v>
      </c>
      <c r="U4" s="44">
        <f t="shared" ref="U4:U13" si="3">ROUND(SUM(Q4:T4),)</f>
        <v>57</v>
      </c>
    </row>
    <row r="5" spans="4:21" x14ac:dyDescent="0.3">
      <c r="D5" s="4">
        <v>3</v>
      </c>
      <c r="E5">
        <v>230</v>
      </c>
      <c r="F5">
        <v>50</v>
      </c>
      <c r="G5" s="12">
        <v>3375</v>
      </c>
      <c r="H5" s="12">
        <v>96</v>
      </c>
      <c r="I5" s="12">
        <v>0.8</v>
      </c>
      <c r="J5" s="12">
        <v>455</v>
      </c>
      <c r="K5">
        <v>350</v>
      </c>
      <c r="L5">
        <v>265</v>
      </c>
      <c r="M5" s="37">
        <v>1.41</v>
      </c>
      <c r="N5" s="42">
        <f t="shared" si="0"/>
        <v>109.20164833920778</v>
      </c>
      <c r="O5" s="43">
        <f t="shared" si="1"/>
        <v>-105</v>
      </c>
      <c r="P5" s="43">
        <f t="shared" si="2"/>
        <v>30</v>
      </c>
      <c r="Q5" s="37">
        <f>DEGREES(ACOS((O6*O5+P6*P5)/N5/N6))</f>
        <v>138.68062217303046</v>
      </c>
      <c r="R5" s="37">
        <f>DEGREES(ACOS((O6*O10+P6*P10)/N6/N10))</f>
        <v>50.744971976235405</v>
      </c>
      <c r="S5" s="37">
        <f>DEGREES(ACOS((O10*O9+P10*P9)/N10/N9))</f>
        <v>142.68894107956444</v>
      </c>
      <c r="T5" s="37">
        <f>DEGREES(ACOS((O5*O9+P5*P9)/N5/N9))</f>
        <v>27.88546477116973</v>
      </c>
      <c r="U5" s="44">
        <f t="shared" si="3"/>
        <v>360</v>
      </c>
    </row>
    <row r="6" spans="4:21" x14ac:dyDescent="0.3">
      <c r="D6" s="5">
        <v>4</v>
      </c>
      <c r="E6" s="6">
        <v>230</v>
      </c>
      <c r="F6" s="6">
        <v>50</v>
      </c>
      <c r="G6" s="13">
        <v>3450</v>
      </c>
      <c r="H6" s="13">
        <v>93</v>
      </c>
      <c r="I6" s="13">
        <v>0.8</v>
      </c>
      <c r="J6" s="13">
        <v>305</v>
      </c>
      <c r="K6" s="6">
        <v>450</v>
      </c>
      <c r="L6" s="6">
        <v>180</v>
      </c>
      <c r="M6" s="6">
        <v>1.81</v>
      </c>
      <c r="N6" s="42">
        <f t="shared" si="0"/>
        <v>83.21658488546619</v>
      </c>
      <c r="O6" s="43">
        <f t="shared" si="1"/>
        <v>45</v>
      </c>
      <c r="P6" s="43">
        <f t="shared" si="2"/>
        <v>-70</v>
      </c>
      <c r="Q6" s="37"/>
      <c r="R6" s="37"/>
      <c r="S6" s="37"/>
      <c r="T6" s="37"/>
      <c r="U6" s="44"/>
    </row>
    <row r="7" spans="4:21" x14ac:dyDescent="0.3">
      <c r="D7" s="2">
        <v>5</v>
      </c>
      <c r="E7" s="3">
        <v>230</v>
      </c>
      <c r="F7" s="3">
        <v>50</v>
      </c>
      <c r="G7" s="14">
        <v>3200</v>
      </c>
      <c r="H7" s="14">
        <v>59</v>
      </c>
      <c r="I7" s="14">
        <v>0.51</v>
      </c>
      <c r="J7" s="14">
        <v>675</v>
      </c>
      <c r="K7" s="3">
        <v>0</v>
      </c>
      <c r="L7" s="3">
        <v>395</v>
      </c>
      <c r="M7" s="3">
        <v>0</v>
      </c>
      <c r="N7" s="42">
        <f t="shared" si="0"/>
        <v>500.02499937503126</v>
      </c>
      <c r="O7" s="43">
        <f t="shared" si="1"/>
        <v>-325</v>
      </c>
      <c r="P7" s="43">
        <f t="shared" si="2"/>
        <v>380</v>
      </c>
      <c r="Q7" s="37">
        <f>DEGREES(ACOS((O8*O7+P8*P7)/N7/N8))</f>
        <v>5.2529053506789669</v>
      </c>
      <c r="R7" s="37">
        <f>DEGREES(ACOS((O8*O12+P8*P12)/N8/N12))</f>
        <v>22.721644842337742</v>
      </c>
      <c r="S7" s="37">
        <f>DEGREES(ACOS((O12*O11+P12*P11)/N12/N11))</f>
        <v>4.0945728075071477</v>
      </c>
      <c r="T7" s="37">
        <f>DEGREES(ACOS((O7*O11+P7*P11)/N7/N11))</f>
        <v>13.37416668415149</v>
      </c>
      <c r="U7" s="44">
        <f t="shared" si="3"/>
        <v>45</v>
      </c>
    </row>
    <row r="8" spans="4:21" x14ac:dyDescent="0.3">
      <c r="D8" s="4">
        <v>6</v>
      </c>
      <c r="E8">
        <v>230</v>
      </c>
      <c r="F8">
        <v>50</v>
      </c>
      <c r="G8" s="12">
        <v>3200</v>
      </c>
      <c r="H8" s="12">
        <v>68</v>
      </c>
      <c r="I8" s="12">
        <v>0.59</v>
      </c>
      <c r="J8" s="12">
        <v>570</v>
      </c>
      <c r="K8">
        <v>166</v>
      </c>
      <c r="L8">
        <v>335</v>
      </c>
      <c r="M8" s="37">
        <v>0.67</v>
      </c>
      <c r="N8" s="42">
        <f t="shared" si="0"/>
        <v>306.91366864315444</v>
      </c>
      <c r="O8" s="43">
        <f t="shared" si="1"/>
        <v>-220</v>
      </c>
      <c r="P8" s="43">
        <f t="shared" si="2"/>
        <v>214</v>
      </c>
      <c r="Q8" s="37">
        <f>DEGREES(ACOS((O9*O8+P9*P8)/N8/N9))</f>
        <v>0.37708223574448446</v>
      </c>
      <c r="R8" s="37">
        <f>DEGREES(ACOS((O9*O13+P9*P13)/N9/N13))</f>
        <v>47.796422650300997</v>
      </c>
      <c r="S8" s="37">
        <f>DEGREES(ACOS((O13*O12+P13*P12)/N13/N12))</f>
        <v>24.697695572218233</v>
      </c>
      <c r="T8" s="37">
        <f>DEGREES(ACOS((O8*O12+P8*P12)/N8/N12))</f>
        <v>22.721644842337742</v>
      </c>
      <c r="U8" s="44">
        <f t="shared" si="3"/>
        <v>96</v>
      </c>
    </row>
    <row r="9" spans="4:21" x14ac:dyDescent="0.3">
      <c r="D9" s="4">
        <v>7</v>
      </c>
      <c r="E9">
        <v>230</v>
      </c>
      <c r="F9">
        <v>50</v>
      </c>
      <c r="G9" s="12">
        <v>3200</v>
      </c>
      <c r="H9" s="12">
        <v>81</v>
      </c>
      <c r="I9" s="12">
        <v>0.69</v>
      </c>
      <c r="J9" s="12">
        <v>425</v>
      </c>
      <c r="K9">
        <v>308</v>
      </c>
      <c r="L9">
        <v>250</v>
      </c>
      <c r="M9" s="37">
        <v>1.24</v>
      </c>
      <c r="N9" s="42">
        <f t="shared" si="0"/>
        <v>103.96634070698073</v>
      </c>
      <c r="O9" s="43">
        <f t="shared" si="1"/>
        <v>-75</v>
      </c>
      <c r="P9" s="43">
        <f t="shared" si="2"/>
        <v>72</v>
      </c>
      <c r="Q9" s="37">
        <f>DEGREES(ACOS((O10*O9+P10*P9)/N9/N10))</f>
        <v>142.68894107956442</v>
      </c>
      <c r="R9" s="37">
        <f>DEGREES(ACOS((O10*O14+P10*P14)/N10/N14))</f>
        <v>52.45899269739256</v>
      </c>
      <c r="S9" s="37">
        <f>DEGREES(ACOS((O14*O13+P14*P13)/N14/N13))</f>
        <v>42.433525731870837</v>
      </c>
      <c r="T9" s="37">
        <f>DEGREES(ACOS((O9*O13+P9*P13)/N9/N13))</f>
        <v>47.796422650300997</v>
      </c>
      <c r="U9" s="44">
        <f t="shared" si="3"/>
        <v>285</v>
      </c>
    </row>
    <row r="10" spans="4:21" x14ac:dyDescent="0.3">
      <c r="D10" s="5">
        <v>8</v>
      </c>
      <c r="E10" s="6">
        <v>230</v>
      </c>
      <c r="F10" s="6">
        <v>50</v>
      </c>
      <c r="G10" s="13">
        <v>3200</v>
      </c>
      <c r="H10" s="13">
        <v>75</v>
      </c>
      <c r="I10" s="13">
        <v>0.64</v>
      </c>
      <c r="J10" s="13">
        <v>280</v>
      </c>
      <c r="K10" s="6">
        <v>388</v>
      </c>
      <c r="L10" s="6">
        <v>165</v>
      </c>
      <c r="M10" s="6">
        <v>1.56</v>
      </c>
      <c r="N10" s="42">
        <f t="shared" si="0"/>
        <v>70.455659815234142</v>
      </c>
      <c r="O10" s="43">
        <f t="shared" si="1"/>
        <v>70</v>
      </c>
      <c r="P10" s="43">
        <f t="shared" si="2"/>
        <v>-8</v>
      </c>
      <c r="Q10" s="37"/>
      <c r="R10" s="37"/>
      <c r="S10" s="37"/>
      <c r="T10" s="37"/>
      <c r="U10" s="44"/>
    </row>
    <row r="11" spans="4:21" x14ac:dyDescent="0.3">
      <c r="D11" s="2">
        <v>9</v>
      </c>
      <c r="E11" s="3">
        <v>230</v>
      </c>
      <c r="F11" s="3">
        <v>50</v>
      </c>
      <c r="G11" s="3">
        <v>2600</v>
      </c>
      <c r="H11" s="3">
        <v>32</v>
      </c>
      <c r="I11" s="3">
        <v>0.27</v>
      </c>
      <c r="J11" s="3">
        <v>545</v>
      </c>
      <c r="K11" s="3">
        <v>0</v>
      </c>
      <c r="L11" s="3">
        <v>320</v>
      </c>
      <c r="M11" s="3">
        <v>0</v>
      </c>
      <c r="N11" s="42">
        <f t="shared" si="0"/>
        <v>427.11239738504429</v>
      </c>
      <c r="O11" s="43">
        <f t="shared" si="1"/>
        <v>-195</v>
      </c>
      <c r="P11" s="43">
        <f t="shared" si="2"/>
        <v>380</v>
      </c>
      <c r="Q11" s="37">
        <f>DEGREES(ACOS((O12*O11+P12*P11)/N11/N12))</f>
        <v>4.0945728075072365</v>
      </c>
      <c r="R11" s="37">
        <f>DEGREES(ACOS((O12*O16+P12*P16)/N12/N16))</f>
        <v>22.161031800625498</v>
      </c>
      <c r="S11" s="37">
        <f>DEGREES(ACOS((O16*O15+P16*P15)/N16/N15))</f>
        <v>9.528094901919026</v>
      </c>
      <c r="T11" s="37">
        <f>DEGREES(ACOS((O11*O15+P11*P15)/N11/N15))</f>
        <v>16.727509706213745</v>
      </c>
      <c r="U11" s="44">
        <f t="shared" si="3"/>
        <v>53</v>
      </c>
    </row>
    <row r="12" spans="4:21" x14ac:dyDescent="0.3">
      <c r="D12" s="4">
        <v>10</v>
      </c>
      <c r="E12">
        <v>230</v>
      </c>
      <c r="F12">
        <v>50</v>
      </c>
      <c r="G12">
        <v>2600</v>
      </c>
      <c r="H12">
        <v>37</v>
      </c>
      <c r="I12">
        <v>0.31</v>
      </c>
      <c r="J12">
        <v>465</v>
      </c>
      <c r="K12">
        <v>110</v>
      </c>
      <c r="L12">
        <v>275</v>
      </c>
      <c r="M12" s="37">
        <v>0.44</v>
      </c>
      <c r="N12" s="42">
        <f t="shared" si="0"/>
        <v>293.47061181658376</v>
      </c>
      <c r="O12" s="43">
        <f t="shared" si="1"/>
        <v>-115</v>
      </c>
      <c r="P12" s="43">
        <f t="shared" si="2"/>
        <v>270</v>
      </c>
      <c r="Q12" s="37">
        <f>DEGREES(ACOS((O13*O12+P13*P12)/N12/N13))</f>
        <v>24.697695572218233</v>
      </c>
      <c r="R12" s="37">
        <f>DEGREES(ACOS((O13*O17+P13*P17)/N13/N17))</f>
        <v>16.476479712113026</v>
      </c>
      <c r="S12" s="37">
        <f>DEGREES(ACOS((O17*O16+P17*P16)/N17/N16))</f>
        <v>19.01314348370575</v>
      </c>
      <c r="T12" s="37">
        <f>DEGREES(ACOS((O12*O16+P12*P16)/N12/N16))</f>
        <v>22.161031800625498</v>
      </c>
      <c r="U12" s="44">
        <f t="shared" si="3"/>
        <v>82</v>
      </c>
    </row>
    <row r="13" spans="4:21" x14ac:dyDescent="0.3">
      <c r="D13" s="4">
        <v>11</v>
      </c>
      <c r="E13">
        <v>230</v>
      </c>
      <c r="F13">
        <v>50</v>
      </c>
      <c r="G13">
        <v>2600</v>
      </c>
      <c r="H13">
        <v>43</v>
      </c>
      <c r="I13">
        <v>0.37</v>
      </c>
      <c r="J13">
        <v>345</v>
      </c>
      <c r="K13">
        <v>204</v>
      </c>
      <c r="L13">
        <v>205</v>
      </c>
      <c r="M13" s="37">
        <v>0.82</v>
      </c>
      <c r="N13" s="42">
        <f t="shared" si="0"/>
        <v>176.07100840286</v>
      </c>
      <c r="O13" s="43">
        <f t="shared" si="1"/>
        <v>5</v>
      </c>
      <c r="P13" s="43">
        <f t="shared" si="2"/>
        <v>176</v>
      </c>
      <c r="Q13" s="37">
        <f>DEGREES(ACOS((O14*O13+P14*P13)/N13/N14))</f>
        <v>42.43352573187083</v>
      </c>
      <c r="R13" s="37">
        <f>DEGREES(ACOS((O14*O18+P14*P18)/N14/N18))</f>
        <v>6.5529889367932812</v>
      </c>
      <c r="S13" s="37">
        <f>DEGREES(ACOS((O18*O17+P18*P17)/N18/N17))</f>
        <v>19.404057082964528</v>
      </c>
      <c r="T13" s="37">
        <f>DEGREES(ACOS((O13*O17+P13*P17)/N13/N17))</f>
        <v>16.476479712113026</v>
      </c>
      <c r="U13" s="44">
        <f t="shared" si="3"/>
        <v>85</v>
      </c>
    </row>
    <row r="14" spans="4:21" x14ac:dyDescent="0.3">
      <c r="D14" s="5">
        <v>12</v>
      </c>
      <c r="E14" s="6">
        <v>230</v>
      </c>
      <c r="F14" s="6">
        <v>50</v>
      </c>
      <c r="G14" s="6">
        <v>2600</v>
      </c>
      <c r="H14" s="6">
        <v>40</v>
      </c>
      <c r="I14" s="6">
        <v>0.34</v>
      </c>
      <c r="J14" s="6">
        <v>230</v>
      </c>
      <c r="K14" s="6">
        <v>256</v>
      </c>
      <c r="L14" s="6">
        <v>135</v>
      </c>
      <c r="M14" s="6">
        <v>1.03</v>
      </c>
      <c r="N14" s="42">
        <f t="shared" si="0"/>
        <v>172.55723688098394</v>
      </c>
      <c r="O14" s="43">
        <f t="shared" si="1"/>
        <v>120</v>
      </c>
      <c r="P14" s="43">
        <f t="shared" si="2"/>
        <v>124</v>
      </c>
      <c r="Q14" s="37"/>
      <c r="R14" s="37"/>
      <c r="S14" s="37"/>
      <c r="T14" s="37"/>
      <c r="U14" s="44"/>
    </row>
    <row r="15" spans="4:21" x14ac:dyDescent="0.3">
      <c r="D15" s="2">
        <v>13</v>
      </c>
      <c r="E15" s="3">
        <v>230</v>
      </c>
      <c r="F15" s="3">
        <v>50</v>
      </c>
      <c r="G15" s="3">
        <v>2000</v>
      </c>
      <c r="H15" s="3">
        <v>15</v>
      </c>
      <c r="I15" s="3">
        <v>0.12</v>
      </c>
      <c r="J15" s="3">
        <v>420</v>
      </c>
      <c r="K15" s="3">
        <v>0</v>
      </c>
      <c r="L15" s="3">
        <v>250</v>
      </c>
      <c r="M15" s="3">
        <v>0</v>
      </c>
      <c r="N15" s="42">
        <f t="shared" si="0"/>
        <v>386.39358172723314</v>
      </c>
      <c r="O15" s="43">
        <f t="shared" si="1"/>
        <v>-70</v>
      </c>
      <c r="P15" s="43">
        <f t="shared" si="2"/>
        <v>380</v>
      </c>
      <c r="Q15" s="37"/>
      <c r="R15" s="37"/>
      <c r="S15" s="37"/>
      <c r="T15" s="37"/>
      <c r="U15" s="44"/>
    </row>
    <row r="16" spans="4:21" x14ac:dyDescent="0.3">
      <c r="D16" s="4">
        <v>14</v>
      </c>
      <c r="E16">
        <v>230</v>
      </c>
      <c r="F16">
        <v>50</v>
      </c>
      <c r="G16">
        <v>2000</v>
      </c>
      <c r="H16">
        <v>17</v>
      </c>
      <c r="I16">
        <v>0.14000000000000001</v>
      </c>
      <c r="J16">
        <v>355</v>
      </c>
      <c r="K16">
        <v>65</v>
      </c>
      <c r="L16">
        <v>210</v>
      </c>
      <c r="M16" s="37">
        <v>0.26</v>
      </c>
      <c r="N16" s="42">
        <f t="shared" si="0"/>
        <v>315.03968004046726</v>
      </c>
      <c r="O16" s="43">
        <f t="shared" si="1"/>
        <v>-5</v>
      </c>
      <c r="P16" s="43">
        <f t="shared" si="2"/>
        <v>315</v>
      </c>
      <c r="Q16" s="37"/>
      <c r="R16" s="37"/>
      <c r="S16" s="37"/>
      <c r="T16" s="37"/>
      <c r="U16" s="44"/>
    </row>
    <row r="17" spans="1:21" x14ac:dyDescent="0.3">
      <c r="D17" s="4">
        <v>15</v>
      </c>
      <c r="E17">
        <v>230</v>
      </c>
      <c r="F17">
        <v>50</v>
      </c>
      <c r="G17">
        <v>2000</v>
      </c>
      <c r="H17">
        <v>20</v>
      </c>
      <c r="I17">
        <v>0.17</v>
      </c>
      <c r="J17">
        <v>265</v>
      </c>
      <c r="K17">
        <v>120</v>
      </c>
      <c r="L17">
        <v>155</v>
      </c>
      <c r="M17" s="37">
        <v>0.48</v>
      </c>
      <c r="N17" s="45">
        <f t="shared" si="0"/>
        <v>273.54158733179861</v>
      </c>
      <c r="O17" s="43">
        <f t="shared" si="1"/>
        <v>85</v>
      </c>
      <c r="P17" s="43">
        <f t="shared" si="2"/>
        <v>260</v>
      </c>
      <c r="Q17" s="37"/>
      <c r="R17" s="37"/>
      <c r="S17" s="37"/>
      <c r="T17" s="37"/>
      <c r="U17" s="44"/>
    </row>
    <row r="18" spans="1:21" ht="16.2" thickBot="1" x14ac:dyDescent="0.35">
      <c r="D18" s="5">
        <v>16</v>
      </c>
      <c r="E18" s="6">
        <v>230</v>
      </c>
      <c r="F18" s="6">
        <v>50</v>
      </c>
      <c r="G18" s="6">
        <v>2000</v>
      </c>
      <c r="H18" s="6">
        <v>18</v>
      </c>
      <c r="I18" s="6">
        <v>0.16</v>
      </c>
      <c r="J18" s="6">
        <v>175</v>
      </c>
      <c r="K18" s="6">
        <v>152</v>
      </c>
      <c r="L18" s="6">
        <v>105</v>
      </c>
      <c r="M18" s="6">
        <v>0.61</v>
      </c>
      <c r="N18" s="46">
        <f t="shared" si="0"/>
        <v>287.41781434003008</v>
      </c>
      <c r="O18" s="47">
        <f t="shared" si="1"/>
        <v>175</v>
      </c>
      <c r="P18" s="47">
        <f t="shared" si="2"/>
        <v>228</v>
      </c>
      <c r="Q18" s="48"/>
      <c r="R18" s="48"/>
      <c r="S18" s="48"/>
      <c r="T18" s="48"/>
      <c r="U18" s="49"/>
    </row>
    <row r="20" spans="1:21" ht="16.2" thickBot="1" x14ac:dyDescent="0.35"/>
    <row r="21" spans="1:21" ht="16.2" thickBot="1" x14ac:dyDescent="0.35">
      <c r="G21" s="29"/>
      <c r="H21" s="30" t="s">
        <v>23</v>
      </c>
      <c r="I21" s="30" t="s">
        <v>24</v>
      </c>
      <c r="J21" s="30" t="s">
        <v>25</v>
      </c>
      <c r="K21" s="30" t="s">
        <v>26</v>
      </c>
      <c r="L21" s="30" t="s">
        <v>3</v>
      </c>
      <c r="M21" s="31" t="s">
        <v>27</v>
      </c>
    </row>
    <row r="22" spans="1:21" x14ac:dyDescent="0.3">
      <c r="B22" s="8"/>
      <c r="G22" s="32">
        <f>MATCH(360,U3:U18,)</f>
        <v>3</v>
      </c>
      <c r="H22" s="19" cm="1">
        <f t="array" ref="H22">INDEX(J$3:J$18,$G22)</f>
        <v>455</v>
      </c>
      <c r="I22" s="19" cm="1">
        <f t="array" ref="I22">INDEX(K$3:K$18,$G22)</f>
        <v>350</v>
      </c>
      <c r="J22" s="19">
        <f>H22*I22</f>
        <v>159250</v>
      </c>
      <c r="K22" s="19" cm="1">
        <f t="array" ref="K22">INDEX(G$3:G$18,$G22)</f>
        <v>3375</v>
      </c>
      <c r="L22" s="19" cm="1">
        <f t="array" ref="L22">INDEX(H$3:H$18,$G22)</f>
        <v>96</v>
      </c>
      <c r="M22" s="33" cm="1">
        <f t="array" ref="M22">INDEX(I$3:I$18,$G22)</f>
        <v>0.8</v>
      </c>
      <c r="P22" s="21" t="s">
        <v>26</v>
      </c>
      <c r="Q22" s="22" cm="1">
        <f t="array" ref="Q22:T22">LINEST(K22:K25,H22:J25,1,0)</f>
        <v>-3.9348697592669641E-3</v>
      </c>
      <c r="R22" s="22">
        <v>4.5845182376523184</v>
      </c>
      <c r="S22" s="22">
        <v>3.1334597231273662</v>
      </c>
      <c r="T22" s="23">
        <v>971.32245196200097</v>
      </c>
    </row>
    <row r="23" spans="1:21" x14ac:dyDescent="0.3">
      <c r="B23" s="8"/>
      <c r="G23" s="32">
        <f>G22+1</f>
        <v>4</v>
      </c>
      <c r="H23" s="19" cm="1">
        <f t="array" ref="H23">INDEX(J$3:J$18,$G23)</f>
        <v>305</v>
      </c>
      <c r="I23" s="19" cm="1">
        <f t="array" ref="I23">INDEX(K$3:K$18,$G23)</f>
        <v>450</v>
      </c>
      <c r="J23" s="19">
        <f t="shared" ref="J23:J25" si="4">H23*I23</f>
        <v>137250</v>
      </c>
      <c r="K23" s="19" cm="1">
        <f t="array" ref="K23">INDEX(G$3:G$18,$G23)</f>
        <v>3450</v>
      </c>
      <c r="L23" s="19" cm="1">
        <f t="array" ref="L23">INDEX(H$3:H$18,$G23)</f>
        <v>93</v>
      </c>
      <c r="M23" s="33" cm="1">
        <f t="array" ref="M23">INDEX(I$3:I$18,$G23)</f>
        <v>0.8</v>
      </c>
      <c r="P23" s="24" t="s">
        <v>3</v>
      </c>
      <c r="Q23" s="20" cm="1">
        <f t="array" ref="Q23:T23">LINEST(L22:L25,H22:J25,1,0)</f>
        <v>1.4159606611765992E-4</v>
      </c>
      <c r="R23" s="20">
        <v>0.17756087445938779</v>
      </c>
      <c r="S23" s="20">
        <v>0.11760649327566837</v>
      </c>
      <c r="T23" s="25">
        <v>-42.206434030452186</v>
      </c>
    </row>
    <row r="24" spans="1:21" ht="16.2" thickBot="1" x14ac:dyDescent="0.35">
      <c r="B24" s="8"/>
      <c r="C24" s="10"/>
      <c r="G24" s="32">
        <f>G23+4</f>
        <v>8</v>
      </c>
      <c r="H24" s="19" cm="1">
        <f t="array" ref="H24">INDEX(J$3:J$18,$G24)</f>
        <v>280</v>
      </c>
      <c r="I24" s="19" cm="1">
        <f t="array" ref="I24">INDEX(K$3:K$18,$G24)</f>
        <v>388</v>
      </c>
      <c r="J24" s="19">
        <f t="shared" si="4"/>
        <v>108640</v>
      </c>
      <c r="K24" s="19" cm="1">
        <f t="array" ref="K24">INDEX(G$3:G$18,$G24)</f>
        <v>3200</v>
      </c>
      <c r="L24" s="19" cm="1">
        <f t="array" ref="L24">INDEX(H$3:H$18,$G24)</f>
        <v>75</v>
      </c>
      <c r="M24" s="33" cm="1">
        <f t="array" ref="M24">INDEX(I$3:I$18,$G24)</f>
        <v>0.64</v>
      </c>
      <c r="P24" s="26" t="s">
        <v>27</v>
      </c>
      <c r="Q24" s="27" cm="1">
        <f t="array" ref="Q24:T24">LINEST(M22:M25,H22:J25,1,0)</f>
        <v>-3.7521970100914306E-6</v>
      </c>
      <c r="R24" s="27">
        <v>3.2236309418014488E-3</v>
      </c>
      <c r="S24" s="27">
        <v>2.6994095226810424E-3</v>
      </c>
      <c r="T24" s="28">
        <v>-0.95896478859332079</v>
      </c>
    </row>
    <row r="25" spans="1:21" ht="16.2" thickBot="1" x14ac:dyDescent="0.35">
      <c r="B25" s="8"/>
      <c r="G25" s="34">
        <f>G24-1</f>
        <v>7</v>
      </c>
      <c r="H25" s="35" cm="1">
        <f t="array" ref="H25">INDEX(J$3:J$18,$G25)</f>
        <v>425</v>
      </c>
      <c r="I25" s="35" cm="1">
        <f t="array" ref="I25">INDEX(K$3:K$18,$G25)</f>
        <v>308</v>
      </c>
      <c r="J25" s="35">
        <f t="shared" si="4"/>
        <v>130900</v>
      </c>
      <c r="K25" s="35" cm="1">
        <f t="array" ref="K25">INDEX(G$3:G$18,$G25)</f>
        <v>3200</v>
      </c>
      <c r="L25" s="35" cm="1">
        <f t="array" ref="L25">INDEX(H$3:H$18,$G25)</f>
        <v>81</v>
      </c>
      <c r="M25" s="36" cm="1">
        <f t="array" ref="M25">INDEX(I$3:I$18,$G25)</f>
        <v>0.69</v>
      </c>
    </row>
    <row r="26" spans="1:21" x14ac:dyDescent="0.3">
      <c r="B26" s="8"/>
    </row>
    <row r="27" spans="1:21" x14ac:dyDescent="0.3">
      <c r="C27" s="9"/>
    </row>
    <row r="30" spans="1:21" x14ac:dyDescent="0.3">
      <c r="B30" s="17" t="s">
        <v>9</v>
      </c>
    </row>
    <row r="31" spans="1:21" x14ac:dyDescent="0.3">
      <c r="A31" t="s">
        <v>11</v>
      </c>
      <c r="B31" s="16">
        <v>350</v>
      </c>
    </row>
    <row r="32" spans="1:21" x14ac:dyDescent="0.3">
      <c r="A32" t="s">
        <v>12</v>
      </c>
      <c r="B32" s="16">
        <v>380</v>
      </c>
      <c r="F32" s="7"/>
    </row>
    <row r="33" spans="1:12" x14ac:dyDescent="0.3">
      <c r="A33" t="s">
        <v>20</v>
      </c>
      <c r="B33" s="15">
        <f>T22+S22*$B$31+R22*$B$32+Q22*$B$32*$B$31</f>
        <v>3286.812607381954</v>
      </c>
    </row>
    <row r="34" spans="1:12" x14ac:dyDescent="0.3">
      <c r="A34" t="s">
        <v>21</v>
      </c>
      <c r="B34" s="15">
        <f>T23+S23*$B$31+R23*$B$32+Q23*$B$32*$B$31</f>
        <v>85.261247704247879</v>
      </c>
    </row>
    <row r="35" spans="1:12" x14ac:dyDescent="0.3">
      <c r="A35" t="s">
        <v>22</v>
      </c>
      <c r="B35" s="15">
        <f>T24+S24*$B$31+R24*$B$32+Q24*$B$32*$B$31</f>
        <v>0.71176609988743422</v>
      </c>
      <c r="L3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вентилятора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Коштоян Жан</dc:creator>
  <cp:lastModifiedBy>usr</cp:lastModifiedBy>
  <dcterms:created xsi:type="dcterms:W3CDTF">2021-08-21T08:46:35Z</dcterms:created>
  <dcterms:modified xsi:type="dcterms:W3CDTF">2021-08-25T20:06:07Z</dcterms:modified>
</cp:coreProperties>
</file>