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0" yWindow="0" windowWidth="20490" windowHeight="7815" tabRatio="847"/>
  </bookViews>
  <sheets>
    <sheet name="09жб 4эт" sheetId="84" r:id="rId1"/>
    <sheet name="08жб 3эт" sheetId="83" r:id="rId2"/>
    <sheet name="07жб 3эт" sheetId="80" r:id="rId3"/>
    <sheet name="06жб 2эт" sheetId="77" r:id="rId4"/>
    <sheet name="05жб 1эт" sheetId="81" r:id="rId5"/>
    <sheet name="04жб подвал" sheetId="72" r:id="rId6"/>
    <sheet name="03жб подвал" sheetId="82" r:id="rId7"/>
    <sheet name="02 жб фунд" sheetId="64" r:id="rId8"/>
  </sheets>
  <definedNames>
    <definedName name="_xlnm._FilterDatabase" localSheetId="7" hidden="1">'02 жб фунд'!$A$15:$G$96</definedName>
    <definedName name="_xlnm._FilterDatabase" localSheetId="6" hidden="1">'03жб подвал'!$A$15:$G$91</definedName>
    <definedName name="_xlnm._FilterDatabase" localSheetId="5" hidden="1">'04жб подвал'!$A$15:$G$132</definedName>
    <definedName name="_xlnm._FilterDatabase" localSheetId="4" hidden="1">'05жб 1эт'!$A$15:$G$198</definedName>
    <definedName name="_xlnm._FilterDatabase" localSheetId="3" hidden="1">'06жб 2эт'!$A$15:$G$201</definedName>
    <definedName name="_xlnm._FilterDatabase" localSheetId="2" hidden="1">'07жб 3эт'!$A$15:$G$87</definedName>
    <definedName name="_xlnm._FilterDatabase" localSheetId="1" hidden="1">'08жб 3эт'!$A$15:$G$127</definedName>
    <definedName name="_xlnm._FilterDatabase" localSheetId="0" hidden="1">'09жб 4эт'!$A$15:$G$195</definedName>
    <definedName name="_xlnm.Print_Area" localSheetId="7">'02 жб фунд'!$A$1:$G$97</definedName>
    <definedName name="_xlnm.Print_Area" localSheetId="6">'03жб подвал'!$A$1:$G$114</definedName>
    <definedName name="_xlnm.Print_Area" localSheetId="5">'04жб подвал'!$A$1:$G$157</definedName>
    <definedName name="_xlnm.Print_Area" localSheetId="4">'05жб 1эт'!$A$1:$G$221</definedName>
    <definedName name="_xlnm.Print_Area" localSheetId="3">'06жб 2эт'!$A$1:$G$224</definedName>
    <definedName name="_xlnm.Print_Area" localSheetId="2">'07жб 3эт'!$A$1:$G$110</definedName>
    <definedName name="_xlnm.Print_Area" localSheetId="1">'08жб 3эт'!$A$1:$G$150</definedName>
    <definedName name="_xlnm.Print_Area" localSheetId="0">'09жб 4эт'!$A$1:$G$218</definedName>
  </definedNames>
  <calcPr calcId="162913"/>
</workbook>
</file>

<file path=xl/calcChain.xml><?xml version="1.0" encoding="utf-8"?>
<calcChain xmlns="http://schemas.openxmlformats.org/spreadsheetml/2006/main">
  <c r="F201" i="84" l="1"/>
  <c r="E104" i="84" l="1"/>
  <c r="E105" i="84"/>
  <c r="E122" i="84"/>
  <c r="E123" i="84"/>
  <c r="G123" i="84" s="1"/>
  <c r="E86" i="84"/>
  <c r="E87" i="84"/>
  <c r="E68" i="84"/>
  <c r="E67" i="84"/>
  <c r="E66" i="84"/>
  <c r="E190" i="84" l="1"/>
  <c r="G190" i="84" s="1"/>
  <c r="E189" i="84"/>
  <c r="E177" i="84"/>
  <c r="E166" i="84"/>
  <c r="E148" i="84"/>
  <c r="E157" i="84" s="1"/>
  <c r="G157" i="84" s="1"/>
  <c r="E142" i="84"/>
  <c r="G142" i="84" s="1"/>
  <c r="E129" i="84"/>
  <c r="G66" i="84"/>
  <c r="E49" i="84"/>
  <c r="E47" i="84"/>
  <c r="E48" i="84"/>
  <c r="E233" i="84" s="1"/>
  <c r="G233" i="84" s="1"/>
  <c r="E30" i="84"/>
  <c r="E29" i="84"/>
  <c r="E236" i="84" s="1"/>
  <c r="G236" i="84" s="1"/>
  <c r="E28" i="84"/>
  <c r="F255" i="84"/>
  <c r="F249" i="84"/>
  <c r="E248" i="84"/>
  <c r="G248" i="84" s="1"/>
  <c r="E247" i="84"/>
  <c r="G247" i="84" s="1"/>
  <c r="E246" i="84"/>
  <c r="G246" i="84" s="1"/>
  <c r="H241" i="84"/>
  <c r="H240" i="84"/>
  <c r="E240" i="84"/>
  <c r="G240" i="84" s="1"/>
  <c r="H239" i="84"/>
  <c r="E239" i="84"/>
  <c r="G239" i="84" s="1"/>
  <c r="H229" i="84"/>
  <c r="E229" i="84"/>
  <c r="G229" i="84" s="1"/>
  <c r="E208" i="84"/>
  <c r="E209" i="84" s="1"/>
  <c r="G209" i="84" s="1"/>
  <c r="F194" i="84"/>
  <c r="F193" i="84"/>
  <c r="G189" i="84"/>
  <c r="F180" i="84"/>
  <c r="E191" i="84"/>
  <c r="D174" i="84"/>
  <c r="D173" i="84"/>
  <c r="F169" i="84"/>
  <c r="F164" i="84"/>
  <c r="D164" i="84"/>
  <c r="F163" i="84"/>
  <c r="D163" i="84"/>
  <c r="E160" i="84"/>
  <c r="G160" i="84" s="1"/>
  <c r="E159" i="84"/>
  <c r="G159" i="84" s="1"/>
  <c r="F151" i="84"/>
  <c r="F146" i="84"/>
  <c r="D146" i="84"/>
  <c r="F145" i="84"/>
  <c r="D145" i="84"/>
  <c r="E141" i="84"/>
  <c r="G141" i="84" s="1"/>
  <c r="E140" i="84"/>
  <c r="E139" i="84"/>
  <c r="G139" i="84" s="1"/>
  <c r="F132" i="84"/>
  <c r="E136" i="84"/>
  <c r="G136" i="84" s="1"/>
  <c r="F127" i="84"/>
  <c r="D127" i="84"/>
  <c r="F126" i="84"/>
  <c r="D126" i="84"/>
  <c r="G122" i="84"/>
  <c r="F114" i="84"/>
  <c r="E111" i="84"/>
  <c r="E124" i="84" s="1"/>
  <c r="F109" i="84"/>
  <c r="D109" i="84"/>
  <c r="F108" i="84"/>
  <c r="D108" i="84"/>
  <c r="G105" i="84"/>
  <c r="G104" i="84"/>
  <c r="F96" i="84"/>
  <c r="E93" i="84"/>
  <c r="E96" i="84" s="1"/>
  <c r="F91" i="84"/>
  <c r="D91" i="84"/>
  <c r="F90" i="84"/>
  <c r="D90" i="84"/>
  <c r="G87" i="84"/>
  <c r="G86" i="84"/>
  <c r="F78" i="84"/>
  <c r="E75" i="84"/>
  <c r="E78" i="84" s="1"/>
  <c r="F73" i="84"/>
  <c r="D73" i="84"/>
  <c r="F72" i="84"/>
  <c r="D72" i="84"/>
  <c r="H248" i="84"/>
  <c r="H247" i="84"/>
  <c r="H246" i="84"/>
  <c r="E69" i="84"/>
  <c r="G69" i="84" s="1"/>
  <c r="G68" i="84"/>
  <c r="F58" i="84"/>
  <c r="E55" i="84"/>
  <c r="E70" i="84" s="1"/>
  <c r="F53" i="84"/>
  <c r="D53" i="84"/>
  <c r="F52" i="84"/>
  <c r="D52" i="84"/>
  <c r="F39" i="84"/>
  <c r="E36" i="84"/>
  <c r="E46" i="84" s="1"/>
  <c r="G46" i="84" s="1"/>
  <c r="F34" i="84"/>
  <c r="D34" i="84"/>
  <c r="F33" i="84"/>
  <c r="D33" i="84"/>
  <c r="E238" i="84"/>
  <c r="G238" i="84" s="1"/>
  <c r="F20" i="84"/>
  <c r="E17" i="84"/>
  <c r="E31" i="84" s="1"/>
  <c r="E231" i="84" l="1"/>
  <c r="G231" i="84" s="1"/>
  <c r="H234" i="84"/>
  <c r="E230" i="84"/>
  <c r="G230" i="84" s="1"/>
  <c r="E161" i="84"/>
  <c r="E162" i="84" s="1"/>
  <c r="G162" i="84" s="1"/>
  <c r="G67" i="84"/>
  <c r="E155" i="84"/>
  <c r="G155" i="84" s="1"/>
  <c r="E185" i="84"/>
  <c r="G185" i="84" s="1"/>
  <c r="E235" i="84"/>
  <c r="G235" i="84" s="1"/>
  <c r="E134" i="84"/>
  <c r="G134" i="84" s="1"/>
  <c r="E138" i="84"/>
  <c r="G138" i="84" s="1"/>
  <c r="E153" i="84"/>
  <c r="G153" i="84" s="1"/>
  <c r="E181" i="84"/>
  <c r="G181" i="84" s="1"/>
  <c r="G208" i="84"/>
  <c r="E237" i="84"/>
  <c r="G237" i="84" s="1"/>
  <c r="E125" i="84"/>
  <c r="G125" i="84" s="1"/>
  <c r="E127" i="84"/>
  <c r="G127" i="84" s="1"/>
  <c r="E126" i="84"/>
  <c r="G126" i="84" s="1"/>
  <c r="E71" i="84"/>
  <c r="G71" i="84" s="1"/>
  <c r="E73" i="84"/>
  <c r="G73" i="84" s="1"/>
  <c r="E72" i="84"/>
  <c r="G72" i="84" s="1"/>
  <c r="E34" i="84"/>
  <c r="E33" i="84"/>
  <c r="E32" i="84"/>
  <c r="G78" i="84"/>
  <c r="G96" i="84"/>
  <c r="E21" i="84"/>
  <c r="G21" i="84" s="1"/>
  <c r="E22" i="84"/>
  <c r="G22" i="84" s="1"/>
  <c r="E23" i="84"/>
  <c r="G23" i="84" s="1"/>
  <c r="E24" i="84"/>
  <c r="E25" i="84"/>
  <c r="E26" i="84"/>
  <c r="E27" i="84"/>
  <c r="E50" i="84"/>
  <c r="E59" i="84"/>
  <c r="G59" i="84" s="1"/>
  <c r="E60" i="84"/>
  <c r="G60" i="84" s="1"/>
  <c r="E61" i="84"/>
  <c r="G61" i="84" s="1"/>
  <c r="E62" i="84"/>
  <c r="G62" i="84" s="1"/>
  <c r="E63" i="84"/>
  <c r="G63" i="84" s="1"/>
  <c r="E64" i="84"/>
  <c r="E65" i="84"/>
  <c r="G65" i="84" s="1"/>
  <c r="E18" i="84"/>
  <c r="G18" i="84" s="1"/>
  <c r="E19" i="84"/>
  <c r="G19" i="84" s="1"/>
  <c r="E20" i="84"/>
  <c r="G20" i="84" s="1"/>
  <c r="G28" i="84"/>
  <c r="H238" i="84" s="1"/>
  <c r="I238" i="84" s="1"/>
  <c r="G29" i="84"/>
  <c r="G30" i="84"/>
  <c r="H230" i="84" s="1"/>
  <c r="E37" i="84"/>
  <c r="G37" i="84" s="1"/>
  <c r="E38" i="84"/>
  <c r="G38" i="84" s="1"/>
  <c r="E39" i="84"/>
  <c r="G39" i="84" s="1"/>
  <c r="G47" i="84"/>
  <c r="H235" i="84" s="1"/>
  <c r="I235" i="84" s="1"/>
  <c r="G48" i="84"/>
  <c r="H233" i="84" s="1"/>
  <c r="I233" i="84" s="1"/>
  <c r="G49" i="84"/>
  <c r="H231" i="84" s="1"/>
  <c r="I231" i="84" s="1"/>
  <c r="E56" i="84"/>
  <c r="G56" i="84" s="1"/>
  <c r="E57" i="84"/>
  <c r="G57" i="84" s="1"/>
  <c r="E58" i="84"/>
  <c r="G58" i="84" s="1"/>
  <c r="E79" i="84"/>
  <c r="G79" i="84" s="1"/>
  <c r="E80" i="84"/>
  <c r="G80" i="84" s="1"/>
  <c r="E81" i="84"/>
  <c r="G81" i="84" s="1"/>
  <c r="E82" i="84"/>
  <c r="G82" i="84" s="1"/>
  <c r="E83" i="84"/>
  <c r="G83" i="84" s="1"/>
  <c r="E84" i="84"/>
  <c r="G84" i="84" s="1"/>
  <c r="E85" i="84"/>
  <c r="G85" i="84" s="1"/>
  <c r="E88" i="84"/>
  <c r="E97" i="84"/>
  <c r="G97" i="84" s="1"/>
  <c r="E98" i="84"/>
  <c r="G98" i="84" s="1"/>
  <c r="E99" i="84"/>
  <c r="G99" i="84" s="1"/>
  <c r="E100" i="84"/>
  <c r="G100" i="84" s="1"/>
  <c r="E101" i="84"/>
  <c r="G101" i="84" s="1"/>
  <c r="E102" i="84"/>
  <c r="G102" i="84" s="1"/>
  <c r="E103" i="84"/>
  <c r="G103" i="84" s="1"/>
  <c r="E106" i="84"/>
  <c r="E115" i="84"/>
  <c r="G115" i="84" s="1"/>
  <c r="E116" i="84"/>
  <c r="G116" i="84" s="1"/>
  <c r="E117" i="84"/>
  <c r="G117" i="84" s="1"/>
  <c r="E118" i="84"/>
  <c r="G118" i="84" s="1"/>
  <c r="E119" i="84"/>
  <c r="G119" i="84" s="1"/>
  <c r="E120" i="84"/>
  <c r="G120" i="84" s="1"/>
  <c r="E121" i="84"/>
  <c r="G121" i="84" s="1"/>
  <c r="E232" i="84"/>
  <c r="G232" i="84" s="1"/>
  <c r="G140" i="84"/>
  <c r="H232" i="84" s="1"/>
  <c r="E175" i="84"/>
  <c r="E169" i="84"/>
  <c r="G169" i="84" s="1"/>
  <c r="E168" i="84"/>
  <c r="G168" i="84" s="1"/>
  <c r="E167" i="84"/>
  <c r="G167" i="84" s="1"/>
  <c r="E170" i="84"/>
  <c r="G170" i="84" s="1"/>
  <c r="E193" i="84"/>
  <c r="G193" i="84" s="1"/>
  <c r="E192" i="84"/>
  <c r="G192" i="84" s="1"/>
  <c r="E194" i="84"/>
  <c r="G194" i="84" s="1"/>
  <c r="E40" i="84"/>
  <c r="G40" i="84" s="1"/>
  <c r="E41" i="84"/>
  <c r="G41" i="84" s="1"/>
  <c r="E42" i="84"/>
  <c r="G42" i="84" s="1"/>
  <c r="E43" i="84"/>
  <c r="G43" i="84" s="1"/>
  <c r="E44" i="84"/>
  <c r="E45" i="84"/>
  <c r="G45" i="84" s="1"/>
  <c r="E234" i="84"/>
  <c r="G234" i="84" s="1"/>
  <c r="E76" i="84"/>
  <c r="G76" i="84" s="1"/>
  <c r="E77" i="84"/>
  <c r="G77" i="84" s="1"/>
  <c r="E94" i="84"/>
  <c r="G94" i="84" s="1"/>
  <c r="E95" i="84"/>
  <c r="G95" i="84" s="1"/>
  <c r="E112" i="84"/>
  <c r="G112" i="84" s="1"/>
  <c r="E113" i="84"/>
  <c r="G113" i="84" s="1"/>
  <c r="E114" i="84"/>
  <c r="G114" i="84" s="1"/>
  <c r="E132" i="84"/>
  <c r="G132" i="84" s="1"/>
  <c r="E131" i="84"/>
  <c r="G131" i="84" s="1"/>
  <c r="E130" i="84"/>
  <c r="G130" i="84" s="1"/>
  <c r="E133" i="84"/>
  <c r="G133" i="84" s="1"/>
  <c r="E135" i="84"/>
  <c r="E137" i="84"/>
  <c r="G137" i="84" s="1"/>
  <c r="E143" i="84"/>
  <c r="E151" i="84"/>
  <c r="G151" i="84" s="1"/>
  <c r="E150" i="84"/>
  <c r="G150" i="84" s="1"/>
  <c r="E149" i="84"/>
  <c r="G149" i="84" s="1"/>
  <c r="E152" i="84"/>
  <c r="G152" i="84" s="1"/>
  <c r="E154" i="84"/>
  <c r="G154" i="84" s="1"/>
  <c r="E156" i="84"/>
  <c r="G156" i="84" s="1"/>
  <c r="E158" i="84"/>
  <c r="G158" i="84" s="1"/>
  <c r="E171" i="84"/>
  <c r="E180" i="84"/>
  <c r="G180" i="84" s="1"/>
  <c r="E179" i="84"/>
  <c r="G179" i="84" s="1"/>
  <c r="E178" i="84"/>
  <c r="G178" i="84" s="1"/>
  <c r="E188" i="84"/>
  <c r="G188" i="84" s="1"/>
  <c r="E186" i="84"/>
  <c r="G186" i="84" s="1"/>
  <c r="E184" i="84"/>
  <c r="G184" i="84" s="1"/>
  <c r="E182" i="84"/>
  <c r="G182" i="84" s="1"/>
  <c r="E183" i="84"/>
  <c r="G183" i="84" s="1"/>
  <c r="E187" i="84"/>
  <c r="G187" i="84" s="1"/>
  <c r="I229" i="84"/>
  <c r="I239" i="84"/>
  <c r="I240" i="84"/>
  <c r="I246" i="84"/>
  <c r="I247" i="84"/>
  <c r="I248" i="84"/>
  <c r="E163" i="84" l="1"/>
  <c r="G163" i="84" s="1"/>
  <c r="H236" i="84"/>
  <c r="I236" i="84" s="1"/>
  <c r="I234" i="84"/>
  <c r="E164" i="84"/>
  <c r="G164" i="84" s="1"/>
  <c r="I230" i="84"/>
  <c r="E241" i="84"/>
  <c r="G241" i="84" s="1"/>
  <c r="I241" i="84" s="1"/>
  <c r="H237" i="84"/>
  <c r="I237" i="84" s="1"/>
  <c r="I232" i="84"/>
  <c r="G202" i="84"/>
  <c r="G204" i="84"/>
  <c r="E242" i="84"/>
  <c r="G242" i="84" s="1"/>
  <c r="G26" i="84"/>
  <c r="H242" i="84" s="1"/>
  <c r="E257" i="84"/>
  <c r="G257" i="84" s="1"/>
  <c r="G24" i="84"/>
  <c r="G33" i="84"/>
  <c r="G195" i="84"/>
  <c r="E172" i="84"/>
  <c r="E173" i="84"/>
  <c r="G173" i="84" s="1"/>
  <c r="G128" i="84"/>
  <c r="E174" i="84"/>
  <c r="E144" i="84"/>
  <c r="G144" i="84" s="1"/>
  <c r="E146" i="84"/>
  <c r="G146" i="84" s="1"/>
  <c r="E145" i="84"/>
  <c r="G145" i="84" s="1"/>
  <c r="E252" i="84"/>
  <c r="G252" i="84" s="1"/>
  <c r="G135" i="84"/>
  <c r="H252" i="84" s="1"/>
  <c r="E243" i="84"/>
  <c r="G243" i="84" s="1"/>
  <c r="G44" i="84"/>
  <c r="H243" i="84" s="1"/>
  <c r="E245" i="84"/>
  <c r="G245" i="84" s="1"/>
  <c r="G175" i="84"/>
  <c r="H245" i="84" s="1"/>
  <c r="E107" i="84"/>
  <c r="G107" i="84" s="1"/>
  <c r="E109" i="84"/>
  <c r="G109" i="84" s="1"/>
  <c r="E108" i="84"/>
  <c r="G108" i="84" s="1"/>
  <c r="E89" i="84"/>
  <c r="G89" i="84" s="1"/>
  <c r="E91" i="84"/>
  <c r="G91" i="84" s="1"/>
  <c r="E90" i="84"/>
  <c r="G90" i="84" s="1"/>
  <c r="G203" i="84"/>
  <c r="E244" i="84"/>
  <c r="G244" i="84" s="1"/>
  <c r="G64" i="84"/>
  <c r="H244" i="84" s="1"/>
  <c r="E51" i="84"/>
  <c r="G51" i="84" s="1"/>
  <c r="E53" i="84"/>
  <c r="G53" i="84" s="1"/>
  <c r="E52" i="84"/>
  <c r="G52" i="84" s="1"/>
  <c r="E256" i="84"/>
  <c r="G256" i="84" s="1"/>
  <c r="G27" i="84"/>
  <c r="H256" i="84" s="1"/>
  <c r="E251" i="84"/>
  <c r="G251" i="84" s="1"/>
  <c r="G25" i="84"/>
  <c r="H251" i="84" s="1"/>
  <c r="G32" i="84"/>
  <c r="G34" i="84"/>
  <c r="G165" i="84" l="1"/>
  <c r="H254" i="84"/>
  <c r="H255" i="84"/>
  <c r="G74" i="84"/>
  <c r="G54" i="84"/>
  <c r="G110" i="84"/>
  <c r="E255" i="84"/>
  <c r="G255" i="84" s="1"/>
  <c r="E254" i="84"/>
  <c r="G254" i="84" s="1"/>
  <c r="G92" i="84"/>
  <c r="G147" i="84"/>
  <c r="I251" i="84"/>
  <c r="G205" i="84"/>
  <c r="I244" i="84"/>
  <c r="I245" i="84"/>
  <c r="I243" i="84"/>
  <c r="I256" i="84"/>
  <c r="G35" i="84"/>
  <c r="I252" i="84"/>
  <c r="E250" i="84"/>
  <c r="G250" i="84" s="1"/>
  <c r="G174" i="84"/>
  <c r="H250" i="84" s="1"/>
  <c r="E253" i="84"/>
  <c r="G253" i="84" s="1"/>
  <c r="G172" i="84"/>
  <c r="H249" i="84"/>
  <c r="H257" i="84"/>
  <c r="I257" i="84" s="1"/>
  <c r="E249" i="84"/>
  <c r="G249" i="84" s="1"/>
  <c r="I242" i="84"/>
  <c r="I254" i="84" l="1"/>
  <c r="I255" i="84"/>
  <c r="I249" i="84"/>
  <c r="G258" i="84"/>
  <c r="H253" i="84"/>
  <c r="I253" i="84" s="1"/>
  <c r="G176" i="84"/>
  <c r="I250" i="84"/>
  <c r="G199" i="84"/>
  <c r="G201" i="84" s="1"/>
  <c r="G206" i="84" s="1"/>
  <c r="G207" i="84" l="1"/>
  <c r="G210" i="84" s="1"/>
  <c r="G211" i="84" l="1"/>
  <c r="G212" i="84" s="1"/>
  <c r="E91" i="83" l="1"/>
  <c r="E105" i="83" s="1"/>
  <c r="E106" i="83" s="1"/>
  <c r="G106" i="83" s="1"/>
  <c r="F182" i="83"/>
  <c r="F176" i="83"/>
  <c r="E175" i="83"/>
  <c r="G175" i="83" s="1"/>
  <c r="E174" i="83"/>
  <c r="G174" i="83" s="1"/>
  <c r="E173" i="83"/>
  <c r="G173" i="83" s="1"/>
  <c r="H168" i="83"/>
  <c r="H167" i="83"/>
  <c r="E167" i="83"/>
  <c r="G167" i="83" s="1"/>
  <c r="H166" i="83"/>
  <c r="E166" i="83"/>
  <c r="G166" i="83" s="1"/>
  <c r="H156" i="83"/>
  <c r="E156" i="83"/>
  <c r="G156" i="83" s="1"/>
  <c r="E140" i="83"/>
  <c r="E141" i="83" s="1"/>
  <c r="G141" i="83" s="1"/>
  <c r="E172" i="83"/>
  <c r="G172" i="83" s="1"/>
  <c r="F126" i="83"/>
  <c r="D126" i="83"/>
  <c r="F125" i="83"/>
  <c r="D125" i="83"/>
  <c r="E122" i="83"/>
  <c r="G122" i="83" s="1"/>
  <c r="E121" i="83"/>
  <c r="G121" i="83" s="1"/>
  <c r="F113" i="83"/>
  <c r="E110" i="83"/>
  <c r="E123" i="83" s="1"/>
  <c r="E124" i="83" s="1"/>
  <c r="G124" i="83" s="1"/>
  <c r="F108" i="83"/>
  <c r="D108" i="83"/>
  <c r="F107" i="83"/>
  <c r="D107" i="83"/>
  <c r="E104" i="83"/>
  <c r="G104" i="83" s="1"/>
  <c r="E103" i="83"/>
  <c r="E158" i="83" s="1"/>
  <c r="G158" i="83" s="1"/>
  <c r="E102" i="83"/>
  <c r="E101" i="83"/>
  <c r="G101" i="83" s="1"/>
  <c r="F94" i="83"/>
  <c r="E92" i="83"/>
  <c r="G92" i="83" s="1"/>
  <c r="F89" i="83"/>
  <c r="D89" i="83"/>
  <c r="F88" i="83"/>
  <c r="D88" i="83"/>
  <c r="E85" i="83"/>
  <c r="G85" i="83" s="1"/>
  <c r="E84" i="83"/>
  <c r="G84" i="83" s="1"/>
  <c r="F76" i="83"/>
  <c r="E73" i="83"/>
  <c r="E86" i="83" s="1"/>
  <c r="E87" i="83" s="1"/>
  <c r="G87" i="83" s="1"/>
  <c r="F71" i="83"/>
  <c r="D71" i="83"/>
  <c r="F70" i="83"/>
  <c r="D70" i="83"/>
  <c r="E67" i="83"/>
  <c r="G67" i="83" s="1"/>
  <c r="E66" i="83"/>
  <c r="G66" i="83" s="1"/>
  <c r="F58" i="83"/>
  <c r="E55" i="83"/>
  <c r="E68" i="83" s="1"/>
  <c r="E69" i="83" s="1"/>
  <c r="G69" i="83" s="1"/>
  <c r="F53" i="83"/>
  <c r="D53" i="83"/>
  <c r="F52" i="83"/>
  <c r="D52" i="83"/>
  <c r="E49" i="83"/>
  <c r="G49" i="83" s="1"/>
  <c r="E48" i="83"/>
  <c r="E162" i="83" s="1"/>
  <c r="G162" i="83" s="1"/>
  <c r="F40" i="83"/>
  <c r="E37" i="83"/>
  <c r="E50" i="83" s="1"/>
  <c r="E51" i="83" s="1"/>
  <c r="G51" i="83" s="1"/>
  <c r="F35" i="83"/>
  <c r="D35" i="83"/>
  <c r="F34" i="83"/>
  <c r="D34" i="83"/>
  <c r="H175" i="83"/>
  <c r="H174" i="83"/>
  <c r="H173" i="83"/>
  <c r="E31" i="83"/>
  <c r="G31" i="83" s="1"/>
  <c r="E30" i="83"/>
  <c r="G30" i="83" s="1"/>
  <c r="E29" i="83"/>
  <c r="G29" i="83" s="1"/>
  <c r="H163" i="83" s="1"/>
  <c r="E28" i="83"/>
  <c r="G28" i="83" s="1"/>
  <c r="F20" i="83"/>
  <c r="E17" i="83"/>
  <c r="E26" i="83" s="1"/>
  <c r="G26" i="83" s="1"/>
  <c r="H160" i="83"/>
  <c r="H164" i="83"/>
  <c r="H165" i="83"/>
  <c r="E159" i="83" l="1"/>
  <c r="G159" i="83" s="1"/>
  <c r="I166" i="83"/>
  <c r="I167" i="83"/>
  <c r="E76" i="83"/>
  <c r="G76" i="83" s="1"/>
  <c r="G48" i="83"/>
  <c r="H162" i="83" s="1"/>
  <c r="I162" i="83" s="1"/>
  <c r="E74" i="83"/>
  <c r="G74" i="83" s="1"/>
  <c r="E94" i="83"/>
  <c r="G94" i="83" s="1"/>
  <c r="H172" i="83"/>
  <c r="I172" i="83" s="1"/>
  <c r="G140" i="83"/>
  <c r="E24" i="83"/>
  <c r="G24" i="83" s="1"/>
  <c r="H161" i="83"/>
  <c r="E38" i="83"/>
  <c r="G38" i="83" s="1"/>
  <c r="E40" i="83"/>
  <c r="G40" i="83" s="1"/>
  <c r="E56" i="83"/>
  <c r="G56" i="83" s="1"/>
  <c r="E58" i="83"/>
  <c r="G58" i="83" s="1"/>
  <c r="E75" i="83"/>
  <c r="G75" i="83" s="1"/>
  <c r="E93" i="83"/>
  <c r="G93" i="83" s="1"/>
  <c r="G102" i="83"/>
  <c r="H159" i="83" s="1"/>
  <c r="I159" i="83" s="1"/>
  <c r="G103" i="83"/>
  <c r="H158" i="83" s="1"/>
  <c r="I158" i="83" s="1"/>
  <c r="E111" i="83"/>
  <c r="G111" i="83" s="1"/>
  <c r="E113" i="83"/>
  <c r="G113" i="83" s="1"/>
  <c r="E22" i="83"/>
  <c r="G22" i="83" s="1"/>
  <c r="E39" i="83"/>
  <c r="G39" i="83" s="1"/>
  <c r="E57" i="83"/>
  <c r="G57" i="83" s="1"/>
  <c r="E112" i="83"/>
  <c r="G112" i="83" s="1"/>
  <c r="E70" i="83"/>
  <c r="G70" i="83" s="1"/>
  <c r="E71" i="83"/>
  <c r="E125" i="83"/>
  <c r="G125" i="83" s="1"/>
  <c r="E126" i="83"/>
  <c r="G126" i="83" s="1"/>
  <c r="E160" i="83"/>
  <c r="G160" i="83" s="1"/>
  <c r="I160" i="83" s="1"/>
  <c r="E164" i="83"/>
  <c r="G164" i="83" s="1"/>
  <c r="I164" i="83" s="1"/>
  <c r="H157" i="83"/>
  <c r="E32" i="83"/>
  <c r="E33" i="83" s="1"/>
  <c r="G33" i="83" s="1"/>
  <c r="E20" i="83"/>
  <c r="G20" i="83" s="1"/>
  <c r="E19" i="83"/>
  <c r="G19" i="83" s="1"/>
  <c r="E18" i="83"/>
  <c r="G18" i="83" s="1"/>
  <c r="E21" i="83"/>
  <c r="G21" i="83" s="1"/>
  <c r="E23" i="83"/>
  <c r="G23" i="83" s="1"/>
  <c r="E25" i="83"/>
  <c r="G25" i="83" s="1"/>
  <c r="E27" i="83"/>
  <c r="G27" i="83" s="1"/>
  <c r="E52" i="83"/>
  <c r="G52" i="83" s="1"/>
  <c r="E53" i="83"/>
  <c r="G53" i="83" s="1"/>
  <c r="G71" i="83"/>
  <c r="E88" i="83"/>
  <c r="G88" i="83" s="1"/>
  <c r="E89" i="83"/>
  <c r="G89" i="83" s="1"/>
  <c r="E107" i="83"/>
  <c r="G107" i="83" s="1"/>
  <c r="E108" i="83"/>
  <c r="G108" i="83" s="1"/>
  <c r="I156" i="83"/>
  <c r="E157" i="83"/>
  <c r="G157" i="83" s="1"/>
  <c r="E161" i="83"/>
  <c r="G161" i="83" s="1"/>
  <c r="I161" i="83" s="1"/>
  <c r="E163" i="83"/>
  <c r="G163" i="83" s="1"/>
  <c r="I163" i="83" s="1"/>
  <c r="E165" i="83"/>
  <c r="G165" i="83" s="1"/>
  <c r="I165" i="83" s="1"/>
  <c r="I174" i="83"/>
  <c r="I173" i="83"/>
  <c r="I175" i="83"/>
  <c r="E41" i="83"/>
  <c r="G41" i="83" s="1"/>
  <c r="E42" i="83"/>
  <c r="G42" i="83" s="1"/>
  <c r="E43" i="83"/>
  <c r="G43" i="83" s="1"/>
  <c r="E44" i="83"/>
  <c r="G44" i="83" s="1"/>
  <c r="E45" i="83"/>
  <c r="G45" i="83" s="1"/>
  <c r="E46" i="83"/>
  <c r="G46" i="83" s="1"/>
  <c r="E47" i="83"/>
  <c r="G47" i="83" s="1"/>
  <c r="E59" i="83"/>
  <c r="G59" i="83" s="1"/>
  <c r="E60" i="83"/>
  <c r="G60" i="83" s="1"/>
  <c r="E61" i="83"/>
  <c r="G61" i="83" s="1"/>
  <c r="E62" i="83"/>
  <c r="G62" i="83" s="1"/>
  <c r="E63" i="83"/>
  <c r="G63" i="83" s="1"/>
  <c r="E64" i="83"/>
  <c r="G64" i="83" s="1"/>
  <c r="E65" i="83"/>
  <c r="G65" i="83" s="1"/>
  <c r="E77" i="83"/>
  <c r="G77" i="83" s="1"/>
  <c r="E78" i="83"/>
  <c r="G78" i="83" s="1"/>
  <c r="E79" i="83"/>
  <c r="G79" i="83" s="1"/>
  <c r="E80" i="83"/>
  <c r="G80" i="83" s="1"/>
  <c r="E81" i="83"/>
  <c r="G81" i="83" s="1"/>
  <c r="E82" i="83"/>
  <c r="G82" i="83" s="1"/>
  <c r="E83" i="83"/>
  <c r="G83" i="83" s="1"/>
  <c r="E95" i="83"/>
  <c r="G95" i="83" s="1"/>
  <c r="E96" i="83"/>
  <c r="G96" i="83" s="1"/>
  <c r="E97" i="83"/>
  <c r="E98" i="83"/>
  <c r="G98" i="83" s="1"/>
  <c r="E99" i="83"/>
  <c r="G99" i="83" s="1"/>
  <c r="E100" i="83"/>
  <c r="G100" i="83" s="1"/>
  <c r="E114" i="83"/>
  <c r="G114" i="83" s="1"/>
  <c r="E115" i="83"/>
  <c r="G115" i="83" s="1"/>
  <c r="E116" i="83"/>
  <c r="G116" i="83" s="1"/>
  <c r="E117" i="83"/>
  <c r="G117" i="83" s="1"/>
  <c r="E118" i="83"/>
  <c r="G118" i="83" s="1"/>
  <c r="E119" i="83"/>
  <c r="G119" i="83" s="1"/>
  <c r="E120" i="83"/>
  <c r="G120" i="83" s="1"/>
  <c r="E168" i="83"/>
  <c r="G168" i="83" s="1"/>
  <c r="I168" i="83" s="1"/>
  <c r="F204" i="81"/>
  <c r="E96" i="81"/>
  <c r="E52" i="72"/>
  <c r="I157" i="83" l="1"/>
  <c r="G136" i="83"/>
  <c r="G90" i="83"/>
  <c r="G127" i="83"/>
  <c r="G72" i="83"/>
  <c r="H171" i="83"/>
  <c r="G54" i="83"/>
  <c r="E34" i="83"/>
  <c r="G34" i="83" s="1"/>
  <c r="H176" i="83" s="1"/>
  <c r="H183" i="83"/>
  <c r="H178" i="83"/>
  <c r="E169" i="83"/>
  <c r="G169" i="83" s="1"/>
  <c r="E184" i="83"/>
  <c r="G184" i="83" s="1"/>
  <c r="G134" i="83"/>
  <c r="E179" i="83"/>
  <c r="G179" i="83" s="1"/>
  <c r="G97" i="83"/>
  <c r="H179" i="83" s="1"/>
  <c r="E171" i="83"/>
  <c r="G171" i="83" s="1"/>
  <c r="E35" i="83"/>
  <c r="G35" i="83" s="1"/>
  <c r="G36" i="83" s="1"/>
  <c r="H170" i="83"/>
  <c r="E170" i="83"/>
  <c r="G170" i="83" s="1"/>
  <c r="E183" i="83"/>
  <c r="G183" i="83" s="1"/>
  <c r="I183" i="83" s="1"/>
  <c r="E178" i="83"/>
  <c r="G178" i="83" s="1"/>
  <c r="H169" i="83"/>
  <c r="G135" i="83"/>
  <c r="G137" i="83" s="1"/>
  <c r="F193" i="72"/>
  <c r="F187" i="72"/>
  <c r="F178" i="72"/>
  <c r="H177" i="72"/>
  <c r="H179" i="72"/>
  <c r="H180" i="72"/>
  <c r="E180" i="72"/>
  <c r="G180" i="72" s="1"/>
  <c r="H170" i="72"/>
  <c r="H173" i="72"/>
  <c r="H174" i="72"/>
  <c r="H175" i="72"/>
  <c r="H176" i="72"/>
  <c r="H183" i="72"/>
  <c r="H184" i="72"/>
  <c r="H185" i="72"/>
  <c r="H186" i="72"/>
  <c r="H188" i="72"/>
  <c r="H191" i="72"/>
  <c r="H166" i="72"/>
  <c r="E167" i="72"/>
  <c r="G167" i="72" s="1"/>
  <c r="E168" i="72"/>
  <c r="G168" i="72" s="1"/>
  <c r="E169" i="72"/>
  <c r="G169" i="72" s="1"/>
  <c r="E170" i="72"/>
  <c r="G170" i="72" s="1"/>
  <c r="E171" i="72"/>
  <c r="G171" i="72" s="1"/>
  <c r="E172" i="72"/>
  <c r="G172" i="72" s="1"/>
  <c r="E173" i="72"/>
  <c r="E174" i="72"/>
  <c r="G174" i="72" s="1"/>
  <c r="E175" i="72"/>
  <c r="G175" i="72" s="1"/>
  <c r="E176" i="72"/>
  <c r="G176" i="72" s="1"/>
  <c r="E177" i="72"/>
  <c r="G177" i="72" s="1"/>
  <c r="I177" i="72" s="1"/>
  <c r="E183" i="72"/>
  <c r="G183" i="72" s="1"/>
  <c r="E184" i="72"/>
  <c r="G184" i="72" s="1"/>
  <c r="E185" i="72"/>
  <c r="G185" i="72" s="1"/>
  <c r="E186" i="72"/>
  <c r="G186" i="72" s="1"/>
  <c r="E188" i="72"/>
  <c r="G188" i="72" s="1"/>
  <c r="E191" i="72"/>
  <c r="G191" i="72" s="1"/>
  <c r="E166" i="72"/>
  <c r="G173" i="72"/>
  <c r="E107" i="72"/>
  <c r="E88" i="72"/>
  <c r="F123" i="72"/>
  <c r="D123" i="72"/>
  <c r="F122" i="72"/>
  <c r="D122" i="72"/>
  <c r="E119" i="72"/>
  <c r="G119" i="72" s="1"/>
  <c r="E118" i="72"/>
  <c r="G118" i="72" s="1"/>
  <c r="F110" i="72"/>
  <c r="F105" i="72"/>
  <c r="D105" i="72"/>
  <c r="F104" i="72"/>
  <c r="D104" i="72"/>
  <c r="E101" i="72"/>
  <c r="G101" i="72" s="1"/>
  <c r="E100" i="72"/>
  <c r="G100" i="72" s="1"/>
  <c r="E99" i="72"/>
  <c r="G99" i="72" s="1"/>
  <c r="E98" i="72"/>
  <c r="G98" i="72" s="1"/>
  <c r="F91" i="72"/>
  <c r="F86" i="72"/>
  <c r="D86" i="72"/>
  <c r="F85" i="72"/>
  <c r="D85" i="72"/>
  <c r="E82" i="72"/>
  <c r="G82" i="72" s="1"/>
  <c r="E81" i="72"/>
  <c r="G81" i="72" s="1"/>
  <c r="F73" i="72"/>
  <c r="E70" i="72"/>
  <c r="E83" i="72" s="1"/>
  <c r="E84" i="72" s="1"/>
  <c r="G84" i="72" s="1"/>
  <c r="F68" i="72"/>
  <c r="D68" i="72"/>
  <c r="F67" i="72"/>
  <c r="D67" i="72"/>
  <c r="E65" i="72"/>
  <c r="E66" i="72" s="1"/>
  <c r="G66" i="72" s="1"/>
  <c r="E64" i="72"/>
  <c r="G64" i="72" s="1"/>
  <c r="E63" i="72"/>
  <c r="G63" i="72" s="1"/>
  <c r="H171" i="72" s="1"/>
  <c r="E62" i="72"/>
  <c r="G62" i="72" s="1"/>
  <c r="E61" i="72"/>
  <c r="G61" i="72" s="1"/>
  <c r="E60" i="72"/>
  <c r="G60" i="72" s="1"/>
  <c r="E59" i="72"/>
  <c r="G59" i="72" s="1"/>
  <c r="E58" i="72"/>
  <c r="G58" i="72" s="1"/>
  <c r="E57" i="72"/>
  <c r="G57" i="72" s="1"/>
  <c r="E56" i="72"/>
  <c r="G56" i="72" s="1"/>
  <c r="F55" i="72"/>
  <c r="E55" i="72"/>
  <c r="E54" i="72"/>
  <c r="G54" i="72" s="1"/>
  <c r="E53" i="72"/>
  <c r="G53" i="72" s="1"/>
  <c r="F50" i="72"/>
  <c r="D50" i="72"/>
  <c r="F49" i="72"/>
  <c r="D49" i="72"/>
  <c r="E46" i="72"/>
  <c r="G46" i="72" s="1"/>
  <c r="E45" i="72"/>
  <c r="G45" i="72" s="1"/>
  <c r="H172" i="72" s="1"/>
  <c r="F37" i="72"/>
  <c r="E37" i="72"/>
  <c r="G37" i="72" s="1"/>
  <c r="E35" i="72"/>
  <c r="G35" i="72" s="1"/>
  <c r="E34" i="72"/>
  <c r="E47" i="72" s="1"/>
  <c r="E125" i="72"/>
  <c r="E28" i="72"/>
  <c r="E27" i="72"/>
  <c r="H130" i="82"/>
  <c r="H132" i="82"/>
  <c r="H135" i="82"/>
  <c r="H136" i="82"/>
  <c r="H137" i="82"/>
  <c r="H140" i="82"/>
  <c r="H141" i="82"/>
  <c r="H142" i="82"/>
  <c r="H143" i="82"/>
  <c r="H144" i="82"/>
  <c r="H146" i="82"/>
  <c r="H148" i="82"/>
  <c r="H149" i="82"/>
  <c r="H125" i="82"/>
  <c r="E30" i="82"/>
  <c r="E29" i="82"/>
  <c r="E28" i="82"/>
  <c r="E17" i="82"/>
  <c r="E86" i="82"/>
  <c r="E85" i="82"/>
  <c r="G85" i="82" s="1"/>
  <c r="E84" i="82"/>
  <c r="E83" i="82"/>
  <c r="G84" i="82"/>
  <c r="G83" i="82"/>
  <c r="H131" i="82" s="1"/>
  <c r="E72" i="82"/>
  <c r="F90" i="82"/>
  <c r="D90" i="82"/>
  <c r="F89" i="82"/>
  <c r="D89" i="82"/>
  <c r="G86" i="82"/>
  <c r="F75" i="82"/>
  <c r="E75" i="82"/>
  <c r="E66" i="82"/>
  <c r="E65" i="82"/>
  <c r="E54" i="82"/>
  <c r="E57" i="82" s="1"/>
  <c r="E48" i="82"/>
  <c r="G48" i="82" s="1"/>
  <c r="E47" i="82"/>
  <c r="E46" i="82"/>
  <c r="G46" i="82" s="1"/>
  <c r="G47" i="82"/>
  <c r="H128" i="82" s="1"/>
  <c r="E36" i="82"/>
  <c r="E39" i="82" s="1"/>
  <c r="G39" i="82" s="1"/>
  <c r="F52" i="82"/>
  <c r="D52" i="82"/>
  <c r="F51" i="82"/>
  <c r="D51" i="82"/>
  <c r="F39" i="82"/>
  <c r="E38" i="82"/>
  <c r="G38" i="82" s="1"/>
  <c r="F151" i="82"/>
  <c r="F145" i="82"/>
  <c r="E144" i="82"/>
  <c r="G144" i="82" s="1"/>
  <c r="E143" i="82"/>
  <c r="G143" i="82" s="1"/>
  <c r="E142" i="82"/>
  <c r="G142" i="82" s="1"/>
  <c r="E136" i="82"/>
  <c r="G136" i="82" s="1"/>
  <c r="E135" i="82"/>
  <c r="G135" i="82" s="1"/>
  <c r="E125" i="82"/>
  <c r="G125" i="82" s="1"/>
  <c r="I125" i="82" s="1"/>
  <c r="E104" i="82"/>
  <c r="E105" i="82" s="1"/>
  <c r="G105" i="82" s="1"/>
  <c r="E141" i="82"/>
  <c r="G141" i="82" s="1"/>
  <c r="E130" i="82"/>
  <c r="G130" i="82" s="1"/>
  <c r="F70" i="82"/>
  <c r="D70" i="82"/>
  <c r="F69" i="82"/>
  <c r="D69" i="82"/>
  <c r="G66" i="82"/>
  <c r="G65" i="82"/>
  <c r="F57" i="82"/>
  <c r="E55" i="82"/>
  <c r="G55" i="82" s="1"/>
  <c r="F34" i="82"/>
  <c r="D34" i="82"/>
  <c r="F33" i="82"/>
  <c r="D33" i="82"/>
  <c r="G30" i="82"/>
  <c r="H126" i="82" s="1"/>
  <c r="G29" i="82"/>
  <c r="H133" i="82" s="1"/>
  <c r="G28" i="82"/>
  <c r="H134" i="82" s="1"/>
  <c r="F20" i="82"/>
  <c r="E31" i="82"/>
  <c r="E32" i="82" s="1"/>
  <c r="E163" i="81"/>
  <c r="E162" i="81"/>
  <c r="E151" i="81"/>
  <c r="E153" i="81" s="1"/>
  <c r="G153" i="81" s="1"/>
  <c r="E108" i="81"/>
  <c r="G108" i="81" s="1"/>
  <c r="E107" i="81"/>
  <c r="F258" i="81"/>
  <c r="F252" i="81"/>
  <c r="E251" i="81"/>
  <c r="G251" i="81" s="1"/>
  <c r="E250" i="81"/>
  <c r="G250" i="81" s="1"/>
  <c r="E249" i="81"/>
  <c r="G249" i="81" s="1"/>
  <c r="H244" i="81"/>
  <c r="H243" i="81"/>
  <c r="E243" i="81"/>
  <c r="G243" i="81" s="1"/>
  <c r="H242" i="81"/>
  <c r="E242" i="81"/>
  <c r="G242" i="81" s="1"/>
  <c r="H232" i="81"/>
  <c r="E232" i="81"/>
  <c r="G232" i="81" s="1"/>
  <c r="E211" i="81"/>
  <c r="E212" i="81" s="1"/>
  <c r="G212" i="81" s="1"/>
  <c r="F197" i="81"/>
  <c r="F196" i="81"/>
  <c r="E193" i="81"/>
  <c r="G193" i="81" s="1"/>
  <c r="E192" i="81"/>
  <c r="G192" i="81" s="1"/>
  <c r="F183" i="81"/>
  <c r="E180" i="81"/>
  <c r="E191" i="81" s="1"/>
  <c r="G191" i="81" s="1"/>
  <c r="D177" i="81"/>
  <c r="D176" i="81"/>
  <c r="F172" i="81"/>
  <c r="E172" i="81"/>
  <c r="G172" i="81" s="1"/>
  <c r="E170" i="81"/>
  <c r="G170" i="81" s="1"/>
  <c r="E169" i="81"/>
  <c r="E178" i="81" s="1"/>
  <c r="E248" i="81" s="1"/>
  <c r="G248" i="81" s="1"/>
  <c r="F167" i="81"/>
  <c r="D167" i="81"/>
  <c r="F166" i="81"/>
  <c r="D166" i="81"/>
  <c r="G163" i="81"/>
  <c r="G162" i="81"/>
  <c r="F154" i="81"/>
  <c r="E152" i="81"/>
  <c r="G152" i="81" s="1"/>
  <c r="F149" i="81"/>
  <c r="D149" i="81"/>
  <c r="F148" i="81"/>
  <c r="D148" i="81"/>
  <c r="E145" i="81"/>
  <c r="G145" i="81" s="1"/>
  <c r="E144" i="81"/>
  <c r="G144" i="81" s="1"/>
  <c r="E143" i="81"/>
  <c r="G143" i="81" s="1"/>
  <c r="E142" i="81"/>
  <c r="G142" i="81" s="1"/>
  <c r="F135" i="81"/>
  <c r="E135" i="81"/>
  <c r="G135" i="81" s="1"/>
  <c r="E133" i="81"/>
  <c r="G133" i="81" s="1"/>
  <c r="E132" i="81"/>
  <c r="E146" i="81" s="1"/>
  <c r="E147" i="81" s="1"/>
  <c r="G147" i="81" s="1"/>
  <c r="F130" i="81"/>
  <c r="D130" i="81"/>
  <c r="F129" i="81"/>
  <c r="D129" i="81"/>
  <c r="G126" i="81"/>
  <c r="E126" i="81"/>
  <c r="G125" i="81"/>
  <c r="E125" i="81"/>
  <c r="F117" i="81"/>
  <c r="E114" i="81"/>
  <c r="E127" i="81" s="1"/>
  <c r="E128" i="81" s="1"/>
  <c r="G128" i="81" s="1"/>
  <c r="F112" i="81"/>
  <c r="D112" i="81"/>
  <c r="F111" i="81"/>
  <c r="D111" i="81"/>
  <c r="G107" i="81"/>
  <c r="F99" i="81"/>
  <c r="E99" i="81"/>
  <c r="G99" i="81" s="1"/>
  <c r="E98" i="81"/>
  <c r="G98" i="81" s="1"/>
  <c r="E97" i="81"/>
  <c r="G97" i="81" s="1"/>
  <c r="E109" i="81"/>
  <c r="E110" i="81" s="1"/>
  <c r="G110" i="81" s="1"/>
  <c r="F94" i="81"/>
  <c r="D94" i="81"/>
  <c r="F93" i="81"/>
  <c r="D93" i="81"/>
  <c r="G90" i="81"/>
  <c r="E90" i="81"/>
  <c r="G89" i="81"/>
  <c r="E89" i="81"/>
  <c r="F81" i="81"/>
  <c r="E78" i="81"/>
  <c r="E91" i="81" s="1"/>
  <c r="E92" i="81" s="1"/>
  <c r="G92" i="81" s="1"/>
  <c r="F76" i="81"/>
  <c r="D76" i="81"/>
  <c r="F75" i="81"/>
  <c r="D75" i="81"/>
  <c r="H251" i="81"/>
  <c r="H250" i="81"/>
  <c r="H249" i="81"/>
  <c r="E72" i="81"/>
  <c r="G72" i="81" s="1"/>
  <c r="E71" i="81"/>
  <c r="G71" i="81" s="1"/>
  <c r="E70" i="81"/>
  <c r="G70" i="81" s="1"/>
  <c r="H239" i="81" s="1"/>
  <c r="E69" i="81"/>
  <c r="G69" i="81" s="1"/>
  <c r="F61" i="81"/>
  <c r="E58" i="81"/>
  <c r="F56" i="81"/>
  <c r="D56" i="81"/>
  <c r="F55" i="81"/>
  <c r="D55" i="81"/>
  <c r="E53" i="81"/>
  <c r="E54" i="81" s="1"/>
  <c r="G54" i="81" s="1"/>
  <c r="E52" i="81"/>
  <c r="G52" i="81" s="1"/>
  <c r="E51" i="81"/>
  <c r="G51" i="81" s="1"/>
  <c r="E50" i="81"/>
  <c r="G50" i="81" s="1"/>
  <c r="H236" i="81" s="1"/>
  <c r="E49" i="81"/>
  <c r="G49" i="81" s="1"/>
  <c r="E48" i="81"/>
  <c r="G48" i="81" s="1"/>
  <c r="E47" i="81"/>
  <c r="G47" i="81" s="1"/>
  <c r="E43" i="81"/>
  <c r="G43" i="81" s="1"/>
  <c r="F39" i="81"/>
  <c r="E36" i="81"/>
  <c r="E45" i="81" s="1"/>
  <c r="G45" i="81" s="1"/>
  <c r="F34" i="81"/>
  <c r="D34" i="81"/>
  <c r="F33" i="81"/>
  <c r="D33" i="81"/>
  <c r="E30" i="81"/>
  <c r="G30" i="81" s="1"/>
  <c r="E29" i="81"/>
  <c r="G29" i="81" s="1"/>
  <c r="H240" i="81" s="1"/>
  <c r="E28" i="81"/>
  <c r="G28" i="81" s="1"/>
  <c r="H241" i="81" s="1"/>
  <c r="F20" i="81"/>
  <c r="E17" i="81"/>
  <c r="E31" i="81" s="1"/>
  <c r="F133" i="83" l="1"/>
  <c r="I178" i="83"/>
  <c r="I171" i="83"/>
  <c r="I179" i="83"/>
  <c r="I170" i="83"/>
  <c r="E176" i="83"/>
  <c r="G176" i="83" s="1"/>
  <c r="I176" i="83" s="1"/>
  <c r="E180" i="83"/>
  <c r="G180" i="83" s="1"/>
  <c r="H184" i="83"/>
  <c r="I184" i="83" s="1"/>
  <c r="H182" i="83"/>
  <c r="G109" i="83"/>
  <c r="H181" i="83"/>
  <c r="E181" i="83"/>
  <c r="G181" i="83" s="1"/>
  <c r="E177" i="83"/>
  <c r="G177" i="83" s="1"/>
  <c r="H177" i="83"/>
  <c r="I169" i="83"/>
  <c r="E182" i="83"/>
  <c r="G182" i="83" s="1"/>
  <c r="H235" i="81"/>
  <c r="H238" i="81"/>
  <c r="E80" i="81"/>
  <c r="G80" i="81" s="1"/>
  <c r="E116" i="81"/>
  <c r="G116" i="81" s="1"/>
  <c r="E185" i="81"/>
  <c r="G185" i="81" s="1"/>
  <c r="E189" i="81"/>
  <c r="G189" i="81" s="1"/>
  <c r="E235" i="81"/>
  <c r="G235" i="81" s="1"/>
  <c r="I235" i="81" s="1"/>
  <c r="E41" i="81"/>
  <c r="G41" i="81" s="1"/>
  <c r="E79" i="81"/>
  <c r="G79" i="81" s="1"/>
  <c r="E81" i="81"/>
  <c r="G81" i="81" s="1"/>
  <c r="E115" i="81"/>
  <c r="G115" i="81" s="1"/>
  <c r="E117" i="81"/>
  <c r="G117" i="81" s="1"/>
  <c r="E134" i="81"/>
  <c r="G134" i="81" s="1"/>
  <c r="E154" i="81"/>
  <c r="G154" i="81" s="1"/>
  <c r="E171" i="81"/>
  <c r="G171" i="81" s="1"/>
  <c r="E187" i="81"/>
  <c r="G187" i="81" s="1"/>
  <c r="G211" i="81"/>
  <c r="H234" i="81"/>
  <c r="E148" i="81"/>
  <c r="E149" i="81"/>
  <c r="G178" i="81"/>
  <c r="H248" i="81" s="1"/>
  <c r="I248" i="81" s="1"/>
  <c r="H129" i="82"/>
  <c r="H127" i="82"/>
  <c r="I144" i="82"/>
  <c r="I142" i="82"/>
  <c r="I136" i="82"/>
  <c r="I130" i="82"/>
  <c r="I143" i="82"/>
  <c r="I141" i="82"/>
  <c r="I135" i="82"/>
  <c r="H167" i="72"/>
  <c r="I167" i="72" s="1"/>
  <c r="I180" i="72"/>
  <c r="E67" i="72"/>
  <c r="G67" i="72" s="1"/>
  <c r="E48" i="72"/>
  <c r="G48" i="72" s="1"/>
  <c r="G55" i="72"/>
  <c r="I188" i="72"/>
  <c r="I186" i="72"/>
  <c r="I184" i="72"/>
  <c r="I175" i="72"/>
  <c r="I173" i="72"/>
  <c r="I171" i="72"/>
  <c r="I191" i="72"/>
  <c r="I185" i="72"/>
  <c r="I183" i="72"/>
  <c r="I176" i="72"/>
  <c r="I174" i="72"/>
  <c r="I172" i="72"/>
  <c r="I170" i="72"/>
  <c r="E68" i="72"/>
  <c r="G68" i="72" s="1"/>
  <c r="E75" i="72"/>
  <c r="G75" i="72" s="1"/>
  <c r="E79" i="72"/>
  <c r="G79" i="72" s="1"/>
  <c r="E36" i="72"/>
  <c r="G36" i="72" s="1"/>
  <c r="E77" i="72"/>
  <c r="G77" i="72" s="1"/>
  <c r="E91" i="72"/>
  <c r="G91" i="72" s="1"/>
  <c r="E90" i="72"/>
  <c r="G90" i="72" s="1"/>
  <c r="E89" i="72"/>
  <c r="G89" i="72" s="1"/>
  <c r="E92" i="72"/>
  <c r="G92" i="72" s="1"/>
  <c r="E94" i="72"/>
  <c r="E96" i="72"/>
  <c r="G96" i="72" s="1"/>
  <c r="E102" i="72"/>
  <c r="E110" i="72"/>
  <c r="G110" i="72" s="1"/>
  <c r="E109" i="72"/>
  <c r="G109" i="72" s="1"/>
  <c r="E108" i="72"/>
  <c r="G108" i="72" s="1"/>
  <c r="E120" i="72"/>
  <c r="E117" i="72"/>
  <c r="G117" i="72" s="1"/>
  <c r="E116" i="72"/>
  <c r="G116" i="72" s="1"/>
  <c r="E115" i="72"/>
  <c r="G115" i="72" s="1"/>
  <c r="E114" i="72"/>
  <c r="G114" i="72" s="1"/>
  <c r="E113" i="72"/>
  <c r="G113" i="72" s="1"/>
  <c r="E112" i="72"/>
  <c r="G112" i="72" s="1"/>
  <c r="E111" i="72"/>
  <c r="G111" i="72" s="1"/>
  <c r="E49" i="72"/>
  <c r="G49" i="72" s="1"/>
  <c r="E50" i="72"/>
  <c r="G50" i="72" s="1"/>
  <c r="E73" i="72"/>
  <c r="G73" i="72" s="1"/>
  <c r="E72" i="72"/>
  <c r="G72" i="72" s="1"/>
  <c r="E71" i="72"/>
  <c r="G71" i="72" s="1"/>
  <c r="E74" i="72"/>
  <c r="G74" i="72" s="1"/>
  <c r="E76" i="72"/>
  <c r="G76" i="72" s="1"/>
  <c r="E78" i="72"/>
  <c r="G78" i="72" s="1"/>
  <c r="E80" i="72"/>
  <c r="G80" i="72" s="1"/>
  <c r="E85" i="72"/>
  <c r="G85" i="72" s="1"/>
  <c r="E86" i="72"/>
  <c r="G86" i="72" s="1"/>
  <c r="E93" i="72"/>
  <c r="G93" i="72" s="1"/>
  <c r="E95" i="72"/>
  <c r="G95" i="72" s="1"/>
  <c r="E97" i="72"/>
  <c r="G97" i="72" s="1"/>
  <c r="E38" i="72"/>
  <c r="G38" i="72" s="1"/>
  <c r="E39" i="72"/>
  <c r="G39" i="72" s="1"/>
  <c r="E40" i="72"/>
  <c r="G40" i="72" s="1"/>
  <c r="E41" i="72"/>
  <c r="E42" i="72"/>
  <c r="G42" i="72" s="1"/>
  <c r="E43" i="72"/>
  <c r="E182" i="72" s="1"/>
  <c r="E44" i="72"/>
  <c r="G44" i="72" s="1"/>
  <c r="G75" i="82"/>
  <c r="E76" i="82"/>
  <c r="G76" i="82" s="1"/>
  <c r="E77" i="82"/>
  <c r="G77" i="82" s="1"/>
  <c r="E78" i="82"/>
  <c r="G78" i="82" s="1"/>
  <c r="E79" i="82"/>
  <c r="G79" i="82" s="1"/>
  <c r="E80" i="82"/>
  <c r="G80" i="82" s="1"/>
  <c r="E81" i="82"/>
  <c r="G81" i="82" s="1"/>
  <c r="E82" i="82"/>
  <c r="G82" i="82" s="1"/>
  <c r="E87" i="82"/>
  <c r="E49" i="82"/>
  <c r="E50" i="82" s="1"/>
  <c r="G50" i="82" s="1"/>
  <c r="E73" i="82"/>
  <c r="G73" i="82" s="1"/>
  <c r="E74" i="82"/>
  <c r="G74" i="82" s="1"/>
  <c r="E133" i="82"/>
  <c r="G133" i="82" s="1"/>
  <c r="I133" i="82" s="1"/>
  <c r="E37" i="82"/>
  <c r="G37" i="82" s="1"/>
  <c r="G57" i="82"/>
  <c r="E132" i="82"/>
  <c r="G132" i="82" s="1"/>
  <c r="I132" i="82" s="1"/>
  <c r="E67" i="82"/>
  <c r="E68" i="82" s="1"/>
  <c r="G68" i="82" s="1"/>
  <c r="E128" i="82"/>
  <c r="G128" i="82" s="1"/>
  <c r="I128" i="82" s="1"/>
  <c r="E52" i="82"/>
  <c r="G52" i="82" s="1"/>
  <c r="E19" i="82"/>
  <c r="G19" i="82" s="1"/>
  <c r="E127" i="82"/>
  <c r="G127" i="82" s="1"/>
  <c r="I127" i="82" s="1"/>
  <c r="E129" i="82"/>
  <c r="G129" i="82" s="1"/>
  <c r="I129" i="82" s="1"/>
  <c r="E134" i="82"/>
  <c r="G134" i="82" s="1"/>
  <c r="I134" i="82" s="1"/>
  <c r="E18" i="82"/>
  <c r="G18" i="82" s="1"/>
  <c r="E20" i="82"/>
  <c r="G20" i="82" s="1"/>
  <c r="E56" i="82"/>
  <c r="G56" i="82" s="1"/>
  <c r="E131" i="82"/>
  <c r="G131" i="82" s="1"/>
  <c r="I131" i="82" s="1"/>
  <c r="G104" i="82"/>
  <c r="E40" i="82"/>
  <c r="G40" i="82" s="1"/>
  <c r="E41" i="82"/>
  <c r="G41" i="82" s="1"/>
  <c r="E42" i="82"/>
  <c r="G42" i="82" s="1"/>
  <c r="E43" i="82"/>
  <c r="G43" i="82" s="1"/>
  <c r="E44" i="82"/>
  <c r="G44" i="82" s="1"/>
  <c r="E45" i="82"/>
  <c r="G45" i="82" s="1"/>
  <c r="E126" i="82"/>
  <c r="G126" i="82" s="1"/>
  <c r="I126" i="82" s="1"/>
  <c r="G32" i="82"/>
  <c r="E70" i="82"/>
  <c r="G70" i="82" s="1"/>
  <c r="E33" i="82"/>
  <c r="G33" i="82" s="1"/>
  <c r="E34" i="82"/>
  <c r="E21" i="82"/>
  <c r="G21" i="82" s="1"/>
  <c r="E22" i="82"/>
  <c r="G22" i="82" s="1"/>
  <c r="E23" i="82"/>
  <c r="G23" i="82" s="1"/>
  <c r="E24" i="82"/>
  <c r="E25" i="82"/>
  <c r="E26" i="82"/>
  <c r="E27" i="82"/>
  <c r="E58" i="82"/>
  <c r="G58" i="82" s="1"/>
  <c r="E59" i="82"/>
  <c r="G59" i="82" s="1"/>
  <c r="E60" i="82"/>
  <c r="G60" i="82" s="1"/>
  <c r="E61" i="82"/>
  <c r="G61" i="82" s="1"/>
  <c r="E62" i="82"/>
  <c r="E63" i="82"/>
  <c r="G63" i="82" s="1"/>
  <c r="E64" i="82"/>
  <c r="G64" i="82" s="1"/>
  <c r="E164" i="81"/>
  <c r="E165" i="81" s="1"/>
  <c r="G165" i="81" s="1"/>
  <c r="H233" i="81"/>
  <c r="I242" i="81"/>
  <c r="I243" i="81"/>
  <c r="E32" i="81"/>
  <c r="E34" i="81"/>
  <c r="E33" i="81"/>
  <c r="E22" i="81"/>
  <c r="G22" i="81" s="1"/>
  <c r="E24" i="81"/>
  <c r="E26" i="81"/>
  <c r="E73" i="81"/>
  <c r="E74" i="81" s="1"/>
  <c r="G74" i="81" s="1"/>
  <c r="E61" i="81"/>
  <c r="G61" i="81" s="1"/>
  <c r="E60" i="81"/>
  <c r="G60" i="81" s="1"/>
  <c r="E59" i="81"/>
  <c r="G59" i="81" s="1"/>
  <c r="E62" i="81"/>
  <c r="G62" i="81" s="1"/>
  <c r="E64" i="81"/>
  <c r="G64" i="81" s="1"/>
  <c r="E66" i="81"/>
  <c r="G66" i="81" s="1"/>
  <c r="E68" i="81"/>
  <c r="G68" i="81" s="1"/>
  <c r="E18" i="81"/>
  <c r="G18" i="81" s="1"/>
  <c r="E19" i="81"/>
  <c r="G19" i="81" s="1"/>
  <c r="E20" i="81"/>
  <c r="G20" i="81" s="1"/>
  <c r="E21" i="81"/>
  <c r="G21" i="81" s="1"/>
  <c r="E23" i="81"/>
  <c r="G23" i="81" s="1"/>
  <c r="E25" i="81"/>
  <c r="E27" i="81"/>
  <c r="E39" i="81"/>
  <c r="G39" i="81" s="1"/>
  <c r="E38" i="81"/>
  <c r="G38" i="81" s="1"/>
  <c r="E37" i="81"/>
  <c r="G37" i="81" s="1"/>
  <c r="E40" i="81"/>
  <c r="G40" i="81" s="1"/>
  <c r="E42" i="81"/>
  <c r="G42" i="81" s="1"/>
  <c r="E44" i="81"/>
  <c r="E46" i="81"/>
  <c r="G46" i="81" s="1"/>
  <c r="E55" i="81"/>
  <c r="G55" i="81" s="1"/>
  <c r="E56" i="81"/>
  <c r="G56" i="81" s="1"/>
  <c r="E63" i="81"/>
  <c r="G63" i="81" s="1"/>
  <c r="E65" i="81"/>
  <c r="G65" i="81" s="1"/>
  <c r="E67" i="81"/>
  <c r="H237" i="81"/>
  <c r="E75" i="81"/>
  <c r="E111" i="81"/>
  <c r="G111" i="81" s="1"/>
  <c r="E112" i="81"/>
  <c r="G112" i="81" s="1"/>
  <c r="G148" i="81"/>
  <c r="G149" i="81"/>
  <c r="E234" i="81"/>
  <c r="G234" i="81" s="1"/>
  <c r="E236" i="81"/>
  <c r="G236" i="81" s="1"/>
  <c r="I236" i="81" s="1"/>
  <c r="E238" i="81"/>
  <c r="G238" i="81" s="1"/>
  <c r="I238" i="81" s="1"/>
  <c r="E240" i="81"/>
  <c r="G240" i="81" s="1"/>
  <c r="I240" i="81" s="1"/>
  <c r="G75" i="81"/>
  <c r="E93" i="81"/>
  <c r="G93" i="81" s="1"/>
  <c r="E94" i="81"/>
  <c r="G94" i="81" s="1"/>
  <c r="E129" i="81"/>
  <c r="G129" i="81" s="1"/>
  <c r="E130" i="81"/>
  <c r="G130" i="81" s="1"/>
  <c r="I232" i="81"/>
  <c r="E233" i="81"/>
  <c r="G233" i="81" s="1"/>
  <c r="E237" i="81"/>
  <c r="G237" i="81" s="1"/>
  <c r="E239" i="81"/>
  <c r="G239" i="81" s="1"/>
  <c r="I239" i="81" s="1"/>
  <c r="E241" i="81"/>
  <c r="G241" i="81" s="1"/>
  <c r="I241" i="81" s="1"/>
  <c r="E82" i="81"/>
  <c r="G82" i="81" s="1"/>
  <c r="E83" i="81"/>
  <c r="G83" i="81" s="1"/>
  <c r="E84" i="81"/>
  <c r="G84" i="81" s="1"/>
  <c r="E85" i="81"/>
  <c r="G85" i="81" s="1"/>
  <c r="E86" i="81"/>
  <c r="G86" i="81" s="1"/>
  <c r="E87" i="81"/>
  <c r="G87" i="81" s="1"/>
  <c r="E88" i="81"/>
  <c r="G88" i="81" s="1"/>
  <c r="E100" i="81"/>
  <c r="G100" i="81" s="1"/>
  <c r="E101" i="81"/>
  <c r="G101" i="81" s="1"/>
  <c r="E102" i="81"/>
  <c r="G102" i="81" s="1"/>
  <c r="E103" i="81"/>
  <c r="G103" i="81" s="1"/>
  <c r="E104" i="81"/>
  <c r="G104" i="81" s="1"/>
  <c r="E105" i="81"/>
  <c r="G105" i="81" s="1"/>
  <c r="E106" i="81"/>
  <c r="G106" i="81" s="1"/>
  <c r="E118" i="81"/>
  <c r="G118" i="81" s="1"/>
  <c r="E119" i="81"/>
  <c r="G119" i="81" s="1"/>
  <c r="E120" i="81"/>
  <c r="G120" i="81" s="1"/>
  <c r="E121" i="81"/>
  <c r="G121" i="81" s="1"/>
  <c r="E122" i="81"/>
  <c r="G122" i="81" s="1"/>
  <c r="E123" i="81"/>
  <c r="G123" i="81" s="1"/>
  <c r="E124" i="81"/>
  <c r="G124" i="81" s="1"/>
  <c r="E136" i="81"/>
  <c r="G136" i="81" s="1"/>
  <c r="E137" i="81"/>
  <c r="G137" i="81" s="1"/>
  <c r="E138" i="81"/>
  <c r="E139" i="81"/>
  <c r="G139" i="81" s="1"/>
  <c r="E140" i="81"/>
  <c r="G140" i="81" s="1"/>
  <c r="E141" i="81"/>
  <c r="G141" i="81" s="1"/>
  <c r="E155" i="81"/>
  <c r="G155" i="81" s="1"/>
  <c r="E156" i="81"/>
  <c r="G156" i="81" s="1"/>
  <c r="E157" i="81"/>
  <c r="G157" i="81" s="1"/>
  <c r="E158" i="81"/>
  <c r="G158" i="81" s="1"/>
  <c r="E159" i="81"/>
  <c r="G159" i="81" s="1"/>
  <c r="E160" i="81"/>
  <c r="G160" i="81" s="1"/>
  <c r="E161" i="81"/>
  <c r="G161" i="81" s="1"/>
  <c r="E173" i="81"/>
  <c r="G173" i="81" s="1"/>
  <c r="E174" i="81"/>
  <c r="E183" i="81"/>
  <c r="G183" i="81" s="1"/>
  <c r="E182" i="81"/>
  <c r="G182" i="81" s="1"/>
  <c r="E181" i="81"/>
  <c r="G181" i="81" s="1"/>
  <c r="E184" i="81"/>
  <c r="G184" i="81" s="1"/>
  <c r="E186" i="81"/>
  <c r="G186" i="81" s="1"/>
  <c r="E188" i="81"/>
  <c r="G188" i="81" s="1"/>
  <c r="E190" i="81"/>
  <c r="G190" i="81" s="1"/>
  <c r="E194" i="81"/>
  <c r="I249" i="81"/>
  <c r="I250" i="81"/>
  <c r="I251" i="81"/>
  <c r="E70" i="64"/>
  <c r="H119" i="64"/>
  <c r="F22" i="64"/>
  <c r="H111" i="64"/>
  <c r="H113" i="64"/>
  <c r="H116" i="64"/>
  <c r="H117" i="64"/>
  <c r="D72" i="64"/>
  <c r="D49" i="64"/>
  <c r="D48" i="64"/>
  <c r="D31" i="64"/>
  <c r="F73" i="64"/>
  <c r="D73" i="64"/>
  <c r="F49" i="64"/>
  <c r="F32" i="64"/>
  <c r="D32" i="64"/>
  <c r="I182" i="83" l="1"/>
  <c r="I177" i="83"/>
  <c r="I181" i="83"/>
  <c r="H180" i="83"/>
  <c r="I180" i="83" s="1"/>
  <c r="G131" i="83"/>
  <c r="G133" i="83" s="1"/>
  <c r="G138" i="83" s="1"/>
  <c r="G185" i="83"/>
  <c r="I237" i="81"/>
  <c r="I233" i="81"/>
  <c r="E76" i="81"/>
  <c r="G76" i="81" s="1"/>
  <c r="E167" i="81"/>
  <c r="G167" i="81" s="1"/>
  <c r="I234" i="81"/>
  <c r="E166" i="81"/>
  <c r="G166" i="81" s="1"/>
  <c r="G69" i="72"/>
  <c r="G94" i="72"/>
  <c r="H190" i="72" s="1"/>
  <c r="E190" i="72"/>
  <c r="G190" i="72" s="1"/>
  <c r="G43" i="72"/>
  <c r="H182" i="72" s="1"/>
  <c r="G182" i="72"/>
  <c r="G41" i="72"/>
  <c r="H195" i="72" s="1"/>
  <c r="E195" i="72"/>
  <c r="G195" i="72" s="1"/>
  <c r="G51" i="72"/>
  <c r="E121" i="72"/>
  <c r="G121" i="72" s="1"/>
  <c r="E123" i="72"/>
  <c r="G123" i="72" s="1"/>
  <c r="E122" i="72"/>
  <c r="G122" i="72" s="1"/>
  <c r="E103" i="72"/>
  <c r="G103" i="72" s="1"/>
  <c r="E105" i="72"/>
  <c r="G105" i="72" s="1"/>
  <c r="E104" i="72"/>
  <c r="G104" i="72" s="1"/>
  <c r="G87" i="72"/>
  <c r="E69" i="82"/>
  <c r="G69" i="82" s="1"/>
  <c r="E51" i="82"/>
  <c r="G51" i="82" s="1"/>
  <c r="E88" i="82"/>
  <c r="G88" i="82" s="1"/>
  <c r="H150" i="82" s="1"/>
  <c r="E90" i="82"/>
  <c r="G90" i="82" s="1"/>
  <c r="E89" i="82"/>
  <c r="G89" i="82" s="1"/>
  <c r="G53" i="82"/>
  <c r="G100" i="82"/>
  <c r="G98" i="82"/>
  <c r="E148" i="82"/>
  <c r="G148" i="82" s="1"/>
  <c r="I148" i="82" s="1"/>
  <c r="E152" i="82"/>
  <c r="G152" i="82" s="1"/>
  <c r="G27" i="82"/>
  <c r="H152" i="82" s="1"/>
  <c r="I152" i="82" s="1"/>
  <c r="E147" i="82"/>
  <c r="G147" i="82" s="1"/>
  <c r="G25" i="82"/>
  <c r="H147" i="82" s="1"/>
  <c r="I147" i="82" s="1"/>
  <c r="E137" i="82"/>
  <c r="G137" i="82" s="1"/>
  <c r="I137" i="82" s="1"/>
  <c r="E140" i="82"/>
  <c r="G140" i="82" s="1"/>
  <c r="I140" i="82" s="1"/>
  <c r="E139" i="82"/>
  <c r="G139" i="82" s="1"/>
  <c r="G62" i="82"/>
  <c r="H139" i="82" s="1"/>
  <c r="I139" i="82" s="1"/>
  <c r="E138" i="82"/>
  <c r="G138" i="82" s="1"/>
  <c r="G26" i="82"/>
  <c r="H138" i="82" s="1"/>
  <c r="I138" i="82" s="1"/>
  <c r="E153" i="82"/>
  <c r="G153" i="82" s="1"/>
  <c r="G24" i="82"/>
  <c r="E145" i="82"/>
  <c r="G145" i="82" s="1"/>
  <c r="G34" i="82"/>
  <c r="H151" i="82" s="1"/>
  <c r="G99" i="82"/>
  <c r="G168" i="81"/>
  <c r="G113" i="81"/>
  <c r="G131" i="81"/>
  <c r="G95" i="81"/>
  <c r="E196" i="81"/>
  <c r="G196" i="81" s="1"/>
  <c r="E195" i="81"/>
  <c r="G195" i="81" s="1"/>
  <c r="E197" i="81"/>
  <c r="G197" i="81" s="1"/>
  <c r="E177" i="81"/>
  <c r="E175" i="81"/>
  <c r="E176" i="81"/>
  <c r="G176" i="81" s="1"/>
  <c r="E247" i="81"/>
  <c r="G247" i="81" s="1"/>
  <c r="G67" i="81"/>
  <c r="H247" i="81" s="1"/>
  <c r="E254" i="81"/>
  <c r="G254" i="81" s="1"/>
  <c r="G25" i="81"/>
  <c r="H254" i="81" s="1"/>
  <c r="G207" i="81"/>
  <c r="G77" i="81"/>
  <c r="E260" i="81"/>
  <c r="G260" i="81" s="1"/>
  <c r="G24" i="81"/>
  <c r="G205" i="81"/>
  <c r="G34" i="81"/>
  <c r="H258" i="81" s="1"/>
  <c r="E244" i="81"/>
  <c r="G244" i="81" s="1"/>
  <c r="I244" i="81" s="1"/>
  <c r="E255" i="81"/>
  <c r="G255" i="81" s="1"/>
  <c r="G138" i="81"/>
  <c r="H255" i="81" s="1"/>
  <c r="E246" i="81"/>
  <c r="G246" i="81" s="1"/>
  <c r="G44" i="81"/>
  <c r="H246" i="81" s="1"/>
  <c r="E259" i="81"/>
  <c r="G259" i="81" s="1"/>
  <c r="G27" i="81"/>
  <c r="H259" i="81" s="1"/>
  <c r="G206" i="81"/>
  <c r="E245" i="81"/>
  <c r="G245" i="81" s="1"/>
  <c r="G26" i="81"/>
  <c r="H245" i="81" s="1"/>
  <c r="G33" i="81"/>
  <c r="H252" i="81" s="1"/>
  <c r="E257" i="81"/>
  <c r="G257" i="81" s="1"/>
  <c r="G32" i="81"/>
  <c r="H257" i="81" s="1"/>
  <c r="F20" i="64"/>
  <c r="F54" i="64"/>
  <c r="F44" i="64"/>
  <c r="F27" i="64"/>
  <c r="G139" i="83" l="1"/>
  <c r="G142" i="83" s="1"/>
  <c r="E252" i="81"/>
  <c r="G252" i="81" s="1"/>
  <c r="I252" i="81" s="1"/>
  <c r="E258" i="81"/>
  <c r="G258" i="81" s="1"/>
  <c r="I258" i="81" s="1"/>
  <c r="G198" i="81"/>
  <c r="H145" i="82"/>
  <c r="I145" i="82" s="1"/>
  <c r="H153" i="82"/>
  <c r="I153" i="82" s="1"/>
  <c r="F97" i="82"/>
  <c r="G124" i="72"/>
  <c r="G106" i="72"/>
  <c r="I195" i="72"/>
  <c r="I182" i="72"/>
  <c r="I190" i="72"/>
  <c r="E150" i="82"/>
  <c r="G150" i="82" s="1"/>
  <c r="I150" i="82" s="1"/>
  <c r="G101" i="82"/>
  <c r="G91" i="82"/>
  <c r="E151" i="82"/>
  <c r="G151" i="82" s="1"/>
  <c r="I151" i="82" s="1"/>
  <c r="E146" i="82"/>
  <c r="G146" i="82" s="1"/>
  <c r="I146" i="82" s="1"/>
  <c r="G35" i="82"/>
  <c r="E149" i="82"/>
  <c r="G149" i="82" s="1"/>
  <c r="I149" i="82" s="1"/>
  <c r="G71" i="82"/>
  <c r="G208" i="81"/>
  <c r="I259" i="81"/>
  <c r="I246" i="81"/>
  <c r="I255" i="81"/>
  <c r="I247" i="81"/>
  <c r="I257" i="81"/>
  <c r="I245" i="81"/>
  <c r="I254" i="81"/>
  <c r="E253" i="81"/>
  <c r="G253" i="81" s="1"/>
  <c r="G177" i="81"/>
  <c r="H253" i="81" s="1"/>
  <c r="G150" i="81"/>
  <c r="G35" i="81"/>
  <c r="H260" i="81"/>
  <c r="I260" i="81" s="1"/>
  <c r="G57" i="81"/>
  <c r="E256" i="81"/>
  <c r="G256" i="81" s="1"/>
  <c r="G175" i="81"/>
  <c r="F147" i="80"/>
  <c r="F141" i="80"/>
  <c r="E140" i="80"/>
  <c r="G140" i="80" s="1"/>
  <c r="E139" i="80"/>
  <c r="G139" i="80" s="1"/>
  <c r="E138" i="80"/>
  <c r="G138" i="80" s="1"/>
  <c r="H133" i="80"/>
  <c r="H132" i="80"/>
  <c r="E132" i="80"/>
  <c r="G132" i="80" s="1"/>
  <c r="H131" i="80"/>
  <c r="E131" i="80"/>
  <c r="G131" i="80" s="1"/>
  <c r="H121" i="80"/>
  <c r="E121" i="80"/>
  <c r="G121" i="80" s="1"/>
  <c r="E100" i="80"/>
  <c r="G100" i="80" s="1"/>
  <c r="F86" i="80"/>
  <c r="F85" i="80"/>
  <c r="E82" i="80"/>
  <c r="G82" i="80" s="1"/>
  <c r="E81" i="80"/>
  <c r="G81" i="80" s="1"/>
  <c r="H124" i="80" s="1"/>
  <c r="F72" i="80"/>
  <c r="E69" i="80"/>
  <c r="E83" i="80" s="1"/>
  <c r="D66" i="80"/>
  <c r="D65" i="80"/>
  <c r="F61" i="80"/>
  <c r="E58" i="80"/>
  <c r="E67" i="80" s="1"/>
  <c r="E124" i="80"/>
  <c r="G124" i="80" s="1"/>
  <c r="H140" i="80"/>
  <c r="H139" i="80"/>
  <c r="H138" i="80"/>
  <c r="E126" i="80"/>
  <c r="G126" i="80" s="1"/>
  <c r="E128" i="80"/>
  <c r="G128" i="80" s="1"/>
  <c r="F56" i="80"/>
  <c r="D56" i="80"/>
  <c r="F55" i="80"/>
  <c r="D55" i="80"/>
  <c r="E52" i="80"/>
  <c r="G52" i="80" s="1"/>
  <c r="E51" i="80"/>
  <c r="E123" i="80" s="1"/>
  <c r="G123" i="80" s="1"/>
  <c r="E50" i="80"/>
  <c r="E125" i="80" s="1"/>
  <c r="G125" i="80" s="1"/>
  <c r="E49" i="80"/>
  <c r="E127" i="80" s="1"/>
  <c r="G127" i="80" s="1"/>
  <c r="E48" i="80"/>
  <c r="G48" i="80" s="1"/>
  <c r="E47" i="80"/>
  <c r="G47" i="80" s="1"/>
  <c r="F39" i="80"/>
  <c r="E36" i="80"/>
  <c r="E46" i="80" s="1"/>
  <c r="G46" i="80" s="1"/>
  <c r="F34" i="80"/>
  <c r="D34" i="80"/>
  <c r="F33" i="80"/>
  <c r="D33" i="80"/>
  <c r="E30" i="80"/>
  <c r="E122" i="80" s="1"/>
  <c r="G122" i="80" s="1"/>
  <c r="E29" i="80"/>
  <c r="E28" i="80"/>
  <c r="E130" i="80" s="1"/>
  <c r="G130" i="80" s="1"/>
  <c r="F20" i="80"/>
  <c r="E17" i="80"/>
  <c r="E31" i="80" s="1"/>
  <c r="G143" i="83" l="1"/>
  <c r="G144" i="83" s="1"/>
  <c r="G154" i="82"/>
  <c r="G95" i="82"/>
  <c r="G97" i="82" s="1"/>
  <c r="I253" i="81"/>
  <c r="H256" i="81"/>
  <c r="I256" i="81" s="1"/>
  <c r="G179" i="81"/>
  <c r="G202" i="81" s="1"/>
  <c r="G204" i="81" s="1"/>
  <c r="G209" i="81" s="1"/>
  <c r="G261" i="81"/>
  <c r="I131" i="80"/>
  <c r="I132" i="80"/>
  <c r="E60" i="80"/>
  <c r="G60" i="80" s="1"/>
  <c r="E129" i="80"/>
  <c r="G129" i="80" s="1"/>
  <c r="E59" i="80"/>
  <c r="G59" i="80" s="1"/>
  <c r="E61" i="80"/>
  <c r="G61" i="80" s="1"/>
  <c r="E34" i="80"/>
  <c r="E33" i="80"/>
  <c r="E32" i="80"/>
  <c r="E21" i="80"/>
  <c r="G21" i="80" s="1"/>
  <c r="E22" i="80"/>
  <c r="G22" i="80" s="1"/>
  <c r="E23" i="80"/>
  <c r="G23" i="80" s="1"/>
  <c r="E24" i="80"/>
  <c r="E25" i="80"/>
  <c r="E26" i="80"/>
  <c r="E27" i="80"/>
  <c r="E53" i="80"/>
  <c r="E133" i="80" s="1"/>
  <c r="G133" i="80" s="1"/>
  <c r="I133" i="80" s="1"/>
  <c r="E18" i="80"/>
  <c r="G18" i="80" s="1"/>
  <c r="E19" i="80"/>
  <c r="G19" i="80" s="1"/>
  <c r="E20" i="80"/>
  <c r="G20" i="80" s="1"/>
  <c r="G28" i="80"/>
  <c r="H130" i="80" s="1"/>
  <c r="I130" i="80" s="1"/>
  <c r="G29" i="80"/>
  <c r="H129" i="80" s="1"/>
  <c r="G30" i="80"/>
  <c r="H122" i="80" s="1"/>
  <c r="I122" i="80" s="1"/>
  <c r="E37" i="80"/>
  <c r="G37" i="80" s="1"/>
  <c r="E38" i="80"/>
  <c r="G38" i="80" s="1"/>
  <c r="E39" i="80"/>
  <c r="G39" i="80" s="1"/>
  <c r="G49" i="80"/>
  <c r="H127" i="80" s="1"/>
  <c r="I127" i="80" s="1"/>
  <c r="G50" i="80"/>
  <c r="H125" i="80" s="1"/>
  <c r="I125" i="80" s="1"/>
  <c r="G51" i="80"/>
  <c r="H123" i="80" s="1"/>
  <c r="I123" i="80" s="1"/>
  <c r="H128" i="80"/>
  <c r="I128" i="80" s="1"/>
  <c r="H126" i="80"/>
  <c r="I126" i="80" s="1"/>
  <c r="I124" i="80"/>
  <c r="E137" i="80"/>
  <c r="G137" i="80" s="1"/>
  <c r="G67" i="80"/>
  <c r="H137" i="80" s="1"/>
  <c r="E63" i="80"/>
  <c r="E66" i="80" s="1"/>
  <c r="E86" i="80"/>
  <c r="G86" i="80" s="1"/>
  <c r="E85" i="80"/>
  <c r="E84" i="80"/>
  <c r="G84" i="80" s="1"/>
  <c r="G85" i="80"/>
  <c r="E40" i="80"/>
  <c r="G40" i="80" s="1"/>
  <c r="E41" i="80"/>
  <c r="G41" i="80" s="1"/>
  <c r="E42" i="80"/>
  <c r="G42" i="80" s="1"/>
  <c r="E43" i="80"/>
  <c r="G43" i="80" s="1"/>
  <c r="E44" i="80"/>
  <c r="E45" i="80"/>
  <c r="G45" i="80" s="1"/>
  <c r="E62" i="80"/>
  <c r="G62" i="80" s="1"/>
  <c r="I121" i="80"/>
  <c r="I138" i="80"/>
  <c r="I139" i="80"/>
  <c r="I140" i="80"/>
  <c r="E70" i="80"/>
  <c r="G70" i="80" s="1"/>
  <c r="E71" i="80"/>
  <c r="G71" i="80" s="1"/>
  <c r="E72" i="80"/>
  <c r="G72" i="80" s="1"/>
  <c r="E101" i="80"/>
  <c r="G101" i="80" s="1"/>
  <c r="E73" i="80"/>
  <c r="G73" i="80" s="1"/>
  <c r="E74" i="80"/>
  <c r="G74" i="80" s="1"/>
  <c r="E75" i="80"/>
  <c r="G75" i="80" s="1"/>
  <c r="E76" i="80"/>
  <c r="G76" i="80" s="1"/>
  <c r="E77" i="80"/>
  <c r="G77" i="80" s="1"/>
  <c r="E78" i="80"/>
  <c r="G78" i="80" s="1"/>
  <c r="E79" i="80"/>
  <c r="G79" i="80" s="1"/>
  <c r="E80" i="80"/>
  <c r="G80" i="80" s="1"/>
  <c r="G102" i="82" l="1"/>
  <c r="G103" i="82" s="1"/>
  <c r="G106" i="82" s="1"/>
  <c r="G210" i="81"/>
  <c r="G213" i="81" s="1"/>
  <c r="I129" i="80"/>
  <c r="G94" i="80"/>
  <c r="G96" i="80"/>
  <c r="E136" i="80"/>
  <c r="G136" i="80" s="1"/>
  <c r="H136" i="80"/>
  <c r="E54" i="80"/>
  <c r="G54" i="80" s="1"/>
  <c r="E56" i="80"/>
  <c r="G56" i="80" s="1"/>
  <c r="E55" i="80"/>
  <c r="G55" i="80" s="1"/>
  <c r="E148" i="80"/>
  <c r="G148" i="80" s="1"/>
  <c r="G27" i="80"/>
  <c r="H148" i="80" s="1"/>
  <c r="E143" i="80"/>
  <c r="G143" i="80" s="1"/>
  <c r="G25" i="80"/>
  <c r="H143" i="80" s="1"/>
  <c r="G32" i="80"/>
  <c r="G34" i="80"/>
  <c r="G66" i="80"/>
  <c r="H142" i="80" s="1"/>
  <c r="E142" i="80"/>
  <c r="G142" i="80" s="1"/>
  <c r="E65" i="80"/>
  <c r="G65" i="80" s="1"/>
  <c r="E64" i="80"/>
  <c r="G87" i="80"/>
  <c r="E135" i="80"/>
  <c r="G135" i="80" s="1"/>
  <c r="G44" i="80"/>
  <c r="H135" i="80" s="1"/>
  <c r="I137" i="80"/>
  <c r="E144" i="80"/>
  <c r="G144" i="80" s="1"/>
  <c r="H144" i="80"/>
  <c r="G95" i="80"/>
  <c r="E134" i="80"/>
  <c r="G134" i="80" s="1"/>
  <c r="G26" i="80"/>
  <c r="H134" i="80" s="1"/>
  <c r="E149" i="80"/>
  <c r="G149" i="80" s="1"/>
  <c r="G24" i="80"/>
  <c r="G33" i="80"/>
  <c r="H147" i="80" l="1"/>
  <c r="G97" i="80"/>
  <c r="E147" i="80"/>
  <c r="G147" i="80" s="1"/>
  <c r="H141" i="80"/>
  <c r="G107" i="82"/>
  <c r="G108" i="82" s="1"/>
  <c r="G214" i="81"/>
  <c r="G215" i="81" s="1"/>
  <c r="H146" i="80"/>
  <c r="G57" i="80"/>
  <c r="E141" i="80"/>
  <c r="G141" i="80" s="1"/>
  <c r="I144" i="80"/>
  <c r="I147" i="80"/>
  <c r="E146" i="80"/>
  <c r="G146" i="80" s="1"/>
  <c r="I143" i="80"/>
  <c r="I148" i="80"/>
  <c r="I134" i="80"/>
  <c r="H149" i="80"/>
  <c r="I149" i="80" s="1"/>
  <c r="G35" i="80"/>
  <c r="I135" i="80"/>
  <c r="E145" i="80"/>
  <c r="G145" i="80" s="1"/>
  <c r="G64" i="80"/>
  <c r="F93" i="80" s="1"/>
  <c r="I142" i="80"/>
  <c r="I136" i="80"/>
  <c r="I141" i="80" l="1"/>
  <c r="I146" i="80"/>
  <c r="H145" i="80"/>
  <c r="I145" i="80" s="1"/>
  <c r="G68" i="80"/>
  <c r="G91" i="80" s="1"/>
  <c r="G93" i="80" s="1"/>
  <c r="G98" i="80" s="1"/>
  <c r="G150" i="80"/>
  <c r="G99" i="80" l="1"/>
  <c r="G102" i="80" s="1"/>
  <c r="G103" i="80" l="1"/>
  <c r="G104" i="80" s="1"/>
  <c r="E154" i="77" l="1"/>
  <c r="E135" i="77"/>
  <c r="F200" i="77" l="1"/>
  <c r="F199" i="77"/>
  <c r="E196" i="77"/>
  <c r="E195" i="77"/>
  <c r="E183" i="77"/>
  <c r="G196" i="77"/>
  <c r="G195" i="77"/>
  <c r="F186" i="77"/>
  <c r="E186" i="77"/>
  <c r="E172" i="77"/>
  <c r="E181" i="77"/>
  <c r="G181" i="77" s="1"/>
  <c r="H251" i="77" s="1"/>
  <c r="D180" i="77"/>
  <c r="D179" i="77"/>
  <c r="F175" i="77"/>
  <c r="E175" i="77"/>
  <c r="G175" i="77" s="1"/>
  <c r="E174" i="77"/>
  <c r="G174" i="77" s="1"/>
  <c r="E173" i="77"/>
  <c r="G173" i="77" s="1"/>
  <c r="E177" i="77"/>
  <c r="E166" i="77"/>
  <c r="G166" i="77" s="1"/>
  <c r="E165" i="77"/>
  <c r="E167" i="77"/>
  <c r="E168" i="77" s="1"/>
  <c r="G168" i="77" s="1"/>
  <c r="E148" i="77"/>
  <c r="G148" i="77" s="1"/>
  <c r="E147" i="77"/>
  <c r="G147" i="77" s="1"/>
  <c r="E146" i="77"/>
  <c r="E145" i="77"/>
  <c r="G145" i="77" s="1"/>
  <c r="E111" i="77"/>
  <c r="G111" i="77" s="1"/>
  <c r="E110" i="77"/>
  <c r="G110" i="77" s="1"/>
  <c r="E99" i="77"/>
  <c r="E102" i="77" s="1"/>
  <c r="F115" i="77"/>
  <c r="D115" i="77"/>
  <c r="F114" i="77"/>
  <c r="D114" i="77"/>
  <c r="F102" i="77"/>
  <c r="E129" i="77"/>
  <c r="G129" i="77" s="1"/>
  <c r="E128" i="77"/>
  <c r="G128" i="77" s="1"/>
  <c r="E117" i="77"/>
  <c r="E120" i="77" s="1"/>
  <c r="F133" i="77"/>
  <c r="D133" i="77"/>
  <c r="F132" i="77"/>
  <c r="D132" i="77"/>
  <c r="F120" i="77"/>
  <c r="E119" i="77"/>
  <c r="G119" i="77" s="1"/>
  <c r="E93" i="77"/>
  <c r="G93" i="77" s="1"/>
  <c r="E92" i="77"/>
  <c r="G92" i="77" s="1"/>
  <c r="E81" i="77"/>
  <c r="E91" i="77" s="1"/>
  <c r="G91" i="77" s="1"/>
  <c r="E72" i="77"/>
  <c r="G72" i="77" s="1"/>
  <c r="E71" i="77"/>
  <c r="E70" i="77"/>
  <c r="G70" i="77" s="1"/>
  <c r="E69" i="77"/>
  <c r="G69" i="77" s="1"/>
  <c r="E58" i="77"/>
  <c r="E76" i="77" s="1"/>
  <c r="E77" i="77" s="1"/>
  <c r="G77" i="77" s="1"/>
  <c r="E49" i="77"/>
  <c r="G49" i="77" s="1"/>
  <c r="E52" i="77"/>
  <c r="G52" i="77" s="1"/>
  <c r="E51" i="77"/>
  <c r="E50" i="77"/>
  <c r="G50" i="77" s="1"/>
  <c r="E48" i="77"/>
  <c r="G48" i="77" s="1"/>
  <c r="E47" i="77"/>
  <c r="E36" i="77"/>
  <c r="E39" i="77" s="1"/>
  <c r="E30" i="77"/>
  <c r="E29" i="77"/>
  <c r="E28" i="77"/>
  <c r="E17" i="77"/>
  <c r="F261" i="77"/>
  <c r="F255" i="77"/>
  <c r="E254" i="77"/>
  <c r="G254" i="77" s="1"/>
  <c r="E253" i="77"/>
  <c r="G253" i="77" s="1"/>
  <c r="E252" i="77"/>
  <c r="G252" i="77" s="1"/>
  <c r="E251" i="77"/>
  <c r="G251" i="77" s="1"/>
  <c r="H247" i="77"/>
  <c r="H246" i="77"/>
  <c r="E246" i="77"/>
  <c r="G246" i="77" s="1"/>
  <c r="E214" i="77"/>
  <c r="G214" i="77" s="1"/>
  <c r="F170" i="77"/>
  <c r="D170" i="77"/>
  <c r="F169" i="77"/>
  <c r="D169" i="77"/>
  <c r="G165" i="77"/>
  <c r="F157" i="77"/>
  <c r="F152" i="77"/>
  <c r="D152" i="77"/>
  <c r="F151" i="77"/>
  <c r="D151" i="77"/>
  <c r="G146" i="77"/>
  <c r="F138" i="77"/>
  <c r="E149" i="77"/>
  <c r="E150" i="77" s="1"/>
  <c r="G150" i="77" s="1"/>
  <c r="F97" i="77"/>
  <c r="D97" i="77"/>
  <c r="F96" i="77"/>
  <c r="D96" i="77"/>
  <c r="E235" i="77"/>
  <c r="G235" i="77" s="1"/>
  <c r="F84" i="77"/>
  <c r="F79" i="77"/>
  <c r="D79" i="77"/>
  <c r="F78" i="77"/>
  <c r="D78" i="77"/>
  <c r="G75" i="77"/>
  <c r="H254" i="77" s="1"/>
  <c r="G74" i="77"/>
  <c r="G73" i="77"/>
  <c r="H252" i="77" s="1"/>
  <c r="F61" i="77"/>
  <c r="F56" i="77"/>
  <c r="D56" i="77"/>
  <c r="F55" i="77"/>
  <c r="D55" i="77"/>
  <c r="F39" i="77"/>
  <c r="F34" i="77"/>
  <c r="D34" i="77"/>
  <c r="F33" i="77"/>
  <c r="D33" i="77"/>
  <c r="F20" i="77"/>
  <c r="E179" i="77" l="1"/>
  <c r="G179" i="77" s="1"/>
  <c r="G186" i="77"/>
  <c r="E187" i="77"/>
  <c r="G187" i="77" s="1"/>
  <c r="E188" i="77"/>
  <c r="G188" i="77" s="1"/>
  <c r="E189" i="77"/>
  <c r="G189" i="77" s="1"/>
  <c r="E190" i="77"/>
  <c r="G190" i="77" s="1"/>
  <c r="E191" i="77"/>
  <c r="G191" i="77" s="1"/>
  <c r="E192" i="77"/>
  <c r="G192" i="77" s="1"/>
  <c r="E193" i="77"/>
  <c r="G193" i="77" s="1"/>
  <c r="E194" i="77"/>
  <c r="G194" i="77" s="1"/>
  <c r="E197" i="77"/>
  <c r="E184" i="77"/>
  <c r="G184" i="77" s="1"/>
  <c r="E185" i="77"/>
  <c r="G185" i="77" s="1"/>
  <c r="E180" i="77"/>
  <c r="E178" i="77"/>
  <c r="G102" i="77"/>
  <c r="E130" i="77"/>
  <c r="E131" i="77" s="1"/>
  <c r="G131" i="77" s="1"/>
  <c r="E176" i="77"/>
  <c r="G176" i="77" s="1"/>
  <c r="E118" i="77"/>
  <c r="G118" i="77" s="1"/>
  <c r="E103" i="77"/>
  <c r="G103" i="77" s="1"/>
  <c r="E104" i="77"/>
  <c r="G104" i="77" s="1"/>
  <c r="E105" i="77"/>
  <c r="G105" i="77" s="1"/>
  <c r="E106" i="77"/>
  <c r="G106" i="77" s="1"/>
  <c r="E107" i="77"/>
  <c r="G107" i="77" s="1"/>
  <c r="E108" i="77"/>
  <c r="G108" i="77" s="1"/>
  <c r="E109" i="77"/>
  <c r="G109" i="77" s="1"/>
  <c r="E112" i="77"/>
  <c r="G120" i="77"/>
  <c r="E100" i="77"/>
  <c r="G100" i="77" s="1"/>
  <c r="E101" i="77"/>
  <c r="G101" i="77" s="1"/>
  <c r="E132" i="77"/>
  <c r="G132" i="77" s="1"/>
  <c r="E121" i="77"/>
  <c r="G121" i="77" s="1"/>
  <c r="E122" i="77"/>
  <c r="G122" i="77" s="1"/>
  <c r="E123" i="77"/>
  <c r="G123" i="77" s="1"/>
  <c r="E124" i="77"/>
  <c r="G124" i="77" s="1"/>
  <c r="E125" i="77"/>
  <c r="G125" i="77" s="1"/>
  <c r="E126" i="77"/>
  <c r="G126" i="77" s="1"/>
  <c r="E127" i="77"/>
  <c r="G127" i="77" s="1"/>
  <c r="H253" i="77"/>
  <c r="I253" i="77" s="1"/>
  <c r="E240" i="77"/>
  <c r="G240" i="77" s="1"/>
  <c r="E238" i="77"/>
  <c r="G238" i="77" s="1"/>
  <c r="E155" i="77"/>
  <c r="G155" i="77" s="1"/>
  <c r="E239" i="77"/>
  <c r="G239" i="77" s="1"/>
  <c r="E241" i="77"/>
  <c r="G241" i="77" s="1"/>
  <c r="H235" i="77"/>
  <c r="I235" i="77" s="1"/>
  <c r="E157" i="77"/>
  <c r="G157" i="77" s="1"/>
  <c r="E237" i="77"/>
  <c r="G237" i="77" s="1"/>
  <c r="E83" i="77"/>
  <c r="G83" i="77" s="1"/>
  <c r="E137" i="77"/>
  <c r="G137" i="77" s="1"/>
  <c r="E82" i="77"/>
  <c r="G82" i="77" s="1"/>
  <c r="E84" i="77"/>
  <c r="G84" i="77" s="1"/>
  <c r="E136" i="77"/>
  <c r="G136" i="77" s="1"/>
  <c r="E138" i="77"/>
  <c r="G138" i="77" s="1"/>
  <c r="E156" i="77"/>
  <c r="G156" i="77" s="1"/>
  <c r="I251" i="77"/>
  <c r="I252" i="77"/>
  <c r="I254" i="77"/>
  <c r="I246" i="77"/>
  <c r="E20" i="77"/>
  <c r="G20" i="77" s="1"/>
  <c r="E19" i="77"/>
  <c r="G19" i="77" s="1"/>
  <c r="E18" i="77"/>
  <c r="G18" i="77" s="1"/>
  <c r="E21" i="77"/>
  <c r="G21" i="77" s="1"/>
  <c r="E23" i="77"/>
  <c r="G23" i="77" s="1"/>
  <c r="E25" i="77"/>
  <c r="E27" i="77"/>
  <c r="E244" i="77"/>
  <c r="G244" i="77" s="1"/>
  <c r="G28" i="77"/>
  <c r="E242" i="77"/>
  <c r="G242" i="77" s="1"/>
  <c r="H242" i="77"/>
  <c r="E31" i="77"/>
  <c r="E22" i="77"/>
  <c r="G22" i="77" s="1"/>
  <c r="E24" i="77"/>
  <c r="E26" i="77"/>
  <c r="E245" i="77"/>
  <c r="G245" i="77" s="1"/>
  <c r="H245" i="77"/>
  <c r="E243" i="77"/>
  <c r="G243" i="77" s="1"/>
  <c r="G29" i="77"/>
  <c r="H243" i="77" s="1"/>
  <c r="E236" i="77"/>
  <c r="G236" i="77" s="1"/>
  <c r="G30" i="77"/>
  <c r="H236" i="77" s="1"/>
  <c r="G39" i="77"/>
  <c r="E78" i="77"/>
  <c r="G78" i="77" s="1"/>
  <c r="E79" i="77"/>
  <c r="G79" i="77" s="1"/>
  <c r="E40" i="77"/>
  <c r="G40" i="77" s="1"/>
  <c r="E41" i="77"/>
  <c r="G41" i="77" s="1"/>
  <c r="E42" i="77"/>
  <c r="G42" i="77" s="1"/>
  <c r="E43" i="77"/>
  <c r="G43" i="77" s="1"/>
  <c r="E44" i="77"/>
  <c r="E45" i="77"/>
  <c r="G45" i="77" s="1"/>
  <c r="E46" i="77"/>
  <c r="G46" i="77" s="1"/>
  <c r="E53" i="77"/>
  <c r="E62" i="77"/>
  <c r="G62" i="77" s="1"/>
  <c r="E63" i="77"/>
  <c r="G63" i="77" s="1"/>
  <c r="E64" i="77"/>
  <c r="G64" i="77" s="1"/>
  <c r="E65" i="77"/>
  <c r="G65" i="77" s="1"/>
  <c r="E66" i="77"/>
  <c r="G66" i="77" s="1"/>
  <c r="E67" i="77"/>
  <c r="E68" i="77"/>
  <c r="G68" i="77" s="1"/>
  <c r="E94" i="77"/>
  <c r="E151" i="77"/>
  <c r="G151" i="77" s="1"/>
  <c r="E152" i="77"/>
  <c r="E37" i="77"/>
  <c r="G37" i="77" s="1"/>
  <c r="E38" i="77"/>
  <c r="G38" i="77" s="1"/>
  <c r="G47" i="77"/>
  <c r="H239" i="77" s="1"/>
  <c r="G51" i="77"/>
  <c r="H238" i="77" s="1"/>
  <c r="E59" i="77"/>
  <c r="G59" i="77" s="1"/>
  <c r="E60" i="77"/>
  <c r="G60" i="77" s="1"/>
  <c r="E61" i="77"/>
  <c r="G61" i="77" s="1"/>
  <c r="G71" i="77"/>
  <c r="H240" i="77" s="1"/>
  <c r="H241" i="77"/>
  <c r="E85" i="77"/>
  <c r="G85" i="77" s="1"/>
  <c r="E86" i="77"/>
  <c r="G86" i="77" s="1"/>
  <c r="E87" i="77"/>
  <c r="G87" i="77" s="1"/>
  <c r="E88" i="77"/>
  <c r="G88" i="77" s="1"/>
  <c r="E89" i="77"/>
  <c r="G89" i="77" s="1"/>
  <c r="E90" i="77"/>
  <c r="G90" i="77" s="1"/>
  <c r="G152" i="77"/>
  <c r="E169" i="77"/>
  <c r="G169" i="77" s="1"/>
  <c r="E170" i="77"/>
  <c r="G170" i="77" s="1"/>
  <c r="E215" i="77"/>
  <c r="G215" i="77" s="1"/>
  <c r="E139" i="77"/>
  <c r="G139" i="77" s="1"/>
  <c r="E140" i="77"/>
  <c r="G140" i="77" s="1"/>
  <c r="E141" i="77"/>
  <c r="E142" i="77"/>
  <c r="G142" i="77" s="1"/>
  <c r="E143" i="77"/>
  <c r="G143" i="77" s="1"/>
  <c r="E144" i="77"/>
  <c r="G144" i="77" s="1"/>
  <c r="E158" i="77"/>
  <c r="G158" i="77" s="1"/>
  <c r="E159" i="77"/>
  <c r="G159" i="77" s="1"/>
  <c r="E160" i="77"/>
  <c r="G160" i="77" s="1"/>
  <c r="E161" i="77"/>
  <c r="G161" i="77" s="1"/>
  <c r="E162" i="77"/>
  <c r="G162" i="77" s="1"/>
  <c r="E163" i="77"/>
  <c r="G163" i="77" s="1"/>
  <c r="E164" i="77"/>
  <c r="G164" i="77" s="1"/>
  <c r="G178" i="77" l="1"/>
  <c r="G180" i="77"/>
  <c r="H256" i="77" s="1"/>
  <c r="E256" i="77"/>
  <c r="G256" i="77" s="1"/>
  <c r="E200" i="77"/>
  <c r="G200" i="77" s="1"/>
  <c r="E199" i="77"/>
  <c r="G199" i="77" s="1"/>
  <c r="E198" i="77"/>
  <c r="G198" i="77" s="1"/>
  <c r="E133" i="77"/>
  <c r="G133" i="77" s="1"/>
  <c r="E113" i="77"/>
  <c r="G113" i="77" s="1"/>
  <c r="E115" i="77"/>
  <c r="G115" i="77" s="1"/>
  <c r="E114" i="77"/>
  <c r="G114" i="77" s="1"/>
  <c r="G134" i="77"/>
  <c r="I240" i="77"/>
  <c r="I239" i="77"/>
  <c r="I238" i="77"/>
  <c r="I241" i="77"/>
  <c r="H244" i="77"/>
  <c r="I244" i="77" s="1"/>
  <c r="H237" i="77"/>
  <c r="I237" i="77" s="1"/>
  <c r="G171" i="77"/>
  <c r="I236" i="77"/>
  <c r="I243" i="77"/>
  <c r="I245" i="77"/>
  <c r="I242" i="77"/>
  <c r="E249" i="77"/>
  <c r="G249" i="77" s="1"/>
  <c r="G44" i="77"/>
  <c r="H249" i="77" s="1"/>
  <c r="E263" i="77"/>
  <c r="G263" i="77" s="1"/>
  <c r="G24" i="77"/>
  <c r="G208" i="77"/>
  <c r="E247" i="77"/>
  <c r="G247" i="77" s="1"/>
  <c r="I247" i="77" s="1"/>
  <c r="E32" i="77"/>
  <c r="E34" i="77"/>
  <c r="E33" i="77"/>
  <c r="G25" i="77"/>
  <c r="H257" i="77" s="1"/>
  <c r="E257" i="77"/>
  <c r="G257" i="77" s="1"/>
  <c r="G210" i="77"/>
  <c r="G141" i="77"/>
  <c r="H258" i="77" s="1"/>
  <c r="E258" i="77"/>
  <c r="G258" i="77" s="1"/>
  <c r="E95" i="77"/>
  <c r="G95" i="77" s="1"/>
  <c r="E97" i="77"/>
  <c r="G97" i="77" s="1"/>
  <c r="E96" i="77"/>
  <c r="G96" i="77" s="1"/>
  <c r="E250" i="77"/>
  <c r="G250" i="77" s="1"/>
  <c r="G67" i="77"/>
  <c r="H250" i="77" s="1"/>
  <c r="E54" i="77"/>
  <c r="G54" i="77" s="1"/>
  <c r="E56" i="77"/>
  <c r="G56" i="77" s="1"/>
  <c r="E55" i="77"/>
  <c r="G55" i="77" s="1"/>
  <c r="E248" i="77"/>
  <c r="G248" i="77" s="1"/>
  <c r="G26" i="77"/>
  <c r="H248" i="77" s="1"/>
  <c r="E262" i="77"/>
  <c r="G262" i="77" s="1"/>
  <c r="G27" i="77"/>
  <c r="H262" i="77" s="1"/>
  <c r="G209" i="77"/>
  <c r="G28" i="72"/>
  <c r="H168" i="72" s="1"/>
  <c r="I168" i="72" s="1"/>
  <c r="G182" i="77" l="1"/>
  <c r="I256" i="77"/>
  <c r="H259" i="77"/>
  <c r="E260" i="77"/>
  <c r="G260" i="77" s="1"/>
  <c r="E259" i="77"/>
  <c r="G259" i="77" s="1"/>
  <c r="I259" i="77" s="1"/>
  <c r="G201" i="77"/>
  <c r="G116" i="77"/>
  <c r="G211" i="77"/>
  <c r="G98" i="77"/>
  <c r="I257" i="77"/>
  <c r="I262" i="77"/>
  <c r="I250" i="77"/>
  <c r="I258" i="77"/>
  <c r="E261" i="77"/>
  <c r="G261" i="77" s="1"/>
  <c r="G34" i="77"/>
  <c r="H261" i="77" s="1"/>
  <c r="H263" i="77"/>
  <c r="I263" i="77" s="1"/>
  <c r="G57" i="77"/>
  <c r="G153" i="77"/>
  <c r="I248" i="77"/>
  <c r="E255" i="77"/>
  <c r="G255" i="77" s="1"/>
  <c r="G33" i="77"/>
  <c r="H255" i="77" s="1"/>
  <c r="G32" i="77"/>
  <c r="I249" i="77"/>
  <c r="G80" i="77"/>
  <c r="E17" i="72"/>
  <c r="G166" i="72"/>
  <c r="E145" i="72"/>
  <c r="G145" i="72" s="1"/>
  <c r="F32" i="72"/>
  <c r="D32" i="72"/>
  <c r="F31" i="72"/>
  <c r="D31" i="72"/>
  <c r="G27" i="72"/>
  <c r="H169" i="72" s="1"/>
  <c r="I169" i="72" s="1"/>
  <c r="F20" i="72"/>
  <c r="I166" i="72" l="1"/>
  <c r="F207" i="77"/>
  <c r="H260" i="77"/>
  <c r="I260" i="77" s="1"/>
  <c r="I261" i="77"/>
  <c r="G35" i="77"/>
  <c r="G205" i="77" s="1"/>
  <c r="G207" i="77" s="1"/>
  <c r="G212" i="77" s="1"/>
  <c r="I255" i="77"/>
  <c r="G264" i="77"/>
  <c r="E20" i="72"/>
  <c r="E19" i="72"/>
  <c r="G19" i="72" s="1"/>
  <c r="E18" i="72"/>
  <c r="G18" i="72" s="1"/>
  <c r="E29" i="72"/>
  <c r="E179" i="72" s="1"/>
  <c r="G179" i="72" s="1"/>
  <c r="I179" i="72" s="1"/>
  <c r="E26" i="72"/>
  <c r="E25" i="72"/>
  <c r="E24" i="72"/>
  <c r="E181" i="72" s="1"/>
  <c r="G181" i="72" s="1"/>
  <c r="E23" i="72"/>
  <c r="G23" i="72" s="1"/>
  <c r="E22" i="72"/>
  <c r="G22" i="72" s="1"/>
  <c r="E21" i="72"/>
  <c r="G21" i="72" s="1"/>
  <c r="G20" i="72"/>
  <c r="E131" i="72"/>
  <c r="E130" i="72"/>
  <c r="G130" i="72" s="1"/>
  <c r="E129" i="72"/>
  <c r="G129" i="72" s="1"/>
  <c r="E128" i="72"/>
  <c r="G128" i="72" s="1"/>
  <c r="E127" i="72"/>
  <c r="G127" i="72" s="1"/>
  <c r="E126" i="72"/>
  <c r="G126" i="72" s="1"/>
  <c r="E146" i="72"/>
  <c r="G146" i="72" s="1"/>
  <c r="G131" i="72" l="1"/>
  <c r="H178" i="72" s="1"/>
  <c r="E178" i="72"/>
  <c r="G178" i="72" s="1"/>
  <c r="G26" i="72"/>
  <c r="H194" i="72" s="1"/>
  <c r="E194" i="72"/>
  <c r="G194" i="72" s="1"/>
  <c r="G25" i="72"/>
  <c r="H189" i="72" s="1"/>
  <c r="E189" i="72"/>
  <c r="G189" i="72" s="1"/>
  <c r="G24" i="72"/>
  <c r="G213" i="77"/>
  <c r="G216" i="77" s="1"/>
  <c r="G132" i="72"/>
  <c r="G141" i="72"/>
  <c r="G139" i="72"/>
  <c r="E30" i="72"/>
  <c r="E32" i="72"/>
  <c r="E31" i="72"/>
  <c r="G140" i="72"/>
  <c r="H181" i="72" l="1"/>
  <c r="I181" i="72" s="1"/>
  <c r="I178" i="72"/>
  <c r="I189" i="72"/>
  <c r="I194" i="72"/>
  <c r="G32" i="72"/>
  <c r="H193" i="72" s="1"/>
  <c r="E193" i="72"/>
  <c r="G193" i="72" s="1"/>
  <c r="G31" i="72"/>
  <c r="H187" i="72" s="1"/>
  <c r="E187" i="72"/>
  <c r="G187" i="72" s="1"/>
  <c r="G30" i="72"/>
  <c r="H192" i="72" s="1"/>
  <c r="E192" i="72"/>
  <c r="G192" i="72" s="1"/>
  <c r="G217" i="77"/>
  <c r="G218" i="77" s="1"/>
  <c r="G142" i="72"/>
  <c r="F138" i="72" l="1"/>
  <c r="G33" i="72"/>
  <c r="G136" i="72" s="1"/>
  <c r="G138" i="72" s="1"/>
  <c r="G143" i="72" s="1"/>
  <c r="G144" i="72" s="1"/>
  <c r="G147" i="72" s="1"/>
  <c r="I192" i="72"/>
  <c r="I187" i="72"/>
  <c r="I193" i="72"/>
  <c r="G196" i="72"/>
  <c r="G148" i="72" l="1"/>
  <c r="G149" i="72" s="1"/>
  <c r="E17" i="64" l="1"/>
  <c r="E22" i="64" s="1"/>
  <c r="G22" i="64" s="1"/>
  <c r="E18" i="64" l="1"/>
  <c r="G18" i="64" s="1"/>
  <c r="E21" i="64"/>
  <c r="G21" i="64" s="1"/>
  <c r="E19" i="64"/>
  <c r="G19" i="64" s="1"/>
  <c r="E20" i="64"/>
  <c r="G20" i="64" s="1"/>
  <c r="E24" i="64"/>
  <c r="E41" i="64"/>
  <c r="E46" i="64" s="1"/>
  <c r="E34" i="64"/>
  <c r="E39" i="64" s="1"/>
  <c r="G39" i="64" s="1"/>
  <c r="E68" i="64"/>
  <c r="G68" i="64" s="1"/>
  <c r="H108" i="64" s="1"/>
  <c r="E69" i="64"/>
  <c r="G69" i="64" s="1"/>
  <c r="H107" i="64" s="1"/>
  <c r="E67" i="64"/>
  <c r="G67" i="64" s="1"/>
  <c r="H109" i="64" s="1"/>
  <c r="E66" i="64"/>
  <c r="G66" i="64" s="1"/>
  <c r="H110" i="64" s="1"/>
  <c r="E65" i="64"/>
  <c r="G65" i="64" s="1"/>
  <c r="H112" i="64" s="1"/>
  <c r="E64" i="64"/>
  <c r="G64" i="64" s="1"/>
  <c r="H114" i="64" s="1"/>
  <c r="E63" i="64"/>
  <c r="G63" i="64" s="1"/>
  <c r="E51" i="64"/>
  <c r="E62" i="64" s="1"/>
  <c r="G62" i="64" s="1"/>
  <c r="H115" i="64" l="1"/>
  <c r="E29" i="64"/>
  <c r="E38" i="64"/>
  <c r="G38" i="64" s="1"/>
  <c r="G23" i="64"/>
  <c r="E55" i="64"/>
  <c r="G55" i="64" s="1"/>
  <c r="E59" i="64"/>
  <c r="G59" i="64" s="1"/>
  <c r="E42" i="64"/>
  <c r="G42" i="64" s="1"/>
  <c r="E43" i="64"/>
  <c r="G43" i="64" s="1"/>
  <c r="E44" i="64"/>
  <c r="G44" i="64" s="1"/>
  <c r="E45" i="64"/>
  <c r="G45" i="64" s="1"/>
  <c r="E35" i="64"/>
  <c r="G35" i="64" s="1"/>
  <c r="E53" i="64"/>
  <c r="G53" i="64" s="1"/>
  <c r="E57" i="64"/>
  <c r="G57" i="64" s="1"/>
  <c r="E61" i="64"/>
  <c r="G61" i="64" s="1"/>
  <c r="E25" i="64"/>
  <c r="G25" i="64" s="1"/>
  <c r="E27" i="64"/>
  <c r="G27" i="64" s="1"/>
  <c r="E26" i="64"/>
  <c r="G26" i="64" s="1"/>
  <c r="E28" i="64"/>
  <c r="G28" i="64" s="1"/>
  <c r="E36" i="64"/>
  <c r="G36" i="64" s="1"/>
  <c r="E37" i="64"/>
  <c r="G37" i="64" s="1"/>
  <c r="E52" i="64"/>
  <c r="G52" i="64" s="1"/>
  <c r="E54" i="64"/>
  <c r="G54" i="64" s="1"/>
  <c r="E56" i="64"/>
  <c r="E58" i="64"/>
  <c r="G58" i="64" s="1"/>
  <c r="E60" i="64"/>
  <c r="G60" i="64" s="1"/>
  <c r="E30" i="64" l="1"/>
  <c r="G30" i="64" s="1"/>
  <c r="E31" i="64"/>
  <c r="G31" i="64" s="1"/>
  <c r="E32" i="64"/>
  <c r="G32" i="64" s="1"/>
  <c r="G56" i="64"/>
  <c r="E119" i="64"/>
  <c r="G119" i="64" s="1"/>
  <c r="I119" i="64" s="1"/>
  <c r="E47" i="64"/>
  <c r="G47" i="64" s="1"/>
  <c r="E49" i="64"/>
  <c r="G49" i="64" s="1"/>
  <c r="E48" i="64"/>
  <c r="G48" i="64" s="1"/>
  <c r="G40" i="64"/>
  <c r="H131" i="64"/>
  <c r="E131" i="64"/>
  <c r="G131" i="64" s="1"/>
  <c r="H130" i="64"/>
  <c r="E130" i="64"/>
  <c r="G130" i="64" s="1"/>
  <c r="H127" i="64"/>
  <c r="E127" i="64"/>
  <c r="G127" i="64" s="1"/>
  <c r="H126" i="64"/>
  <c r="E126" i="64"/>
  <c r="G126" i="64" s="1"/>
  <c r="H125" i="64"/>
  <c r="E125" i="64"/>
  <c r="G125" i="64" s="1"/>
  <c r="H124" i="64"/>
  <c r="E124" i="64"/>
  <c r="G124" i="64" s="1"/>
  <c r="H118" i="64"/>
  <c r="E117" i="64"/>
  <c r="G117" i="64" s="1"/>
  <c r="E116" i="64"/>
  <c r="G116" i="64" s="1"/>
  <c r="E115" i="64"/>
  <c r="G115" i="64" s="1"/>
  <c r="E114" i="64"/>
  <c r="G114" i="64" s="1"/>
  <c r="E113" i="64"/>
  <c r="G113" i="64" s="1"/>
  <c r="E112" i="64"/>
  <c r="G112" i="64" s="1"/>
  <c r="E111" i="64"/>
  <c r="G111" i="64" s="1"/>
  <c r="E108" i="64"/>
  <c r="G108" i="64" s="1"/>
  <c r="E106" i="64"/>
  <c r="G106" i="64" s="1"/>
  <c r="E86" i="64"/>
  <c r="E87" i="64" s="1"/>
  <c r="G87" i="64" s="1"/>
  <c r="H106" i="64"/>
  <c r="E107" i="64"/>
  <c r="G107" i="64" s="1"/>
  <c r="G33" i="64" l="1"/>
  <c r="G50" i="64"/>
  <c r="E71" i="64"/>
  <c r="G71" i="64" s="1"/>
  <c r="E73" i="64"/>
  <c r="G73" i="64" s="1"/>
  <c r="E72" i="64"/>
  <c r="G72" i="64" s="1"/>
  <c r="I108" i="64"/>
  <c r="I111" i="64"/>
  <c r="I112" i="64"/>
  <c r="I113" i="64"/>
  <c r="I114" i="64"/>
  <c r="I115" i="64"/>
  <c r="I116" i="64"/>
  <c r="I117" i="64"/>
  <c r="I107" i="64"/>
  <c r="G86" i="64"/>
  <c r="E110" i="64"/>
  <c r="G110" i="64" s="1"/>
  <c r="I110" i="64" s="1"/>
  <c r="I124" i="64"/>
  <c r="I125" i="64"/>
  <c r="I126" i="64"/>
  <c r="I127" i="64"/>
  <c r="I130" i="64"/>
  <c r="I131" i="64"/>
  <c r="G82" i="64"/>
  <c r="E109" i="64"/>
  <c r="G109" i="64" s="1"/>
  <c r="E123" i="64"/>
  <c r="G123" i="64" s="1"/>
  <c r="I106" i="64"/>
  <c r="F79" i="64" l="1"/>
  <c r="G74" i="64"/>
  <c r="G77" i="64" s="1"/>
  <c r="I109" i="64"/>
  <c r="H123" i="64"/>
  <c r="I123" i="64" s="1"/>
  <c r="G80" i="64"/>
  <c r="E120" i="64"/>
  <c r="G120" i="64" s="1"/>
  <c r="H120" i="64"/>
  <c r="H121" i="64"/>
  <c r="E121" i="64"/>
  <c r="G121" i="64" s="1"/>
  <c r="E122" i="64"/>
  <c r="G122" i="64" s="1"/>
  <c r="H128" i="64"/>
  <c r="E128" i="64"/>
  <c r="G128" i="64" s="1"/>
  <c r="E118" i="64"/>
  <c r="G118" i="64" s="1"/>
  <c r="I118" i="64" s="1"/>
  <c r="H132" i="64"/>
  <c r="E132" i="64"/>
  <c r="G132" i="64" s="1"/>
  <c r="E134" i="64"/>
  <c r="G134" i="64" s="1"/>
  <c r="H134" i="64"/>
  <c r="E135" i="64"/>
  <c r="G135" i="64" s="1"/>
  <c r="H135" i="64"/>
  <c r="H133" i="64"/>
  <c r="E133" i="64"/>
  <c r="G133" i="64" s="1"/>
  <c r="H129" i="64"/>
  <c r="E129" i="64"/>
  <c r="G129" i="64" s="1"/>
  <c r="I132" i="64" l="1"/>
  <c r="I128" i="64"/>
  <c r="I121" i="64"/>
  <c r="G81" i="64"/>
  <c r="G83" i="64" s="1"/>
  <c r="I129" i="64"/>
  <c r="I133" i="64"/>
  <c r="I135" i="64"/>
  <c r="I134" i="64"/>
  <c r="H122" i="64"/>
  <c r="I122" i="64" s="1"/>
  <c r="I120" i="64"/>
  <c r="G136" i="64"/>
  <c r="G79" i="64" l="1"/>
  <c r="G84" i="64" s="1"/>
  <c r="G85" i="64" l="1"/>
  <c r="G88" i="64" s="1"/>
  <c r="G89" i="64" l="1"/>
  <c r="G90" i="64" s="1"/>
</calcChain>
</file>

<file path=xl/sharedStrings.xml><?xml version="1.0" encoding="utf-8"?>
<sst xmlns="http://schemas.openxmlformats.org/spreadsheetml/2006/main" count="3350" uniqueCount="212">
  <si>
    <t>шифр</t>
  </si>
  <si>
    <t>Наименование работ</t>
  </si>
  <si>
    <t>ед.изм.</t>
  </si>
  <si>
    <t>Количество</t>
  </si>
  <si>
    <t>ст-ть в тек.урв.</t>
  </si>
  <si>
    <t>на ед.изм.</t>
  </si>
  <si>
    <t>общее</t>
  </si>
  <si>
    <t>чел/час</t>
  </si>
  <si>
    <t>Итого</t>
  </si>
  <si>
    <t>Форма №2</t>
  </si>
  <si>
    <t>общая              ст-ть</t>
  </si>
  <si>
    <t>м3</t>
  </si>
  <si>
    <t>тон</t>
  </si>
  <si>
    <t>Гвозди строительные</t>
  </si>
  <si>
    <t>м2</t>
  </si>
  <si>
    <t>101-1805</t>
  </si>
  <si>
    <t>204-9001</t>
  </si>
  <si>
    <t>факт</t>
  </si>
  <si>
    <t>Затраты труда машинистов</t>
  </si>
  <si>
    <t>маш/час</t>
  </si>
  <si>
    <t>100м3</t>
  </si>
  <si>
    <t>102-0025</t>
  </si>
  <si>
    <t>203-0511</t>
  </si>
  <si>
    <t>401-9021</t>
  </si>
  <si>
    <t>Щиты из досок толщиной 25 мм</t>
  </si>
  <si>
    <t>Пиломатериалы хвойных пород</t>
  </si>
  <si>
    <t>Пилы электрические цепные</t>
  </si>
  <si>
    <t>Вибраторы глубинные</t>
  </si>
  <si>
    <t>Щебень</t>
  </si>
  <si>
    <t>Песок</t>
  </si>
  <si>
    <t>ИЗ НИХ:</t>
  </si>
  <si>
    <t>Всего по акту</t>
  </si>
  <si>
    <t>ЗАКАЗЧИК: ООО "ФАРАХ"</t>
  </si>
  <si>
    <t>ЗАКАЗЧИК</t>
  </si>
  <si>
    <t>ПРИНЯЛ</t>
  </si>
  <si>
    <t>ПОДРЯДЧИК</t>
  </si>
  <si>
    <t>СДАЛ</t>
  </si>
  <si>
    <t>ФСЗН 25% от ФОТ</t>
  </si>
  <si>
    <t>Установки для сварки ручной дуговой</t>
  </si>
  <si>
    <t>Электроды диаметром 4 мм Э42</t>
  </si>
  <si>
    <t>020129</t>
  </si>
  <si>
    <t>040502</t>
  </si>
  <si>
    <t>Итого по пунктам</t>
  </si>
  <si>
    <t>Арматура А-3 16 мм</t>
  </si>
  <si>
    <t>Арматура А-3 12 мм</t>
  </si>
  <si>
    <t>6-26-4</t>
  </si>
  <si>
    <t xml:space="preserve">Затраты труда рабочих с/р 3,2 </t>
  </si>
  <si>
    <t>Краны башенные при работе на других видах строительства (кроме монтажа технологического оборудования) 8 т</t>
  </si>
  <si>
    <t>101-1513</t>
  </si>
  <si>
    <t>102-0307</t>
  </si>
  <si>
    <t>Бруски обрезные хвойных пород длиной 2-6.5 м, толщиной 40-60 мм, 2 сорта</t>
  </si>
  <si>
    <t xml:space="preserve">Строительные материалы </t>
  </si>
  <si>
    <t>Машины и механизмы</t>
  </si>
  <si>
    <t xml:space="preserve">Затраты труда рабочих </t>
  </si>
  <si>
    <t xml:space="preserve">Затраты труда машинистов </t>
  </si>
  <si>
    <t>Услуги приготовление бетона "Фаровон-1"</t>
  </si>
  <si>
    <t>Транспортировка готового бетона</t>
  </si>
  <si>
    <t>УТ В Е Р Ж Д А Ю</t>
  </si>
  <si>
    <t>_______________Сангинов М.</t>
  </si>
  <si>
    <t>ПОДРЯДЧИК: ООО "ФАРАХ"</t>
  </si>
  <si>
    <t>Затраты труда рабочих с/р 3,1</t>
  </si>
  <si>
    <t>Затраты труда подрядчиков 10%</t>
  </si>
  <si>
    <t>Зам. директора по строительство</t>
  </si>
  <si>
    <t>НДС 7%</t>
  </si>
  <si>
    <t>шт.</t>
  </si>
  <si>
    <t>Арматура А-1 8 мм</t>
  </si>
  <si>
    <t>Вибраторы поверхностные</t>
  </si>
  <si>
    <t>Объект: Строительство жилого 9-ти этажного дома в городе Худжанде 32 микрорайоне</t>
  </si>
  <si>
    <t>6-111-1</t>
  </si>
  <si>
    <t>101-0816</t>
  </si>
  <si>
    <t>Проволока светлая диаметром 1,1 мм</t>
  </si>
  <si>
    <t>Арматура А-3 14 мм</t>
  </si>
  <si>
    <t>Цемент марки 500</t>
  </si>
  <si>
    <t>6-26-6</t>
  </si>
  <si>
    <t>102-0080</t>
  </si>
  <si>
    <t>Арматура А-3 22 мм</t>
  </si>
  <si>
    <t>Бетон марки БМ-300 (Товарный)</t>
  </si>
  <si>
    <t>Арматура А-3 25 мм</t>
  </si>
  <si>
    <t>Арматура А-3 32 мм</t>
  </si>
  <si>
    <t>Арматура А-3 28 мм</t>
  </si>
  <si>
    <t>Арматура А-3 20 мм</t>
  </si>
  <si>
    <t>6-34-2</t>
  </si>
  <si>
    <t>Доски обрезные дубовые 30 мм</t>
  </si>
  <si>
    <t>Арматура А-3 18 мм</t>
  </si>
  <si>
    <t>6-110-1</t>
  </si>
  <si>
    <t>101-9868</t>
  </si>
  <si>
    <t>Палуба опалубки типа "Дока" из бакелизированной фанеры</t>
  </si>
  <si>
    <t>Арматура А-3 10 мм</t>
  </si>
  <si>
    <t>401-9022</t>
  </si>
  <si>
    <t>Закладные детали АП-2</t>
  </si>
  <si>
    <t>Закладные детали АП-3</t>
  </si>
  <si>
    <t>Закладные детали АП-4</t>
  </si>
  <si>
    <t>Закладные детали АП-5</t>
  </si>
  <si>
    <t>Арматура А-1 6 мм</t>
  </si>
  <si>
    <t>8-9-1</t>
  </si>
  <si>
    <t>Кладка армированных стен из кирпича наружных простых толщиной 380 мм</t>
  </si>
  <si>
    <t xml:space="preserve">Затраты труда рабочих с/р 3,0 </t>
  </si>
  <si>
    <t>402-9070</t>
  </si>
  <si>
    <t>Цементно-глиняный раствор М-50</t>
  </si>
  <si>
    <t>Цемент марки 400</t>
  </si>
  <si>
    <t>Глина</t>
  </si>
  <si>
    <t>Песок речной</t>
  </si>
  <si>
    <t>404-9010</t>
  </si>
  <si>
    <t>Кирпич керамический</t>
  </si>
  <si>
    <t>тыс/шт.</t>
  </si>
  <si>
    <t>100м2</t>
  </si>
  <si>
    <t>тыс./шт.</t>
  </si>
  <si>
    <t>Устройство железобетонных сердечников</t>
  </si>
  <si>
    <t>выполненных работ за февраль месяц 2021 года</t>
  </si>
  <si>
    <t>Фундамент. Железобетонные работы 2 Блок</t>
  </si>
  <si>
    <t>кг.</t>
  </si>
  <si>
    <t>Затраты труда рабочих строителей с/р 3,0</t>
  </si>
  <si>
    <t>6-1-1</t>
  </si>
  <si>
    <t>Затраты труда машиниста</t>
  </si>
  <si>
    <t>11-4-1</t>
  </si>
  <si>
    <t>Устройство гидроизоляции оклеечной рулонными материалами на мастике битуминоль первый слой</t>
  </si>
  <si>
    <t>Затраты труда рабочих строителей с/р 5,1</t>
  </si>
  <si>
    <t>Котлы битумные передвижные 400 л</t>
  </si>
  <si>
    <t>101-0073</t>
  </si>
  <si>
    <t>Битумы нефтяные строительные марки БН-90/10</t>
  </si>
  <si>
    <t>101-9120</t>
  </si>
  <si>
    <t>Материал рулонный</t>
  </si>
  <si>
    <t>6-1-16</t>
  </si>
  <si>
    <t>Устройство фундаментных плит железобетонных плоских</t>
  </si>
  <si>
    <t>100 м3</t>
  </si>
  <si>
    <t>Катанка горячая в мотках диаметром 6,3-6,5 мм</t>
  </si>
  <si>
    <t>Электроды диаметром 4 мм</t>
  </si>
  <si>
    <t>Пиломатериалы</t>
  </si>
  <si>
    <t>Устройство бетонной подготовки 2-й слой толщиной 50 мм</t>
  </si>
  <si>
    <t>Устройство бетонной подготовки 1-й слой 80 мм</t>
  </si>
  <si>
    <t>8-2-2</t>
  </si>
  <si>
    <t>050101</t>
  </si>
  <si>
    <t>Компрессоры передвижные с двигателем внутреннего сгорания давлением до 686 кПа (7 атм) 2,2 м3/мин</t>
  </si>
  <si>
    <t>Трамбовки пневматические</t>
  </si>
  <si>
    <t>408-9080</t>
  </si>
  <si>
    <t>Устройство основания под фундаменты щебеночного 80 мм</t>
  </si>
  <si>
    <t>выполненных работ за апрель месяц 2021 года</t>
  </si>
  <si>
    <t>Бетон марки БМ-200</t>
  </si>
  <si>
    <t>6-24-3</t>
  </si>
  <si>
    <t>Устройство стен подвалов и подпорных стен железобетонных высотой: до 3 м, толщиной до 300 мм</t>
  </si>
  <si>
    <t>1</t>
  </si>
  <si>
    <t>2</t>
  </si>
  <si>
    <t>11-4-5</t>
  </si>
  <si>
    <t>Устройство гидроизоляции обмазочной: в один слой толщиной 2 мм</t>
  </si>
  <si>
    <t xml:space="preserve">Затраты труда рабочих с/р 4,9 </t>
  </si>
  <si>
    <t>Термос 100 л</t>
  </si>
  <si>
    <t>101-1745</t>
  </si>
  <si>
    <t>Бензин растворитель</t>
  </si>
  <si>
    <t>2-й Блок</t>
  </si>
  <si>
    <t>А К Т №4-5</t>
  </si>
  <si>
    <t>выполненных работ за май месяц 2021 года</t>
  </si>
  <si>
    <t>Железобетонный работы 2-го этажа 2-го блока</t>
  </si>
  <si>
    <t>А К Т №7-1</t>
  </si>
  <si>
    <t>выполненных работ за июль месяц 2021 года</t>
  </si>
  <si>
    <t>Устройство железобетонных колонн в деревянной опалубке высотой: до 4 м, периметром до 2 м (2-й этаж)</t>
  </si>
  <si>
    <t>Устройство железобетонных диафрагм жесткости в деревянной опалубке высотой: до 4 м, периметром более 3 м Дж1-7 (2-й этаж)</t>
  </si>
  <si>
    <t>Устройство ригелей  2-го этажа (Ригель сечением 400х380 мм - 120,0 м/п)</t>
  </si>
  <si>
    <t>Устройство балок 2-го этажа (Балки сечениес 250х400 - 28,08 м/п)</t>
  </si>
  <si>
    <t>Устройство балок 2-го этажа (Балки сечениес 250х250 - 21,90 м/п)</t>
  </si>
  <si>
    <t>Устройство балок 2-го этажа (Балки сечениес 300х250 - 5,40 м/п)</t>
  </si>
  <si>
    <t>Устройство безбалочных перекрытий и покрытий в опалубке типа "Дока" толщиной до 200 мм: на высоте от опорной площадки до 6 м (2-й этаж)</t>
  </si>
  <si>
    <t>Устройство лестничных маршей в опалубке типа "Дока": прямоугольных с отметки +3,300 до отметки +6,600 (2-й этаж)</t>
  </si>
  <si>
    <t>А К Т №6-1</t>
  </si>
  <si>
    <t>выполненных работ за июнь месяц 2021 года</t>
  </si>
  <si>
    <t>Железобетонный работы 3-го этажа 2-го блока</t>
  </si>
  <si>
    <t>Устройство железобетонных колонн в деревянной опалубке высотой: до 4 м, периметром до 2 м (3-й этаж)</t>
  </si>
  <si>
    <t>Устройство железобетонных диафрагм жесткости в деревянной опалубке высотой: до 4 м, периметром более 3 м Дж1-7 (3-й этаж)</t>
  </si>
  <si>
    <t>А К Т №02-1</t>
  </si>
  <si>
    <t>Затраты труда рабочих строителей с/р 2,5</t>
  </si>
  <si>
    <t>Бетон марки БМ-250 (Товарный)</t>
  </si>
  <si>
    <t>Бетон марки БМ-100 (Товарный)</t>
  </si>
  <si>
    <t>Железобетонный работы 1-го этажа 2-го блока</t>
  </si>
  <si>
    <t>А К Т №5-1</t>
  </si>
  <si>
    <t>Устройство железобетонных диафрагм жесткости в деревянной опалубке высотой: до 4 м, периметром более 3 м Дж1-7 (1-й этаж)</t>
  </si>
  <si>
    <t>Устройство безбалочных перекрытий и покрытий в опалубке типа "Дока" толщиной до 200 мм: на высоте от опорной площадки до 6 м (1-й этаж)</t>
  </si>
  <si>
    <t>Устройство балок 1-го этажа (Балки сечениес 250х250 - 21,90 м/п)</t>
  </si>
  <si>
    <t>Устройство балок 1-го этажа (Балки сечениес 300х250 - 5,40 м/п)</t>
  </si>
  <si>
    <t>Устройство балок 1-го этажа (Балки сечениес 250х400 - 28,08 м/п)</t>
  </si>
  <si>
    <t>Устройство ригелей  1-го этажа (Ригель сечением 400х380 мм - 120,0 м/п)</t>
  </si>
  <si>
    <t>Устройство железобетонных колонн в деревянной опалубке высотой: до 4 м, периметром до 2 м (1-й этаж)</t>
  </si>
  <si>
    <t>Устройство лестничных маршей в опалубке типа "Дока": прямоугольных с отметки -0,900 до отметки +3,300 (1-й этаж)</t>
  </si>
  <si>
    <t>Железобетонный работы подвального этажа 2-го блока</t>
  </si>
  <si>
    <t>А К Т №3-1</t>
  </si>
  <si>
    <t>выполненных работ за март месяц 2021 года</t>
  </si>
  <si>
    <t>Устройство железобетонных диафрагм жесткости в деревянной опалубке высотой: до 4 м, периметром более 3 м (подвал)</t>
  </si>
  <si>
    <t>Устройство железобетонных диафрагм жесткости в деревянной опалубке высотой: до 4 м, периметром более 3 м Стен шахт лифта</t>
  </si>
  <si>
    <t>Устройство железобетонных колонн в деревянной опалубке высотой: до 4 м, периметром до 2 м подвал</t>
  </si>
  <si>
    <t>Устройство балок подвального этажа (Балки сечениес 250х400 - 28,08 м/п)</t>
  </si>
  <si>
    <t>Устройство балок подвального этажа (Балки сечениес 300х250 - 5,40 м/п)</t>
  </si>
  <si>
    <t>Устройство балок подвального этажа (Балки сечениес 250х250 - 21,90 м/п)</t>
  </si>
  <si>
    <t>Устройство безбалочных перекрытий и покрытий в опалубке типа "Дока" толщиной до 200 мм: на высоте от опорной площадки до 6 м (Подвал)</t>
  </si>
  <si>
    <t>Устройство лестничных маршей в опалубке типа "Дока": прямоугольных с отметки -0,900 до отметки -3,300 (Подвал)</t>
  </si>
  <si>
    <t>Железобетонный работы 3-го этажа 2-го блока(продолжение)</t>
  </si>
  <si>
    <t>А К Т №8-1</t>
  </si>
  <si>
    <t>выполненных работ за август месяц 2021 года</t>
  </si>
  <si>
    <t>Устройство ригелей  3-го этажа (Ригель сечением 400х380 мм - 120,0 м/п)</t>
  </si>
  <si>
    <t>Устройство балок 3-го этажа (Балки сечениес 250х400 - 28,08 м/п)</t>
  </si>
  <si>
    <t>Устройство балок 3-го этажа (Балки сечениес 250х250 - 21,90 м/п)</t>
  </si>
  <si>
    <t>Устройство балок 3-го этажа (Балки сечениес 300х250 - 5,40 м/п)</t>
  </si>
  <si>
    <t>Устройство безбалочных перекрытий и покрытий в опалубке типа "Дока" толщиной до 200 мм: на высоте от опорной площадки до 6 м (3-й этаж)</t>
  </si>
  <si>
    <t>Устройство лестничных маршей в опалубке типа "Дока": прямоугольных с отметки +6,600 до отметки +9,900 (3-й этаж)</t>
  </si>
  <si>
    <t>Железобетонный работы 4-го этажа 2-го блока</t>
  </si>
  <si>
    <t>А К Т №9-1</t>
  </si>
  <si>
    <t>выполненных работ за сентябрь месяц 2021 года</t>
  </si>
  <si>
    <t>Устройство железобетонных колонн в деревянной опалубке высотой: до 4 м, периметром до 2 м (4-й этаж)</t>
  </si>
  <si>
    <t>Устройство железобетонных диафрагм жесткости в деревянной опалубке высотой: до 4 м, периметром более 3 м Дж1-7 (4-й этаж)</t>
  </si>
  <si>
    <t>Устройство ригелей  4-го этажа (Ригель сечением 400х380 мм - 120,0 м/п)</t>
  </si>
  <si>
    <t>Устройство балок 4-го этажа (Балки сечениес 250х250 - 21,90 м/п)</t>
  </si>
  <si>
    <t>Устройство балок 4-го этажа (Балки сечениес 300х250 - 5,40 м/п)</t>
  </si>
  <si>
    <t>Устройство балок 4-го этажа (Балки сечениес 250х400 - 28,08 м/п)</t>
  </si>
  <si>
    <t>Устройство безбалочных перекрытий и покрытий в опалубке типа "Дока" толщиной до 200 мм: на высоте от опорной площадки до 6 м (4-й этаж)</t>
  </si>
  <si>
    <t>Устройство лестничных маршей в опалубке типа "Дока": прямоугольных с отметки +9,900 до отметки +13,200 (4-й этаж)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</si>
</sst>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#,##0.0000"/>
    <numFmt numFmtId="166" formatCode="#,##0.00;[Red]#,##0.00"/>
    <numFmt numFmtId="167" formatCode="#,##0.000"/>
    <numFmt numFmtId="168" formatCode="0.000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0"/>
      <color rgb="FF9C0006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3" fillId="3" borderId="0" applyNumberFormat="0" applyBorder="0" applyAlignment="0" applyProtection="0"/>
  </cellStyleXfs>
  <cellXfs count="157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/>
    </xf>
    <xf numFmtId="4" fontId="9" fillId="0" borderId="0" xfId="0" applyNumberFormat="1" applyFont="1" applyFill="1" applyAlignment="1">
      <alignment horizontal="right" vertical="center" wrapText="1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horizontal="right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Fill="1" applyAlignment="1">
      <alignment vertical="center" wrapText="1"/>
    </xf>
    <xf numFmtId="4" fontId="4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/>
    </xf>
    <xf numFmtId="4" fontId="7" fillId="0" borderId="0" xfId="0" applyNumberFormat="1" applyFont="1" applyFill="1" applyAlignment="1">
      <alignment vertical="center"/>
    </xf>
    <xf numFmtId="2" fontId="3" fillId="2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2" fillId="0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168" fontId="7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3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horizontal="center" vertical="center"/>
    </xf>
    <xf numFmtId="4" fontId="3" fillId="4" borderId="1" xfId="2" applyNumberFormat="1" applyFont="1" applyFill="1" applyBorder="1" applyAlignment="1">
      <alignment vertical="center"/>
    </xf>
    <xf numFmtId="165" fontId="3" fillId="4" borderId="1" xfId="2" applyNumberFormat="1" applyFont="1" applyFill="1" applyBorder="1" applyAlignment="1">
      <alignment horizontal="center" vertical="center"/>
    </xf>
    <xf numFmtId="4" fontId="4" fillId="4" borderId="1" xfId="2" applyNumberFormat="1" applyFont="1" applyFill="1" applyBorder="1" applyAlignment="1">
      <alignment vertical="center" wrapText="1"/>
    </xf>
    <xf numFmtId="49" fontId="4" fillId="4" borderId="1" xfId="2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4" borderId="1" xfId="2" applyNumberFormat="1" applyFont="1" applyFill="1" applyBorder="1" applyAlignment="1">
      <alignment vertical="center"/>
    </xf>
    <xf numFmtId="4" fontId="4" fillId="4" borderId="1" xfId="2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right" vertical="center" wrapText="1"/>
    </xf>
    <xf numFmtId="2" fontId="6" fillId="0" borderId="0" xfId="0" applyNumberFormat="1" applyFont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2" fontId="3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left" vertical="center"/>
    </xf>
    <xf numFmtId="4" fontId="9" fillId="0" borderId="0" xfId="0" applyNumberFormat="1" applyFont="1" applyFill="1" applyAlignment="1">
      <alignment horizontal="left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4" xfId="1"/>
    <cellStyle name="Плохой" xfId="2" builtinId="27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41414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5572125" y="5905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572125" y="5905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5572125" y="4381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5572125" y="4381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16</xdr:row>
      <xdr:rowOff>161192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5572125" y="4381500"/>
          <a:ext cx="66675" cy="161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16</xdr:row>
      <xdr:rowOff>0</xdr:rowOff>
    </xdr:from>
    <xdr:to>
      <xdr:col>2</xdr:col>
      <xdr:colOff>295275</xdr:colOff>
      <xdr:row>18</xdr:row>
      <xdr:rowOff>41413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5572125" y="4381500"/>
          <a:ext cx="66675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8"/>
  <sheetViews>
    <sheetView tabSelected="1" view="pageBreakPreview" zoomScale="115" zoomScaleNormal="130" zoomScaleSheetLayoutView="115" workbookViewId="0">
      <selection activeCell="B2" sqref="B2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35"/>
      <c r="C7" s="135"/>
      <c r="D7" s="134"/>
      <c r="E7" s="134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37"/>
      <c r="B9" s="48"/>
      <c r="C9" s="137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37"/>
      <c r="B11" s="145" t="s">
        <v>201</v>
      </c>
      <c r="C11" s="145"/>
      <c r="D11" s="145"/>
      <c r="E11" s="145"/>
      <c r="F11" s="145"/>
      <c r="G11" s="145"/>
    </row>
    <row r="12" spans="1:7" ht="20.25" x14ac:dyDescent="0.25">
      <c r="A12" s="146" t="s">
        <v>202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203</v>
      </c>
      <c r="B13" s="148"/>
      <c r="C13" s="148"/>
      <c r="D13" s="148"/>
      <c r="E13" s="148"/>
      <c r="F13" s="149"/>
      <c r="G13" s="148"/>
    </row>
    <row r="14" spans="1:7" ht="13.5" x14ac:dyDescent="0.25">
      <c r="A14" s="137"/>
      <c r="B14" s="137"/>
      <c r="C14" s="137"/>
      <c r="D14" s="137"/>
      <c r="E14" s="137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38" t="s">
        <v>5</v>
      </c>
      <c r="E16" s="138" t="s">
        <v>6</v>
      </c>
      <c r="F16" s="150"/>
      <c r="G16" s="150"/>
    </row>
    <row r="17" spans="1:7" s="51" customFormat="1" ht="27" x14ac:dyDescent="0.25">
      <c r="A17" s="15" t="s">
        <v>45</v>
      </c>
      <c r="B17" s="16" t="s">
        <v>204</v>
      </c>
      <c r="C17" s="17" t="s">
        <v>20</v>
      </c>
      <c r="D17" s="18"/>
      <c r="E17" s="30">
        <f>0.38*0.38*2.9*4/100</f>
        <v>1.6750399999999999E-2</v>
      </c>
      <c r="F17" s="30"/>
      <c r="G17" s="19"/>
    </row>
    <row r="18" spans="1:7" s="51" customFormat="1" x14ac:dyDescent="0.25">
      <c r="A18" s="20">
        <v>1</v>
      </c>
      <c r="B18" s="21" t="s">
        <v>46</v>
      </c>
      <c r="C18" s="22" t="s">
        <v>7</v>
      </c>
      <c r="D18" s="18">
        <v>1569.4</v>
      </c>
      <c r="E18" s="23">
        <f>ROUND(D18*E17,4)</f>
        <v>26.2881</v>
      </c>
      <c r="F18" s="31">
        <v>10.46</v>
      </c>
      <c r="G18" s="24">
        <f t="shared" ref="G18:G30" si="0">F18*E18</f>
        <v>274.97352600000005</v>
      </c>
    </row>
    <row r="19" spans="1:7" s="51" customFormat="1" x14ac:dyDescent="0.25">
      <c r="A19" s="20">
        <v>2</v>
      </c>
      <c r="B19" s="21" t="s">
        <v>18</v>
      </c>
      <c r="C19" s="22" t="s">
        <v>7</v>
      </c>
      <c r="D19" s="18">
        <v>93.3</v>
      </c>
      <c r="E19" s="23">
        <f>ROUND(D19*E17,4)</f>
        <v>1.5628</v>
      </c>
      <c r="F19" s="31">
        <v>15.44</v>
      </c>
      <c r="G19" s="24">
        <f t="shared" si="0"/>
        <v>24.129631999999997</v>
      </c>
    </row>
    <row r="20" spans="1:7" s="51" customFormat="1" ht="25.5" x14ac:dyDescent="0.25">
      <c r="A20" s="20" t="s">
        <v>40</v>
      </c>
      <c r="B20" s="19" t="s">
        <v>47</v>
      </c>
      <c r="C20" s="22" t="s">
        <v>19</v>
      </c>
      <c r="D20" s="18">
        <v>93.3</v>
      </c>
      <c r="E20" s="23">
        <f>ROUND(D20*E17,4)</f>
        <v>1.5628</v>
      </c>
      <c r="F20" s="31">
        <f>152.37-15.44</f>
        <v>136.93</v>
      </c>
      <c r="G20" s="24">
        <f t="shared" si="0"/>
        <v>213.994204</v>
      </c>
    </row>
    <row r="21" spans="1:7" s="51" customFormat="1" x14ac:dyDescent="0.25">
      <c r="A21" s="20" t="s">
        <v>41</v>
      </c>
      <c r="B21" s="21" t="s">
        <v>38</v>
      </c>
      <c r="C21" s="22" t="s">
        <v>19</v>
      </c>
      <c r="D21" s="18">
        <v>124.95</v>
      </c>
      <c r="E21" s="23">
        <f>ROUND(D21*E17,4)</f>
        <v>2.093</v>
      </c>
      <c r="F21" s="31">
        <v>8.4600000000000009</v>
      </c>
      <c r="G21" s="24">
        <f t="shared" si="0"/>
        <v>17.706780000000002</v>
      </c>
    </row>
    <row r="22" spans="1:7" s="51" customFormat="1" x14ac:dyDescent="0.25">
      <c r="A22" s="20">
        <v>111100</v>
      </c>
      <c r="B22" s="19" t="s">
        <v>27</v>
      </c>
      <c r="C22" s="22" t="s">
        <v>19</v>
      </c>
      <c r="D22" s="18">
        <v>61.88</v>
      </c>
      <c r="E22" s="23">
        <f>ROUND(D22*E17,4)</f>
        <v>1.0365</v>
      </c>
      <c r="F22" s="31">
        <v>2.83</v>
      </c>
      <c r="G22" s="24">
        <f t="shared" si="0"/>
        <v>2.9332950000000002</v>
      </c>
    </row>
    <row r="23" spans="1:7" s="51" customFormat="1" x14ac:dyDescent="0.25">
      <c r="A23" s="20">
        <v>331532</v>
      </c>
      <c r="B23" s="19" t="s">
        <v>26</v>
      </c>
      <c r="C23" s="22" t="s">
        <v>19</v>
      </c>
      <c r="D23" s="18">
        <v>1.9</v>
      </c>
      <c r="E23" s="23">
        <f>ROUND(D23*E17,4)</f>
        <v>3.1800000000000002E-2</v>
      </c>
      <c r="F23" s="31">
        <v>1.63</v>
      </c>
      <c r="G23" s="24">
        <f t="shared" si="0"/>
        <v>5.1833999999999998E-2</v>
      </c>
    </row>
    <row r="24" spans="1:7" s="51" customFormat="1" x14ac:dyDescent="0.25">
      <c r="A24" s="20" t="s">
        <v>48</v>
      </c>
      <c r="B24" s="19" t="s">
        <v>39</v>
      </c>
      <c r="C24" s="22" t="s">
        <v>12</v>
      </c>
      <c r="D24" s="18">
        <v>0.15</v>
      </c>
      <c r="E24" s="23">
        <f>ROUND(D24*E17,4)</f>
        <v>2.5000000000000001E-3</v>
      </c>
      <c r="F24" s="31">
        <v>9500</v>
      </c>
      <c r="G24" s="24">
        <f t="shared" si="0"/>
        <v>23.75</v>
      </c>
    </row>
    <row r="25" spans="1:7" s="51" customFormat="1" x14ac:dyDescent="0.25">
      <c r="A25" s="20" t="s">
        <v>74</v>
      </c>
      <c r="B25" s="19" t="s">
        <v>25</v>
      </c>
      <c r="C25" s="22" t="s">
        <v>11</v>
      </c>
      <c r="D25" s="18">
        <v>1.7</v>
      </c>
      <c r="E25" s="23">
        <f>ROUND(D25*E17,4)</f>
        <v>2.8500000000000001E-2</v>
      </c>
      <c r="F25" s="31">
        <v>2500</v>
      </c>
      <c r="G25" s="24">
        <f t="shared" si="0"/>
        <v>71.25</v>
      </c>
    </row>
    <row r="26" spans="1:7" s="51" customFormat="1" x14ac:dyDescent="0.25">
      <c r="A26" s="20" t="s">
        <v>49</v>
      </c>
      <c r="B26" s="19" t="s">
        <v>50</v>
      </c>
      <c r="C26" s="22" t="s">
        <v>11</v>
      </c>
      <c r="D26" s="18">
        <v>0.25</v>
      </c>
      <c r="E26" s="23">
        <f>ROUND(D26*E17,4)</f>
        <v>4.1999999999999997E-3</v>
      </c>
      <c r="F26" s="31">
        <v>2000</v>
      </c>
      <c r="G26" s="24">
        <f t="shared" si="0"/>
        <v>8.4</v>
      </c>
    </row>
    <row r="27" spans="1:7" s="51" customFormat="1" x14ac:dyDescent="0.25">
      <c r="A27" s="20" t="s">
        <v>22</v>
      </c>
      <c r="B27" s="19" t="s">
        <v>24</v>
      </c>
      <c r="C27" s="22" t="s">
        <v>14</v>
      </c>
      <c r="D27" s="18">
        <v>135</v>
      </c>
      <c r="E27" s="23">
        <f>ROUND(D27*E17,4)</f>
        <v>2.2612999999999999</v>
      </c>
      <c r="F27" s="24"/>
      <c r="G27" s="24">
        <f t="shared" si="0"/>
        <v>0</v>
      </c>
    </row>
    <row r="28" spans="1:7" s="51" customFormat="1" x14ac:dyDescent="0.25">
      <c r="A28" s="20" t="s">
        <v>16</v>
      </c>
      <c r="B28" s="19" t="s">
        <v>75</v>
      </c>
      <c r="C28" s="22" t="s">
        <v>12</v>
      </c>
      <c r="D28" s="18" t="s">
        <v>17</v>
      </c>
      <c r="E28" s="23">
        <f>(210+53+106+53)/1000</f>
        <v>0.42199999999999999</v>
      </c>
      <c r="F28" s="31">
        <v>6500</v>
      </c>
      <c r="G28" s="24">
        <f t="shared" si="0"/>
        <v>2743</v>
      </c>
    </row>
    <row r="29" spans="1:7" s="51" customFormat="1" x14ac:dyDescent="0.25">
      <c r="A29" s="20" t="s">
        <v>16</v>
      </c>
      <c r="B29" s="19" t="s">
        <v>80</v>
      </c>
      <c r="C29" s="22" t="s">
        <v>12</v>
      </c>
      <c r="D29" s="18" t="s">
        <v>17</v>
      </c>
      <c r="E29" s="23">
        <f>(170+83+170+85)/1000</f>
        <v>0.50800000000000001</v>
      </c>
      <c r="F29" s="31">
        <v>6500</v>
      </c>
      <c r="G29" s="24">
        <f t="shared" si="0"/>
        <v>3302</v>
      </c>
    </row>
    <row r="30" spans="1:7" s="51" customFormat="1" x14ac:dyDescent="0.25">
      <c r="A30" s="20" t="s">
        <v>16</v>
      </c>
      <c r="B30" s="19" t="s">
        <v>65</v>
      </c>
      <c r="C30" s="22" t="s">
        <v>12</v>
      </c>
      <c r="D30" s="18" t="s">
        <v>17</v>
      </c>
      <c r="E30" s="23">
        <f>(257+38+75+38)/1000</f>
        <v>0.40799999999999997</v>
      </c>
      <c r="F30" s="31">
        <v>6500</v>
      </c>
      <c r="G30" s="24">
        <f t="shared" si="0"/>
        <v>2652</v>
      </c>
    </row>
    <row r="31" spans="1:7" s="51" customFormat="1" x14ac:dyDescent="0.25">
      <c r="A31" s="20" t="s">
        <v>23</v>
      </c>
      <c r="B31" s="19" t="s">
        <v>76</v>
      </c>
      <c r="C31" s="22" t="s">
        <v>11</v>
      </c>
      <c r="D31" s="18">
        <v>100</v>
      </c>
      <c r="E31" s="23">
        <f>ROUND(D31*E17,4)</f>
        <v>1.675</v>
      </c>
      <c r="F31" s="24"/>
      <c r="G31" s="24"/>
    </row>
    <row r="32" spans="1:7" s="51" customFormat="1" x14ac:dyDescent="0.25">
      <c r="A32" s="20"/>
      <c r="B32" s="32" t="s">
        <v>72</v>
      </c>
      <c r="C32" s="22" t="s">
        <v>12</v>
      </c>
      <c r="D32" s="18">
        <v>0.38200000000000001</v>
      </c>
      <c r="E32" s="23">
        <f>ROUND(D32*E31,4)</f>
        <v>0.63990000000000002</v>
      </c>
      <c r="F32" s="31">
        <v>630</v>
      </c>
      <c r="G32" s="24">
        <f t="shared" ref="G32:G34" si="1">F32*E32</f>
        <v>403.137</v>
      </c>
    </row>
    <row r="33" spans="1:8" s="51" customFormat="1" x14ac:dyDescent="0.25">
      <c r="A33" s="20"/>
      <c r="B33" s="32" t="s">
        <v>29</v>
      </c>
      <c r="C33" s="22" t="s">
        <v>12</v>
      </c>
      <c r="D33" s="18">
        <f>47/100*1.52</f>
        <v>0.71439999999999992</v>
      </c>
      <c r="E33" s="23">
        <f>ROUND(D33*E31,4)</f>
        <v>1.1966000000000001</v>
      </c>
      <c r="F33" s="31">
        <f>2449.06/159.17</f>
        <v>15.386442168750394</v>
      </c>
      <c r="G33" s="24">
        <f t="shared" si="1"/>
        <v>18.411416699126722</v>
      </c>
    </row>
    <row r="34" spans="1:8" s="51" customFormat="1" x14ac:dyDescent="0.25">
      <c r="A34" s="20"/>
      <c r="B34" s="32" t="s">
        <v>28</v>
      </c>
      <c r="C34" s="22" t="s">
        <v>12</v>
      </c>
      <c r="D34" s="18">
        <f>80/100*1.6</f>
        <v>1.2800000000000002</v>
      </c>
      <c r="E34" s="23">
        <f>ROUND(D34*E31,4)</f>
        <v>2.1440000000000001</v>
      </c>
      <c r="F34" s="31">
        <f>4991.72/392.53</f>
        <v>12.7167859781418</v>
      </c>
      <c r="G34" s="24">
        <f t="shared" si="1"/>
        <v>27.26478913713602</v>
      </c>
    </row>
    <row r="35" spans="1:8" s="51" customFormat="1" ht="13.5" x14ac:dyDescent="0.25">
      <c r="A35" s="15"/>
      <c r="B35" s="25" t="s">
        <v>8</v>
      </c>
      <c r="C35" s="17"/>
      <c r="D35" s="26"/>
      <c r="E35" s="27"/>
      <c r="F35" s="28"/>
      <c r="G35" s="29">
        <f>SUM(G18:G34)</f>
        <v>9783.0024768362637</v>
      </c>
    </row>
    <row r="36" spans="1:8" s="51" customFormat="1" ht="27" x14ac:dyDescent="0.25">
      <c r="A36" s="15" t="s">
        <v>73</v>
      </c>
      <c r="B36" s="16" t="s">
        <v>205</v>
      </c>
      <c r="C36" s="17" t="s">
        <v>20</v>
      </c>
      <c r="D36" s="18"/>
      <c r="E36" s="17">
        <f>33.51/100</f>
        <v>0.33509999999999995</v>
      </c>
      <c r="F36" s="24"/>
      <c r="G36" s="24"/>
    </row>
    <row r="37" spans="1:8" s="51" customFormat="1" x14ac:dyDescent="0.25">
      <c r="A37" s="20">
        <v>1</v>
      </c>
      <c r="B37" s="21" t="s">
        <v>46</v>
      </c>
      <c r="C37" s="22" t="s">
        <v>7</v>
      </c>
      <c r="D37" s="18">
        <v>763.46</v>
      </c>
      <c r="E37" s="23">
        <f>ROUND(D37*E36,4)</f>
        <v>255.83539999999999</v>
      </c>
      <c r="F37" s="31">
        <v>10.46</v>
      </c>
      <c r="G37" s="24">
        <f t="shared" ref="G37:G49" si="2">F37*E37</f>
        <v>2676.0382840000002</v>
      </c>
    </row>
    <row r="38" spans="1:8" s="51" customFormat="1" x14ac:dyDescent="0.25">
      <c r="A38" s="20">
        <v>2</v>
      </c>
      <c r="B38" s="21" t="s">
        <v>18</v>
      </c>
      <c r="C38" s="22" t="s">
        <v>7</v>
      </c>
      <c r="D38" s="18">
        <v>70.45</v>
      </c>
      <c r="E38" s="23">
        <f>ROUND(D38*E36,4)</f>
        <v>23.607800000000001</v>
      </c>
      <c r="F38" s="31">
        <v>15.44</v>
      </c>
      <c r="G38" s="24">
        <f t="shared" si="2"/>
        <v>364.50443200000001</v>
      </c>
    </row>
    <row r="39" spans="1:8" s="51" customFormat="1" ht="25.5" x14ac:dyDescent="0.25">
      <c r="A39" s="20" t="s">
        <v>40</v>
      </c>
      <c r="B39" s="19" t="s">
        <v>47</v>
      </c>
      <c r="C39" s="22" t="s">
        <v>19</v>
      </c>
      <c r="D39" s="18">
        <v>70.45</v>
      </c>
      <c r="E39" s="23">
        <f>ROUND(D39*E36,4)</f>
        <v>23.607800000000001</v>
      </c>
      <c r="F39" s="31">
        <f>152.37-15.44</f>
        <v>136.93</v>
      </c>
      <c r="G39" s="24">
        <f t="shared" si="2"/>
        <v>3232.6160540000001</v>
      </c>
    </row>
    <row r="40" spans="1:8" s="51" customFormat="1" x14ac:dyDescent="0.25">
      <c r="A40" s="20" t="s">
        <v>41</v>
      </c>
      <c r="B40" s="21" t="s">
        <v>38</v>
      </c>
      <c r="C40" s="22" t="s">
        <v>19</v>
      </c>
      <c r="D40" s="18">
        <v>124.95</v>
      </c>
      <c r="E40" s="23">
        <f>ROUND(D40*E36,4)</f>
        <v>41.870699999999999</v>
      </c>
      <c r="F40" s="31">
        <v>8.4600000000000009</v>
      </c>
      <c r="G40" s="24">
        <f t="shared" si="2"/>
        <v>354.22612200000003</v>
      </c>
    </row>
    <row r="41" spans="1:8" s="51" customFormat="1" x14ac:dyDescent="0.25">
      <c r="A41" s="20">
        <v>111100</v>
      </c>
      <c r="B41" s="19" t="s">
        <v>27</v>
      </c>
      <c r="C41" s="22" t="s">
        <v>19</v>
      </c>
      <c r="D41" s="18">
        <v>30.11</v>
      </c>
      <c r="E41" s="23">
        <f>ROUND(D41*E36,4)</f>
        <v>10.0899</v>
      </c>
      <c r="F41" s="31">
        <v>2.83</v>
      </c>
      <c r="G41" s="24">
        <f t="shared" si="2"/>
        <v>28.554417000000001</v>
      </c>
    </row>
    <row r="42" spans="1:8" s="51" customFormat="1" x14ac:dyDescent="0.25">
      <c r="A42" s="20">
        <v>331532</v>
      </c>
      <c r="B42" s="19" t="s">
        <v>26</v>
      </c>
      <c r="C42" s="22" t="s">
        <v>19</v>
      </c>
      <c r="D42" s="18">
        <v>0.7</v>
      </c>
      <c r="E42" s="23">
        <f>ROUND(D42*E36,4)</f>
        <v>0.2346</v>
      </c>
      <c r="F42" s="31">
        <v>1.63</v>
      </c>
      <c r="G42" s="24">
        <f t="shared" si="2"/>
        <v>0.38239799999999996</v>
      </c>
    </row>
    <row r="43" spans="1:8" s="51" customFormat="1" x14ac:dyDescent="0.25">
      <c r="A43" s="20" t="s">
        <v>48</v>
      </c>
      <c r="B43" s="19" t="s">
        <v>39</v>
      </c>
      <c r="C43" s="22" t="s">
        <v>12</v>
      </c>
      <c r="D43" s="18">
        <v>0.15</v>
      </c>
      <c r="E43" s="23">
        <f>ROUND(D43*E36,4)</f>
        <v>5.0299999999999997E-2</v>
      </c>
      <c r="F43" s="31">
        <v>9500</v>
      </c>
      <c r="G43" s="24">
        <f t="shared" si="2"/>
        <v>477.84999999999997</v>
      </c>
    </row>
    <row r="44" spans="1:8" s="51" customFormat="1" x14ac:dyDescent="0.25">
      <c r="A44" s="20" t="s">
        <v>15</v>
      </c>
      <c r="B44" s="21" t="s">
        <v>13</v>
      </c>
      <c r="C44" s="22" t="s">
        <v>12</v>
      </c>
      <c r="D44" s="18">
        <v>1.7000000000000001E-2</v>
      </c>
      <c r="E44" s="23">
        <f>ROUND(D44*E36,4)</f>
        <v>5.7000000000000002E-3</v>
      </c>
      <c r="F44" s="31">
        <v>8500</v>
      </c>
      <c r="G44" s="24">
        <f t="shared" si="2"/>
        <v>48.45</v>
      </c>
    </row>
    <row r="45" spans="1:8" s="51" customFormat="1" x14ac:dyDescent="0.25">
      <c r="A45" s="20" t="s">
        <v>74</v>
      </c>
      <c r="B45" s="19" t="s">
        <v>25</v>
      </c>
      <c r="C45" s="22" t="s">
        <v>11</v>
      </c>
      <c r="D45" s="18">
        <v>0.72</v>
      </c>
      <c r="E45" s="23">
        <f>ROUND(D45*E36,4)</f>
        <v>0.24129999999999999</v>
      </c>
      <c r="F45" s="31">
        <v>2500</v>
      </c>
      <c r="G45" s="24">
        <f t="shared" si="2"/>
        <v>603.25</v>
      </c>
    </row>
    <row r="46" spans="1:8" s="51" customFormat="1" x14ac:dyDescent="0.25">
      <c r="A46" s="20" t="s">
        <v>22</v>
      </c>
      <c r="B46" s="19" t="s">
        <v>24</v>
      </c>
      <c r="C46" s="22" t="s">
        <v>14</v>
      </c>
      <c r="D46" s="18">
        <v>55</v>
      </c>
      <c r="E46" s="23">
        <f>ROUND(D46*E36,4)</f>
        <v>18.430499999999999</v>
      </c>
      <c r="F46" s="24"/>
      <c r="G46" s="24">
        <f t="shared" si="2"/>
        <v>0</v>
      </c>
    </row>
    <row r="47" spans="1:8" s="51" customFormat="1" x14ac:dyDescent="0.25">
      <c r="A47" s="20" t="s">
        <v>16</v>
      </c>
      <c r="B47" s="19" t="s">
        <v>43</v>
      </c>
      <c r="C47" s="22" t="s">
        <v>12</v>
      </c>
      <c r="D47" s="18" t="s">
        <v>17</v>
      </c>
      <c r="E47" s="23">
        <f>130/1000</f>
        <v>0.13</v>
      </c>
      <c r="F47" s="31">
        <v>6500</v>
      </c>
      <c r="G47" s="24">
        <f t="shared" si="2"/>
        <v>845</v>
      </c>
      <c r="H47" s="75"/>
    </row>
    <row r="48" spans="1:8" s="51" customFormat="1" x14ac:dyDescent="0.25">
      <c r="A48" s="20" t="s">
        <v>16</v>
      </c>
      <c r="B48" s="19" t="s">
        <v>71</v>
      </c>
      <c r="C48" s="22" t="s">
        <v>12</v>
      </c>
      <c r="D48" s="18" t="s">
        <v>17</v>
      </c>
      <c r="E48" s="23">
        <f>(155+232+136+87+258+155+232)/1000</f>
        <v>1.2549999999999999</v>
      </c>
      <c r="F48" s="31">
        <v>6500</v>
      </c>
      <c r="G48" s="24">
        <f t="shared" si="2"/>
        <v>8157.4999999999991</v>
      </c>
      <c r="H48" s="75"/>
    </row>
    <row r="49" spans="1:8" s="51" customFormat="1" x14ac:dyDescent="0.25">
      <c r="A49" s="20" t="s">
        <v>16</v>
      </c>
      <c r="B49" s="19" t="s">
        <v>87</v>
      </c>
      <c r="C49" s="22" t="s">
        <v>12</v>
      </c>
      <c r="D49" s="18" t="s">
        <v>17</v>
      </c>
      <c r="E49" s="23">
        <f>(92+145+48+42+159+74+140)/1000</f>
        <v>0.7</v>
      </c>
      <c r="F49" s="31">
        <v>6500</v>
      </c>
      <c r="G49" s="24">
        <f t="shared" si="2"/>
        <v>4550</v>
      </c>
      <c r="H49" s="75"/>
    </row>
    <row r="50" spans="1:8" s="51" customFormat="1" x14ac:dyDescent="0.25">
      <c r="A50" s="20" t="s">
        <v>23</v>
      </c>
      <c r="B50" s="19" t="s">
        <v>76</v>
      </c>
      <c r="C50" s="22" t="s">
        <v>11</v>
      </c>
      <c r="D50" s="18">
        <v>100</v>
      </c>
      <c r="E50" s="23">
        <f>ROUND(D50*E36,4)</f>
        <v>33.51</v>
      </c>
      <c r="F50" s="24"/>
      <c r="G50" s="24"/>
    </row>
    <row r="51" spans="1:8" s="51" customFormat="1" x14ac:dyDescent="0.25">
      <c r="A51" s="20"/>
      <c r="B51" s="32" t="s">
        <v>72</v>
      </c>
      <c r="C51" s="22" t="s">
        <v>12</v>
      </c>
      <c r="D51" s="18">
        <v>0.38200000000000001</v>
      </c>
      <c r="E51" s="23">
        <f>ROUND(D51*E50,4)</f>
        <v>12.800800000000001</v>
      </c>
      <c r="F51" s="31">
        <v>630</v>
      </c>
      <c r="G51" s="24">
        <f t="shared" ref="G51:G53" si="3">F51*E51</f>
        <v>8064.5040000000008</v>
      </c>
    </row>
    <row r="52" spans="1:8" s="51" customFormat="1" x14ac:dyDescent="0.25">
      <c r="A52" s="20"/>
      <c r="B52" s="32" t="s">
        <v>29</v>
      </c>
      <c r="C52" s="22" t="s">
        <v>12</v>
      </c>
      <c r="D52" s="18">
        <f>47/100*1.52</f>
        <v>0.71439999999999992</v>
      </c>
      <c r="E52" s="23">
        <f>ROUND(D52*E50,4)</f>
        <v>23.939499999999999</v>
      </c>
      <c r="F52" s="31">
        <f>2449.06/159.17</f>
        <v>15.386442168750394</v>
      </c>
      <c r="G52" s="24">
        <f t="shared" si="3"/>
        <v>368.34373229880003</v>
      </c>
    </row>
    <row r="53" spans="1:8" s="51" customFormat="1" x14ac:dyDescent="0.25">
      <c r="A53" s="20"/>
      <c r="B53" s="32" t="s">
        <v>28</v>
      </c>
      <c r="C53" s="22" t="s">
        <v>12</v>
      </c>
      <c r="D53" s="18">
        <f>80/100*1.6</f>
        <v>1.2800000000000002</v>
      </c>
      <c r="E53" s="23">
        <f>ROUND(D53*E50,4)</f>
        <v>42.892800000000001</v>
      </c>
      <c r="F53" s="31">
        <f>4991.72/392.53</f>
        <v>12.7167859781418</v>
      </c>
      <c r="G53" s="24">
        <f t="shared" si="3"/>
        <v>545.45855760324059</v>
      </c>
    </row>
    <row r="54" spans="1:8" ht="13.5" x14ac:dyDescent="0.25">
      <c r="A54" s="15"/>
      <c r="B54" s="25" t="s">
        <v>8</v>
      </c>
      <c r="C54" s="17"/>
      <c r="D54" s="26"/>
      <c r="E54" s="27"/>
      <c r="F54" s="28"/>
      <c r="G54" s="29">
        <f>SUM(G37:G53)</f>
        <v>30316.677996902039</v>
      </c>
    </row>
    <row r="55" spans="1:8" ht="13.5" x14ac:dyDescent="0.25">
      <c r="A55" s="15" t="s">
        <v>81</v>
      </c>
      <c r="B55" s="16" t="s">
        <v>206</v>
      </c>
      <c r="C55" s="17" t="s">
        <v>20</v>
      </c>
      <c r="D55" s="18"/>
      <c r="E55" s="30">
        <f>0.4*0.38*120/100</f>
        <v>0.18240000000000001</v>
      </c>
      <c r="F55" s="31"/>
      <c r="G55" s="31"/>
    </row>
    <row r="56" spans="1:8" x14ac:dyDescent="0.25">
      <c r="A56" s="20">
        <v>1</v>
      </c>
      <c r="B56" s="21" t="s">
        <v>60</v>
      </c>
      <c r="C56" s="22" t="s">
        <v>7</v>
      </c>
      <c r="D56" s="18">
        <v>1749.3</v>
      </c>
      <c r="E56" s="23">
        <f>ROUND(D56*E55,4)</f>
        <v>319.07229999999998</v>
      </c>
      <c r="F56" s="31">
        <v>10.31</v>
      </c>
      <c r="G56" s="31">
        <f t="shared" ref="G56:G73" si="4">F56*E56</f>
        <v>3289.635413</v>
      </c>
    </row>
    <row r="57" spans="1:8" x14ac:dyDescent="0.25">
      <c r="A57" s="20">
        <v>2</v>
      </c>
      <c r="B57" s="21" t="s">
        <v>18</v>
      </c>
      <c r="C57" s="22" t="s">
        <v>7</v>
      </c>
      <c r="D57" s="18">
        <v>91.51</v>
      </c>
      <c r="E57" s="23">
        <f>ROUND(D57*E55,4)</f>
        <v>16.691400000000002</v>
      </c>
      <c r="F57" s="31">
        <v>15.44</v>
      </c>
      <c r="G57" s="31">
        <f t="shared" si="4"/>
        <v>257.715216</v>
      </c>
    </row>
    <row r="58" spans="1:8" ht="25.5" x14ac:dyDescent="0.25">
      <c r="A58" s="20" t="s">
        <v>40</v>
      </c>
      <c r="B58" s="19" t="s">
        <v>47</v>
      </c>
      <c r="C58" s="22" t="s">
        <v>19</v>
      </c>
      <c r="D58" s="18">
        <v>91.51</v>
      </c>
      <c r="E58" s="23">
        <f>ROUND(D58*E55,4)</f>
        <v>16.691400000000002</v>
      </c>
      <c r="F58" s="31">
        <f>152.37-15.44</f>
        <v>136.93</v>
      </c>
      <c r="G58" s="31">
        <f t="shared" si="4"/>
        <v>2285.5534020000005</v>
      </c>
    </row>
    <row r="59" spans="1:8" x14ac:dyDescent="0.25">
      <c r="A59" s="20" t="s">
        <v>41</v>
      </c>
      <c r="B59" s="21" t="s">
        <v>38</v>
      </c>
      <c r="C59" s="22" t="s">
        <v>19</v>
      </c>
      <c r="D59" s="18">
        <v>283.22000000000003</v>
      </c>
      <c r="E59" s="23">
        <f>ROUND(D59*E55,4)</f>
        <v>51.659300000000002</v>
      </c>
      <c r="F59" s="31">
        <v>8.4600000000000009</v>
      </c>
      <c r="G59" s="31">
        <f t="shared" si="4"/>
        <v>437.03767800000008</v>
      </c>
    </row>
    <row r="60" spans="1:8" x14ac:dyDescent="0.25">
      <c r="A60" s="20">
        <v>111100</v>
      </c>
      <c r="B60" s="19" t="s">
        <v>27</v>
      </c>
      <c r="C60" s="22" t="s">
        <v>19</v>
      </c>
      <c r="D60" s="18">
        <v>85.68</v>
      </c>
      <c r="E60" s="23">
        <f>ROUND(D60*E55,4)</f>
        <v>15.628</v>
      </c>
      <c r="F60" s="31">
        <v>2.83</v>
      </c>
      <c r="G60" s="31">
        <f t="shared" si="4"/>
        <v>44.227240000000002</v>
      </c>
    </row>
    <row r="61" spans="1:8" x14ac:dyDescent="0.25">
      <c r="A61" s="20">
        <v>331532</v>
      </c>
      <c r="B61" s="19" t="s">
        <v>26</v>
      </c>
      <c r="C61" s="22" t="s">
        <v>19</v>
      </c>
      <c r="D61" s="18">
        <v>6.28</v>
      </c>
      <c r="E61" s="23">
        <f>ROUND(D61*E55,4)</f>
        <v>1.1455</v>
      </c>
      <c r="F61" s="31">
        <v>1.63</v>
      </c>
      <c r="G61" s="31">
        <f t="shared" si="4"/>
        <v>1.8671649999999997</v>
      </c>
    </row>
    <row r="62" spans="1:8" x14ac:dyDescent="0.25">
      <c r="A62" s="20" t="s">
        <v>48</v>
      </c>
      <c r="B62" s="19" t="s">
        <v>39</v>
      </c>
      <c r="C62" s="22" t="s">
        <v>12</v>
      </c>
      <c r="D62" s="18">
        <v>0.34</v>
      </c>
      <c r="E62" s="23">
        <f>ROUND(D62*E55,4)</f>
        <v>6.2E-2</v>
      </c>
      <c r="F62" s="31">
        <v>9500</v>
      </c>
      <c r="G62" s="31">
        <f t="shared" si="4"/>
        <v>589</v>
      </c>
    </row>
    <row r="63" spans="1:8" x14ac:dyDescent="0.25">
      <c r="A63" s="20" t="s">
        <v>15</v>
      </c>
      <c r="B63" s="21" t="s">
        <v>13</v>
      </c>
      <c r="C63" s="22" t="s">
        <v>12</v>
      </c>
      <c r="D63" s="18">
        <v>6.7000000000000004E-2</v>
      </c>
      <c r="E63" s="23">
        <f>ROUND(D63*E55,4)</f>
        <v>1.2200000000000001E-2</v>
      </c>
      <c r="F63" s="31">
        <v>8500</v>
      </c>
      <c r="G63" s="31">
        <f t="shared" si="4"/>
        <v>103.7</v>
      </c>
    </row>
    <row r="64" spans="1:8" x14ac:dyDescent="0.25">
      <c r="A64" s="20" t="s">
        <v>21</v>
      </c>
      <c r="B64" s="19" t="s">
        <v>82</v>
      </c>
      <c r="C64" s="22" t="s">
        <v>11</v>
      </c>
      <c r="D64" s="18">
        <v>0.17799999999999999</v>
      </c>
      <c r="E64" s="23">
        <f>ROUND(D64*E55,4)</f>
        <v>3.2500000000000001E-2</v>
      </c>
      <c r="F64" s="31">
        <v>2563.75</v>
      </c>
      <c r="G64" s="31">
        <f t="shared" si="4"/>
        <v>83.321875000000006</v>
      </c>
    </row>
    <row r="65" spans="1:7" x14ac:dyDescent="0.25">
      <c r="A65" s="20" t="s">
        <v>22</v>
      </c>
      <c r="B65" s="19" t="s">
        <v>24</v>
      </c>
      <c r="C65" s="22" t="s">
        <v>14</v>
      </c>
      <c r="D65" s="18">
        <v>155</v>
      </c>
      <c r="E65" s="23">
        <f>ROUND(D65*E55,4)</f>
        <v>28.271999999999998</v>
      </c>
      <c r="F65" s="31"/>
      <c r="G65" s="31">
        <f t="shared" si="4"/>
        <v>0</v>
      </c>
    </row>
    <row r="66" spans="1:7" x14ac:dyDescent="0.25">
      <c r="A66" s="20" t="s">
        <v>16</v>
      </c>
      <c r="B66" s="19" t="s">
        <v>75</v>
      </c>
      <c r="C66" s="22" t="s">
        <v>12</v>
      </c>
      <c r="D66" s="18" t="s">
        <v>17</v>
      </c>
      <c r="E66" s="23">
        <f>807/1000</f>
        <v>0.80700000000000005</v>
      </c>
      <c r="F66" s="31">
        <v>6500</v>
      </c>
      <c r="G66" s="31">
        <f t="shared" si="4"/>
        <v>5245.5</v>
      </c>
    </row>
    <row r="67" spans="1:7" x14ac:dyDescent="0.25">
      <c r="A67" s="20" t="s">
        <v>16</v>
      </c>
      <c r="B67" s="19" t="s">
        <v>80</v>
      </c>
      <c r="C67" s="22" t="s">
        <v>12</v>
      </c>
      <c r="D67" s="18" t="s">
        <v>17</v>
      </c>
      <c r="E67" s="23">
        <f>1698/1000</f>
        <v>1.698</v>
      </c>
      <c r="F67" s="31">
        <v>6500</v>
      </c>
      <c r="G67" s="31">
        <f t="shared" si="4"/>
        <v>11037</v>
      </c>
    </row>
    <row r="68" spans="1:7" x14ac:dyDescent="0.25">
      <c r="A68" s="20" t="s">
        <v>16</v>
      </c>
      <c r="B68" s="19" t="s">
        <v>83</v>
      </c>
      <c r="C68" s="22" t="s">
        <v>12</v>
      </c>
      <c r="D68" s="18" t="s">
        <v>17</v>
      </c>
      <c r="E68" s="23">
        <f>221/1000</f>
        <v>0.221</v>
      </c>
      <c r="F68" s="31">
        <v>6500</v>
      </c>
      <c r="G68" s="31">
        <f t="shared" si="4"/>
        <v>1436.5</v>
      </c>
    </row>
    <row r="69" spans="1:7" x14ac:dyDescent="0.25">
      <c r="A69" s="20" t="s">
        <v>16</v>
      </c>
      <c r="B69" s="19" t="s">
        <v>65</v>
      </c>
      <c r="C69" s="22" t="s">
        <v>12</v>
      </c>
      <c r="D69" s="18" t="s">
        <v>17</v>
      </c>
      <c r="E69" s="23">
        <f>557/1000</f>
        <v>0.55700000000000005</v>
      </c>
      <c r="F69" s="31">
        <v>6500</v>
      </c>
      <c r="G69" s="31">
        <f t="shared" si="4"/>
        <v>3620.5000000000005</v>
      </c>
    </row>
    <row r="70" spans="1:7" x14ac:dyDescent="0.25">
      <c r="A70" s="20" t="s">
        <v>23</v>
      </c>
      <c r="B70" s="19" t="s">
        <v>76</v>
      </c>
      <c r="C70" s="22" t="s">
        <v>11</v>
      </c>
      <c r="D70" s="18">
        <v>100</v>
      </c>
      <c r="E70" s="23">
        <f>ROUND(D70*E55,4)</f>
        <v>18.239999999999998</v>
      </c>
      <c r="F70" s="31"/>
      <c r="G70" s="31"/>
    </row>
    <row r="71" spans="1:7" x14ac:dyDescent="0.25">
      <c r="A71" s="20"/>
      <c r="B71" s="32" t="s">
        <v>72</v>
      </c>
      <c r="C71" s="22" t="s">
        <v>12</v>
      </c>
      <c r="D71" s="18">
        <v>0.38200000000000001</v>
      </c>
      <c r="E71" s="23">
        <f>ROUND(D71*E70,4)</f>
        <v>6.9676999999999998</v>
      </c>
      <c r="F71" s="31">
        <v>630</v>
      </c>
      <c r="G71" s="31">
        <f t="shared" si="4"/>
        <v>4389.6509999999998</v>
      </c>
    </row>
    <row r="72" spans="1:7" x14ac:dyDescent="0.25">
      <c r="A72" s="20"/>
      <c r="B72" s="32" t="s">
        <v>29</v>
      </c>
      <c r="C72" s="22" t="s">
        <v>12</v>
      </c>
      <c r="D72" s="18">
        <f>47/100*1.52</f>
        <v>0.71439999999999992</v>
      </c>
      <c r="E72" s="23">
        <f>ROUND(D72*E70,4)</f>
        <v>13.0307</v>
      </c>
      <c r="F72" s="31">
        <f>2449.06/159.17</f>
        <v>15.386442168750394</v>
      </c>
      <c r="G72" s="31">
        <f t="shared" si="4"/>
        <v>200.49611196833575</v>
      </c>
    </row>
    <row r="73" spans="1:7" x14ac:dyDescent="0.25">
      <c r="A73" s="20"/>
      <c r="B73" s="32" t="s">
        <v>28</v>
      </c>
      <c r="C73" s="22" t="s">
        <v>12</v>
      </c>
      <c r="D73" s="18">
        <f>80/100*1.6</f>
        <v>1.2800000000000002</v>
      </c>
      <c r="E73" s="23">
        <f>ROUND(D73*E70,4)</f>
        <v>23.347200000000001</v>
      </c>
      <c r="F73" s="31">
        <f>4991.72/392.53</f>
        <v>12.7167859781418</v>
      </c>
      <c r="G73" s="31">
        <f t="shared" si="4"/>
        <v>296.90134558887223</v>
      </c>
    </row>
    <row r="74" spans="1:7" ht="13.5" x14ac:dyDescent="0.25">
      <c r="A74" s="15"/>
      <c r="B74" s="25" t="s">
        <v>8</v>
      </c>
      <c r="C74" s="17"/>
      <c r="D74" s="26"/>
      <c r="E74" s="27"/>
      <c r="F74" s="31"/>
      <c r="G74" s="71">
        <f>SUM(G56:G73)</f>
        <v>33318.606446557205</v>
      </c>
    </row>
    <row r="75" spans="1:7" ht="13.5" x14ac:dyDescent="0.25">
      <c r="A75" s="15" t="s">
        <v>81</v>
      </c>
      <c r="B75" s="16" t="s">
        <v>209</v>
      </c>
      <c r="C75" s="17" t="s">
        <v>20</v>
      </c>
      <c r="D75" s="18"/>
      <c r="E75" s="30">
        <f>0.4*0.25*28.08/100</f>
        <v>2.8079999999999997E-2</v>
      </c>
      <c r="F75" s="31"/>
      <c r="G75" s="31"/>
    </row>
    <row r="76" spans="1:7" x14ac:dyDescent="0.25">
      <c r="A76" s="20">
        <v>1</v>
      </c>
      <c r="B76" s="21" t="s">
        <v>60</v>
      </c>
      <c r="C76" s="22" t="s">
        <v>7</v>
      </c>
      <c r="D76" s="18">
        <v>1749.3</v>
      </c>
      <c r="E76" s="23">
        <f>ROUND(D76*E75,4)</f>
        <v>49.1203</v>
      </c>
      <c r="F76" s="31">
        <v>10.31</v>
      </c>
      <c r="G76" s="31">
        <f t="shared" ref="G76:G87" si="5">F76*E76</f>
        <v>506.43029300000001</v>
      </c>
    </row>
    <row r="77" spans="1:7" x14ac:dyDescent="0.25">
      <c r="A77" s="20">
        <v>2</v>
      </c>
      <c r="B77" s="21" t="s">
        <v>18</v>
      </c>
      <c r="C77" s="22" t="s">
        <v>7</v>
      </c>
      <c r="D77" s="18">
        <v>91.51</v>
      </c>
      <c r="E77" s="23">
        <f>ROUND(D77*E75,4)</f>
        <v>2.5695999999999999</v>
      </c>
      <c r="F77" s="31">
        <v>15.44</v>
      </c>
      <c r="G77" s="31">
        <f t="shared" si="5"/>
        <v>39.674623999999994</v>
      </c>
    </row>
    <row r="78" spans="1:7" ht="25.5" x14ac:dyDescent="0.25">
      <c r="A78" s="20" t="s">
        <v>40</v>
      </c>
      <c r="B78" s="19" t="s">
        <v>47</v>
      </c>
      <c r="C78" s="22" t="s">
        <v>19</v>
      </c>
      <c r="D78" s="18">
        <v>91.51</v>
      </c>
      <c r="E78" s="23">
        <f>ROUND(D78*E75,4)</f>
        <v>2.5695999999999999</v>
      </c>
      <c r="F78" s="31">
        <f>152.37-15.44</f>
        <v>136.93</v>
      </c>
      <c r="G78" s="31">
        <f t="shared" si="5"/>
        <v>351.85532799999999</v>
      </c>
    </row>
    <row r="79" spans="1:7" x14ac:dyDescent="0.25">
      <c r="A79" s="20" t="s">
        <v>41</v>
      </c>
      <c r="B79" s="21" t="s">
        <v>38</v>
      </c>
      <c r="C79" s="22" t="s">
        <v>19</v>
      </c>
      <c r="D79" s="18">
        <v>283.22000000000003</v>
      </c>
      <c r="E79" s="23">
        <f>ROUND(D79*E75,4)</f>
        <v>7.9527999999999999</v>
      </c>
      <c r="F79" s="31">
        <v>8.4600000000000009</v>
      </c>
      <c r="G79" s="31">
        <f t="shared" si="5"/>
        <v>67.280688000000012</v>
      </c>
    </row>
    <row r="80" spans="1:7" x14ac:dyDescent="0.25">
      <c r="A80" s="20">
        <v>111100</v>
      </c>
      <c r="B80" s="19" t="s">
        <v>27</v>
      </c>
      <c r="C80" s="22" t="s">
        <v>19</v>
      </c>
      <c r="D80" s="18">
        <v>85.68</v>
      </c>
      <c r="E80" s="23">
        <f>ROUND(D80*E75,4)</f>
        <v>2.4058999999999999</v>
      </c>
      <c r="F80" s="31">
        <v>2.83</v>
      </c>
      <c r="G80" s="31">
        <f t="shared" si="5"/>
        <v>6.8086969999999996</v>
      </c>
    </row>
    <row r="81" spans="1:7" x14ac:dyDescent="0.25">
      <c r="A81" s="20">
        <v>331532</v>
      </c>
      <c r="B81" s="19" t="s">
        <v>26</v>
      </c>
      <c r="C81" s="22" t="s">
        <v>19</v>
      </c>
      <c r="D81" s="18">
        <v>6.28</v>
      </c>
      <c r="E81" s="23">
        <f>ROUND(D81*E75,4)</f>
        <v>0.17630000000000001</v>
      </c>
      <c r="F81" s="31">
        <v>1.63</v>
      </c>
      <c r="G81" s="31">
        <f t="shared" si="5"/>
        <v>0.28736899999999999</v>
      </c>
    </row>
    <row r="82" spans="1:7" x14ac:dyDescent="0.25">
      <c r="A82" s="20" t="s">
        <v>48</v>
      </c>
      <c r="B82" s="19" t="s">
        <v>39</v>
      </c>
      <c r="C82" s="22" t="s">
        <v>12</v>
      </c>
      <c r="D82" s="18">
        <v>0.34</v>
      </c>
      <c r="E82" s="23">
        <f>ROUND(D82*E75,4)</f>
        <v>9.4999999999999998E-3</v>
      </c>
      <c r="F82" s="31">
        <v>9500</v>
      </c>
      <c r="G82" s="31">
        <f t="shared" si="5"/>
        <v>90.25</v>
      </c>
    </row>
    <row r="83" spans="1:7" x14ac:dyDescent="0.25">
      <c r="A83" s="20" t="s">
        <v>15</v>
      </c>
      <c r="B83" s="21" t="s">
        <v>13</v>
      </c>
      <c r="C83" s="22" t="s">
        <v>12</v>
      </c>
      <c r="D83" s="18">
        <v>6.7000000000000004E-2</v>
      </c>
      <c r="E83" s="23">
        <f>ROUND(D83*E75,4)</f>
        <v>1.9E-3</v>
      </c>
      <c r="F83" s="31">
        <v>8500</v>
      </c>
      <c r="G83" s="31">
        <f t="shared" si="5"/>
        <v>16.149999999999999</v>
      </c>
    </row>
    <row r="84" spans="1:7" x14ac:dyDescent="0.25">
      <c r="A84" s="20" t="s">
        <v>21</v>
      </c>
      <c r="B84" s="19" t="s">
        <v>82</v>
      </c>
      <c r="C84" s="22" t="s">
        <v>11</v>
      </c>
      <c r="D84" s="18">
        <v>0.17799999999999999</v>
      </c>
      <c r="E84" s="23">
        <f>ROUND(D84*E75,4)</f>
        <v>5.0000000000000001E-3</v>
      </c>
      <c r="F84" s="31">
        <v>2563.75</v>
      </c>
      <c r="G84" s="31">
        <f t="shared" si="5"/>
        <v>12.81875</v>
      </c>
    </row>
    <row r="85" spans="1:7" x14ac:dyDescent="0.25">
      <c r="A85" s="20" t="s">
        <v>22</v>
      </c>
      <c r="B85" s="19" t="s">
        <v>24</v>
      </c>
      <c r="C85" s="22" t="s">
        <v>14</v>
      </c>
      <c r="D85" s="18">
        <v>155</v>
      </c>
      <c r="E85" s="23">
        <f>ROUND(D85*E75,4)</f>
        <v>4.3524000000000003</v>
      </c>
      <c r="F85" s="31"/>
      <c r="G85" s="31">
        <f t="shared" si="5"/>
        <v>0</v>
      </c>
    </row>
    <row r="86" spans="1:7" x14ac:dyDescent="0.25">
      <c r="A86" s="20" t="s">
        <v>16</v>
      </c>
      <c r="B86" s="19" t="s">
        <v>43</v>
      </c>
      <c r="C86" s="22" t="s">
        <v>12</v>
      </c>
      <c r="D86" s="18" t="s">
        <v>17</v>
      </c>
      <c r="E86" s="23">
        <f>193/1000</f>
        <v>0.193</v>
      </c>
      <c r="F86" s="31">
        <v>6500</v>
      </c>
      <c r="G86" s="31">
        <f t="shared" si="5"/>
        <v>1254.5</v>
      </c>
    </row>
    <row r="87" spans="1:7" x14ac:dyDescent="0.25">
      <c r="A87" s="20" t="s">
        <v>16</v>
      </c>
      <c r="B87" s="19" t="s">
        <v>65</v>
      </c>
      <c r="C87" s="22" t="s">
        <v>12</v>
      </c>
      <c r="D87" s="18" t="s">
        <v>17</v>
      </c>
      <c r="E87" s="23">
        <f>63/1000</f>
        <v>6.3E-2</v>
      </c>
      <c r="F87" s="31">
        <v>6500</v>
      </c>
      <c r="G87" s="31">
        <f t="shared" si="5"/>
        <v>409.5</v>
      </c>
    </row>
    <row r="88" spans="1:7" x14ac:dyDescent="0.25">
      <c r="A88" s="20" t="s">
        <v>23</v>
      </c>
      <c r="B88" s="19" t="s">
        <v>76</v>
      </c>
      <c r="C88" s="22" t="s">
        <v>11</v>
      </c>
      <c r="D88" s="18">
        <v>100</v>
      </c>
      <c r="E88" s="23">
        <f>ROUND(D88*E75,4)</f>
        <v>2.8079999999999998</v>
      </c>
      <c r="F88" s="31"/>
      <c r="G88" s="31"/>
    </row>
    <row r="89" spans="1:7" x14ac:dyDescent="0.25">
      <c r="A89" s="20"/>
      <c r="B89" s="32" t="s">
        <v>72</v>
      </c>
      <c r="C89" s="22" t="s">
        <v>12</v>
      </c>
      <c r="D89" s="18">
        <v>0.38200000000000001</v>
      </c>
      <c r="E89" s="23">
        <f>ROUND(D89*E88,4)</f>
        <v>1.0727</v>
      </c>
      <c r="F89" s="31">
        <v>630</v>
      </c>
      <c r="G89" s="31">
        <f t="shared" ref="G89:G91" si="6">F89*E89</f>
        <v>675.80100000000004</v>
      </c>
    </row>
    <row r="90" spans="1:7" x14ac:dyDescent="0.25">
      <c r="A90" s="20"/>
      <c r="B90" s="32" t="s">
        <v>29</v>
      </c>
      <c r="C90" s="22" t="s">
        <v>12</v>
      </c>
      <c r="D90" s="18">
        <f>47/100*1.52</f>
        <v>0.71439999999999992</v>
      </c>
      <c r="E90" s="23">
        <f>ROUND(D90*E88,4)</f>
        <v>2.0059999999999998</v>
      </c>
      <c r="F90" s="31">
        <f>2449.06/159.17</f>
        <v>15.386442168750394</v>
      </c>
      <c r="G90" s="31">
        <f t="shared" si="6"/>
        <v>30.865202990513286</v>
      </c>
    </row>
    <row r="91" spans="1:7" x14ac:dyDescent="0.25">
      <c r="A91" s="20"/>
      <c r="B91" s="32" t="s">
        <v>28</v>
      </c>
      <c r="C91" s="22" t="s">
        <v>12</v>
      </c>
      <c r="D91" s="18">
        <f>80/100*1.6</f>
        <v>1.2800000000000002</v>
      </c>
      <c r="E91" s="23">
        <f>ROUND(D91*E88,4)</f>
        <v>3.5941999999999998</v>
      </c>
      <c r="F91" s="31">
        <f>4991.72/392.53</f>
        <v>12.7167859781418</v>
      </c>
      <c r="G91" s="31">
        <f t="shared" si="6"/>
        <v>45.706672162637254</v>
      </c>
    </row>
    <row r="92" spans="1:7" ht="13.5" x14ac:dyDescent="0.25">
      <c r="A92" s="15"/>
      <c r="B92" s="25" t="s">
        <v>8</v>
      </c>
      <c r="C92" s="17"/>
      <c r="D92" s="26"/>
      <c r="E92" s="27"/>
      <c r="F92" s="31"/>
      <c r="G92" s="71">
        <f>SUM(G76:G91)</f>
        <v>3507.9286241531508</v>
      </c>
    </row>
    <row r="93" spans="1:7" ht="13.5" x14ac:dyDescent="0.25">
      <c r="A93" s="15" t="s">
        <v>81</v>
      </c>
      <c r="B93" s="16" t="s">
        <v>208</v>
      </c>
      <c r="C93" s="17" t="s">
        <v>20</v>
      </c>
      <c r="D93" s="18"/>
      <c r="E93" s="30">
        <f>0.3*0.25*5.4/100</f>
        <v>4.0500000000000006E-3</v>
      </c>
      <c r="F93" s="31"/>
      <c r="G93" s="31"/>
    </row>
    <row r="94" spans="1:7" x14ac:dyDescent="0.25">
      <c r="A94" s="20">
        <v>1</v>
      </c>
      <c r="B94" s="21" t="s">
        <v>60</v>
      </c>
      <c r="C94" s="22" t="s">
        <v>7</v>
      </c>
      <c r="D94" s="18">
        <v>1749.3</v>
      </c>
      <c r="E94" s="23">
        <f>ROUND(D94*E93,4)</f>
        <v>7.0846999999999998</v>
      </c>
      <c r="F94" s="31">
        <v>10.31</v>
      </c>
      <c r="G94" s="31">
        <f t="shared" ref="G94:G105" si="7">F94*E94</f>
        <v>73.043256999999997</v>
      </c>
    </row>
    <row r="95" spans="1:7" x14ac:dyDescent="0.25">
      <c r="A95" s="20">
        <v>2</v>
      </c>
      <c r="B95" s="21" t="s">
        <v>18</v>
      </c>
      <c r="C95" s="22" t="s">
        <v>7</v>
      </c>
      <c r="D95" s="18">
        <v>91.51</v>
      </c>
      <c r="E95" s="23">
        <f>ROUND(D95*E93,4)</f>
        <v>0.37059999999999998</v>
      </c>
      <c r="F95" s="31">
        <v>15.44</v>
      </c>
      <c r="G95" s="31">
        <f t="shared" si="7"/>
        <v>5.7220639999999996</v>
      </c>
    </row>
    <row r="96" spans="1:7" ht="25.5" x14ac:dyDescent="0.25">
      <c r="A96" s="20" t="s">
        <v>40</v>
      </c>
      <c r="B96" s="19" t="s">
        <v>47</v>
      </c>
      <c r="C96" s="22" t="s">
        <v>19</v>
      </c>
      <c r="D96" s="18">
        <v>91.51</v>
      </c>
      <c r="E96" s="23">
        <f>ROUND(D96*E93,4)</f>
        <v>0.37059999999999998</v>
      </c>
      <c r="F96" s="31">
        <f>152.37-15.44</f>
        <v>136.93</v>
      </c>
      <c r="G96" s="31">
        <f t="shared" si="7"/>
        <v>50.746257999999997</v>
      </c>
    </row>
    <row r="97" spans="1:7" x14ac:dyDescent="0.25">
      <c r="A97" s="20" t="s">
        <v>41</v>
      </c>
      <c r="B97" s="21" t="s">
        <v>38</v>
      </c>
      <c r="C97" s="22" t="s">
        <v>19</v>
      </c>
      <c r="D97" s="18">
        <v>283.22000000000003</v>
      </c>
      <c r="E97" s="23">
        <f>ROUND(D97*E93,4)</f>
        <v>1.147</v>
      </c>
      <c r="F97" s="31">
        <v>8.4600000000000009</v>
      </c>
      <c r="G97" s="31">
        <f t="shared" si="7"/>
        <v>9.7036200000000008</v>
      </c>
    </row>
    <row r="98" spans="1:7" x14ac:dyDescent="0.25">
      <c r="A98" s="20">
        <v>111100</v>
      </c>
      <c r="B98" s="19" t="s">
        <v>27</v>
      </c>
      <c r="C98" s="22" t="s">
        <v>19</v>
      </c>
      <c r="D98" s="18">
        <v>85.68</v>
      </c>
      <c r="E98" s="23">
        <f>ROUND(D98*E93,4)</f>
        <v>0.34699999999999998</v>
      </c>
      <c r="F98" s="31">
        <v>2.83</v>
      </c>
      <c r="G98" s="31">
        <f t="shared" si="7"/>
        <v>0.98200999999999994</v>
      </c>
    </row>
    <row r="99" spans="1:7" x14ac:dyDescent="0.25">
      <c r="A99" s="20">
        <v>331532</v>
      </c>
      <c r="B99" s="19" t="s">
        <v>26</v>
      </c>
      <c r="C99" s="22" t="s">
        <v>19</v>
      </c>
      <c r="D99" s="18">
        <v>6.28</v>
      </c>
      <c r="E99" s="23">
        <f>ROUND(D99*E93,4)</f>
        <v>2.5399999999999999E-2</v>
      </c>
      <c r="F99" s="31">
        <v>1.63</v>
      </c>
      <c r="G99" s="31">
        <f t="shared" si="7"/>
        <v>4.1401999999999994E-2</v>
      </c>
    </row>
    <row r="100" spans="1:7" x14ac:dyDescent="0.25">
      <c r="A100" s="20" t="s">
        <v>48</v>
      </c>
      <c r="B100" s="19" t="s">
        <v>39</v>
      </c>
      <c r="C100" s="22" t="s">
        <v>12</v>
      </c>
      <c r="D100" s="18">
        <v>0.34</v>
      </c>
      <c r="E100" s="23">
        <f>ROUND(D100*E93,4)</f>
        <v>1.4E-3</v>
      </c>
      <c r="F100" s="31">
        <v>9500</v>
      </c>
      <c r="G100" s="31">
        <f t="shared" si="7"/>
        <v>13.3</v>
      </c>
    </row>
    <row r="101" spans="1:7" x14ac:dyDescent="0.25">
      <c r="A101" s="20" t="s">
        <v>15</v>
      </c>
      <c r="B101" s="21" t="s">
        <v>13</v>
      </c>
      <c r="C101" s="22" t="s">
        <v>12</v>
      </c>
      <c r="D101" s="18">
        <v>6.7000000000000004E-2</v>
      </c>
      <c r="E101" s="23">
        <f>ROUND(D101*E93,4)</f>
        <v>2.9999999999999997E-4</v>
      </c>
      <c r="F101" s="31">
        <v>8500</v>
      </c>
      <c r="G101" s="31">
        <f t="shared" si="7"/>
        <v>2.5499999999999998</v>
      </c>
    </row>
    <row r="102" spans="1:7" x14ac:dyDescent="0.25">
      <c r="A102" s="20" t="s">
        <v>21</v>
      </c>
      <c r="B102" s="19" t="s">
        <v>82</v>
      </c>
      <c r="C102" s="22" t="s">
        <v>11</v>
      </c>
      <c r="D102" s="18">
        <v>0.17799999999999999</v>
      </c>
      <c r="E102" s="23">
        <f>ROUND(D102*E93,4)</f>
        <v>6.9999999999999999E-4</v>
      </c>
      <c r="F102" s="31">
        <v>2563.75</v>
      </c>
      <c r="G102" s="31">
        <f t="shared" si="7"/>
        <v>1.7946249999999999</v>
      </c>
    </row>
    <row r="103" spans="1:7" x14ac:dyDescent="0.25">
      <c r="A103" s="20" t="s">
        <v>22</v>
      </c>
      <c r="B103" s="19" t="s">
        <v>24</v>
      </c>
      <c r="C103" s="22" t="s">
        <v>14</v>
      </c>
      <c r="D103" s="18">
        <v>155</v>
      </c>
      <c r="E103" s="23">
        <f>ROUND(D103*E93,4)</f>
        <v>0.62780000000000002</v>
      </c>
      <c r="F103" s="31"/>
      <c r="G103" s="31">
        <f t="shared" si="7"/>
        <v>0</v>
      </c>
    </row>
    <row r="104" spans="1:7" x14ac:dyDescent="0.25">
      <c r="A104" s="20" t="s">
        <v>16</v>
      </c>
      <c r="B104" s="19" t="s">
        <v>83</v>
      </c>
      <c r="C104" s="22" t="s">
        <v>12</v>
      </c>
      <c r="D104" s="18" t="s">
        <v>17</v>
      </c>
      <c r="E104" s="23">
        <f>53/1000</f>
        <v>5.2999999999999999E-2</v>
      </c>
      <c r="F104" s="31">
        <v>6500</v>
      </c>
      <c r="G104" s="31">
        <f t="shared" si="7"/>
        <v>344.5</v>
      </c>
    </row>
    <row r="105" spans="1:7" x14ac:dyDescent="0.25">
      <c r="A105" s="20" t="s">
        <v>16</v>
      </c>
      <c r="B105" s="19" t="s">
        <v>65</v>
      </c>
      <c r="C105" s="22" t="s">
        <v>12</v>
      </c>
      <c r="D105" s="18" t="s">
        <v>17</v>
      </c>
      <c r="E105" s="23">
        <f>11/1000</f>
        <v>1.0999999999999999E-2</v>
      </c>
      <c r="F105" s="31">
        <v>6500</v>
      </c>
      <c r="G105" s="31">
        <f t="shared" si="7"/>
        <v>71.5</v>
      </c>
    </row>
    <row r="106" spans="1:7" x14ac:dyDescent="0.25">
      <c r="A106" s="20" t="s">
        <v>23</v>
      </c>
      <c r="B106" s="19" t="s">
        <v>76</v>
      </c>
      <c r="C106" s="22" t="s">
        <v>11</v>
      </c>
      <c r="D106" s="18">
        <v>100</v>
      </c>
      <c r="E106" s="23">
        <f>ROUND(D106*E93,4)</f>
        <v>0.40500000000000003</v>
      </c>
      <c r="F106" s="31"/>
      <c r="G106" s="31"/>
    </row>
    <row r="107" spans="1:7" x14ac:dyDescent="0.25">
      <c r="A107" s="20"/>
      <c r="B107" s="32" t="s">
        <v>72</v>
      </c>
      <c r="C107" s="22" t="s">
        <v>12</v>
      </c>
      <c r="D107" s="18">
        <v>0.38200000000000001</v>
      </c>
      <c r="E107" s="23">
        <f>ROUND(D107*E106,4)</f>
        <v>0.1547</v>
      </c>
      <c r="F107" s="31">
        <v>630</v>
      </c>
      <c r="G107" s="31">
        <f t="shared" ref="G107:G109" si="8">F107*E107</f>
        <v>97.460999999999999</v>
      </c>
    </row>
    <row r="108" spans="1:7" x14ac:dyDescent="0.25">
      <c r="A108" s="20"/>
      <c r="B108" s="32" t="s">
        <v>29</v>
      </c>
      <c r="C108" s="22" t="s">
        <v>12</v>
      </c>
      <c r="D108" s="18">
        <f>47/100*1.52</f>
        <v>0.71439999999999992</v>
      </c>
      <c r="E108" s="23">
        <f>ROUND(D108*E106,4)</f>
        <v>0.2893</v>
      </c>
      <c r="F108" s="31">
        <f>2449.06/159.17</f>
        <v>15.386442168750394</v>
      </c>
      <c r="G108" s="31">
        <f t="shared" si="8"/>
        <v>4.4512977194194887</v>
      </c>
    </row>
    <row r="109" spans="1:7" x14ac:dyDescent="0.25">
      <c r="A109" s="20"/>
      <c r="B109" s="32" t="s">
        <v>28</v>
      </c>
      <c r="C109" s="22" t="s">
        <v>12</v>
      </c>
      <c r="D109" s="18">
        <f>80/100*1.6</f>
        <v>1.2800000000000002</v>
      </c>
      <c r="E109" s="23">
        <f>ROUND(D109*E106,4)</f>
        <v>0.51839999999999997</v>
      </c>
      <c r="F109" s="31">
        <f>4991.72/392.53</f>
        <v>12.7167859781418</v>
      </c>
      <c r="G109" s="31">
        <f t="shared" si="8"/>
        <v>6.5923818510687084</v>
      </c>
    </row>
    <row r="110" spans="1:7" ht="13.5" x14ac:dyDescent="0.25">
      <c r="A110" s="15"/>
      <c r="B110" s="25" t="s">
        <v>8</v>
      </c>
      <c r="C110" s="17"/>
      <c r="D110" s="26"/>
      <c r="E110" s="27"/>
      <c r="F110" s="31"/>
      <c r="G110" s="71">
        <f>SUM(G94:G109)</f>
        <v>682.38791557048819</v>
      </c>
    </row>
    <row r="111" spans="1:7" ht="13.5" x14ac:dyDescent="0.25">
      <c r="A111" s="15" t="s">
        <v>81</v>
      </c>
      <c r="B111" s="16" t="s">
        <v>207</v>
      </c>
      <c r="C111" s="17" t="s">
        <v>20</v>
      </c>
      <c r="D111" s="18"/>
      <c r="E111" s="30">
        <f>0.25*0.25*21.9/100</f>
        <v>1.3687499999999998E-2</v>
      </c>
      <c r="F111" s="31"/>
      <c r="G111" s="31"/>
    </row>
    <row r="112" spans="1:7" x14ac:dyDescent="0.25">
      <c r="A112" s="20">
        <v>1</v>
      </c>
      <c r="B112" s="21" t="s">
        <v>60</v>
      </c>
      <c r="C112" s="22" t="s">
        <v>7</v>
      </c>
      <c r="D112" s="18">
        <v>1749.3</v>
      </c>
      <c r="E112" s="23">
        <f>ROUND(D112*E111,4)</f>
        <v>23.9435</v>
      </c>
      <c r="F112" s="31">
        <v>10.31</v>
      </c>
      <c r="G112" s="31">
        <f t="shared" ref="G112:G123" si="9">F112*E112</f>
        <v>246.85748500000003</v>
      </c>
    </row>
    <row r="113" spans="1:7" x14ac:dyDescent="0.25">
      <c r="A113" s="20">
        <v>2</v>
      </c>
      <c r="B113" s="21" t="s">
        <v>18</v>
      </c>
      <c r="C113" s="22" t="s">
        <v>7</v>
      </c>
      <c r="D113" s="18">
        <v>91.51</v>
      </c>
      <c r="E113" s="23">
        <f>ROUND(D113*E111,4)</f>
        <v>1.2524999999999999</v>
      </c>
      <c r="F113" s="31">
        <v>15.44</v>
      </c>
      <c r="G113" s="31">
        <f t="shared" si="9"/>
        <v>19.3386</v>
      </c>
    </row>
    <row r="114" spans="1:7" ht="25.5" x14ac:dyDescent="0.25">
      <c r="A114" s="20" t="s">
        <v>40</v>
      </c>
      <c r="B114" s="19" t="s">
        <v>47</v>
      </c>
      <c r="C114" s="22" t="s">
        <v>19</v>
      </c>
      <c r="D114" s="18">
        <v>91.51</v>
      </c>
      <c r="E114" s="23">
        <f>ROUND(D114*E111,4)</f>
        <v>1.2524999999999999</v>
      </c>
      <c r="F114" s="31">
        <f>152.37-15.44</f>
        <v>136.93</v>
      </c>
      <c r="G114" s="31">
        <f t="shared" si="9"/>
        <v>171.50482500000001</v>
      </c>
    </row>
    <row r="115" spans="1:7" x14ac:dyDescent="0.25">
      <c r="A115" s="20" t="s">
        <v>41</v>
      </c>
      <c r="B115" s="21" t="s">
        <v>38</v>
      </c>
      <c r="C115" s="22" t="s">
        <v>19</v>
      </c>
      <c r="D115" s="18">
        <v>283.22000000000003</v>
      </c>
      <c r="E115" s="23">
        <f>ROUND(D115*E111,4)</f>
        <v>3.8765999999999998</v>
      </c>
      <c r="F115" s="31">
        <v>8.4600000000000009</v>
      </c>
      <c r="G115" s="31">
        <f t="shared" si="9"/>
        <v>32.796036000000001</v>
      </c>
    </row>
    <row r="116" spans="1:7" x14ac:dyDescent="0.25">
      <c r="A116" s="20">
        <v>111100</v>
      </c>
      <c r="B116" s="19" t="s">
        <v>27</v>
      </c>
      <c r="C116" s="22" t="s">
        <v>19</v>
      </c>
      <c r="D116" s="18">
        <v>85.68</v>
      </c>
      <c r="E116" s="23">
        <f>ROUND(D116*E111,4)</f>
        <v>1.1727000000000001</v>
      </c>
      <c r="F116" s="31">
        <v>2.83</v>
      </c>
      <c r="G116" s="31">
        <f t="shared" si="9"/>
        <v>3.3187410000000002</v>
      </c>
    </row>
    <row r="117" spans="1:7" x14ac:dyDescent="0.25">
      <c r="A117" s="20">
        <v>331532</v>
      </c>
      <c r="B117" s="19" t="s">
        <v>26</v>
      </c>
      <c r="C117" s="22" t="s">
        <v>19</v>
      </c>
      <c r="D117" s="18">
        <v>6.28</v>
      </c>
      <c r="E117" s="23">
        <f>ROUND(D117*E111,4)</f>
        <v>8.5999999999999993E-2</v>
      </c>
      <c r="F117" s="31">
        <v>1.63</v>
      </c>
      <c r="G117" s="31">
        <f t="shared" si="9"/>
        <v>0.14017999999999997</v>
      </c>
    </row>
    <row r="118" spans="1:7" x14ac:dyDescent="0.25">
      <c r="A118" s="20" t="s">
        <v>48</v>
      </c>
      <c r="B118" s="19" t="s">
        <v>39</v>
      </c>
      <c r="C118" s="22" t="s">
        <v>12</v>
      </c>
      <c r="D118" s="18">
        <v>0.34</v>
      </c>
      <c r="E118" s="23">
        <f>ROUND(D118*E111,4)</f>
        <v>4.7000000000000002E-3</v>
      </c>
      <c r="F118" s="31">
        <v>9500</v>
      </c>
      <c r="G118" s="31">
        <f t="shared" si="9"/>
        <v>44.65</v>
      </c>
    </row>
    <row r="119" spans="1:7" x14ac:dyDescent="0.25">
      <c r="A119" s="20" t="s">
        <v>15</v>
      </c>
      <c r="B119" s="21" t="s">
        <v>13</v>
      </c>
      <c r="C119" s="22" t="s">
        <v>12</v>
      </c>
      <c r="D119" s="18">
        <v>6.7000000000000004E-2</v>
      </c>
      <c r="E119" s="23">
        <f>ROUND(D119*E111,4)</f>
        <v>8.9999999999999998E-4</v>
      </c>
      <c r="F119" s="31">
        <v>8500</v>
      </c>
      <c r="G119" s="31">
        <f t="shared" si="9"/>
        <v>7.6499999999999995</v>
      </c>
    </row>
    <row r="120" spans="1:7" x14ac:dyDescent="0.25">
      <c r="A120" s="20" t="s">
        <v>21</v>
      </c>
      <c r="B120" s="19" t="s">
        <v>82</v>
      </c>
      <c r="C120" s="22" t="s">
        <v>11</v>
      </c>
      <c r="D120" s="18">
        <v>0.17799999999999999</v>
      </c>
      <c r="E120" s="23">
        <f>ROUND(D120*E111,4)</f>
        <v>2.3999999999999998E-3</v>
      </c>
      <c r="F120" s="31">
        <v>2563.75</v>
      </c>
      <c r="G120" s="31">
        <f t="shared" si="9"/>
        <v>6.1529999999999996</v>
      </c>
    </row>
    <row r="121" spans="1:7" x14ac:dyDescent="0.25">
      <c r="A121" s="20" t="s">
        <v>22</v>
      </c>
      <c r="B121" s="19" t="s">
        <v>24</v>
      </c>
      <c r="C121" s="22" t="s">
        <v>14</v>
      </c>
      <c r="D121" s="18">
        <v>155</v>
      </c>
      <c r="E121" s="23">
        <f>ROUND(D121*E111,4)</f>
        <v>2.1215999999999999</v>
      </c>
      <c r="F121" s="31"/>
      <c r="G121" s="31">
        <f t="shared" si="9"/>
        <v>0</v>
      </c>
    </row>
    <row r="122" spans="1:7" x14ac:dyDescent="0.25">
      <c r="A122" s="20" t="s">
        <v>16</v>
      </c>
      <c r="B122" s="19" t="s">
        <v>43</v>
      </c>
      <c r="C122" s="22" t="s">
        <v>12</v>
      </c>
      <c r="D122" s="18" t="s">
        <v>17</v>
      </c>
      <c r="E122" s="23">
        <f>118/1000</f>
        <v>0.11799999999999999</v>
      </c>
      <c r="F122" s="31">
        <v>6500</v>
      </c>
      <c r="G122" s="31">
        <f t="shared" si="9"/>
        <v>767</v>
      </c>
    </row>
    <row r="123" spans="1:7" x14ac:dyDescent="0.25">
      <c r="A123" s="20" t="s">
        <v>16</v>
      </c>
      <c r="B123" s="19" t="s">
        <v>93</v>
      </c>
      <c r="C123" s="22" t="s">
        <v>12</v>
      </c>
      <c r="D123" s="18" t="s">
        <v>17</v>
      </c>
      <c r="E123" s="23">
        <f>15/1000</f>
        <v>1.4999999999999999E-2</v>
      </c>
      <c r="F123" s="31">
        <v>6500</v>
      </c>
      <c r="G123" s="31">
        <f t="shared" si="9"/>
        <v>97.5</v>
      </c>
    </row>
    <row r="124" spans="1:7" x14ac:dyDescent="0.25">
      <c r="A124" s="20" t="s">
        <v>23</v>
      </c>
      <c r="B124" s="19" t="s">
        <v>76</v>
      </c>
      <c r="C124" s="22" t="s">
        <v>11</v>
      </c>
      <c r="D124" s="18">
        <v>100</v>
      </c>
      <c r="E124" s="23">
        <f>ROUND(D124*E111,4)</f>
        <v>1.3688</v>
      </c>
      <c r="F124" s="31"/>
      <c r="G124" s="31"/>
    </row>
    <row r="125" spans="1:7" x14ac:dyDescent="0.25">
      <c r="A125" s="20"/>
      <c r="B125" s="32" t="s">
        <v>72</v>
      </c>
      <c r="C125" s="22" t="s">
        <v>12</v>
      </c>
      <c r="D125" s="18">
        <v>0.38200000000000001</v>
      </c>
      <c r="E125" s="23">
        <f>ROUND(D125*E124,4)</f>
        <v>0.52290000000000003</v>
      </c>
      <c r="F125" s="31">
        <v>630</v>
      </c>
      <c r="G125" s="31">
        <f t="shared" ref="G125:G127" si="10">F125*E125</f>
        <v>329.42700000000002</v>
      </c>
    </row>
    <row r="126" spans="1:7" x14ac:dyDescent="0.25">
      <c r="A126" s="20"/>
      <c r="B126" s="32" t="s">
        <v>29</v>
      </c>
      <c r="C126" s="22" t="s">
        <v>12</v>
      </c>
      <c r="D126" s="18">
        <f>47/100*1.52</f>
        <v>0.71439999999999992</v>
      </c>
      <c r="E126" s="23">
        <f>ROUND(D126*E124,4)</f>
        <v>0.97789999999999999</v>
      </c>
      <c r="F126" s="31">
        <f>2449.06/159.17</f>
        <v>15.386442168750394</v>
      </c>
      <c r="G126" s="31">
        <f t="shared" si="10"/>
        <v>15.04640179682101</v>
      </c>
    </row>
    <row r="127" spans="1:7" x14ac:dyDescent="0.25">
      <c r="A127" s="20"/>
      <c r="B127" s="32" t="s">
        <v>28</v>
      </c>
      <c r="C127" s="22" t="s">
        <v>12</v>
      </c>
      <c r="D127" s="18">
        <f>80/100*1.6</f>
        <v>1.2800000000000002</v>
      </c>
      <c r="E127" s="23">
        <f>ROUND(D127*E124,4)</f>
        <v>1.7521</v>
      </c>
      <c r="F127" s="31">
        <f>4991.72/392.53</f>
        <v>12.7167859781418</v>
      </c>
      <c r="G127" s="31">
        <f t="shared" si="10"/>
        <v>22.281080712302249</v>
      </c>
    </row>
    <row r="128" spans="1:7" ht="13.5" x14ac:dyDescent="0.25">
      <c r="A128" s="15"/>
      <c r="B128" s="25" t="s">
        <v>8</v>
      </c>
      <c r="C128" s="17"/>
      <c r="D128" s="26"/>
      <c r="E128" s="27"/>
      <c r="F128" s="31"/>
      <c r="G128" s="71">
        <f>SUM(G112:G127)</f>
        <v>1763.6633495091237</v>
      </c>
    </row>
    <row r="129" spans="1:7" ht="27" x14ac:dyDescent="0.25">
      <c r="A129" s="3" t="s">
        <v>84</v>
      </c>
      <c r="B129" s="33" t="s">
        <v>210</v>
      </c>
      <c r="C129" s="7" t="s">
        <v>20</v>
      </c>
      <c r="D129" s="34"/>
      <c r="E129" s="30">
        <f>275.15*0.15/100</f>
        <v>0.41272499999999995</v>
      </c>
      <c r="F129" s="31"/>
      <c r="G129" s="33"/>
    </row>
    <row r="130" spans="1:7" x14ac:dyDescent="0.25">
      <c r="A130" s="2">
        <v>1</v>
      </c>
      <c r="B130" s="1" t="s">
        <v>60</v>
      </c>
      <c r="C130" s="8" t="s">
        <v>7</v>
      </c>
      <c r="D130" s="6">
        <v>833.6</v>
      </c>
      <c r="E130" s="23">
        <f>ROUND(D130*E129,4)</f>
        <v>344.04759999999999</v>
      </c>
      <c r="F130" s="31">
        <v>10.31</v>
      </c>
      <c r="G130" s="36">
        <f t="shared" ref="G130:G138" si="11">F130*E130</f>
        <v>3547.130756</v>
      </c>
    </row>
    <row r="131" spans="1:7" x14ac:dyDescent="0.25">
      <c r="A131" s="2">
        <v>2</v>
      </c>
      <c r="B131" s="1" t="s">
        <v>18</v>
      </c>
      <c r="C131" s="8" t="s">
        <v>7</v>
      </c>
      <c r="D131" s="6">
        <v>33.28</v>
      </c>
      <c r="E131" s="23">
        <f>ROUND(D131*E129,4)</f>
        <v>13.7355</v>
      </c>
      <c r="F131" s="31">
        <v>15.44</v>
      </c>
      <c r="G131" s="36">
        <f t="shared" si="11"/>
        <v>212.07612</v>
      </c>
    </row>
    <row r="132" spans="1:7" ht="25.5" x14ac:dyDescent="0.25">
      <c r="A132" s="2" t="s">
        <v>40</v>
      </c>
      <c r="B132" s="35" t="s">
        <v>47</v>
      </c>
      <c r="C132" s="8" t="s">
        <v>19</v>
      </c>
      <c r="D132" s="6">
        <v>27</v>
      </c>
      <c r="E132" s="23">
        <f>ROUND(D132*E129,4)</f>
        <v>11.143599999999999</v>
      </c>
      <c r="F132" s="31">
        <f>152.37-15.44</f>
        <v>136.93</v>
      </c>
      <c r="G132" s="36">
        <f t="shared" si="11"/>
        <v>1525.8931479999999</v>
      </c>
    </row>
    <row r="133" spans="1:7" x14ac:dyDescent="0.25">
      <c r="A133" s="2">
        <v>111100</v>
      </c>
      <c r="B133" s="35" t="s">
        <v>27</v>
      </c>
      <c r="C133" s="8" t="s">
        <v>19</v>
      </c>
      <c r="D133" s="6">
        <v>40.299999999999997</v>
      </c>
      <c r="E133" s="23">
        <f>ROUND(D133*E129,4)</f>
        <v>16.6328</v>
      </c>
      <c r="F133" s="31">
        <v>2.83</v>
      </c>
      <c r="G133" s="36">
        <f t="shared" si="11"/>
        <v>47.070824000000002</v>
      </c>
    </row>
    <row r="134" spans="1:7" x14ac:dyDescent="0.25">
      <c r="A134" s="2">
        <v>331532</v>
      </c>
      <c r="B134" s="35" t="s">
        <v>26</v>
      </c>
      <c r="C134" s="8" t="s">
        <v>19</v>
      </c>
      <c r="D134" s="6">
        <v>1.6</v>
      </c>
      <c r="E134" s="23">
        <f>ROUND(D134*E129,4)</f>
        <v>0.66039999999999999</v>
      </c>
      <c r="F134" s="31">
        <v>1.63</v>
      </c>
      <c r="G134" s="36">
        <f t="shared" si="11"/>
        <v>1.076452</v>
      </c>
    </row>
    <row r="135" spans="1:7" x14ac:dyDescent="0.25">
      <c r="A135" s="2" t="s">
        <v>69</v>
      </c>
      <c r="B135" s="35" t="s">
        <v>70</v>
      </c>
      <c r="C135" s="8" t="s">
        <v>12</v>
      </c>
      <c r="D135" s="6">
        <v>1.61E-2</v>
      </c>
      <c r="E135" s="23">
        <f>ROUND(D135*E129,4)</f>
        <v>6.6E-3</v>
      </c>
      <c r="F135" s="31">
        <v>5423.7330000000002</v>
      </c>
      <c r="G135" s="36">
        <f t="shared" si="11"/>
        <v>35.796637799999999</v>
      </c>
    </row>
    <row r="136" spans="1:7" x14ac:dyDescent="0.25">
      <c r="A136" s="2" t="s">
        <v>15</v>
      </c>
      <c r="B136" s="1" t="s">
        <v>13</v>
      </c>
      <c r="C136" s="8" t="s">
        <v>12</v>
      </c>
      <c r="D136" s="6">
        <v>1.2999999999999999E-2</v>
      </c>
      <c r="E136" s="23">
        <f>ROUND(D136*E129,4)</f>
        <v>5.4000000000000003E-3</v>
      </c>
      <c r="F136" s="31">
        <v>8500</v>
      </c>
      <c r="G136" s="36">
        <f t="shared" si="11"/>
        <v>45.900000000000006</v>
      </c>
    </row>
    <row r="137" spans="1:7" x14ac:dyDescent="0.25">
      <c r="A137" s="2" t="s">
        <v>85</v>
      </c>
      <c r="B137" s="35" t="s">
        <v>86</v>
      </c>
      <c r="C137" s="8" t="s">
        <v>14</v>
      </c>
      <c r="D137" s="6">
        <v>55.56</v>
      </c>
      <c r="E137" s="23">
        <f>ROUND(D137*E129,4)</f>
        <v>22.931000000000001</v>
      </c>
      <c r="F137" s="31"/>
      <c r="G137" s="36">
        <f t="shared" si="11"/>
        <v>0</v>
      </c>
    </row>
    <row r="138" spans="1:7" x14ac:dyDescent="0.25">
      <c r="A138" s="2" t="s">
        <v>21</v>
      </c>
      <c r="B138" s="19" t="s">
        <v>82</v>
      </c>
      <c r="C138" s="8" t="s">
        <v>11</v>
      </c>
      <c r="D138" s="6">
        <v>1.92</v>
      </c>
      <c r="E138" s="23">
        <f>ROUND(D138*E129,4)</f>
        <v>0.79239999999999999</v>
      </c>
      <c r="F138" s="31">
        <v>2563.75</v>
      </c>
      <c r="G138" s="36">
        <f t="shared" si="11"/>
        <v>2031.5155</v>
      </c>
    </row>
    <row r="139" spans="1:7" x14ac:dyDescent="0.25">
      <c r="A139" s="20" t="s">
        <v>16</v>
      </c>
      <c r="B139" s="19" t="s">
        <v>83</v>
      </c>
      <c r="C139" s="22" t="s">
        <v>12</v>
      </c>
      <c r="D139" s="18" t="s">
        <v>17</v>
      </c>
      <c r="E139" s="23">
        <f>757/1000</f>
        <v>0.75700000000000001</v>
      </c>
      <c r="F139" s="31">
        <v>6500</v>
      </c>
      <c r="G139" s="36">
        <f>F139*E139</f>
        <v>4920.5</v>
      </c>
    </row>
    <row r="140" spans="1:7" x14ac:dyDescent="0.25">
      <c r="A140" s="20" t="s">
        <v>16</v>
      </c>
      <c r="B140" s="19" t="s">
        <v>44</v>
      </c>
      <c r="C140" s="22" t="s">
        <v>12</v>
      </c>
      <c r="D140" s="18" t="s">
        <v>17</v>
      </c>
      <c r="E140" s="23">
        <f>234/1000</f>
        <v>0.23400000000000001</v>
      </c>
      <c r="F140" s="31">
        <v>6500</v>
      </c>
      <c r="G140" s="36">
        <f>F140*E140</f>
        <v>1521</v>
      </c>
    </row>
    <row r="141" spans="1:7" x14ac:dyDescent="0.25">
      <c r="A141" s="20" t="s">
        <v>16</v>
      </c>
      <c r="B141" s="19" t="s">
        <v>87</v>
      </c>
      <c r="C141" s="22" t="s">
        <v>12</v>
      </c>
      <c r="D141" s="18" t="s">
        <v>17</v>
      </c>
      <c r="E141" s="23">
        <f>3876/1000</f>
        <v>3.8759999999999999</v>
      </c>
      <c r="F141" s="31">
        <v>6500</v>
      </c>
      <c r="G141" s="36">
        <f>F141*E141</f>
        <v>25194</v>
      </c>
    </row>
    <row r="142" spans="1:7" x14ac:dyDescent="0.25">
      <c r="A142" s="20" t="s">
        <v>16</v>
      </c>
      <c r="B142" s="19" t="s">
        <v>65</v>
      </c>
      <c r="C142" s="22" t="s">
        <v>12</v>
      </c>
      <c r="D142" s="18" t="s">
        <v>17</v>
      </c>
      <c r="E142" s="23">
        <f>421/1000</f>
        <v>0.42099999999999999</v>
      </c>
      <c r="F142" s="31">
        <v>6500</v>
      </c>
      <c r="G142" s="31">
        <f t="shared" ref="G142" si="12">F142*E142</f>
        <v>2736.5</v>
      </c>
    </row>
    <row r="143" spans="1:7" x14ac:dyDescent="0.25">
      <c r="A143" s="2" t="s">
        <v>88</v>
      </c>
      <c r="B143" s="19" t="s">
        <v>76</v>
      </c>
      <c r="C143" s="22" t="s">
        <v>11</v>
      </c>
      <c r="D143" s="18">
        <v>100</v>
      </c>
      <c r="E143" s="23">
        <f>ROUND(D143*E129,4)</f>
        <v>41.272500000000001</v>
      </c>
      <c r="F143" s="31"/>
      <c r="G143" s="36"/>
    </row>
    <row r="144" spans="1:7" x14ac:dyDescent="0.25">
      <c r="A144" s="20"/>
      <c r="B144" s="32" t="s">
        <v>72</v>
      </c>
      <c r="C144" s="22" t="s">
        <v>12</v>
      </c>
      <c r="D144" s="18">
        <v>0.38200000000000001</v>
      </c>
      <c r="E144" s="23">
        <f>ROUND(D144*E143,4)</f>
        <v>15.7661</v>
      </c>
      <c r="F144" s="31">
        <v>630</v>
      </c>
      <c r="G144" s="36">
        <f>F144*E144</f>
        <v>9932.643</v>
      </c>
    </row>
    <row r="145" spans="1:7" x14ac:dyDescent="0.25">
      <c r="A145" s="20"/>
      <c r="B145" s="32" t="s">
        <v>29</v>
      </c>
      <c r="C145" s="22" t="s">
        <v>12</v>
      </c>
      <c r="D145" s="18">
        <f>47/100*1.52</f>
        <v>0.71439999999999992</v>
      </c>
      <c r="E145" s="23">
        <f>ROUND(D145*E143,4)</f>
        <v>29.485099999999999</v>
      </c>
      <c r="F145" s="31">
        <f>2449.06/159.17</f>
        <v>15.386442168750394</v>
      </c>
      <c r="G145" s="36">
        <f>F145*E145</f>
        <v>453.67078598982221</v>
      </c>
    </row>
    <row r="146" spans="1:7" x14ac:dyDescent="0.25">
      <c r="A146" s="20"/>
      <c r="B146" s="32" t="s">
        <v>28</v>
      </c>
      <c r="C146" s="22" t="s">
        <v>12</v>
      </c>
      <c r="D146" s="18">
        <f>80/100*1.6</f>
        <v>1.2800000000000002</v>
      </c>
      <c r="E146" s="23">
        <f>ROUND(D146*E143,4)</f>
        <v>52.828800000000001</v>
      </c>
      <c r="F146" s="31">
        <f>4991.72/392.53</f>
        <v>12.7167859781418</v>
      </c>
      <c r="G146" s="36">
        <f>F146*E146</f>
        <v>671.81254308205757</v>
      </c>
    </row>
    <row r="147" spans="1:7" ht="13.5" x14ac:dyDescent="0.25">
      <c r="A147" s="15"/>
      <c r="B147" s="25" t="s">
        <v>8</v>
      </c>
      <c r="C147" s="17"/>
      <c r="D147" s="26"/>
      <c r="E147" s="27"/>
      <c r="F147" s="31"/>
      <c r="G147" s="29">
        <f>SUM(G130:G146)</f>
        <v>52876.585766871882</v>
      </c>
    </row>
    <row r="148" spans="1:7" ht="27" x14ac:dyDescent="0.25">
      <c r="A148" s="15" t="s">
        <v>68</v>
      </c>
      <c r="B148" s="16" t="s">
        <v>211</v>
      </c>
      <c r="C148" s="17" t="s">
        <v>20</v>
      </c>
      <c r="D148" s="18"/>
      <c r="E148" s="30">
        <f>(8.89*0.22+8.99*0.15)/100</f>
        <v>3.3043000000000003E-2</v>
      </c>
      <c r="F148" s="31"/>
      <c r="G148" s="24"/>
    </row>
    <row r="149" spans="1:7" x14ac:dyDescent="0.25">
      <c r="A149" s="20">
        <v>1</v>
      </c>
      <c r="B149" s="21" t="s">
        <v>60</v>
      </c>
      <c r="C149" s="22" t="s">
        <v>7</v>
      </c>
      <c r="D149" s="18">
        <v>2412.6</v>
      </c>
      <c r="E149" s="23">
        <f>ROUND(D149*E148,4)</f>
        <v>79.719499999999996</v>
      </c>
      <c r="F149" s="31">
        <v>10.31</v>
      </c>
      <c r="G149" s="24">
        <f t="shared" ref="G149:G164" si="13">F149*E149</f>
        <v>821.90804500000002</v>
      </c>
    </row>
    <row r="150" spans="1:7" x14ac:dyDescent="0.25">
      <c r="A150" s="20">
        <v>2</v>
      </c>
      <c r="B150" s="21" t="s">
        <v>18</v>
      </c>
      <c r="C150" s="22" t="s">
        <v>7</v>
      </c>
      <c r="D150" s="18">
        <v>51.7</v>
      </c>
      <c r="E150" s="23">
        <f>ROUND(D150*E148,4)</f>
        <v>1.7082999999999999</v>
      </c>
      <c r="F150" s="31">
        <v>15.44</v>
      </c>
      <c r="G150" s="24">
        <f t="shared" si="13"/>
        <v>26.376151999999998</v>
      </c>
    </row>
    <row r="151" spans="1:7" ht="25.5" x14ac:dyDescent="0.25">
      <c r="A151" s="20" t="s">
        <v>40</v>
      </c>
      <c r="B151" s="19" t="s">
        <v>47</v>
      </c>
      <c r="C151" s="22" t="s">
        <v>19</v>
      </c>
      <c r="D151" s="18">
        <v>51.7</v>
      </c>
      <c r="E151" s="23">
        <f>ROUND(D151*E148,4)</f>
        <v>1.7082999999999999</v>
      </c>
      <c r="F151" s="31">
        <f>152.37-15.44</f>
        <v>136.93</v>
      </c>
      <c r="G151" s="24">
        <f t="shared" si="13"/>
        <v>233.917519</v>
      </c>
    </row>
    <row r="152" spans="1:7" x14ac:dyDescent="0.25">
      <c r="A152" s="20" t="s">
        <v>41</v>
      </c>
      <c r="B152" s="21" t="s">
        <v>38</v>
      </c>
      <c r="C152" s="22" t="s">
        <v>19</v>
      </c>
      <c r="D152" s="18">
        <v>13.2</v>
      </c>
      <c r="E152" s="23">
        <f>ROUND(D152*E148,4)</f>
        <v>0.43619999999999998</v>
      </c>
      <c r="F152" s="31">
        <v>8.4600000000000009</v>
      </c>
      <c r="G152" s="24">
        <f t="shared" si="13"/>
        <v>3.6902520000000001</v>
      </c>
    </row>
    <row r="153" spans="1:7" x14ac:dyDescent="0.25">
      <c r="A153" s="20">
        <v>111301</v>
      </c>
      <c r="B153" s="19" t="s">
        <v>66</v>
      </c>
      <c r="C153" s="22" t="s">
        <v>19</v>
      </c>
      <c r="D153" s="18">
        <v>78</v>
      </c>
      <c r="E153" s="23">
        <f>ROUND(D153*E148,4)</f>
        <v>2.5773999999999999</v>
      </c>
      <c r="F153" s="31">
        <v>1.62</v>
      </c>
      <c r="G153" s="24">
        <f t="shared" si="13"/>
        <v>4.1753879999999999</v>
      </c>
    </row>
    <row r="154" spans="1:7" x14ac:dyDescent="0.25">
      <c r="A154" s="20">
        <v>331532</v>
      </c>
      <c r="B154" s="19" t="s">
        <v>26</v>
      </c>
      <c r="C154" s="22" t="s">
        <v>19</v>
      </c>
      <c r="D154" s="18">
        <v>1.21</v>
      </c>
      <c r="E154" s="23">
        <f>ROUND(D154*E148,4)</f>
        <v>0.04</v>
      </c>
      <c r="F154" s="31">
        <v>1.63</v>
      </c>
      <c r="G154" s="24">
        <f t="shared" si="13"/>
        <v>6.5199999999999994E-2</v>
      </c>
    </row>
    <row r="155" spans="1:7" x14ac:dyDescent="0.25">
      <c r="A155" s="20" t="s">
        <v>69</v>
      </c>
      <c r="B155" s="19" t="s">
        <v>70</v>
      </c>
      <c r="C155" s="22" t="s">
        <v>12</v>
      </c>
      <c r="D155" s="18">
        <v>2.3599999999999999E-2</v>
      </c>
      <c r="E155" s="23">
        <f>ROUND(D155*E148,4)</f>
        <v>8.0000000000000004E-4</v>
      </c>
      <c r="F155" s="31">
        <v>5423.7330000000002</v>
      </c>
      <c r="G155" s="24">
        <f t="shared" si="13"/>
        <v>4.3389864000000005</v>
      </c>
    </row>
    <row r="156" spans="1:7" x14ac:dyDescent="0.25">
      <c r="A156" s="20" t="s">
        <v>48</v>
      </c>
      <c r="B156" s="19" t="s">
        <v>39</v>
      </c>
      <c r="C156" s="22" t="s">
        <v>12</v>
      </c>
      <c r="D156" s="18">
        <v>1.2999999999999999E-2</v>
      </c>
      <c r="E156" s="23">
        <f>ROUND(D156*E148,4)</f>
        <v>4.0000000000000002E-4</v>
      </c>
      <c r="F156" s="31">
        <v>9500</v>
      </c>
      <c r="G156" s="24">
        <f t="shared" si="13"/>
        <v>3.8000000000000003</v>
      </c>
    </row>
    <row r="157" spans="1:7" x14ac:dyDescent="0.25">
      <c r="A157" s="20" t="s">
        <v>15</v>
      </c>
      <c r="B157" s="21" t="s">
        <v>13</v>
      </c>
      <c r="C157" s="22" t="s">
        <v>12</v>
      </c>
      <c r="D157" s="18">
        <v>1.4999999999999999E-2</v>
      </c>
      <c r="E157" s="23">
        <f>ROUND(D157*E148,4)</f>
        <v>5.0000000000000001E-4</v>
      </c>
      <c r="F157" s="31">
        <v>8500</v>
      </c>
      <c r="G157" s="24">
        <f t="shared" si="13"/>
        <v>4.25</v>
      </c>
    </row>
    <row r="158" spans="1:7" x14ac:dyDescent="0.25">
      <c r="A158" s="20" t="s">
        <v>21</v>
      </c>
      <c r="B158" s="19" t="s">
        <v>82</v>
      </c>
      <c r="C158" s="22" t="s">
        <v>11</v>
      </c>
      <c r="D158" s="18">
        <v>2.1</v>
      </c>
      <c r="E158" s="23">
        <f>ROUND(D158*E148,4)</f>
        <v>6.9400000000000003E-2</v>
      </c>
      <c r="F158" s="31">
        <v>2563.75</v>
      </c>
      <c r="G158" s="24">
        <f t="shared" si="13"/>
        <v>177.92425</v>
      </c>
    </row>
    <row r="159" spans="1:7" x14ac:dyDescent="0.25">
      <c r="A159" s="20" t="s">
        <v>16</v>
      </c>
      <c r="B159" s="19" t="s">
        <v>44</v>
      </c>
      <c r="C159" s="22" t="s">
        <v>12</v>
      </c>
      <c r="D159" s="18" t="s">
        <v>17</v>
      </c>
      <c r="E159" s="23">
        <f>338/1000</f>
        <v>0.33800000000000002</v>
      </c>
      <c r="F159" s="31">
        <v>6500</v>
      </c>
      <c r="G159" s="24">
        <f t="shared" si="13"/>
        <v>2197</v>
      </c>
    </row>
    <row r="160" spans="1:7" x14ac:dyDescent="0.25">
      <c r="A160" s="20" t="s">
        <v>16</v>
      </c>
      <c r="B160" s="19" t="s">
        <v>65</v>
      </c>
      <c r="C160" s="22" t="s">
        <v>12</v>
      </c>
      <c r="D160" s="18" t="s">
        <v>17</v>
      </c>
      <c r="E160" s="23">
        <f>10/1000</f>
        <v>0.01</v>
      </c>
      <c r="F160" s="31">
        <v>6500</v>
      </c>
      <c r="G160" s="31">
        <f t="shared" si="13"/>
        <v>65</v>
      </c>
    </row>
    <row r="161" spans="1:7" x14ac:dyDescent="0.25">
      <c r="A161" s="20" t="s">
        <v>23</v>
      </c>
      <c r="B161" s="19" t="s">
        <v>76</v>
      </c>
      <c r="C161" s="22" t="s">
        <v>11</v>
      </c>
      <c r="D161" s="18">
        <v>100</v>
      </c>
      <c r="E161" s="23">
        <f>ROUND(D161*E148,4)</f>
        <v>3.3043</v>
      </c>
      <c r="F161" s="31"/>
      <c r="G161" s="24"/>
    </row>
    <row r="162" spans="1:7" x14ac:dyDescent="0.25">
      <c r="A162" s="20"/>
      <c r="B162" s="32" t="s">
        <v>72</v>
      </c>
      <c r="C162" s="22" t="s">
        <v>12</v>
      </c>
      <c r="D162" s="18">
        <v>0.38200000000000001</v>
      </c>
      <c r="E162" s="23">
        <f>ROUND(D162*E161,4)</f>
        <v>1.2622</v>
      </c>
      <c r="F162" s="31">
        <v>630</v>
      </c>
      <c r="G162" s="24">
        <f t="shared" si="13"/>
        <v>795.18600000000004</v>
      </c>
    </row>
    <row r="163" spans="1:7" x14ac:dyDescent="0.25">
      <c r="A163" s="20"/>
      <c r="B163" s="32" t="s">
        <v>29</v>
      </c>
      <c r="C163" s="22" t="s">
        <v>12</v>
      </c>
      <c r="D163" s="18">
        <f>47/100*1.52</f>
        <v>0.71439999999999992</v>
      </c>
      <c r="E163" s="23">
        <f>ROUND(D163*E161,4)</f>
        <v>2.3605999999999998</v>
      </c>
      <c r="F163" s="31">
        <f>2449.06/159.17</f>
        <v>15.386442168750394</v>
      </c>
      <c r="G163" s="24">
        <f t="shared" si="13"/>
        <v>36.321235383552178</v>
      </c>
    </row>
    <row r="164" spans="1:7" x14ac:dyDescent="0.25">
      <c r="A164" s="20"/>
      <c r="B164" s="32" t="s">
        <v>28</v>
      </c>
      <c r="C164" s="22" t="s">
        <v>12</v>
      </c>
      <c r="D164" s="18">
        <f>80/100*1.6</f>
        <v>1.2800000000000002</v>
      </c>
      <c r="E164" s="23">
        <f>ROUND(D164*E161,4)</f>
        <v>4.2294999999999998</v>
      </c>
      <c r="F164" s="31">
        <f>4991.72/392.53</f>
        <v>12.7167859781418</v>
      </c>
      <c r="G164" s="24">
        <f t="shared" si="13"/>
        <v>53.785646294550745</v>
      </c>
    </row>
    <row r="165" spans="1:7" ht="13.5" x14ac:dyDescent="0.25">
      <c r="A165" s="15"/>
      <c r="B165" s="25" t="s">
        <v>8</v>
      </c>
      <c r="C165" s="17"/>
      <c r="D165" s="26"/>
      <c r="E165" s="27"/>
      <c r="F165" s="28"/>
      <c r="G165" s="29">
        <f>SUM(G149:G164)</f>
        <v>4427.7386740781039</v>
      </c>
    </row>
    <row r="166" spans="1:7" ht="13.5" x14ac:dyDescent="0.25">
      <c r="A166" s="15" t="s">
        <v>94</v>
      </c>
      <c r="B166" s="16" t="s">
        <v>95</v>
      </c>
      <c r="C166" s="17" t="s">
        <v>11</v>
      </c>
      <c r="D166" s="18"/>
      <c r="E166" s="30">
        <f>23312/394</f>
        <v>59.167512690355331</v>
      </c>
      <c r="F166" s="31"/>
      <c r="G166" s="24"/>
    </row>
    <row r="167" spans="1:7" x14ac:dyDescent="0.25">
      <c r="A167" s="20">
        <v>1</v>
      </c>
      <c r="B167" s="21" t="s">
        <v>96</v>
      </c>
      <c r="C167" s="22" t="s">
        <v>7</v>
      </c>
      <c r="D167" s="18">
        <v>6.03</v>
      </c>
      <c r="E167" s="23">
        <f>ROUND(D167*E166,4)</f>
        <v>356.7801</v>
      </c>
      <c r="F167" s="31">
        <v>10.210000000000001</v>
      </c>
      <c r="G167" s="24">
        <f t="shared" ref="G167:G175" si="14">F167*E167</f>
        <v>3642.7248210000002</v>
      </c>
    </row>
    <row r="168" spans="1:7" x14ac:dyDescent="0.25">
      <c r="A168" s="20">
        <v>2</v>
      </c>
      <c r="B168" s="21" t="s">
        <v>18</v>
      </c>
      <c r="C168" s="22" t="s">
        <v>7</v>
      </c>
      <c r="D168" s="18">
        <v>0.4</v>
      </c>
      <c r="E168" s="23">
        <f>ROUND(D168*E166,4)</f>
        <v>23.667000000000002</v>
      </c>
      <c r="F168" s="31">
        <v>15.44</v>
      </c>
      <c r="G168" s="24">
        <f t="shared" si="14"/>
        <v>365.41847999999999</v>
      </c>
    </row>
    <row r="169" spans="1:7" ht="25.5" x14ac:dyDescent="0.25">
      <c r="A169" s="20" t="s">
        <v>40</v>
      </c>
      <c r="B169" s="19" t="s">
        <v>47</v>
      </c>
      <c r="C169" s="22" t="s">
        <v>19</v>
      </c>
      <c r="D169" s="18">
        <v>0.4</v>
      </c>
      <c r="E169" s="23">
        <f>ROUND(D169*E166,4)</f>
        <v>23.667000000000002</v>
      </c>
      <c r="F169" s="31">
        <f>136.52-15.44</f>
        <v>121.08000000000001</v>
      </c>
      <c r="G169" s="24">
        <f t="shared" si="14"/>
        <v>2865.6003600000004</v>
      </c>
    </row>
    <row r="170" spans="1:7" x14ac:dyDescent="0.25">
      <c r="A170" s="20" t="s">
        <v>21</v>
      </c>
      <c r="B170" s="19" t="s">
        <v>82</v>
      </c>
      <c r="C170" s="22" t="s">
        <v>11</v>
      </c>
      <c r="D170" s="18">
        <v>5.0000000000000001E-4</v>
      </c>
      <c r="E170" s="23">
        <f>ROUND(D170*E166,4)</f>
        <v>2.9600000000000001E-2</v>
      </c>
      <c r="F170" s="31">
        <v>2563.75</v>
      </c>
      <c r="G170" s="10">
        <f t="shared" si="14"/>
        <v>75.887</v>
      </c>
    </row>
    <row r="171" spans="1:7" x14ac:dyDescent="0.25">
      <c r="A171" s="20" t="s">
        <v>97</v>
      </c>
      <c r="B171" s="19" t="s">
        <v>98</v>
      </c>
      <c r="C171" s="22" t="s">
        <v>11</v>
      </c>
      <c r="D171" s="18">
        <v>0.24</v>
      </c>
      <c r="E171" s="23">
        <f>ROUND(D171*E166,4)</f>
        <v>14.200200000000001</v>
      </c>
      <c r="F171" s="31"/>
      <c r="G171" s="24"/>
    </row>
    <row r="172" spans="1:7" x14ac:dyDescent="0.25">
      <c r="A172" s="20"/>
      <c r="B172" s="32" t="s">
        <v>99</v>
      </c>
      <c r="C172" s="22" t="s">
        <v>12</v>
      </c>
      <c r="D172" s="18">
        <v>0.17799999999999999</v>
      </c>
      <c r="E172" s="23">
        <f>ROUND(D172*E171,4)</f>
        <v>2.5276000000000001</v>
      </c>
      <c r="F172" s="24">
        <v>580</v>
      </c>
      <c r="G172" s="24">
        <f t="shared" si="14"/>
        <v>1466.008</v>
      </c>
    </row>
    <row r="173" spans="1:7" x14ac:dyDescent="0.25">
      <c r="A173" s="20"/>
      <c r="B173" s="32" t="s">
        <v>100</v>
      </c>
      <c r="C173" s="22" t="s">
        <v>12</v>
      </c>
      <c r="D173" s="18">
        <f>0.13*1.6</f>
        <v>0.20800000000000002</v>
      </c>
      <c r="E173" s="23">
        <f>ROUND(D173*E171,3)</f>
        <v>2.9540000000000002</v>
      </c>
      <c r="F173" s="31"/>
      <c r="G173" s="24">
        <f t="shared" si="14"/>
        <v>0</v>
      </c>
    </row>
    <row r="174" spans="1:7" x14ac:dyDescent="0.25">
      <c r="A174" s="20"/>
      <c r="B174" s="32" t="s">
        <v>101</v>
      </c>
      <c r="C174" s="22" t="s">
        <v>12</v>
      </c>
      <c r="D174" s="18">
        <f>1.28*1.52</f>
        <v>1.9456</v>
      </c>
      <c r="E174" s="23">
        <f>ROUND(D174*E171,4)</f>
        <v>27.6279</v>
      </c>
      <c r="F174" s="31">
        <v>36</v>
      </c>
      <c r="G174" s="24">
        <f t="shared" si="14"/>
        <v>994.60440000000006</v>
      </c>
    </row>
    <row r="175" spans="1:7" x14ac:dyDescent="0.25">
      <c r="A175" s="20" t="s">
        <v>102</v>
      </c>
      <c r="B175" s="19" t="s">
        <v>103</v>
      </c>
      <c r="C175" s="22" t="s">
        <v>104</v>
      </c>
      <c r="D175" s="18">
        <v>0.39400000000000002</v>
      </c>
      <c r="E175" s="23">
        <f>ROUND(D175*E166,3)</f>
        <v>23.312000000000001</v>
      </c>
      <c r="F175" s="31">
        <v>593.79999999999995</v>
      </c>
      <c r="G175" s="24">
        <f t="shared" si="14"/>
        <v>13842.6656</v>
      </c>
    </row>
    <row r="176" spans="1:7" ht="13.5" x14ac:dyDescent="0.25">
      <c r="A176" s="15"/>
      <c r="B176" s="25" t="s">
        <v>8</v>
      </c>
      <c r="C176" s="17"/>
      <c r="D176" s="26"/>
      <c r="E176" s="27"/>
      <c r="F176" s="31"/>
      <c r="G176" s="29">
        <f>SUM(G167:G175)</f>
        <v>23252.908661000001</v>
      </c>
    </row>
    <row r="177" spans="1:7" ht="13.5" x14ac:dyDescent="0.25">
      <c r="A177" s="15" t="s">
        <v>45</v>
      </c>
      <c r="B177" s="16" t="s">
        <v>107</v>
      </c>
      <c r="C177" s="17" t="s">
        <v>20</v>
      </c>
      <c r="D177" s="18"/>
      <c r="E177" s="30">
        <f>(11*2.9*0.25*0.12+8*2.9*0.38*0.12)/100</f>
        <v>2.0149199999999996E-2</v>
      </c>
      <c r="F177" s="23"/>
      <c r="G177" s="23"/>
    </row>
    <row r="178" spans="1:7" x14ac:dyDescent="0.25">
      <c r="A178" s="20">
        <v>1</v>
      </c>
      <c r="B178" s="21" t="s">
        <v>46</v>
      </c>
      <c r="C178" s="22" t="s">
        <v>7</v>
      </c>
      <c r="D178" s="18">
        <v>1569.4</v>
      </c>
      <c r="E178" s="23">
        <f>ROUND(D178*E177,4)</f>
        <v>31.622199999999999</v>
      </c>
      <c r="F178" s="31">
        <v>10.46</v>
      </c>
      <c r="G178" s="31">
        <f t="shared" ref="G178:G194" si="15">F178*E178</f>
        <v>330.76821200000001</v>
      </c>
    </row>
    <row r="179" spans="1:7" x14ac:dyDescent="0.25">
      <c r="A179" s="20">
        <v>2</v>
      </c>
      <c r="B179" s="21" t="s">
        <v>18</v>
      </c>
      <c r="C179" s="22" t="s">
        <v>7</v>
      </c>
      <c r="D179" s="18">
        <v>93.3</v>
      </c>
      <c r="E179" s="23">
        <f>ROUND(D179*E177,4)</f>
        <v>1.8798999999999999</v>
      </c>
      <c r="F179" s="31">
        <v>15.44</v>
      </c>
      <c r="G179" s="31">
        <f t="shared" si="15"/>
        <v>29.025655999999998</v>
      </c>
    </row>
    <row r="180" spans="1:7" ht="25.5" x14ac:dyDescent="0.25">
      <c r="A180" s="20" t="s">
        <v>40</v>
      </c>
      <c r="B180" s="19" t="s">
        <v>47</v>
      </c>
      <c r="C180" s="22" t="s">
        <v>19</v>
      </c>
      <c r="D180" s="18">
        <v>93.3</v>
      </c>
      <c r="E180" s="23">
        <f>ROUND(D180*E177,4)</f>
        <v>1.8798999999999999</v>
      </c>
      <c r="F180" s="31">
        <f>136.52-15.44</f>
        <v>121.08000000000001</v>
      </c>
      <c r="G180" s="31">
        <f t="shared" si="15"/>
        <v>227.61829200000003</v>
      </c>
    </row>
    <row r="181" spans="1:7" x14ac:dyDescent="0.25">
      <c r="A181" s="20" t="s">
        <v>41</v>
      </c>
      <c r="B181" s="21" t="s">
        <v>38</v>
      </c>
      <c r="C181" s="22" t="s">
        <v>19</v>
      </c>
      <c r="D181" s="18">
        <v>124.95</v>
      </c>
      <c r="E181" s="23">
        <f>ROUND(D181*E177,4)</f>
        <v>2.5175999999999998</v>
      </c>
      <c r="F181" s="31">
        <v>8.4600000000000009</v>
      </c>
      <c r="G181" s="31">
        <f t="shared" si="15"/>
        <v>21.298895999999999</v>
      </c>
    </row>
    <row r="182" spans="1:7" x14ac:dyDescent="0.25">
      <c r="A182" s="20">
        <v>111100</v>
      </c>
      <c r="B182" s="19" t="s">
        <v>27</v>
      </c>
      <c r="C182" s="22" t="s">
        <v>19</v>
      </c>
      <c r="D182" s="18">
        <v>61.88</v>
      </c>
      <c r="E182" s="23">
        <f>ROUND(D182*E177,4)</f>
        <v>1.2467999999999999</v>
      </c>
      <c r="F182" s="31">
        <v>2.83</v>
      </c>
      <c r="G182" s="31">
        <f t="shared" si="15"/>
        <v>3.5284439999999999</v>
      </c>
    </row>
    <row r="183" spans="1:7" x14ac:dyDescent="0.25">
      <c r="A183" s="20">
        <v>331532</v>
      </c>
      <c r="B183" s="19" t="s">
        <v>26</v>
      </c>
      <c r="C183" s="22" t="s">
        <v>19</v>
      </c>
      <c r="D183" s="18">
        <v>1.9</v>
      </c>
      <c r="E183" s="23">
        <f>ROUND(D183*E177,4)</f>
        <v>3.8300000000000001E-2</v>
      </c>
      <c r="F183" s="31">
        <v>1.82</v>
      </c>
      <c r="G183" s="31">
        <f t="shared" si="15"/>
        <v>6.9706000000000004E-2</v>
      </c>
    </row>
    <row r="184" spans="1:7" x14ac:dyDescent="0.25">
      <c r="A184" s="20" t="s">
        <v>48</v>
      </c>
      <c r="B184" s="19" t="s">
        <v>39</v>
      </c>
      <c r="C184" s="22" t="s">
        <v>12</v>
      </c>
      <c r="D184" s="18">
        <v>0.15</v>
      </c>
      <c r="E184" s="23">
        <f>ROUND(D184*E177,4)</f>
        <v>3.0000000000000001E-3</v>
      </c>
      <c r="F184" s="31">
        <v>9500</v>
      </c>
      <c r="G184" s="31">
        <f t="shared" si="15"/>
        <v>28.5</v>
      </c>
    </row>
    <row r="185" spans="1:7" x14ac:dyDescent="0.25">
      <c r="A185" s="20" t="s">
        <v>15</v>
      </c>
      <c r="B185" s="21" t="s">
        <v>13</v>
      </c>
      <c r="C185" s="22" t="s">
        <v>12</v>
      </c>
      <c r="D185" s="18">
        <v>4.4999999999999998E-2</v>
      </c>
      <c r="E185" s="23">
        <f>ROUND(D185*E177,4)</f>
        <v>8.9999999999999998E-4</v>
      </c>
      <c r="F185" s="31">
        <v>8500</v>
      </c>
      <c r="G185" s="31">
        <f t="shared" si="15"/>
        <v>7.6499999999999995</v>
      </c>
    </row>
    <row r="186" spans="1:7" x14ac:dyDescent="0.25">
      <c r="A186" s="20" t="s">
        <v>21</v>
      </c>
      <c r="B186" s="19" t="s">
        <v>82</v>
      </c>
      <c r="C186" s="22" t="s">
        <v>11</v>
      </c>
      <c r="D186" s="18">
        <v>1.7</v>
      </c>
      <c r="E186" s="23">
        <f>ROUND(D186*E177,4)</f>
        <v>3.4299999999999997E-2</v>
      </c>
      <c r="F186" s="31">
        <v>2563.75</v>
      </c>
      <c r="G186" s="10">
        <f t="shared" si="15"/>
        <v>87.936624999999992</v>
      </c>
    </row>
    <row r="187" spans="1:7" x14ac:dyDescent="0.25">
      <c r="A187" s="20" t="s">
        <v>49</v>
      </c>
      <c r="B187" s="19" t="s">
        <v>50</v>
      </c>
      <c r="C187" s="22" t="s">
        <v>11</v>
      </c>
      <c r="D187" s="18">
        <v>0.25</v>
      </c>
      <c r="E187" s="23">
        <f>ROUND(D187*E177,4)</f>
        <v>5.0000000000000001E-3</v>
      </c>
      <c r="F187" s="31">
        <v>2000</v>
      </c>
      <c r="G187" s="31">
        <f t="shared" si="15"/>
        <v>10</v>
      </c>
    </row>
    <row r="188" spans="1:7" x14ac:dyDescent="0.25">
      <c r="A188" s="20" t="s">
        <v>22</v>
      </c>
      <c r="B188" s="19" t="s">
        <v>24</v>
      </c>
      <c r="C188" s="22" t="s">
        <v>14</v>
      </c>
      <c r="D188" s="18">
        <v>135</v>
      </c>
      <c r="E188" s="23">
        <f>ROUND(D188*E177,4)</f>
        <v>2.7201</v>
      </c>
      <c r="F188" s="31"/>
      <c r="G188" s="10">
        <f t="shared" si="15"/>
        <v>0</v>
      </c>
    </row>
    <row r="189" spans="1:7" x14ac:dyDescent="0.25">
      <c r="A189" s="20" t="s">
        <v>16</v>
      </c>
      <c r="B189" s="19" t="s">
        <v>43</v>
      </c>
      <c r="C189" s="22" t="s">
        <v>12</v>
      </c>
      <c r="D189" s="18" t="s">
        <v>17</v>
      </c>
      <c r="E189" s="23">
        <f>(143+104)/1000</f>
        <v>0.247</v>
      </c>
      <c r="F189" s="31">
        <v>6500</v>
      </c>
      <c r="G189" s="31">
        <f t="shared" si="15"/>
        <v>1605.5</v>
      </c>
    </row>
    <row r="190" spans="1:7" x14ac:dyDescent="0.25">
      <c r="A190" s="20" t="s">
        <v>16</v>
      </c>
      <c r="B190" s="19" t="s">
        <v>65</v>
      </c>
      <c r="C190" s="22" t="s">
        <v>12</v>
      </c>
      <c r="D190" s="18" t="s">
        <v>17</v>
      </c>
      <c r="E190" s="23">
        <f>(17+18)/1000</f>
        <v>3.5000000000000003E-2</v>
      </c>
      <c r="F190" s="31">
        <v>6500</v>
      </c>
      <c r="G190" s="31">
        <f t="shared" si="15"/>
        <v>227.50000000000003</v>
      </c>
    </row>
    <row r="191" spans="1:7" x14ac:dyDescent="0.25">
      <c r="A191" s="20" t="s">
        <v>23</v>
      </c>
      <c r="B191" s="19" t="s">
        <v>76</v>
      </c>
      <c r="C191" s="22" t="s">
        <v>11</v>
      </c>
      <c r="D191" s="18">
        <v>100</v>
      </c>
      <c r="E191" s="23">
        <f>ROUND(D191*E177,4)</f>
        <v>2.0148999999999999</v>
      </c>
      <c r="F191" s="31"/>
      <c r="G191" s="31"/>
    </row>
    <row r="192" spans="1:7" x14ac:dyDescent="0.25">
      <c r="A192" s="20"/>
      <c r="B192" s="32" t="s">
        <v>99</v>
      </c>
      <c r="C192" s="22" t="s">
        <v>12</v>
      </c>
      <c r="D192" s="18">
        <v>0.47899999999999998</v>
      </c>
      <c r="E192" s="23">
        <f>ROUND(D192*E191,4)</f>
        <v>0.96509999999999996</v>
      </c>
      <c r="F192" s="24">
        <v>580</v>
      </c>
      <c r="G192" s="31">
        <f t="shared" si="15"/>
        <v>559.75799999999992</v>
      </c>
    </row>
    <row r="193" spans="1:7" x14ac:dyDescent="0.25">
      <c r="A193" s="20"/>
      <c r="B193" s="32" t="s">
        <v>29</v>
      </c>
      <c r="C193" s="22" t="s">
        <v>12</v>
      </c>
      <c r="D193" s="18">
        <v>0.40300000000000002</v>
      </c>
      <c r="E193" s="23">
        <f>ROUND(D193*E191,4)</f>
        <v>0.81200000000000006</v>
      </c>
      <c r="F193" s="31">
        <f>2449.06/159.17</f>
        <v>15.386442168750394</v>
      </c>
      <c r="G193" s="31">
        <f t="shared" si="15"/>
        <v>12.49379104102532</v>
      </c>
    </row>
    <row r="194" spans="1:7" x14ac:dyDescent="0.25">
      <c r="A194" s="20"/>
      <c r="B194" s="32" t="s">
        <v>28</v>
      </c>
      <c r="C194" s="22" t="s">
        <v>12</v>
      </c>
      <c r="D194" s="18">
        <v>1.881</v>
      </c>
      <c r="E194" s="23">
        <f>ROUND(D194*E191,4)</f>
        <v>3.79</v>
      </c>
      <c r="F194" s="31">
        <f>4991.72/392.53</f>
        <v>12.7167859781418</v>
      </c>
      <c r="G194" s="31">
        <f t="shared" si="15"/>
        <v>48.196618857157425</v>
      </c>
    </row>
    <row r="195" spans="1:7" ht="13.5" x14ac:dyDescent="0.25">
      <c r="A195" s="15"/>
      <c r="B195" s="25" t="s">
        <v>8</v>
      </c>
      <c r="C195" s="17"/>
      <c r="D195" s="26"/>
      <c r="E195" s="27"/>
      <c r="F195" s="31"/>
      <c r="G195" s="71">
        <f>SUM(G178:G194)</f>
        <v>3199.8442408981823</v>
      </c>
    </row>
    <row r="196" spans="1:7" ht="13.5" x14ac:dyDescent="0.25">
      <c r="A196" s="64"/>
      <c r="B196" s="65"/>
      <c r="C196" s="66"/>
      <c r="D196" s="67"/>
      <c r="E196" s="67"/>
      <c r="F196" s="67"/>
      <c r="G196" s="68"/>
    </row>
    <row r="197" spans="1:7" ht="13.5" x14ac:dyDescent="0.25">
      <c r="A197" s="52"/>
      <c r="B197" s="53"/>
      <c r="C197" s="52"/>
      <c r="D197" s="53"/>
      <c r="E197" s="53"/>
      <c r="F197" s="61"/>
      <c r="G197" s="54"/>
    </row>
    <row r="198" spans="1:7" ht="13.5" x14ac:dyDescent="0.25">
      <c r="A198" s="52"/>
      <c r="B198" s="53"/>
      <c r="C198" s="52"/>
      <c r="D198" s="53"/>
      <c r="E198" s="53"/>
      <c r="F198" s="61"/>
      <c r="G198" s="54"/>
    </row>
    <row r="199" spans="1:7" ht="13.5" x14ac:dyDescent="0.25">
      <c r="A199" s="2"/>
      <c r="B199" s="55" t="s">
        <v>42</v>
      </c>
      <c r="C199" s="56"/>
      <c r="D199" s="10"/>
      <c r="E199" s="10"/>
      <c r="F199" s="40"/>
      <c r="G199" s="12">
        <f>SUMIFS(G17:G198,B17:B198,"Итого")</f>
        <v>163129.34415237643</v>
      </c>
    </row>
    <row r="200" spans="1:7" ht="13.5" x14ac:dyDescent="0.25">
      <c r="A200" s="2"/>
      <c r="B200" s="55" t="s">
        <v>30</v>
      </c>
      <c r="C200" s="56"/>
      <c r="D200" s="10"/>
      <c r="E200" s="10"/>
      <c r="F200" s="10"/>
      <c r="G200" s="12"/>
    </row>
    <row r="201" spans="1:7" ht="13.5" x14ac:dyDescent="0.25">
      <c r="A201" s="2"/>
      <c r="B201" s="57" t="s">
        <v>51</v>
      </c>
      <c r="C201" s="56"/>
      <c r="D201" s="10"/>
      <c r="E201" s="10"/>
      <c r="F201" s="72">
        <f>G24+G25+G26+G27+G28+G29+G30++G32+G33+G34+G43+G44+G45+G46+G47+G48+G49+G51+G52+G53+G62+G63+G64+G66+G67+G68+G69+G71+G72+G73+G82+G83+G84+G85+G86+G87+G89+G90+G91+G100+G101+G102+G103+G104+G105+G107+G108+G109+G118+G119+G120+G121+G122+G123+G125+G126+G127+G135+G136+G137+G138+G139+G140+G141+G142+G144+G145+G146+G155+G156+G157+G158+G159+G160+G162+G163+G164+G170+G172+G173+G174+G175+G184+G185+G186+G187+G188+G189+G190+G192+G193+G194</f>
        <v>134127.23286037645</v>
      </c>
      <c r="G201" s="12">
        <f>G199-G202-G203-G204</f>
        <v>134127.23286037645</v>
      </c>
    </row>
    <row r="202" spans="1:7" ht="13.5" x14ac:dyDescent="0.25">
      <c r="A202" s="2"/>
      <c r="B202" s="57" t="s">
        <v>52</v>
      </c>
      <c r="C202" s="56"/>
      <c r="D202" s="10"/>
      <c r="E202" s="10"/>
      <c r="F202" s="10"/>
      <c r="G202" s="12">
        <f>SUMIFS(G17:G198,C17:C198,"маш/час")</f>
        <v>12248.620223999998</v>
      </c>
    </row>
    <row r="203" spans="1:7" ht="13.5" x14ac:dyDescent="0.25">
      <c r="A203" s="2"/>
      <c r="B203" s="57" t="s">
        <v>53</v>
      </c>
      <c r="C203" s="56"/>
      <c r="D203" s="10"/>
      <c r="E203" s="10"/>
      <c r="F203" s="10"/>
      <c r="G203" s="12">
        <f>SUMIFS(G17:G198,A17:A198,1)</f>
        <v>15409.510092000002</v>
      </c>
    </row>
    <row r="204" spans="1:7" ht="13.5" x14ac:dyDescent="0.25">
      <c r="A204" s="2"/>
      <c r="B204" s="57" t="s">
        <v>54</v>
      </c>
      <c r="C204" s="56"/>
      <c r="D204" s="10"/>
      <c r="E204" s="10"/>
      <c r="F204" s="10"/>
      <c r="G204" s="12">
        <f>SUMIFS(G17:G198,A17:A198,2)</f>
        <v>1343.9809760000003</v>
      </c>
    </row>
    <row r="205" spans="1:7" ht="13.5" x14ac:dyDescent="0.25">
      <c r="A205" s="2"/>
      <c r="B205" s="12" t="s">
        <v>37</v>
      </c>
      <c r="C205" s="56"/>
      <c r="D205" s="10"/>
      <c r="E205" s="10"/>
      <c r="F205" s="10"/>
      <c r="G205" s="12">
        <f>(G203+G204)*25%</f>
        <v>4188.3727670000007</v>
      </c>
    </row>
    <row r="206" spans="1:7" ht="13.5" x14ac:dyDescent="0.25">
      <c r="A206" s="15"/>
      <c r="B206" s="25" t="s">
        <v>8</v>
      </c>
      <c r="C206" s="17"/>
      <c r="D206" s="26"/>
      <c r="E206" s="27"/>
      <c r="F206" s="28"/>
      <c r="G206" s="12">
        <f>SUM(G201:G205)</f>
        <v>167317.71691937643</v>
      </c>
    </row>
    <row r="207" spans="1:7" ht="13.5" x14ac:dyDescent="0.25">
      <c r="A207" s="2"/>
      <c r="B207" s="4" t="s">
        <v>61</v>
      </c>
      <c r="C207" s="8"/>
      <c r="D207" s="9"/>
      <c r="E207" s="9"/>
      <c r="F207" s="10"/>
      <c r="G207" s="12">
        <f>G206*10%</f>
        <v>16731.771691937643</v>
      </c>
    </row>
    <row r="208" spans="1:7" ht="13.5" x14ac:dyDescent="0.25">
      <c r="A208" s="2"/>
      <c r="B208" s="4" t="s">
        <v>55</v>
      </c>
      <c r="C208" s="7" t="s">
        <v>11</v>
      </c>
      <c r="D208" s="11"/>
      <c r="E208" s="5">
        <f>SUMIFS(E197:E204,B197:B204,"Бетон марки БМ-350")</f>
        <v>0</v>
      </c>
      <c r="F208" s="63"/>
      <c r="G208" s="12">
        <f>+F208*E208</f>
        <v>0</v>
      </c>
    </row>
    <row r="209" spans="1:7" ht="13.5" x14ac:dyDescent="0.25">
      <c r="A209" s="2"/>
      <c r="B209" s="4" t="s">
        <v>56</v>
      </c>
      <c r="C209" s="7" t="s">
        <v>11</v>
      </c>
      <c r="D209" s="11"/>
      <c r="E209" s="5">
        <f>E208</f>
        <v>0</v>
      </c>
      <c r="F209" s="63"/>
      <c r="G209" s="12">
        <f>+F209*E209</f>
        <v>0</v>
      </c>
    </row>
    <row r="210" spans="1:7" ht="13.5" x14ac:dyDescent="0.25">
      <c r="A210" s="2"/>
      <c r="B210" s="55" t="s">
        <v>8</v>
      </c>
      <c r="C210" s="56"/>
      <c r="D210" s="10"/>
      <c r="E210" s="10"/>
      <c r="F210" s="10"/>
      <c r="G210" s="12">
        <f>SUM(G206:G209)</f>
        <v>184049.48861131407</v>
      </c>
    </row>
    <row r="211" spans="1:7" ht="13.5" x14ac:dyDescent="0.25">
      <c r="A211" s="2"/>
      <c r="B211" s="55" t="s">
        <v>63</v>
      </c>
      <c r="C211" s="56"/>
      <c r="D211" s="10"/>
      <c r="E211" s="10"/>
      <c r="F211" s="10"/>
      <c r="G211" s="12">
        <f>G210*7%</f>
        <v>12883.464202791985</v>
      </c>
    </row>
    <row r="212" spans="1:7" ht="13.5" x14ac:dyDescent="0.25">
      <c r="A212" s="2"/>
      <c r="B212" s="55" t="s">
        <v>31</v>
      </c>
      <c r="C212" s="56"/>
      <c r="D212" s="10"/>
      <c r="E212" s="10"/>
      <c r="F212" s="10"/>
      <c r="G212" s="12">
        <f>SUM(G210:G211)</f>
        <v>196932.95281410604</v>
      </c>
    </row>
    <row r="213" spans="1:7" x14ac:dyDescent="0.25">
      <c r="F213" s="40"/>
    </row>
    <row r="214" spans="1:7" x14ac:dyDescent="0.25">
      <c r="F214" s="40"/>
    </row>
    <row r="215" spans="1:7" x14ac:dyDescent="0.25">
      <c r="F215" s="40"/>
    </row>
    <row r="216" spans="1:7" ht="13.5" x14ac:dyDescent="0.25">
      <c r="A216" s="13"/>
      <c r="B216" s="136" t="s">
        <v>33</v>
      </c>
      <c r="C216" s="144" t="s">
        <v>35</v>
      </c>
      <c r="D216" s="144"/>
      <c r="E216" s="144"/>
      <c r="F216" s="144"/>
      <c r="G216" s="14"/>
    </row>
    <row r="217" spans="1:7" ht="13.5" x14ac:dyDescent="0.25">
      <c r="A217" s="13"/>
      <c r="B217" s="136"/>
      <c r="C217" s="136"/>
      <c r="D217" s="136"/>
      <c r="E217" s="136"/>
      <c r="F217" s="136"/>
      <c r="G217" s="14"/>
    </row>
    <row r="218" spans="1:7" ht="13.5" x14ac:dyDescent="0.25">
      <c r="A218" s="13"/>
      <c r="B218" s="136" t="s">
        <v>34</v>
      </c>
      <c r="C218" s="144" t="s">
        <v>36</v>
      </c>
      <c r="D218" s="144"/>
      <c r="E218" s="144"/>
      <c r="F218" s="144"/>
      <c r="G218" s="14"/>
    </row>
    <row r="219" spans="1:7" x14ac:dyDescent="0.25">
      <c r="F219" s="40"/>
    </row>
    <row r="220" spans="1:7" x14ac:dyDescent="0.25">
      <c r="F220" s="40"/>
    </row>
    <row r="221" spans="1:7" x14ac:dyDescent="0.25">
      <c r="F221" s="40"/>
    </row>
    <row r="229" spans="2:9" x14ac:dyDescent="0.25">
      <c r="B229" s="19" t="s">
        <v>93</v>
      </c>
      <c r="C229" s="22" t="s">
        <v>12</v>
      </c>
      <c r="D229" s="69"/>
      <c r="E229" s="23">
        <f t="shared" ref="E229:E257" si="16">SUMIFS($E$17:$E$197,$B$17:$B$197,B229)</f>
        <v>1.4999999999999999E-2</v>
      </c>
      <c r="F229" s="31">
        <v>6500</v>
      </c>
      <c r="G229" s="36">
        <f>E229*F229</f>
        <v>97.5</v>
      </c>
      <c r="H229" s="74">
        <f t="shared" ref="H229:H257" si="17">SUMIFS($G$17:$G$197,$B$17:$B$197,B229)</f>
        <v>97.5</v>
      </c>
      <c r="I229" s="40">
        <f t="shared" ref="I229:I254" si="18">G229-H229</f>
        <v>0</v>
      </c>
    </row>
    <row r="230" spans="2:9" x14ac:dyDescent="0.25">
      <c r="B230" s="19" t="s">
        <v>65</v>
      </c>
      <c r="C230" s="22" t="s">
        <v>12</v>
      </c>
      <c r="D230" s="69"/>
      <c r="E230" s="23">
        <f t="shared" si="16"/>
        <v>1.5049999999999999</v>
      </c>
      <c r="F230" s="31">
        <v>6500</v>
      </c>
      <c r="G230" s="36">
        <f t="shared" ref="G230:G257" si="19">E230*F230</f>
        <v>9782.5</v>
      </c>
      <c r="H230" s="74">
        <f t="shared" si="17"/>
        <v>9782.5</v>
      </c>
      <c r="I230" s="40">
        <f t="shared" si="18"/>
        <v>0</v>
      </c>
    </row>
    <row r="231" spans="2:9" x14ac:dyDescent="0.25">
      <c r="B231" s="19" t="s">
        <v>87</v>
      </c>
      <c r="C231" s="22" t="s">
        <v>12</v>
      </c>
      <c r="D231" s="69"/>
      <c r="E231" s="23">
        <f t="shared" si="16"/>
        <v>4.5759999999999996</v>
      </c>
      <c r="F231" s="31">
        <v>6500</v>
      </c>
      <c r="G231" s="36">
        <f t="shared" si="19"/>
        <v>29743.999999999996</v>
      </c>
      <c r="H231" s="74">
        <f t="shared" si="17"/>
        <v>29744</v>
      </c>
      <c r="I231" s="40">
        <f t="shared" si="18"/>
        <v>0</v>
      </c>
    </row>
    <row r="232" spans="2:9" x14ac:dyDescent="0.25">
      <c r="B232" s="19" t="s">
        <v>44</v>
      </c>
      <c r="C232" s="22" t="s">
        <v>12</v>
      </c>
      <c r="D232" s="6"/>
      <c r="E232" s="23">
        <f t="shared" si="16"/>
        <v>0.57200000000000006</v>
      </c>
      <c r="F232" s="31">
        <v>6500</v>
      </c>
      <c r="G232" s="36">
        <f t="shared" si="19"/>
        <v>3718.0000000000005</v>
      </c>
      <c r="H232" s="74">
        <f t="shared" si="17"/>
        <v>3718</v>
      </c>
      <c r="I232" s="40">
        <f t="shared" si="18"/>
        <v>0</v>
      </c>
    </row>
    <row r="233" spans="2:9" x14ac:dyDescent="0.25">
      <c r="B233" s="19" t="s">
        <v>71</v>
      </c>
      <c r="C233" s="22" t="s">
        <v>12</v>
      </c>
      <c r="D233" s="6"/>
      <c r="E233" s="23">
        <f t="shared" si="16"/>
        <v>1.2549999999999999</v>
      </c>
      <c r="F233" s="31">
        <v>6500</v>
      </c>
      <c r="G233" s="36">
        <f t="shared" si="19"/>
        <v>8157.4999999999991</v>
      </c>
      <c r="H233" s="74">
        <f t="shared" si="17"/>
        <v>8157.4999999999991</v>
      </c>
      <c r="I233" s="40">
        <f t="shared" si="18"/>
        <v>0</v>
      </c>
    </row>
    <row r="234" spans="2:9" x14ac:dyDescent="0.25">
      <c r="B234" s="19" t="s">
        <v>83</v>
      </c>
      <c r="C234" s="22" t="s">
        <v>12</v>
      </c>
      <c r="D234" s="69"/>
      <c r="E234" s="23">
        <f t="shared" si="16"/>
        <v>1.0310000000000001</v>
      </c>
      <c r="F234" s="31">
        <v>6500</v>
      </c>
      <c r="G234" s="36">
        <f t="shared" si="19"/>
        <v>6701.5000000000009</v>
      </c>
      <c r="H234" s="74">
        <f t="shared" si="17"/>
        <v>6701.5</v>
      </c>
      <c r="I234" s="40">
        <f t="shared" si="18"/>
        <v>0</v>
      </c>
    </row>
    <row r="235" spans="2:9" x14ac:dyDescent="0.25">
      <c r="B235" s="19" t="s">
        <v>43</v>
      </c>
      <c r="C235" s="22" t="s">
        <v>12</v>
      </c>
      <c r="D235" s="69"/>
      <c r="E235" s="23">
        <f t="shared" si="16"/>
        <v>0.68799999999999994</v>
      </c>
      <c r="F235" s="31">
        <v>6500</v>
      </c>
      <c r="G235" s="36">
        <f t="shared" si="19"/>
        <v>4472</v>
      </c>
      <c r="H235" s="74">
        <f t="shared" si="17"/>
        <v>4472</v>
      </c>
      <c r="I235" s="40">
        <f t="shared" si="18"/>
        <v>0</v>
      </c>
    </row>
    <row r="236" spans="2:9" x14ac:dyDescent="0.25">
      <c r="B236" s="19" t="s">
        <v>80</v>
      </c>
      <c r="C236" s="22" t="s">
        <v>12</v>
      </c>
      <c r="D236" s="69"/>
      <c r="E236" s="23">
        <f t="shared" si="16"/>
        <v>2.206</v>
      </c>
      <c r="F236" s="31">
        <v>6500</v>
      </c>
      <c r="G236" s="36">
        <f t="shared" si="19"/>
        <v>14339</v>
      </c>
      <c r="H236" s="74">
        <f t="shared" si="17"/>
        <v>14339</v>
      </c>
      <c r="I236" s="40">
        <f t="shared" si="18"/>
        <v>0</v>
      </c>
    </row>
    <row r="237" spans="2:9" x14ac:dyDescent="0.25">
      <c r="B237" s="19" t="s">
        <v>75</v>
      </c>
      <c r="C237" s="22" t="s">
        <v>12</v>
      </c>
      <c r="D237" s="69"/>
      <c r="E237" s="23">
        <f t="shared" si="16"/>
        <v>1.2290000000000001</v>
      </c>
      <c r="F237" s="31">
        <v>6500</v>
      </c>
      <c r="G237" s="36">
        <f t="shared" si="19"/>
        <v>7988.5000000000009</v>
      </c>
      <c r="H237" s="74">
        <f t="shared" si="17"/>
        <v>7988.5</v>
      </c>
      <c r="I237" s="40">
        <f t="shared" si="18"/>
        <v>0</v>
      </c>
    </row>
    <row r="238" spans="2:9" x14ac:dyDescent="0.25">
      <c r="B238" s="19" t="s">
        <v>77</v>
      </c>
      <c r="C238" s="22" t="s">
        <v>12</v>
      </c>
      <c r="D238" s="69"/>
      <c r="E238" s="23">
        <f t="shared" si="16"/>
        <v>0</v>
      </c>
      <c r="F238" s="31">
        <v>6500</v>
      </c>
      <c r="G238" s="36">
        <f t="shared" si="19"/>
        <v>0</v>
      </c>
      <c r="H238" s="74">
        <f t="shared" si="17"/>
        <v>0</v>
      </c>
      <c r="I238" s="40">
        <f t="shared" si="18"/>
        <v>0</v>
      </c>
    </row>
    <row r="239" spans="2:9" x14ac:dyDescent="0.25">
      <c r="B239" s="19" t="s">
        <v>79</v>
      </c>
      <c r="C239" s="22" t="s">
        <v>12</v>
      </c>
      <c r="D239" s="69"/>
      <c r="E239" s="23">
        <f t="shared" si="16"/>
        <v>0</v>
      </c>
      <c r="F239" s="31">
        <v>6500</v>
      </c>
      <c r="G239" s="36">
        <f t="shared" si="19"/>
        <v>0</v>
      </c>
      <c r="H239" s="74">
        <f t="shared" si="17"/>
        <v>0</v>
      </c>
      <c r="I239" s="40">
        <f t="shared" si="18"/>
        <v>0</v>
      </c>
    </row>
    <row r="240" spans="2:9" x14ac:dyDescent="0.25">
      <c r="B240" s="19" t="s">
        <v>78</v>
      </c>
      <c r="C240" s="22" t="s">
        <v>12</v>
      </c>
      <c r="D240" s="69"/>
      <c r="E240" s="23">
        <f t="shared" si="16"/>
        <v>0</v>
      </c>
      <c r="F240" s="31">
        <v>6500</v>
      </c>
      <c r="G240" s="36">
        <f>E240*F240</f>
        <v>0</v>
      </c>
      <c r="H240" s="74">
        <f t="shared" si="17"/>
        <v>0</v>
      </c>
      <c r="I240" s="40">
        <f t="shared" si="18"/>
        <v>0</v>
      </c>
    </row>
    <row r="241" spans="2:9" x14ac:dyDescent="0.25">
      <c r="B241" s="19" t="s">
        <v>76</v>
      </c>
      <c r="C241" s="22" t="s">
        <v>11</v>
      </c>
      <c r="D241" s="69"/>
      <c r="E241" s="23">
        <f t="shared" si="16"/>
        <v>104.5985</v>
      </c>
      <c r="F241" s="31"/>
      <c r="G241" s="36">
        <f t="shared" si="19"/>
        <v>0</v>
      </c>
      <c r="H241" s="74">
        <f t="shared" si="17"/>
        <v>0</v>
      </c>
      <c r="I241" s="40">
        <f t="shared" si="18"/>
        <v>0</v>
      </c>
    </row>
    <row r="242" spans="2:9" x14ac:dyDescent="0.25">
      <c r="B242" s="19" t="s">
        <v>50</v>
      </c>
      <c r="C242" s="22" t="s">
        <v>11</v>
      </c>
      <c r="D242" s="69"/>
      <c r="E242" s="23">
        <f t="shared" si="16"/>
        <v>9.1999999999999998E-3</v>
      </c>
      <c r="F242" s="31">
        <v>2000</v>
      </c>
      <c r="G242" s="36">
        <f t="shared" si="19"/>
        <v>18.399999999999999</v>
      </c>
      <c r="H242" s="74">
        <f t="shared" si="17"/>
        <v>18.399999999999999</v>
      </c>
      <c r="I242" s="40">
        <f t="shared" si="18"/>
        <v>0</v>
      </c>
    </row>
    <row r="243" spans="2:9" x14ac:dyDescent="0.25">
      <c r="B243" s="21" t="s">
        <v>13</v>
      </c>
      <c r="C243" s="22" t="s">
        <v>12</v>
      </c>
      <c r="D243" s="69"/>
      <c r="E243" s="23">
        <f t="shared" si="16"/>
        <v>2.7800000000000002E-2</v>
      </c>
      <c r="F243" s="31">
        <v>8500</v>
      </c>
      <c r="G243" s="36">
        <f t="shared" si="19"/>
        <v>236.3</v>
      </c>
      <c r="H243" s="74">
        <f t="shared" si="17"/>
        <v>236.30000000000004</v>
      </c>
      <c r="I243" s="40">
        <f t="shared" si="18"/>
        <v>0</v>
      </c>
    </row>
    <row r="244" spans="2:9" x14ac:dyDescent="0.25">
      <c r="B244" s="19" t="s">
        <v>82</v>
      </c>
      <c r="C244" s="22" t="s">
        <v>11</v>
      </c>
      <c r="D244" s="69"/>
      <c r="E244" s="23">
        <f t="shared" si="16"/>
        <v>0.96629999999999994</v>
      </c>
      <c r="F244" s="31">
        <v>2563.75</v>
      </c>
      <c r="G244" s="36">
        <f t="shared" si="19"/>
        <v>2477.3516249999998</v>
      </c>
      <c r="H244" s="74">
        <f t="shared" si="17"/>
        <v>2477.3516249999998</v>
      </c>
      <c r="I244" s="40">
        <f t="shared" si="18"/>
        <v>0</v>
      </c>
    </row>
    <row r="245" spans="2:9" x14ac:dyDescent="0.25">
      <c r="B245" s="19" t="s">
        <v>103</v>
      </c>
      <c r="C245" s="22" t="s">
        <v>104</v>
      </c>
      <c r="D245" s="69"/>
      <c r="E245" s="23">
        <f t="shared" si="16"/>
        <v>23.312000000000001</v>
      </c>
      <c r="F245" s="31">
        <v>593.79999999999995</v>
      </c>
      <c r="G245" s="36">
        <f t="shared" si="19"/>
        <v>13842.6656</v>
      </c>
      <c r="H245" s="74">
        <f t="shared" si="17"/>
        <v>13842.6656</v>
      </c>
      <c r="I245" s="40">
        <f t="shared" si="18"/>
        <v>0</v>
      </c>
    </row>
    <row r="246" spans="2:9" x14ac:dyDescent="0.25">
      <c r="B246" s="19" t="s">
        <v>90</v>
      </c>
      <c r="C246" s="22" t="s">
        <v>64</v>
      </c>
      <c r="D246" s="69"/>
      <c r="E246" s="23">
        <f t="shared" si="16"/>
        <v>0</v>
      </c>
      <c r="F246" s="31">
        <v>50</v>
      </c>
      <c r="G246" s="36">
        <f t="shared" si="19"/>
        <v>0</v>
      </c>
      <c r="H246" s="74">
        <f t="shared" si="17"/>
        <v>0</v>
      </c>
      <c r="I246" s="40">
        <f t="shared" si="18"/>
        <v>0</v>
      </c>
    </row>
    <row r="247" spans="2:9" x14ac:dyDescent="0.25">
      <c r="B247" s="19" t="s">
        <v>91</v>
      </c>
      <c r="C247" s="22" t="s">
        <v>64</v>
      </c>
      <c r="D247" s="69"/>
      <c r="E247" s="23">
        <f t="shared" si="16"/>
        <v>0</v>
      </c>
      <c r="F247" s="31">
        <v>50</v>
      </c>
      <c r="G247" s="36">
        <f t="shared" si="19"/>
        <v>0</v>
      </c>
      <c r="H247" s="74">
        <f t="shared" si="17"/>
        <v>0</v>
      </c>
      <c r="I247" s="40">
        <f t="shared" si="18"/>
        <v>0</v>
      </c>
    </row>
    <row r="248" spans="2:9" x14ac:dyDescent="0.25">
      <c r="B248" s="19" t="s">
        <v>92</v>
      </c>
      <c r="C248" s="22" t="s">
        <v>64</v>
      </c>
      <c r="D248" s="69"/>
      <c r="E248" s="23">
        <f t="shared" si="16"/>
        <v>0</v>
      </c>
      <c r="F248" s="31">
        <v>50</v>
      </c>
      <c r="G248" s="36">
        <f t="shared" si="19"/>
        <v>0</v>
      </c>
      <c r="H248" s="74">
        <f t="shared" si="17"/>
        <v>0</v>
      </c>
      <c r="I248" s="40">
        <f t="shared" si="18"/>
        <v>0</v>
      </c>
    </row>
    <row r="249" spans="2:9" x14ac:dyDescent="0.25">
      <c r="B249" s="21" t="s">
        <v>29</v>
      </c>
      <c r="C249" s="22" t="s">
        <v>12</v>
      </c>
      <c r="D249" s="69"/>
      <c r="E249" s="23">
        <f t="shared" si="16"/>
        <v>74.097699999999989</v>
      </c>
      <c r="F249" s="31">
        <f>2449.06/159.17</f>
        <v>15.386442168750394</v>
      </c>
      <c r="G249" s="36">
        <f t="shared" si="19"/>
        <v>1140.0999758874159</v>
      </c>
      <c r="H249" s="74">
        <f t="shared" si="17"/>
        <v>1140.0999758874161</v>
      </c>
      <c r="I249" s="40">
        <f t="shared" si="18"/>
        <v>0</v>
      </c>
    </row>
    <row r="250" spans="2:9" x14ac:dyDescent="0.25">
      <c r="B250" s="21" t="s">
        <v>101</v>
      </c>
      <c r="C250" s="22" t="s">
        <v>12</v>
      </c>
      <c r="D250" s="69"/>
      <c r="E250" s="23">
        <f t="shared" si="16"/>
        <v>27.6279</v>
      </c>
      <c r="F250" s="31">
        <v>36</v>
      </c>
      <c r="G250" s="36">
        <f t="shared" si="19"/>
        <v>994.60440000000006</v>
      </c>
      <c r="H250" s="74">
        <f t="shared" si="17"/>
        <v>994.60440000000006</v>
      </c>
      <c r="I250" s="40">
        <f t="shared" si="18"/>
        <v>0</v>
      </c>
    </row>
    <row r="251" spans="2:9" x14ac:dyDescent="0.25">
      <c r="B251" s="19" t="s">
        <v>25</v>
      </c>
      <c r="C251" s="22" t="s">
        <v>11</v>
      </c>
      <c r="D251" s="69"/>
      <c r="E251" s="23">
        <f t="shared" si="16"/>
        <v>0.26979999999999998</v>
      </c>
      <c r="F251" s="31">
        <v>2500</v>
      </c>
      <c r="G251" s="36">
        <f t="shared" si="19"/>
        <v>674.5</v>
      </c>
      <c r="H251" s="74">
        <f t="shared" si="17"/>
        <v>674.5</v>
      </c>
      <c r="I251" s="40">
        <f t="shared" si="18"/>
        <v>0</v>
      </c>
    </row>
    <row r="252" spans="2:9" x14ac:dyDescent="0.25">
      <c r="B252" s="19" t="s">
        <v>70</v>
      </c>
      <c r="C252" s="22" t="s">
        <v>12</v>
      </c>
      <c r="D252" s="69"/>
      <c r="E252" s="23">
        <f t="shared" si="16"/>
        <v>7.4000000000000003E-3</v>
      </c>
      <c r="F252" s="31">
        <v>5423.7330000000002</v>
      </c>
      <c r="G252" s="36">
        <f t="shared" si="19"/>
        <v>40.135624200000002</v>
      </c>
      <c r="H252" s="74">
        <f t="shared" si="17"/>
        <v>40.135624200000002</v>
      </c>
      <c r="I252" s="40">
        <f t="shared" si="18"/>
        <v>0</v>
      </c>
    </row>
    <row r="253" spans="2:9" x14ac:dyDescent="0.25">
      <c r="B253" s="21" t="s">
        <v>99</v>
      </c>
      <c r="C253" s="22" t="s">
        <v>12</v>
      </c>
      <c r="D253" s="69"/>
      <c r="E253" s="23">
        <f t="shared" si="16"/>
        <v>3.4927000000000001</v>
      </c>
      <c r="F253" s="31">
        <v>580</v>
      </c>
      <c r="G253" s="36">
        <f t="shared" si="19"/>
        <v>2025.7660000000001</v>
      </c>
      <c r="H253" s="74">
        <f t="shared" si="17"/>
        <v>2025.7660000000001</v>
      </c>
      <c r="I253" s="40">
        <f t="shared" si="18"/>
        <v>0</v>
      </c>
    </row>
    <row r="254" spans="2:9" x14ac:dyDescent="0.25">
      <c r="B254" s="21" t="s">
        <v>72</v>
      </c>
      <c r="C254" s="22" t="s">
        <v>12</v>
      </c>
      <c r="D254" s="69"/>
      <c r="E254" s="23">
        <f t="shared" si="16"/>
        <v>39.186999999999998</v>
      </c>
      <c r="F254" s="73">
        <v>630</v>
      </c>
      <c r="G254" s="36">
        <f t="shared" si="19"/>
        <v>24687.809999999998</v>
      </c>
      <c r="H254" s="74">
        <f t="shared" si="17"/>
        <v>24687.81</v>
      </c>
      <c r="I254" s="40">
        <f t="shared" si="18"/>
        <v>0</v>
      </c>
    </row>
    <row r="255" spans="2:9" x14ac:dyDescent="0.25">
      <c r="B255" s="21" t="s">
        <v>28</v>
      </c>
      <c r="C255" s="22" t="s">
        <v>12</v>
      </c>
      <c r="D255" s="69"/>
      <c r="E255" s="23">
        <f t="shared" si="16"/>
        <v>135.09699999999998</v>
      </c>
      <c r="F255" s="31">
        <f>4991.72/392.53</f>
        <v>12.7167859781418</v>
      </c>
      <c r="G255" s="36">
        <f t="shared" si="19"/>
        <v>1717.9996352890225</v>
      </c>
      <c r="H255" s="74">
        <f t="shared" si="17"/>
        <v>1717.9996352890228</v>
      </c>
      <c r="I255" s="40">
        <f>G255-H255</f>
        <v>0</v>
      </c>
    </row>
    <row r="256" spans="2:9" x14ac:dyDescent="0.25">
      <c r="B256" s="19" t="s">
        <v>24</v>
      </c>
      <c r="C256" s="22" t="s">
        <v>14</v>
      </c>
      <c r="D256" s="69"/>
      <c r="E256" s="23">
        <f t="shared" si="16"/>
        <v>58.785699999999999</v>
      </c>
      <c r="F256" s="73"/>
      <c r="G256" s="36">
        <f t="shared" si="19"/>
        <v>0</v>
      </c>
      <c r="H256" s="74">
        <f t="shared" si="17"/>
        <v>0</v>
      </c>
      <c r="I256" s="40">
        <f>G256-H256</f>
        <v>0</v>
      </c>
    </row>
    <row r="257" spans="2:9" x14ac:dyDescent="0.25">
      <c r="B257" s="19" t="s">
        <v>39</v>
      </c>
      <c r="C257" s="22" t="s">
        <v>12</v>
      </c>
      <c r="D257" s="69"/>
      <c r="E257" s="23">
        <f t="shared" si="16"/>
        <v>0.13380000000000003</v>
      </c>
      <c r="F257" s="31">
        <v>9500</v>
      </c>
      <c r="G257" s="36">
        <f t="shared" si="19"/>
        <v>1271.1000000000004</v>
      </c>
      <c r="H257" s="74">
        <f t="shared" si="17"/>
        <v>1271.0999999999999</v>
      </c>
      <c r="I257" s="40">
        <f>G257-H257</f>
        <v>0</v>
      </c>
    </row>
    <row r="258" spans="2:9" x14ac:dyDescent="0.25">
      <c r="G258" s="58">
        <f>SUM(G229:G257)</f>
        <v>134127.23286037645</v>
      </c>
    </row>
  </sheetData>
  <autoFilter ref="A15:G195">
    <filterColumn colId="3" showButton="0"/>
  </autoFilter>
  <mergeCells count="17">
    <mergeCell ref="C216:F216"/>
    <mergeCell ref="C218:F218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  <mergeCell ref="A10:G10"/>
    <mergeCell ref="E1:G1"/>
    <mergeCell ref="E3:G3"/>
    <mergeCell ref="E5:G5"/>
    <mergeCell ref="A6:E6"/>
    <mergeCell ref="A8:G8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85"/>
  <sheetViews>
    <sheetView view="pageBreakPreview" zoomScale="130" zoomScaleNormal="130" zoomScaleSheetLayoutView="130" workbookViewId="0">
      <selection activeCell="E91" sqref="E91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35"/>
      <c r="C7" s="135"/>
      <c r="D7" s="134"/>
      <c r="E7" s="134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37"/>
      <c r="B9" s="48"/>
      <c r="C9" s="137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37"/>
      <c r="B11" s="145" t="s">
        <v>192</v>
      </c>
      <c r="C11" s="145"/>
      <c r="D11" s="145"/>
      <c r="E11" s="145"/>
      <c r="F11" s="145"/>
      <c r="G11" s="145"/>
    </row>
    <row r="12" spans="1:7" ht="20.25" x14ac:dyDescent="0.25">
      <c r="A12" s="146" t="s">
        <v>193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194</v>
      </c>
      <c r="B13" s="148"/>
      <c r="C13" s="148"/>
      <c r="D13" s="148"/>
      <c r="E13" s="148"/>
      <c r="F13" s="149"/>
      <c r="G13" s="148"/>
    </row>
    <row r="14" spans="1:7" ht="13.5" x14ac:dyDescent="0.25">
      <c r="A14" s="137"/>
      <c r="B14" s="137"/>
      <c r="C14" s="137"/>
      <c r="D14" s="137"/>
      <c r="E14" s="137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38" t="s">
        <v>5</v>
      </c>
      <c r="E16" s="138" t="s">
        <v>6</v>
      </c>
      <c r="F16" s="150"/>
      <c r="G16" s="150"/>
    </row>
    <row r="17" spans="1:7" ht="13.5" x14ac:dyDescent="0.25">
      <c r="A17" s="15" t="s">
        <v>81</v>
      </c>
      <c r="B17" s="16" t="s">
        <v>195</v>
      </c>
      <c r="C17" s="17" t="s">
        <v>20</v>
      </c>
      <c r="D17" s="18"/>
      <c r="E17" s="30">
        <f>0.4*0.38*120/100</f>
        <v>0.18240000000000001</v>
      </c>
      <c r="F17" s="31"/>
      <c r="G17" s="31"/>
    </row>
    <row r="18" spans="1:7" x14ac:dyDescent="0.25">
      <c r="A18" s="20">
        <v>1</v>
      </c>
      <c r="B18" s="21" t="s">
        <v>60</v>
      </c>
      <c r="C18" s="22" t="s">
        <v>7</v>
      </c>
      <c r="D18" s="18">
        <v>1749.3</v>
      </c>
      <c r="E18" s="23">
        <f>ROUND(D18*E17,4)</f>
        <v>319.07229999999998</v>
      </c>
      <c r="F18" s="31">
        <v>10.31</v>
      </c>
      <c r="G18" s="31">
        <f t="shared" ref="G18:G35" si="0">F18*E18</f>
        <v>3289.635413</v>
      </c>
    </row>
    <row r="19" spans="1:7" x14ac:dyDescent="0.25">
      <c r="A19" s="20">
        <v>2</v>
      </c>
      <c r="B19" s="21" t="s">
        <v>18</v>
      </c>
      <c r="C19" s="22" t="s">
        <v>7</v>
      </c>
      <c r="D19" s="18">
        <v>91.51</v>
      </c>
      <c r="E19" s="23">
        <f>ROUND(D19*E17,4)</f>
        <v>16.691400000000002</v>
      </c>
      <c r="F19" s="31">
        <v>15.44</v>
      </c>
      <c r="G19" s="31">
        <f t="shared" si="0"/>
        <v>257.715216</v>
      </c>
    </row>
    <row r="20" spans="1:7" ht="25.5" x14ac:dyDescent="0.25">
      <c r="A20" s="20" t="s">
        <v>40</v>
      </c>
      <c r="B20" s="19" t="s">
        <v>47</v>
      </c>
      <c r="C20" s="22" t="s">
        <v>19</v>
      </c>
      <c r="D20" s="18">
        <v>91.51</v>
      </c>
      <c r="E20" s="23">
        <f>ROUND(D20*E17,4)</f>
        <v>16.691400000000002</v>
      </c>
      <c r="F20" s="31">
        <f>152.37-15.44</f>
        <v>136.93</v>
      </c>
      <c r="G20" s="31">
        <f t="shared" si="0"/>
        <v>2285.5534020000005</v>
      </c>
    </row>
    <row r="21" spans="1:7" x14ac:dyDescent="0.25">
      <c r="A21" s="20" t="s">
        <v>41</v>
      </c>
      <c r="B21" s="21" t="s">
        <v>38</v>
      </c>
      <c r="C21" s="22" t="s">
        <v>19</v>
      </c>
      <c r="D21" s="18">
        <v>283.22000000000003</v>
      </c>
      <c r="E21" s="23">
        <f>ROUND(D21*E17,4)</f>
        <v>51.659300000000002</v>
      </c>
      <c r="F21" s="31">
        <v>8.4600000000000009</v>
      </c>
      <c r="G21" s="31">
        <f t="shared" si="0"/>
        <v>437.03767800000008</v>
      </c>
    </row>
    <row r="22" spans="1:7" x14ac:dyDescent="0.25">
      <c r="A22" s="20">
        <v>111100</v>
      </c>
      <c r="B22" s="19" t="s">
        <v>27</v>
      </c>
      <c r="C22" s="22" t="s">
        <v>19</v>
      </c>
      <c r="D22" s="18">
        <v>85.68</v>
      </c>
      <c r="E22" s="23">
        <f>ROUND(D22*E17,4)</f>
        <v>15.628</v>
      </c>
      <c r="F22" s="31">
        <v>2.83</v>
      </c>
      <c r="G22" s="31">
        <f t="shared" si="0"/>
        <v>44.227240000000002</v>
      </c>
    </row>
    <row r="23" spans="1:7" x14ac:dyDescent="0.25">
      <c r="A23" s="20">
        <v>331532</v>
      </c>
      <c r="B23" s="19" t="s">
        <v>26</v>
      </c>
      <c r="C23" s="22" t="s">
        <v>19</v>
      </c>
      <c r="D23" s="18">
        <v>6.28</v>
      </c>
      <c r="E23" s="23">
        <f>ROUND(D23*E17,4)</f>
        <v>1.1455</v>
      </c>
      <c r="F23" s="31">
        <v>1.63</v>
      </c>
      <c r="G23" s="31">
        <f t="shared" si="0"/>
        <v>1.8671649999999997</v>
      </c>
    </row>
    <row r="24" spans="1:7" x14ac:dyDescent="0.25">
      <c r="A24" s="20" t="s">
        <v>48</v>
      </c>
      <c r="B24" s="19" t="s">
        <v>39</v>
      </c>
      <c r="C24" s="22" t="s">
        <v>12</v>
      </c>
      <c r="D24" s="18">
        <v>0.34</v>
      </c>
      <c r="E24" s="23">
        <f>ROUND(D24*E17,4)</f>
        <v>6.2E-2</v>
      </c>
      <c r="F24" s="31">
        <v>9500</v>
      </c>
      <c r="G24" s="31">
        <f t="shared" si="0"/>
        <v>589</v>
      </c>
    </row>
    <row r="25" spans="1:7" x14ac:dyDescent="0.25">
      <c r="A25" s="20" t="s">
        <v>15</v>
      </c>
      <c r="B25" s="21" t="s">
        <v>13</v>
      </c>
      <c r="C25" s="22" t="s">
        <v>12</v>
      </c>
      <c r="D25" s="18">
        <v>6.7000000000000004E-2</v>
      </c>
      <c r="E25" s="23">
        <f>ROUND(D25*E17,4)</f>
        <v>1.2200000000000001E-2</v>
      </c>
      <c r="F25" s="31">
        <v>8500</v>
      </c>
      <c r="G25" s="31">
        <f t="shared" si="0"/>
        <v>103.7</v>
      </c>
    </row>
    <row r="26" spans="1:7" x14ac:dyDescent="0.25">
      <c r="A26" s="20" t="s">
        <v>21</v>
      </c>
      <c r="B26" s="19" t="s">
        <v>82</v>
      </c>
      <c r="C26" s="22" t="s">
        <v>11</v>
      </c>
      <c r="D26" s="18">
        <v>0.17799999999999999</v>
      </c>
      <c r="E26" s="23">
        <f>ROUND(D26*E17,4)</f>
        <v>3.2500000000000001E-2</v>
      </c>
      <c r="F26" s="31">
        <v>2563.75</v>
      </c>
      <c r="G26" s="31">
        <f t="shared" si="0"/>
        <v>83.321875000000006</v>
      </c>
    </row>
    <row r="27" spans="1:7" x14ac:dyDescent="0.25">
      <c r="A27" s="20" t="s">
        <v>22</v>
      </c>
      <c r="B27" s="19" t="s">
        <v>24</v>
      </c>
      <c r="C27" s="22" t="s">
        <v>14</v>
      </c>
      <c r="D27" s="18">
        <v>155</v>
      </c>
      <c r="E27" s="23">
        <f>ROUND(D27*E17,4)</f>
        <v>28.271999999999998</v>
      </c>
      <c r="F27" s="31"/>
      <c r="G27" s="31">
        <f t="shared" si="0"/>
        <v>0</v>
      </c>
    </row>
    <row r="28" spans="1:7" x14ac:dyDescent="0.25">
      <c r="A28" s="20" t="s">
        <v>16</v>
      </c>
      <c r="B28" s="19" t="s">
        <v>75</v>
      </c>
      <c r="C28" s="22" t="s">
        <v>12</v>
      </c>
      <c r="D28" s="18" t="s">
        <v>17</v>
      </c>
      <c r="E28" s="23">
        <f>807/1000</f>
        <v>0.80700000000000005</v>
      </c>
      <c r="F28" s="31">
        <v>6500</v>
      </c>
      <c r="G28" s="31">
        <f t="shared" si="0"/>
        <v>5245.5</v>
      </c>
    </row>
    <row r="29" spans="1:7" x14ac:dyDescent="0.25">
      <c r="A29" s="20" t="s">
        <v>16</v>
      </c>
      <c r="B29" s="19" t="s">
        <v>80</v>
      </c>
      <c r="C29" s="22" t="s">
        <v>12</v>
      </c>
      <c r="D29" s="18" t="s">
        <v>17</v>
      </c>
      <c r="E29" s="23">
        <f>1698/1000</f>
        <v>1.698</v>
      </c>
      <c r="F29" s="31">
        <v>6500</v>
      </c>
      <c r="G29" s="31">
        <f t="shared" si="0"/>
        <v>11037</v>
      </c>
    </row>
    <row r="30" spans="1:7" x14ac:dyDescent="0.25">
      <c r="A30" s="20" t="s">
        <v>16</v>
      </c>
      <c r="B30" s="19" t="s">
        <v>83</v>
      </c>
      <c r="C30" s="22" t="s">
        <v>12</v>
      </c>
      <c r="D30" s="18" t="s">
        <v>17</v>
      </c>
      <c r="E30" s="23">
        <f>221/1000</f>
        <v>0.221</v>
      </c>
      <c r="F30" s="31">
        <v>6500</v>
      </c>
      <c r="G30" s="31">
        <f t="shared" si="0"/>
        <v>1436.5</v>
      </c>
    </row>
    <row r="31" spans="1:7" x14ac:dyDescent="0.25">
      <c r="A31" s="20" t="s">
        <v>16</v>
      </c>
      <c r="B31" s="19" t="s">
        <v>65</v>
      </c>
      <c r="C31" s="22" t="s">
        <v>12</v>
      </c>
      <c r="D31" s="18" t="s">
        <v>17</v>
      </c>
      <c r="E31" s="23">
        <f>557/1000</f>
        <v>0.55700000000000005</v>
      </c>
      <c r="F31" s="31">
        <v>6500</v>
      </c>
      <c r="G31" s="31">
        <f t="shared" si="0"/>
        <v>3620.5000000000005</v>
      </c>
    </row>
    <row r="32" spans="1:7" x14ac:dyDescent="0.25">
      <c r="A32" s="20" t="s">
        <v>23</v>
      </c>
      <c r="B32" s="19" t="s">
        <v>76</v>
      </c>
      <c r="C32" s="22" t="s">
        <v>11</v>
      </c>
      <c r="D32" s="18">
        <v>100</v>
      </c>
      <c r="E32" s="23">
        <f>ROUND(D32*E17,4)</f>
        <v>18.239999999999998</v>
      </c>
      <c r="F32" s="31"/>
      <c r="G32" s="31"/>
    </row>
    <row r="33" spans="1:7" x14ac:dyDescent="0.25">
      <c r="A33" s="20"/>
      <c r="B33" s="32" t="s">
        <v>72</v>
      </c>
      <c r="C33" s="22" t="s">
        <v>12</v>
      </c>
      <c r="D33" s="18">
        <v>0.38200000000000001</v>
      </c>
      <c r="E33" s="23">
        <f>ROUND(D33*E32,4)</f>
        <v>6.9676999999999998</v>
      </c>
      <c r="F33" s="31">
        <v>630</v>
      </c>
      <c r="G33" s="31">
        <f t="shared" si="0"/>
        <v>4389.6509999999998</v>
      </c>
    </row>
    <row r="34" spans="1:7" x14ac:dyDescent="0.25">
      <c r="A34" s="20"/>
      <c r="B34" s="32" t="s">
        <v>29</v>
      </c>
      <c r="C34" s="22" t="s">
        <v>12</v>
      </c>
      <c r="D34" s="18">
        <f>47/100*1.52</f>
        <v>0.71439999999999992</v>
      </c>
      <c r="E34" s="23">
        <f>ROUND(D34*E32,4)</f>
        <v>13.0307</v>
      </c>
      <c r="F34" s="31">
        <f>2449.06/159.17</f>
        <v>15.386442168750394</v>
      </c>
      <c r="G34" s="31">
        <f t="shared" si="0"/>
        <v>200.49611196833575</v>
      </c>
    </row>
    <row r="35" spans="1:7" x14ac:dyDescent="0.25">
      <c r="A35" s="20"/>
      <c r="B35" s="32" t="s">
        <v>28</v>
      </c>
      <c r="C35" s="22" t="s">
        <v>12</v>
      </c>
      <c r="D35" s="18">
        <f>80/100*1.6</f>
        <v>1.2800000000000002</v>
      </c>
      <c r="E35" s="23">
        <f>ROUND(D35*E32,4)</f>
        <v>23.347200000000001</v>
      </c>
      <c r="F35" s="31">
        <f>4991.72/392.53</f>
        <v>12.7167859781418</v>
      </c>
      <c r="G35" s="31">
        <f t="shared" si="0"/>
        <v>296.90134558887223</v>
      </c>
    </row>
    <row r="36" spans="1:7" ht="13.5" x14ac:dyDescent="0.25">
      <c r="A36" s="15"/>
      <c r="B36" s="25" t="s">
        <v>8</v>
      </c>
      <c r="C36" s="17"/>
      <c r="D36" s="26"/>
      <c r="E36" s="27"/>
      <c r="F36" s="31"/>
      <c r="G36" s="71">
        <f>SUM(G18:G35)</f>
        <v>33318.606446557205</v>
      </c>
    </row>
    <row r="37" spans="1:7" ht="13.5" x14ac:dyDescent="0.25">
      <c r="A37" s="15" t="s">
        <v>81</v>
      </c>
      <c r="B37" s="16" t="s">
        <v>196</v>
      </c>
      <c r="C37" s="17" t="s">
        <v>20</v>
      </c>
      <c r="D37" s="18"/>
      <c r="E37" s="30">
        <f>0.4*0.25*28.08/100</f>
        <v>2.8079999999999997E-2</v>
      </c>
      <c r="F37" s="31"/>
      <c r="G37" s="31"/>
    </row>
    <row r="38" spans="1:7" x14ac:dyDescent="0.25">
      <c r="A38" s="20">
        <v>1</v>
      </c>
      <c r="B38" s="21" t="s">
        <v>60</v>
      </c>
      <c r="C38" s="22" t="s">
        <v>7</v>
      </c>
      <c r="D38" s="18">
        <v>1749.3</v>
      </c>
      <c r="E38" s="23">
        <f>ROUND(D38*E37,4)</f>
        <v>49.1203</v>
      </c>
      <c r="F38" s="31">
        <v>10.31</v>
      </c>
      <c r="G38" s="31">
        <f t="shared" ref="G38:G49" si="1">F38*E38</f>
        <v>506.43029300000001</v>
      </c>
    </row>
    <row r="39" spans="1:7" x14ac:dyDescent="0.25">
      <c r="A39" s="20">
        <v>2</v>
      </c>
      <c r="B39" s="21" t="s">
        <v>18</v>
      </c>
      <c r="C39" s="22" t="s">
        <v>7</v>
      </c>
      <c r="D39" s="18">
        <v>91.51</v>
      </c>
      <c r="E39" s="23">
        <f>ROUND(D39*E37,4)</f>
        <v>2.5695999999999999</v>
      </c>
      <c r="F39" s="31">
        <v>15.44</v>
      </c>
      <c r="G39" s="31">
        <f t="shared" si="1"/>
        <v>39.674623999999994</v>
      </c>
    </row>
    <row r="40" spans="1:7" ht="25.5" x14ac:dyDescent="0.25">
      <c r="A40" s="20" t="s">
        <v>40</v>
      </c>
      <c r="B40" s="19" t="s">
        <v>47</v>
      </c>
      <c r="C40" s="22" t="s">
        <v>19</v>
      </c>
      <c r="D40" s="18">
        <v>91.51</v>
      </c>
      <c r="E40" s="23">
        <f>ROUND(D40*E37,4)</f>
        <v>2.5695999999999999</v>
      </c>
      <c r="F40" s="31">
        <f>152.37-15.44</f>
        <v>136.93</v>
      </c>
      <c r="G40" s="31">
        <f t="shared" si="1"/>
        <v>351.85532799999999</v>
      </c>
    </row>
    <row r="41" spans="1:7" x14ac:dyDescent="0.25">
      <c r="A41" s="20" t="s">
        <v>41</v>
      </c>
      <c r="B41" s="21" t="s">
        <v>38</v>
      </c>
      <c r="C41" s="22" t="s">
        <v>19</v>
      </c>
      <c r="D41" s="18">
        <v>283.22000000000003</v>
      </c>
      <c r="E41" s="23">
        <f>ROUND(D41*E37,4)</f>
        <v>7.9527999999999999</v>
      </c>
      <c r="F41" s="31">
        <v>8.4600000000000009</v>
      </c>
      <c r="G41" s="31">
        <f t="shared" si="1"/>
        <v>67.280688000000012</v>
      </c>
    </row>
    <row r="42" spans="1:7" x14ac:dyDescent="0.25">
      <c r="A42" s="20">
        <v>111100</v>
      </c>
      <c r="B42" s="19" t="s">
        <v>27</v>
      </c>
      <c r="C42" s="22" t="s">
        <v>19</v>
      </c>
      <c r="D42" s="18">
        <v>85.68</v>
      </c>
      <c r="E42" s="23">
        <f>ROUND(D42*E37,4)</f>
        <v>2.4058999999999999</v>
      </c>
      <c r="F42" s="31">
        <v>2.83</v>
      </c>
      <c r="G42" s="31">
        <f t="shared" si="1"/>
        <v>6.8086969999999996</v>
      </c>
    </row>
    <row r="43" spans="1:7" x14ac:dyDescent="0.25">
      <c r="A43" s="20">
        <v>331532</v>
      </c>
      <c r="B43" s="19" t="s">
        <v>26</v>
      </c>
      <c r="C43" s="22" t="s">
        <v>19</v>
      </c>
      <c r="D43" s="18">
        <v>6.28</v>
      </c>
      <c r="E43" s="23">
        <f>ROUND(D43*E37,4)</f>
        <v>0.17630000000000001</v>
      </c>
      <c r="F43" s="31">
        <v>1.63</v>
      </c>
      <c r="G43" s="31">
        <f t="shared" si="1"/>
        <v>0.28736899999999999</v>
      </c>
    </row>
    <row r="44" spans="1:7" x14ac:dyDescent="0.25">
      <c r="A44" s="20" t="s">
        <v>48</v>
      </c>
      <c r="B44" s="19" t="s">
        <v>39</v>
      </c>
      <c r="C44" s="22" t="s">
        <v>12</v>
      </c>
      <c r="D44" s="18">
        <v>0.34</v>
      </c>
      <c r="E44" s="23">
        <f>ROUND(D44*E37,4)</f>
        <v>9.4999999999999998E-3</v>
      </c>
      <c r="F44" s="31">
        <v>9500</v>
      </c>
      <c r="G44" s="31">
        <f t="shared" si="1"/>
        <v>90.25</v>
      </c>
    </row>
    <row r="45" spans="1:7" x14ac:dyDescent="0.25">
      <c r="A45" s="20" t="s">
        <v>15</v>
      </c>
      <c r="B45" s="21" t="s">
        <v>13</v>
      </c>
      <c r="C45" s="22" t="s">
        <v>12</v>
      </c>
      <c r="D45" s="18">
        <v>6.7000000000000004E-2</v>
      </c>
      <c r="E45" s="23">
        <f>ROUND(D45*E37,4)</f>
        <v>1.9E-3</v>
      </c>
      <c r="F45" s="31">
        <v>8500</v>
      </c>
      <c r="G45" s="31">
        <f t="shared" si="1"/>
        <v>16.149999999999999</v>
      </c>
    </row>
    <row r="46" spans="1:7" x14ac:dyDescent="0.25">
      <c r="A46" s="20" t="s">
        <v>21</v>
      </c>
      <c r="B46" s="19" t="s">
        <v>82</v>
      </c>
      <c r="C46" s="22" t="s">
        <v>11</v>
      </c>
      <c r="D46" s="18">
        <v>0.17799999999999999</v>
      </c>
      <c r="E46" s="23">
        <f>ROUND(D46*E37,4)</f>
        <v>5.0000000000000001E-3</v>
      </c>
      <c r="F46" s="31">
        <v>2563.75</v>
      </c>
      <c r="G46" s="31">
        <f t="shared" si="1"/>
        <v>12.81875</v>
      </c>
    </row>
    <row r="47" spans="1:7" x14ac:dyDescent="0.25">
      <c r="A47" s="20" t="s">
        <v>22</v>
      </c>
      <c r="B47" s="19" t="s">
        <v>24</v>
      </c>
      <c r="C47" s="22" t="s">
        <v>14</v>
      </c>
      <c r="D47" s="18">
        <v>155</v>
      </c>
      <c r="E47" s="23">
        <f>ROUND(D47*E37,4)</f>
        <v>4.3524000000000003</v>
      </c>
      <c r="F47" s="31"/>
      <c r="G47" s="31">
        <f t="shared" si="1"/>
        <v>0</v>
      </c>
    </row>
    <row r="48" spans="1:7" x14ac:dyDescent="0.25">
      <c r="A48" s="20" t="s">
        <v>16</v>
      </c>
      <c r="B48" s="19" t="s">
        <v>43</v>
      </c>
      <c r="C48" s="22" t="s">
        <v>12</v>
      </c>
      <c r="D48" s="18" t="s">
        <v>17</v>
      </c>
      <c r="E48" s="23">
        <f>193/1000</f>
        <v>0.193</v>
      </c>
      <c r="F48" s="31">
        <v>6500</v>
      </c>
      <c r="G48" s="31">
        <f t="shared" si="1"/>
        <v>1254.5</v>
      </c>
    </row>
    <row r="49" spans="1:7" x14ac:dyDescent="0.25">
      <c r="A49" s="20" t="s">
        <v>16</v>
      </c>
      <c r="B49" s="19" t="s">
        <v>65</v>
      </c>
      <c r="C49" s="22" t="s">
        <v>12</v>
      </c>
      <c r="D49" s="18" t="s">
        <v>17</v>
      </c>
      <c r="E49" s="23">
        <f>63/1000</f>
        <v>6.3E-2</v>
      </c>
      <c r="F49" s="31">
        <v>6500</v>
      </c>
      <c r="G49" s="31">
        <f t="shared" si="1"/>
        <v>409.5</v>
      </c>
    </row>
    <row r="50" spans="1:7" x14ac:dyDescent="0.25">
      <c r="A50" s="20" t="s">
        <v>23</v>
      </c>
      <c r="B50" s="19" t="s">
        <v>76</v>
      </c>
      <c r="C50" s="22" t="s">
        <v>11</v>
      </c>
      <c r="D50" s="18">
        <v>100</v>
      </c>
      <c r="E50" s="23">
        <f>ROUND(D50*E37,4)</f>
        <v>2.8079999999999998</v>
      </c>
      <c r="F50" s="31"/>
      <c r="G50" s="31"/>
    </row>
    <row r="51" spans="1:7" x14ac:dyDescent="0.25">
      <c r="A51" s="20"/>
      <c r="B51" s="32" t="s">
        <v>72</v>
      </c>
      <c r="C51" s="22" t="s">
        <v>12</v>
      </c>
      <c r="D51" s="18">
        <v>0.38200000000000001</v>
      </c>
      <c r="E51" s="23">
        <f>ROUND(D51*E50,4)</f>
        <v>1.0727</v>
      </c>
      <c r="F51" s="31">
        <v>630</v>
      </c>
      <c r="G51" s="31">
        <f t="shared" ref="G51:G53" si="2">F51*E51</f>
        <v>675.80100000000004</v>
      </c>
    </row>
    <row r="52" spans="1:7" x14ac:dyDescent="0.25">
      <c r="A52" s="20"/>
      <c r="B52" s="32" t="s">
        <v>29</v>
      </c>
      <c r="C52" s="22" t="s">
        <v>12</v>
      </c>
      <c r="D52" s="18">
        <f>47/100*1.52</f>
        <v>0.71439999999999992</v>
      </c>
      <c r="E52" s="23">
        <f>ROUND(D52*E50,4)</f>
        <v>2.0059999999999998</v>
      </c>
      <c r="F52" s="31">
        <f>2449.06/159.17</f>
        <v>15.386442168750394</v>
      </c>
      <c r="G52" s="31">
        <f t="shared" si="2"/>
        <v>30.865202990513286</v>
      </c>
    </row>
    <row r="53" spans="1:7" x14ac:dyDescent="0.25">
      <c r="A53" s="20"/>
      <c r="B53" s="32" t="s">
        <v>28</v>
      </c>
      <c r="C53" s="22" t="s">
        <v>12</v>
      </c>
      <c r="D53" s="18">
        <f>80/100*1.6</f>
        <v>1.2800000000000002</v>
      </c>
      <c r="E53" s="23">
        <f>ROUND(D53*E50,4)</f>
        <v>3.5941999999999998</v>
      </c>
      <c r="F53" s="31">
        <f>4991.72/392.53</f>
        <v>12.7167859781418</v>
      </c>
      <c r="G53" s="31">
        <f t="shared" si="2"/>
        <v>45.706672162637254</v>
      </c>
    </row>
    <row r="54" spans="1:7" ht="13.5" x14ac:dyDescent="0.25">
      <c r="A54" s="15"/>
      <c r="B54" s="25" t="s">
        <v>8</v>
      </c>
      <c r="C54" s="17"/>
      <c r="D54" s="26"/>
      <c r="E54" s="27"/>
      <c r="F54" s="31"/>
      <c r="G54" s="71">
        <f>SUM(G38:G53)</f>
        <v>3507.9286241531508</v>
      </c>
    </row>
    <row r="55" spans="1:7" ht="13.5" x14ac:dyDescent="0.25">
      <c r="A55" s="15" t="s">
        <v>81</v>
      </c>
      <c r="B55" s="16" t="s">
        <v>198</v>
      </c>
      <c r="C55" s="17" t="s">
        <v>20</v>
      </c>
      <c r="D55" s="18"/>
      <c r="E55" s="30">
        <f>0.3*0.25*5.4/100</f>
        <v>4.0500000000000006E-3</v>
      </c>
      <c r="F55" s="31"/>
      <c r="G55" s="31"/>
    </row>
    <row r="56" spans="1:7" x14ac:dyDescent="0.25">
      <c r="A56" s="20">
        <v>1</v>
      </c>
      <c r="B56" s="21" t="s">
        <v>60</v>
      </c>
      <c r="C56" s="22" t="s">
        <v>7</v>
      </c>
      <c r="D56" s="18">
        <v>1749.3</v>
      </c>
      <c r="E56" s="23">
        <f>ROUND(D56*E55,4)</f>
        <v>7.0846999999999998</v>
      </c>
      <c r="F56" s="31">
        <v>10.31</v>
      </c>
      <c r="G56" s="31">
        <f t="shared" ref="G56:G67" si="3">F56*E56</f>
        <v>73.043256999999997</v>
      </c>
    </row>
    <row r="57" spans="1:7" x14ac:dyDescent="0.25">
      <c r="A57" s="20">
        <v>2</v>
      </c>
      <c r="B57" s="21" t="s">
        <v>18</v>
      </c>
      <c r="C57" s="22" t="s">
        <v>7</v>
      </c>
      <c r="D57" s="18">
        <v>91.51</v>
      </c>
      <c r="E57" s="23">
        <f>ROUND(D57*E55,4)</f>
        <v>0.37059999999999998</v>
      </c>
      <c r="F57" s="31">
        <v>15.44</v>
      </c>
      <c r="G57" s="31">
        <f t="shared" si="3"/>
        <v>5.7220639999999996</v>
      </c>
    </row>
    <row r="58" spans="1:7" ht="25.5" x14ac:dyDescent="0.25">
      <c r="A58" s="20" t="s">
        <v>40</v>
      </c>
      <c r="B58" s="19" t="s">
        <v>47</v>
      </c>
      <c r="C58" s="22" t="s">
        <v>19</v>
      </c>
      <c r="D58" s="18">
        <v>91.51</v>
      </c>
      <c r="E58" s="23">
        <f>ROUND(D58*E55,4)</f>
        <v>0.37059999999999998</v>
      </c>
      <c r="F58" s="31">
        <f>152.37-15.44</f>
        <v>136.93</v>
      </c>
      <c r="G58" s="31">
        <f t="shared" si="3"/>
        <v>50.746257999999997</v>
      </c>
    </row>
    <row r="59" spans="1:7" x14ac:dyDescent="0.25">
      <c r="A59" s="20" t="s">
        <v>41</v>
      </c>
      <c r="B59" s="21" t="s">
        <v>38</v>
      </c>
      <c r="C59" s="22" t="s">
        <v>19</v>
      </c>
      <c r="D59" s="18">
        <v>283.22000000000003</v>
      </c>
      <c r="E59" s="23">
        <f>ROUND(D59*E55,4)</f>
        <v>1.147</v>
      </c>
      <c r="F59" s="31">
        <v>8.4600000000000009</v>
      </c>
      <c r="G59" s="31">
        <f t="shared" si="3"/>
        <v>9.7036200000000008</v>
      </c>
    </row>
    <row r="60" spans="1:7" x14ac:dyDescent="0.25">
      <c r="A60" s="20">
        <v>111100</v>
      </c>
      <c r="B60" s="19" t="s">
        <v>27</v>
      </c>
      <c r="C60" s="22" t="s">
        <v>19</v>
      </c>
      <c r="D60" s="18">
        <v>85.68</v>
      </c>
      <c r="E60" s="23">
        <f>ROUND(D60*E55,4)</f>
        <v>0.34699999999999998</v>
      </c>
      <c r="F60" s="31">
        <v>2.83</v>
      </c>
      <c r="G60" s="31">
        <f t="shared" si="3"/>
        <v>0.98200999999999994</v>
      </c>
    </row>
    <row r="61" spans="1:7" x14ac:dyDescent="0.25">
      <c r="A61" s="20">
        <v>331532</v>
      </c>
      <c r="B61" s="19" t="s">
        <v>26</v>
      </c>
      <c r="C61" s="22" t="s">
        <v>19</v>
      </c>
      <c r="D61" s="18">
        <v>6.28</v>
      </c>
      <c r="E61" s="23">
        <f>ROUND(D61*E55,4)</f>
        <v>2.5399999999999999E-2</v>
      </c>
      <c r="F61" s="31">
        <v>1.63</v>
      </c>
      <c r="G61" s="31">
        <f t="shared" si="3"/>
        <v>4.1401999999999994E-2</v>
      </c>
    </row>
    <row r="62" spans="1:7" x14ac:dyDescent="0.25">
      <c r="A62" s="20" t="s">
        <v>48</v>
      </c>
      <c r="B62" s="19" t="s">
        <v>39</v>
      </c>
      <c r="C62" s="22" t="s">
        <v>12</v>
      </c>
      <c r="D62" s="18">
        <v>0.34</v>
      </c>
      <c r="E62" s="23">
        <f>ROUND(D62*E55,4)</f>
        <v>1.4E-3</v>
      </c>
      <c r="F62" s="31">
        <v>9500</v>
      </c>
      <c r="G62" s="31">
        <f t="shared" si="3"/>
        <v>13.3</v>
      </c>
    </row>
    <row r="63" spans="1:7" x14ac:dyDescent="0.25">
      <c r="A63" s="20" t="s">
        <v>15</v>
      </c>
      <c r="B63" s="21" t="s">
        <v>13</v>
      </c>
      <c r="C63" s="22" t="s">
        <v>12</v>
      </c>
      <c r="D63" s="18">
        <v>6.7000000000000004E-2</v>
      </c>
      <c r="E63" s="23">
        <f>ROUND(D63*E55,4)</f>
        <v>2.9999999999999997E-4</v>
      </c>
      <c r="F63" s="31">
        <v>8500</v>
      </c>
      <c r="G63" s="31">
        <f t="shared" si="3"/>
        <v>2.5499999999999998</v>
      </c>
    </row>
    <row r="64" spans="1:7" x14ac:dyDescent="0.25">
      <c r="A64" s="20" t="s">
        <v>21</v>
      </c>
      <c r="B64" s="19" t="s">
        <v>82</v>
      </c>
      <c r="C64" s="22" t="s">
        <v>11</v>
      </c>
      <c r="D64" s="18">
        <v>0.17799999999999999</v>
      </c>
      <c r="E64" s="23">
        <f>ROUND(D64*E55,4)</f>
        <v>6.9999999999999999E-4</v>
      </c>
      <c r="F64" s="31">
        <v>2563.75</v>
      </c>
      <c r="G64" s="31">
        <f t="shared" si="3"/>
        <v>1.7946249999999999</v>
      </c>
    </row>
    <row r="65" spans="1:7" x14ac:dyDescent="0.25">
      <c r="A65" s="20" t="s">
        <v>22</v>
      </c>
      <c r="B65" s="19" t="s">
        <v>24</v>
      </c>
      <c r="C65" s="22" t="s">
        <v>14</v>
      </c>
      <c r="D65" s="18">
        <v>155</v>
      </c>
      <c r="E65" s="23">
        <f>ROUND(D65*E55,4)</f>
        <v>0.62780000000000002</v>
      </c>
      <c r="F65" s="31"/>
      <c r="G65" s="31">
        <f t="shared" si="3"/>
        <v>0</v>
      </c>
    </row>
    <row r="66" spans="1:7" x14ac:dyDescent="0.25">
      <c r="A66" s="20" t="s">
        <v>16</v>
      </c>
      <c r="B66" s="19" t="s">
        <v>83</v>
      </c>
      <c r="C66" s="22" t="s">
        <v>12</v>
      </c>
      <c r="D66" s="18" t="s">
        <v>17</v>
      </c>
      <c r="E66" s="23">
        <f>53/1000</f>
        <v>5.2999999999999999E-2</v>
      </c>
      <c r="F66" s="31">
        <v>6500</v>
      </c>
      <c r="G66" s="31">
        <f t="shared" si="3"/>
        <v>344.5</v>
      </c>
    </row>
    <row r="67" spans="1:7" x14ac:dyDescent="0.25">
      <c r="A67" s="20" t="s">
        <v>16</v>
      </c>
      <c r="B67" s="19" t="s">
        <v>65</v>
      </c>
      <c r="C67" s="22" t="s">
        <v>12</v>
      </c>
      <c r="D67" s="18" t="s">
        <v>17</v>
      </c>
      <c r="E67" s="23">
        <f>11/1000</f>
        <v>1.0999999999999999E-2</v>
      </c>
      <c r="F67" s="31">
        <v>6500</v>
      </c>
      <c r="G67" s="31">
        <f t="shared" si="3"/>
        <v>71.5</v>
      </c>
    </row>
    <row r="68" spans="1:7" x14ac:dyDescent="0.25">
      <c r="A68" s="20" t="s">
        <v>23</v>
      </c>
      <c r="B68" s="19" t="s">
        <v>76</v>
      </c>
      <c r="C68" s="22" t="s">
        <v>11</v>
      </c>
      <c r="D68" s="18">
        <v>100</v>
      </c>
      <c r="E68" s="23">
        <f>ROUND(D68*E55,4)</f>
        <v>0.40500000000000003</v>
      </c>
      <c r="F68" s="31"/>
      <c r="G68" s="31"/>
    </row>
    <row r="69" spans="1:7" x14ac:dyDescent="0.25">
      <c r="A69" s="20"/>
      <c r="B69" s="32" t="s">
        <v>72</v>
      </c>
      <c r="C69" s="22" t="s">
        <v>12</v>
      </c>
      <c r="D69" s="18">
        <v>0.38200000000000001</v>
      </c>
      <c r="E69" s="23">
        <f>ROUND(D69*E68,4)</f>
        <v>0.1547</v>
      </c>
      <c r="F69" s="31">
        <v>630</v>
      </c>
      <c r="G69" s="31">
        <f t="shared" ref="G69:G71" si="4">F69*E69</f>
        <v>97.460999999999999</v>
      </c>
    </row>
    <row r="70" spans="1:7" x14ac:dyDescent="0.25">
      <c r="A70" s="20"/>
      <c r="B70" s="32" t="s">
        <v>29</v>
      </c>
      <c r="C70" s="22" t="s">
        <v>12</v>
      </c>
      <c r="D70" s="18">
        <f>47/100*1.52</f>
        <v>0.71439999999999992</v>
      </c>
      <c r="E70" s="23">
        <f>ROUND(D70*E68,4)</f>
        <v>0.2893</v>
      </c>
      <c r="F70" s="31">
        <f>2449.06/159.17</f>
        <v>15.386442168750394</v>
      </c>
      <c r="G70" s="31">
        <f t="shared" si="4"/>
        <v>4.4512977194194887</v>
      </c>
    </row>
    <row r="71" spans="1:7" x14ac:dyDescent="0.25">
      <c r="A71" s="20"/>
      <c r="B71" s="32" t="s">
        <v>28</v>
      </c>
      <c r="C71" s="22" t="s">
        <v>12</v>
      </c>
      <c r="D71" s="18">
        <f>80/100*1.6</f>
        <v>1.2800000000000002</v>
      </c>
      <c r="E71" s="23">
        <f>ROUND(D71*E68,4)</f>
        <v>0.51839999999999997</v>
      </c>
      <c r="F71" s="31">
        <f>4991.72/392.53</f>
        <v>12.7167859781418</v>
      </c>
      <c r="G71" s="31">
        <f t="shared" si="4"/>
        <v>6.5923818510687084</v>
      </c>
    </row>
    <row r="72" spans="1:7" ht="13.5" x14ac:dyDescent="0.25">
      <c r="A72" s="15"/>
      <c r="B72" s="25" t="s">
        <v>8</v>
      </c>
      <c r="C72" s="17"/>
      <c r="D72" s="26"/>
      <c r="E72" s="27"/>
      <c r="F72" s="31"/>
      <c r="G72" s="71">
        <f>SUM(G56:G71)</f>
        <v>682.38791557048819</v>
      </c>
    </row>
    <row r="73" spans="1:7" ht="13.5" x14ac:dyDescent="0.25">
      <c r="A73" s="15" t="s">
        <v>81</v>
      </c>
      <c r="B73" s="16" t="s">
        <v>197</v>
      </c>
      <c r="C73" s="17" t="s">
        <v>20</v>
      </c>
      <c r="D73" s="18"/>
      <c r="E73" s="30">
        <f>0.25*0.25*21.9/100</f>
        <v>1.3687499999999998E-2</v>
      </c>
      <c r="F73" s="31"/>
      <c r="G73" s="31"/>
    </row>
    <row r="74" spans="1:7" x14ac:dyDescent="0.25">
      <c r="A74" s="20">
        <v>1</v>
      </c>
      <c r="B74" s="21" t="s">
        <v>60</v>
      </c>
      <c r="C74" s="22" t="s">
        <v>7</v>
      </c>
      <c r="D74" s="18">
        <v>1749.3</v>
      </c>
      <c r="E74" s="23">
        <f>ROUND(D74*E73,4)</f>
        <v>23.9435</v>
      </c>
      <c r="F74" s="31">
        <v>10.31</v>
      </c>
      <c r="G74" s="31">
        <f t="shared" ref="G74:G85" si="5">F74*E74</f>
        <v>246.85748500000003</v>
      </c>
    </row>
    <row r="75" spans="1:7" x14ac:dyDescent="0.25">
      <c r="A75" s="20">
        <v>2</v>
      </c>
      <c r="B75" s="21" t="s">
        <v>18</v>
      </c>
      <c r="C75" s="22" t="s">
        <v>7</v>
      </c>
      <c r="D75" s="18">
        <v>91.51</v>
      </c>
      <c r="E75" s="23">
        <f>ROUND(D75*E73,4)</f>
        <v>1.2524999999999999</v>
      </c>
      <c r="F75" s="31">
        <v>15.44</v>
      </c>
      <c r="G75" s="31">
        <f t="shared" si="5"/>
        <v>19.3386</v>
      </c>
    </row>
    <row r="76" spans="1:7" ht="25.5" x14ac:dyDescent="0.25">
      <c r="A76" s="20" t="s">
        <v>40</v>
      </c>
      <c r="B76" s="19" t="s">
        <v>47</v>
      </c>
      <c r="C76" s="22" t="s">
        <v>19</v>
      </c>
      <c r="D76" s="18">
        <v>91.51</v>
      </c>
      <c r="E76" s="23">
        <f>ROUND(D76*E73,4)</f>
        <v>1.2524999999999999</v>
      </c>
      <c r="F76" s="31">
        <f>152.37-15.44</f>
        <v>136.93</v>
      </c>
      <c r="G76" s="31">
        <f t="shared" si="5"/>
        <v>171.50482500000001</v>
      </c>
    </row>
    <row r="77" spans="1:7" x14ac:dyDescent="0.25">
      <c r="A77" s="20" t="s">
        <v>41</v>
      </c>
      <c r="B77" s="21" t="s">
        <v>38</v>
      </c>
      <c r="C77" s="22" t="s">
        <v>19</v>
      </c>
      <c r="D77" s="18">
        <v>283.22000000000003</v>
      </c>
      <c r="E77" s="23">
        <f>ROUND(D77*E73,4)</f>
        <v>3.8765999999999998</v>
      </c>
      <c r="F77" s="31">
        <v>8.4600000000000009</v>
      </c>
      <c r="G77" s="31">
        <f t="shared" si="5"/>
        <v>32.796036000000001</v>
      </c>
    </row>
    <row r="78" spans="1:7" x14ac:dyDescent="0.25">
      <c r="A78" s="20">
        <v>111100</v>
      </c>
      <c r="B78" s="19" t="s">
        <v>27</v>
      </c>
      <c r="C78" s="22" t="s">
        <v>19</v>
      </c>
      <c r="D78" s="18">
        <v>85.68</v>
      </c>
      <c r="E78" s="23">
        <f>ROUND(D78*E73,4)</f>
        <v>1.1727000000000001</v>
      </c>
      <c r="F78" s="31">
        <v>2.83</v>
      </c>
      <c r="G78" s="31">
        <f t="shared" si="5"/>
        <v>3.3187410000000002</v>
      </c>
    </row>
    <row r="79" spans="1:7" x14ac:dyDescent="0.25">
      <c r="A79" s="20">
        <v>331532</v>
      </c>
      <c r="B79" s="19" t="s">
        <v>26</v>
      </c>
      <c r="C79" s="22" t="s">
        <v>19</v>
      </c>
      <c r="D79" s="18">
        <v>6.28</v>
      </c>
      <c r="E79" s="23">
        <f>ROUND(D79*E73,4)</f>
        <v>8.5999999999999993E-2</v>
      </c>
      <c r="F79" s="31">
        <v>1.63</v>
      </c>
      <c r="G79" s="31">
        <f t="shared" si="5"/>
        <v>0.14017999999999997</v>
      </c>
    </row>
    <row r="80" spans="1:7" x14ac:dyDescent="0.25">
      <c r="A80" s="20" t="s">
        <v>48</v>
      </c>
      <c r="B80" s="19" t="s">
        <v>39</v>
      </c>
      <c r="C80" s="22" t="s">
        <v>12</v>
      </c>
      <c r="D80" s="18">
        <v>0.34</v>
      </c>
      <c r="E80" s="23">
        <f>ROUND(D80*E73,4)</f>
        <v>4.7000000000000002E-3</v>
      </c>
      <c r="F80" s="31">
        <v>9500</v>
      </c>
      <c r="G80" s="31">
        <f t="shared" si="5"/>
        <v>44.65</v>
      </c>
    </row>
    <row r="81" spans="1:7" x14ac:dyDescent="0.25">
      <c r="A81" s="20" t="s">
        <v>15</v>
      </c>
      <c r="B81" s="21" t="s">
        <v>13</v>
      </c>
      <c r="C81" s="22" t="s">
        <v>12</v>
      </c>
      <c r="D81" s="18">
        <v>6.7000000000000004E-2</v>
      </c>
      <c r="E81" s="23">
        <f>ROUND(D81*E73,4)</f>
        <v>8.9999999999999998E-4</v>
      </c>
      <c r="F81" s="31">
        <v>8500</v>
      </c>
      <c r="G81" s="31">
        <f t="shared" si="5"/>
        <v>7.6499999999999995</v>
      </c>
    </row>
    <row r="82" spans="1:7" x14ac:dyDescent="0.25">
      <c r="A82" s="20" t="s">
        <v>21</v>
      </c>
      <c r="B82" s="19" t="s">
        <v>82</v>
      </c>
      <c r="C82" s="22" t="s">
        <v>11</v>
      </c>
      <c r="D82" s="18">
        <v>0.17799999999999999</v>
      </c>
      <c r="E82" s="23">
        <f>ROUND(D82*E73,4)</f>
        <v>2.3999999999999998E-3</v>
      </c>
      <c r="F82" s="31">
        <v>2563.75</v>
      </c>
      <c r="G82" s="31">
        <f t="shared" si="5"/>
        <v>6.1529999999999996</v>
      </c>
    </row>
    <row r="83" spans="1:7" x14ac:dyDescent="0.25">
      <c r="A83" s="20" t="s">
        <v>22</v>
      </c>
      <c r="B83" s="19" t="s">
        <v>24</v>
      </c>
      <c r="C83" s="22" t="s">
        <v>14</v>
      </c>
      <c r="D83" s="18">
        <v>155</v>
      </c>
      <c r="E83" s="23">
        <f>ROUND(D83*E73,4)</f>
        <v>2.1215999999999999</v>
      </c>
      <c r="F83" s="31"/>
      <c r="G83" s="31">
        <f t="shared" si="5"/>
        <v>0</v>
      </c>
    </row>
    <row r="84" spans="1:7" x14ac:dyDescent="0.25">
      <c r="A84" s="20" t="s">
        <v>16</v>
      </c>
      <c r="B84" s="19" t="s">
        <v>43</v>
      </c>
      <c r="C84" s="22" t="s">
        <v>12</v>
      </c>
      <c r="D84" s="18" t="s">
        <v>17</v>
      </c>
      <c r="E84" s="23">
        <f>118/1000</f>
        <v>0.11799999999999999</v>
      </c>
      <c r="F84" s="31">
        <v>6500</v>
      </c>
      <c r="G84" s="31">
        <f t="shared" si="5"/>
        <v>767</v>
      </c>
    </row>
    <row r="85" spans="1:7" x14ac:dyDescent="0.25">
      <c r="A85" s="20" t="s">
        <v>16</v>
      </c>
      <c r="B85" s="19" t="s">
        <v>65</v>
      </c>
      <c r="C85" s="22" t="s">
        <v>12</v>
      </c>
      <c r="D85" s="18" t="s">
        <v>17</v>
      </c>
      <c r="E85" s="23">
        <f>15/1000</f>
        <v>1.4999999999999999E-2</v>
      </c>
      <c r="F85" s="31">
        <v>6500</v>
      </c>
      <c r="G85" s="31">
        <f t="shared" si="5"/>
        <v>97.5</v>
      </c>
    </row>
    <row r="86" spans="1:7" x14ac:dyDescent="0.25">
      <c r="A86" s="20" t="s">
        <v>23</v>
      </c>
      <c r="B86" s="19" t="s">
        <v>76</v>
      </c>
      <c r="C86" s="22" t="s">
        <v>11</v>
      </c>
      <c r="D86" s="18">
        <v>100</v>
      </c>
      <c r="E86" s="23">
        <f>ROUND(D86*E73,4)</f>
        <v>1.3688</v>
      </c>
      <c r="F86" s="31"/>
      <c r="G86" s="31"/>
    </row>
    <row r="87" spans="1:7" x14ac:dyDescent="0.25">
      <c r="A87" s="20"/>
      <c r="B87" s="32" t="s">
        <v>72</v>
      </c>
      <c r="C87" s="22" t="s">
        <v>12</v>
      </c>
      <c r="D87" s="18">
        <v>0.38200000000000001</v>
      </c>
      <c r="E87" s="23">
        <f>ROUND(D87*E86,4)</f>
        <v>0.52290000000000003</v>
      </c>
      <c r="F87" s="31">
        <v>630</v>
      </c>
      <c r="G87" s="31">
        <f t="shared" ref="G87:G89" si="6">F87*E87</f>
        <v>329.42700000000002</v>
      </c>
    </row>
    <row r="88" spans="1:7" x14ac:dyDescent="0.25">
      <c r="A88" s="20"/>
      <c r="B88" s="32" t="s">
        <v>29</v>
      </c>
      <c r="C88" s="22" t="s">
        <v>12</v>
      </c>
      <c r="D88" s="18">
        <f>47/100*1.52</f>
        <v>0.71439999999999992</v>
      </c>
      <c r="E88" s="23">
        <f>ROUND(D88*E86,4)</f>
        <v>0.97789999999999999</v>
      </c>
      <c r="F88" s="31">
        <f>2449.06/159.17</f>
        <v>15.386442168750394</v>
      </c>
      <c r="G88" s="31">
        <f t="shared" si="6"/>
        <v>15.04640179682101</v>
      </c>
    </row>
    <row r="89" spans="1:7" x14ac:dyDescent="0.25">
      <c r="A89" s="20"/>
      <c r="B89" s="32" t="s">
        <v>28</v>
      </c>
      <c r="C89" s="22" t="s">
        <v>12</v>
      </c>
      <c r="D89" s="18">
        <f>80/100*1.6</f>
        <v>1.2800000000000002</v>
      </c>
      <c r="E89" s="23">
        <f>ROUND(D89*E86,4)</f>
        <v>1.7521</v>
      </c>
      <c r="F89" s="31">
        <f>4991.72/392.53</f>
        <v>12.7167859781418</v>
      </c>
      <c r="G89" s="31">
        <f t="shared" si="6"/>
        <v>22.281080712302249</v>
      </c>
    </row>
    <row r="90" spans="1:7" ht="13.5" x14ac:dyDescent="0.25">
      <c r="A90" s="15"/>
      <c r="B90" s="25" t="s">
        <v>8</v>
      </c>
      <c r="C90" s="17"/>
      <c r="D90" s="26"/>
      <c r="E90" s="27"/>
      <c r="F90" s="31"/>
      <c r="G90" s="71">
        <f>SUM(G74:G89)</f>
        <v>1763.6633495091237</v>
      </c>
    </row>
    <row r="91" spans="1:7" ht="27" x14ac:dyDescent="0.25">
      <c r="A91" s="3" t="s">
        <v>84</v>
      </c>
      <c r="B91" s="33" t="s">
        <v>199</v>
      </c>
      <c r="C91" s="7" t="s">
        <v>20</v>
      </c>
      <c r="D91" s="34"/>
      <c r="E91" s="30">
        <f>275.15*0.15/100</f>
        <v>0.41272499999999995</v>
      </c>
      <c r="F91" s="31"/>
      <c r="G91" s="33"/>
    </row>
    <row r="92" spans="1:7" x14ac:dyDescent="0.25">
      <c r="A92" s="2">
        <v>1</v>
      </c>
      <c r="B92" s="1" t="s">
        <v>60</v>
      </c>
      <c r="C92" s="8" t="s">
        <v>7</v>
      </c>
      <c r="D92" s="6">
        <v>833.6</v>
      </c>
      <c r="E92" s="23">
        <f>ROUND(D92*E91,4)</f>
        <v>344.04759999999999</v>
      </c>
      <c r="F92" s="31">
        <v>10.31</v>
      </c>
      <c r="G92" s="36">
        <f t="shared" ref="G92:G100" si="7">F92*E92</f>
        <v>3547.130756</v>
      </c>
    </row>
    <row r="93" spans="1:7" x14ac:dyDescent="0.25">
      <c r="A93" s="2">
        <v>2</v>
      </c>
      <c r="B93" s="1" t="s">
        <v>18</v>
      </c>
      <c r="C93" s="8" t="s">
        <v>7</v>
      </c>
      <c r="D93" s="6">
        <v>33.28</v>
      </c>
      <c r="E93" s="23">
        <f>ROUND(D93*E91,4)</f>
        <v>13.7355</v>
      </c>
      <c r="F93" s="31">
        <v>15.44</v>
      </c>
      <c r="G93" s="36">
        <f t="shared" si="7"/>
        <v>212.07612</v>
      </c>
    </row>
    <row r="94" spans="1:7" ht="25.5" x14ac:dyDescent="0.25">
      <c r="A94" s="2" t="s">
        <v>40</v>
      </c>
      <c r="B94" s="35" t="s">
        <v>47</v>
      </c>
      <c r="C94" s="8" t="s">
        <v>19</v>
      </c>
      <c r="D94" s="6">
        <v>27</v>
      </c>
      <c r="E94" s="23">
        <f>ROUND(D94*E91,4)</f>
        <v>11.143599999999999</v>
      </c>
      <c r="F94" s="31">
        <f>152.37-15.44</f>
        <v>136.93</v>
      </c>
      <c r="G94" s="36">
        <f t="shared" si="7"/>
        <v>1525.8931479999999</v>
      </c>
    </row>
    <row r="95" spans="1:7" x14ac:dyDescent="0.25">
      <c r="A95" s="2">
        <v>111100</v>
      </c>
      <c r="B95" s="35" t="s">
        <v>27</v>
      </c>
      <c r="C95" s="8" t="s">
        <v>19</v>
      </c>
      <c r="D95" s="6">
        <v>40.299999999999997</v>
      </c>
      <c r="E95" s="23">
        <f>ROUND(D95*E91,4)</f>
        <v>16.6328</v>
      </c>
      <c r="F95" s="31">
        <v>2.83</v>
      </c>
      <c r="G95" s="36">
        <f t="shared" si="7"/>
        <v>47.070824000000002</v>
      </c>
    </row>
    <row r="96" spans="1:7" x14ac:dyDescent="0.25">
      <c r="A96" s="2">
        <v>331532</v>
      </c>
      <c r="B96" s="35" t="s">
        <v>26</v>
      </c>
      <c r="C96" s="8" t="s">
        <v>19</v>
      </c>
      <c r="D96" s="6">
        <v>1.6</v>
      </c>
      <c r="E96" s="23">
        <f>ROUND(D96*E91,4)</f>
        <v>0.66039999999999999</v>
      </c>
      <c r="F96" s="31">
        <v>1.63</v>
      </c>
      <c r="G96" s="36">
        <f t="shared" si="7"/>
        <v>1.076452</v>
      </c>
    </row>
    <row r="97" spans="1:7" x14ac:dyDescent="0.25">
      <c r="A97" s="2" t="s">
        <v>69</v>
      </c>
      <c r="B97" s="35" t="s">
        <v>70</v>
      </c>
      <c r="C97" s="8" t="s">
        <v>12</v>
      </c>
      <c r="D97" s="6">
        <v>1.61E-2</v>
      </c>
      <c r="E97" s="23">
        <f>ROUND(D97*E91,4)</f>
        <v>6.6E-3</v>
      </c>
      <c r="F97" s="31">
        <v>5423.7330000000002</v>
      </c>
      <c r="G97" s="36">
        <f t="shared" si="7"/>
        <v>35.796637799999999</v>
      </c>
    </row>
    <row r="98" spans="1:7" x14ac:dyDescent="0.25">
      <c r="A98" s="2" t="s">
        <v>15</v>
      </c>
      <c r="B98" s="1" t="s">
        <v>13</v>
      </c>
      <c r="C98" s="8" t="s">
        <v>12</v>
      </c>
      <c r="D98" s="6">
        <v>1.2999999999999999E-2</v>
      </c>
      <c r="E98" s="23">
        <f>ROUND(D98*E91,4)</f>
        <v>5.4000000000000003E-3</v>
      </c>
      <c r="F98" s="31">
        <v>8500</v>
      </c>
      <c r="G98" s="36">
        <f t="shared" si="7"/>
        <v>45.900000000000006</v>
      </c>
    </row>
    <row r="99" spans="1:7" x14ac:dyDescent="0.25">
      <c r="A99" s="2" t="s">
        <v>85</v>
      </c>
      <c r="B99" s="35" t="s">
        <v>86</v>
      </c>
      <c r="C99" s="8" t="s">
        <v>14</v>
      </c>
      <c r="D99" s="6">
        <v>55.56</v>
      </c>
      <c r="E99" s="23">
        <f>ROUND(D99*E91,4)</f>
        <v>22.931000000000001</v>
      </c>
      <c r="F99" s="31"/>
      <c r="G99" s="36">
        <f t="shared" si="7"/>
        <v>0</v>
      </c>
    </row>
    <row r="100" spans="1:7" x14ac:dyDescent="0.25">
      <c r="A100" s="2" t="s">
        <v>21</v>
      </c>
      <c r="B100" s="19" t="s">
        <v>82</v>
      </c>
      <c r="C100" s="8" t="s">
        <v>11</v>
      </c>
      <c r="D100" s="6">
        <v>1.92</v>
      </c>
      <c r="E100" s="23">
        <f>ROUND(D100*E91,4)</f>
        <v>0.79239999999999999</v>
      </c>
      <c r="F100" s="31">
        <v>2563.75</v>
      </c>
      <c r="G100" s="36">
        <f t="shared" si="7"/>
        <v>2031.5155</v>
      </c>
    </row>
    <row r="101" spans="1:7" x14ac:dyDescent="0.25">
      <c r="A101" s="20" t="s">
        <v>16</v>
      </c>
      <c r="B101" s="19" t="s">
        <v>83</v>
      </c>
      <c r="C101" s="22" t="s">
        <v>12</v>
      </c>
      <c r="D101" s="18" t="s">
        <v>17</v>
      </c>
      <c r="E101" s="23">
        <f>757/1000</f>
        <v>0.75700000000000001</v>
      </c>
      <c r="F101" s="31">
        <v>6500</v>
      </c>
      <c r="G101" s="36">
        <f>F101*E101</f>
        <v>4920.5</v>
      </c>
    </row>
    <row r="102" spans="1:7" x14ac:dyDescent="0.25">
      <c r="A102" s="20" t="s">
        <v>16</v>
      </c>
      <c r="B102" s="19" t="s">
        <v>44</v>
      </c>
      <c r="C102" s="22" t="s">
        <v>12</v>
      </c>
      <c r="D102" s="18" t="s">
        <v>17</v>
      </c>
      <c r="E102" s="23">
        <f>234/1000</f>
        <v>0.23400000000000001</v>
      </c>
      <c r="F102" s="31">
        <v>6500</v>
      </c>
      <c r="G102" s="36">
        <f>F102*E102</f>
        <v>1521</v>
      </c>
    </row>
    <row r="103" spans="1:7" x14ac:dyDescent="0.25">
      <c r="A103" s="20" t="s">
        <v>16</v>
      </c>
      <c r="B103" s="19" t="s">
        <v>87</v>
      </c>
      <c r="C103" s="22" t="s">
        <v>12</v>
      </c>
      <c r="D103" s="18" t="s">
        <v>17</v>
      </c>
      <c r="E103" s="23">
        <f>3876/1000</f>
        <v>3.8759999999999999</v>
      </c>
      <c r="F103" s="31">
        <v>6500</v>
      </c>
      <c r="G103" s="36">
        <f>F103*E103</f>
        <v>25194</v>
      </c>
    </row>
    <row r="104" spans="1:7" x14ac:dyDescent="0.25">
      <c r="A104" s="20" t="s">
        <v>16</v>
      </c>
      <c r="B104" s="19" t="s">
        <v>65</v>
      </c>
      <c r="C104" s="22" t="s">
        <v>12</v>
      </c>
      <c r="D104" s="18" t="s">
        <v>17</v>
      </c>
      <c r="E104" s="23">
        <f>298/1000</f>
        <v>0.29799999999999999</v>
      </c>
      <c r="F104" s="31">
        <v>6500</v>
      </c>
      <c r="G104" s="31">
        <f t="shared" ref="G104" si="8">F104*E104</f>
        <v>1937</v>
      </c>
    </row>
    <row r="105" spans="1:7" x14ac:dyDescent="0.25">
      <c r="A105" s="2" t="s">
        <v>88</v>
      </c>
      <c r="B105" s="19" t="s">
        <v>76</v>
      </c>
      <c r="C105" s="22" t="s">
        <v>11</v>
      </c>
      <c r="D105" s="18">
        <v>100</v>
      </c>
      <c r="E105" s="23">
        <f>ROUND(D105*E91,4)</f>
        <v>41.272500000000001</v>
      </c>
      <c r="F105" s="31"/>
      <c r="G105" s="36"/>
    </row>
    <row r="106" spans="1:7" x14ac:dyDescent="0.25">
      <c r="A106" s="20"/>
      <c r="B106" s="32" t="s">
        <v>72</v>
      </c>
      <c r="C106" s="22" t="s">
        <v>12</v>
      </c>
      <c r="D106" s="18">
        <v>0.38200000000000001</v>
      </c>
      <c r="E106" s="23">
        <f>ROUND(D106*E105,4)</f>
        <v>15.7661</v>
      </c>
      <c r="F106" s="31">
        <v>630</v>
      </c>
      <c r="G106" s="36">
        <f>F106*E106</f>
        <v>9932.643</v>
      </c>
    </row>
    <row r="107" spans="1:7" x14ac:dyDescent="0.25">
      <c r="A107" s="20"/>
      <c r="B107" s="32" t="s">
        <v>29</v>
      </c>
      <c r="C107" s="22" t="s">
        <v>12</v>
      </c>
      <c r="D107" s="18">
        <f>47/100*1.52</f>
        <v>0.71439999999999992</v>
      </c>
      <c r="E107" s="23">
        <f>ROUND(D107*E105,4)</f>
        <v>29.485099999999999</v>
      </c>
      <c r="F107" s="31">
        <f>2449.06/159.17</f>
        <v>15.386442168750394</v>
      </c>
      <c r="G107" s="36">
        <f>F107*E107</f>
        <v>453.67078598982221</v>
      </c>
    </row>
    <row r="108" spans="1:7" x14ac:dyDescent="0.25">
      <c r="A108" s="20"/>
      <c r="B108" s="32" t="s">
        <v>28</v>
      </c>
      <c r="C108" s="22" t="s">
        <v>12</v>
      </c>
      <c r="D108" s="18">
        <f>80/100*1.6</f>
        <v>1.2800000000000002</v>
      </c>
      <c r="E108" s="23">
        <f>ROUND(D108*E105,4)</f>
        <v>52.828800000000001</v>
      </c>
      <c r="F108" s="31">
        <f>4991.72/392.53</f>
        <v>12.7167859781418</v>
      </c>
      <c r="G108" s="36">
        <f>F108*E108</f>
        <v>671.81254308205757</v>
      </c>
    </row>
    <row r="109" spans="1:7" ht="13.5" x14ac:dyDescent="0.25">
      <c r="A109" s="15"/>
      <c r="B109" s="25" t="s">
        <v>8</v>
      </c>
      <c r="C109" s="17"/>
      <c r="D109" s="26"/>
      <c r="E109" s="27"/>
      <c r="F109" s="31"/>
      <c r="G109" s="29">
        <f>SUM(G92:G108)</f>
        <v>52077.085766871882</v>
      </c>
    </row>
    <row r="110" spans="1:7" ht="27" x14ac:dyDescent="0.25">
      <c r="A110" s="15" t="s">
        <v>68</v>
      </c>
      <c r="B110" s="16" t="s">
        <v>200</v>
      </c>
      <c r="C110" s="17" t="s">
        <v>20</v>
      </c>
      <c r="D110" s="18"/>
      <c r="E110" s="30">
        <f>(17.88*0.15)/100</f>
        <v>2.682E-2</v>
      </c>
      <c r="F110" s="31"/>
      <c r="G110" s="24"/>
    </row>
    <row r="111" spans="1:7" x14ac:dyDescent="0.25">
      <c r="A111" s="20">
        <v>1</v>
      </c>
      <c r="B111" s="21" t="s">
        <v>60</v>
      </c>
      <c r="C111" s="22" t="s">
        <v>7</v>
      </c>
      <c r="D111" s="18">
        <v>2412.6</v>
      </c>
      <c r="E111" s="23">
        <f>ROUND(D111*E110,4)</f>
        <v>64.7059</v>
      </c>
      <c r="F111" s="31">
        <v>10.31</v>
      </c>
      <c r="G111" s="24">
        <f t="shared" ref="G111:G126" si="9">F111*E111</f>
        <v>667.11782900000003</v>
      </c>
    </row>
    <row r="112" spans="1:7" x14ac:dyDescent="0.25">
      <c r="A112" s="20">
        <v>2</v>
      </c>
      <c r="B112" s="21" t="s">
        <v>18</v>
      </c>
      <c r="C112" s="22" t="s">
        <v>7</v>
      </c>
      <c r="D112" s="18">
        <v>51.7</v>
      </c>
      <c r="E112" s="23">
        <f>ROUND(D112*E110,4)</f>
        <v>1.3866000000000001</v>
      </c>
      <c r="F112" s="31">
        <v>15.44</v>
      </c>
      <c r="G112" s="24">
        <f t="shared" si="9"/>
        <v>21.409103999999999</v>
      </c>
    </row>
    <row r="113" spans="1:7" ht="25.5" x14ac:dyDescent="0.25">
      <c r="A113" s="20" t="s">
        <v>40</v>
      </c>
      <c r="B113" s="19" t="s">
        <v>47</v>
      </c>
      <c r="C113" s="22" t="s">
        <v>19</v>
      </c>
      <c r="D113" s="18">
        <v>51.7</v>
      </c>
      <c r="E113" s="23">
        <f>ROUND(D113*E110,4)</f>
        <v>1.3866000000000001</v>
      </c>
      <c r="F113" s="31">
        <f>152.37-15.44</f>
        <v>136.93</v>
      </c>
      <c r="G113" s="24">
        <f t="shared" si="9"/>
        <v>189.86713800000001</v>
      </c>
    </row>
    <row r="114" spans="1:7" x14ac:dyDescent="0.25">
      <c r="A114" s="20" t="s">
        <v>41</v>
      </c>
      <c r="B114" s="21" t="s">
        <v>38</v>
      </c>
      <c r="C114" s="22" t="s">
        <v>19</v>
      </c>
      <c r="D114" s="18">
        <v>13.2</v>
      </c>
      <c r="E114" s="23">
        <f>ROUND(D114*E110,4)</f>
        <v>0.35399999999999998</v>
      </c>
      <c r="F114" s="31">
        <v>8.4600000000000009</v>
      </c>
      <c r="G114" s="24">
        <f t="shared" si="9"/>
        <v>2.9948399999999999</v>
      </c>
    </row>
    <row r="115" spans="1:7" x14ac:dyDescent="0.25">
      <c r="A115" s="20">
        <v>111301</v>
      </c>
      <c r="B115" s="19" t="s">
        <v>66</v>
      </c>
      <c r="C115" s="22" t="s">
        <v>19</v>
      </c>
      <c r="D115" s="18">
        <v>78</v>
      </c>
      <c r="E115" s="23">
        <f>ROUND(D115*E110,4)</f>
        <v>2.0920000000000001</v>
      </c>
      <c r="F115" s="31">
        <v>1.62</v>
      </c>
      <c r="G115" s="24">
        <f t="shared" si="9"/>
        <v>3.3890400000000005</v>
      </c>
    </row>
    <row r="116" spans="1:7" x14ac:dyDescent="0.25">
      <c r="A116" s="20">
        <v>331532</v>
      </c>
      <c r="B116" s="19" t="s">
        <v>26</v>
      </c>
      <c r="C116" s="22" t="s">
        <v>19</v>
      </c>
      <c r="D116" s="18">
        <v>1.21</v>
      </c>
      <c r="E116" s="23">
        <f>ROUND(D116*E110,4)</f>
        <v>3.2500000000000001E-2</v>
      </c>
      <c r="F116" s="31">
        <v>1.63</v>
      </c>
      <c r="G116" s="24">
        <f t="shared" si="9"/>
        <v>5.2975000000000001E-2</v>
      </c>
    </row>
    <row r="117" spans="1:7" x14ac:dyDescent="0.25">
      <c r="A117" s="20" t="s">
        <v>69</v>
      </c>
      <c r="B117" s="19" t="s">
        <v>70</v>
      </c>
      <c r="C117" s="22" t="s">
        <v>12</v>
      </c>
      <c r="D117" s="18">
        <v>2.3599999999999999E-2</v>
      </c>
      <c r="E117" s="23">
        <f>ROUND(D117*E110,4)</f>
        <v>5.9999999999999995E-4</v>
      </c>
      <c r="F117" s="31">
        <v>5423.7330000000002</v>
      </c>
      <c r="G117" s="24">
        <f t="shared" si="9"/>
        <v>3.2542397999999997</v>
      </c>
    </row>
    <row r="118" spans="1:7" x14ac:dyDescent="0.25">
      <c r="A118" s="20" t="s">
        <v>48</v>
      </c>
      <c r="B118" s="19" t="s">
        <v>39</v>
      </c>
      <c r="C118" s="22" t="s">
        <v>12</v>
      </c>
      <c r="D118" s="18">
        <v>1.2999999999999999E-2</v>
      </c>
      <c r="E118" s="23">
        <f>ROUND(D118*E110,4)</f>
        <v>2.9999999999999997E-4</v>
      </c>
      <c r="F118" s="31">
        <v>9500</v>
      </c>
      <c r="G118" s="24">
        <f t="shared" si="9"/>
        <v>2.8499999999999996</v>
      </c>
    </row>
    <row r="119" spans="1:7" x14ac:dyDescent="0.25">
      <c r="A119" s="20" t="s">
        <v>15</v>
      </c>
      <c r="B119" s="21" t="s">
        <v>13</v>
      </c>
      <c r="C119" s="22" t="s">
        <v>12</v>
      </c>
      <c r="D119" s="18">
        <v>1.4999999999999999E-2</v>
      </c>
      <c r="E119" s="23">
        <f>ROUND(D119*E110,4)</f>
        <v>4.0000000000000002E-4</v>
      </c>
      <c r="F119" s="31">
        <v>8500</v>
      </c>
      <c r="G119" s="24">
        <f t="shared" si="9"/>
        <v>3.4000000000000004</v>
      </c>
    </row>
    <row r="120" spans="1:7" x14ac:dyDescent="0.25">
      <c r="A120" s="20" t="s">
        <v>21</v>
      </c>
      <c r="B120" s="19" t="s">
        <v>82</v>
      </c>
      <c r="C120" s="22" t="s">
        <v>11</v>
      </c>
      <c r="D120" s="18">
        <v>2.1</v>
      </c>
      <c r="E120" s="23">
        <f>ROUND(D120*E110,4)</f>
        <v>5.6300000000000003E-2</v>
      </c>
      <c r="F120" s="31">
        <v>2563.75</v>
      </c>
      <c r="G120" s="24">
        <f t="shared" si="9"/>
        <v>144.339125</v>
      </c>
    </row>
    <row r="121" spans="1:7" x14ac:dyDescent="0.25">
      <c r="A121" s="20" t="s">
        <v>16</v>
      </c>
      <c r="B121" s="19" t="s">
        <v>44</v>
      </c>
      <c r="C121" s="22" t="s">
        <v>12</v>
      </c>
      <c r="D121" s="18" t="s">
        <v>17</v>
      </c>
      <c r="E121" s="23">
        <f>338/1000</f>
        <v>0.33800000000000002</v>
      </c>
      <c r="F121" s="31">
        <v>6500</v>
      </c>
      <c r="G121" s="24">
        <f t="shared" si="9"/>
        <v>2197</v>
      </c>
    </row>
    <row r="122" spans="1:7" x14ac:dyDescent="0.25">
      <c r="A122" s="20" t="s">
        <v>16</v>
      </c>
      <c r="B122" s="19" t="s">
        <v>65</v>
      </c>
      <c r="C122" s="22" t="s">
        <v>12</v>
      </c>
      <c r="D122" s="18" t="s">
        <v>17</v>
      </c>
      <c r="E122" s="23">
        <f>10/1000</f>
        <v>0.01</v>
      </c>
      <c r="F122" s="31">
        <v>6500</v>
      </c>
      <c r="G122" s="31">
        <f t="shared" si="9"/>
        <v>65</v>
      </c>
    </row>
    <row r="123" spans="1:7" x14ac:dyDescent="0.25">
      <c r="A123" s="20" t="s">
        <v>23</v>
      </c>
      <c r="B123" s="19" t="s">
        <v>76</v>
      </c>
      <c r="C123" s="22" t="s">
        <v>11</v>
      </c>
      <c r="D123" s="18">
        <v>100</v>
      </c>
      <c r="E123" s="23">
        <f>ROUND(D123*E110,4)</f>
        <v>2.6819999999999999</v>
      </c>
      <c r="F123" s="31"/>
      <c r="G123" s="24"/>
    </row>
    <row r="124" spans="1:7" x14ac:dyDescent="0.25">
      <c r="A124" s="20"/>
      <c r="B124" s="32" t="s">
        <v>72</v>
      </c>
      <c r="C124" s="22" t="s">
        <v>12</v>
      </c>
      <c r="D124" s="18">
        <v>0.38200000000000001</v>
      </c>
      <c r="E124" s="23">
        <f>ROUND(D124*E123,4)</f>
        <v>1.0245</v>
      </c>
      <c r="F124" s="31">
        <v>630</v>
      </c>
      <c r="G124" s="24">
        <f t="shared" si="9"/>
        <v>645.43499999999995</v>
      </c>
    </row>
    <row r="125" spans="1:7" x14ac:dyDescent="0.25">
      <c r="A125" s="20"/>
      <c r="B125" s="32" t="s">
        <v>29</v>
      </c>
      <c r="C125" s="22" t="s">
        <v>12</v>
      </c>
      <c r="D125" s="18">
        <f>47/100*1.52</f>
        <v>0.71439999999999992</v>
      </c>
      <c r="E125" s="23">
        <f>ROUND(D125*E123,4)</f>
        <v>1.9159999999999999</v>
      </c>
      <c r="F125" s="31">
        <f>2449.06/159.17</f>
        <v>15.386442168750394</v>
      </c>
      <c r="G125" s="24">
        <f t="shared" si="9"/>
        <v>29.480423195325752</v>
      </c>
    </row>
    <row r="126" spans="1:7" x14ac:dyDescent="0.25">
      <c r="A126" s="20"/>
      <c r="B126" s="32" t="s">
        <v>28</v>
      </c>
      <c r="C126" s="22" t="s">
        <v>12</v>
      </c>
      <c r="D126" s="18">
        <f>80/100*1.6</f>
        <v>1.2800000000000002</v>
      </c>
      <c r="E126" s="23">
        <f>ROUND(D126*E123,4)</f>
        <v>3.4329999999999998</v>
      </c>
      <c r="F126" s="31">
        <f>4991.72/392.53</f>
        <v>12.7167859781418</v>
      </c>
      <c r="G126" s="24">
        <f t="shared" si="9"/>
        <v>43.656726262960795</v>
      </c>
    </row>
    <row r="127" spans="1:7" ht="13.5" x14ac:dyDescent="0.25">
      <c r="A127" s="15"/>
      <c r="B127" s="25" t="s">
        <v>8</v>
      </c>
      <c r="C127" s="17"/>
      <c r="D127" s="26"/>
      <c r="E127" s="27"/>
      <c r="F127" s="28"/>
      <c r="G127" s="29">
        <f>SUM(G111:G126)</f>
        <v>4019.2464402582864</v>
      </c>
    </row>
    <row r="128" spans="1:7" ht="13.5" x14ac:dyDescent="0.25">
      <c r="A128" s="64"/>
      <c r="B128" s="65"/>
      <c r="C128" s="66"/>
      <c r="D128" s="67"/>
      <c r="E128" s="67"/>
      <c r="F128" s="67"/>
      <c r="G128" s="68"/>
    </row>
    <row r="129" spans="1:7" ht="13.5" x14ac:dyDescent="0.25">
      <c r="A129" s="52"/>
      <c r="B129" s="53"/>
      <c r="C129" s="52"/>
      <c r="D129" s="53"/>
      <c r="E129" s="53"/>
      <c r="F129" s="61"/>
      <c r="G129" s="54"/>
    </row>
    <row r="130" spans="1:7" ht="13.5" x14ac:dyDescent="0.25">
      <c r="A130" s="52"/>
      <c r="B130" s="53"/>
      <c r="C130" s="52"/>
      <c r="D130" s="53"/>
      <c r="E130" s="53"/>
      <c r="F130" s="61"/>
      <c r="G130" s="54"/>
    </row>
    <row r="131" spans="1:7" ht="13.5" x14ac:dyDescent="0.25">
      <c r="A131" s="2"/>
      <c r="B131" s="55" t="s">
        <v>42</v>
      </c>
      <c r="C131" s="56"/>
      <c r="D131" s="10"/>
      <c r="E131" s="10"/>
      <c r="F131" s="40"/>
      <c r="G131" s="12">
        <f>SUMIFS(G17:G130,B17:B130,"Итого")</f>
        <v>95368.918542920132</v>
      </c>
    </row>
    <row r="132" spans="1:7" ht="13.5" x14ac:dyDescent="0.25">
      <c r="A132" s="2"/>
      <c r="B132" s="55" t="s">
        <v>30</v>
      </c>
      <c r="C132" s="56"/>
      <c r="D132" s="10"/>
      <c r="E132" s="10"/>
      <c r="F132" s="10"/>
      <c r="G132" s="12"/>
    </row>
    <row r="133" spans="1:7" ht="13.5" x14ac:dyDescent="0.25">
      <c r="A133" s="2"/>
      <c r="B133" s="57" t="s">
        <v>51</v>
      </c>
      <c r="C133" s="56"/>
      <c r="D133" s="10"/>
      <c r="E133" s="10"/>
      <c r="F133" s="72">
        <f>G24+G25+G26+G28+G29+G30+G31+G33+G34+G35+G44+G45+G46+G47+G48+G49+G51+G52+G53+G62+G63+G64+G65+G66+G67+G69+G70+G71+G80+G81+G82+G83+G84+G85+G87+G88+G89+G97+G98+G99+G100+G101+G102+G103+G104+G106+G107+G108+G117+G118+G119+G120+G121+G122+G124+G125+G126</f>
        <v>81248.272725920106</v>
      </c>
      <c r="G133" s="12">
        <f>G131-G134-G135-G136</f>
        <v>81248.272725920135</v>
      </c>
    </row>
    <row r="134" spans="1:7" ht="13.5" x14ac:dyDescent="0.25">
      <c r="A134" s="2"/>
      <c r="B134" s="57" t="s">
        <v>52</v>
      </c>
      <c r="C134" s="56"/>
      <c r="D134" s="10"/>
      <c r="E134" s="10"/>
      <c r="F134" s="10"/>
      <c r="G134" s="12">
        <f>SUMIFS(G17:G130,C17:C130,"маш/час")</f>
        <v>5234.4950560000007</v>
      </c>
    </row>
    <row r="135" spans="1:7" ht="13.5" x14ac:dyDescent="0.25">
      <c r="A135" s="2"/>
      <c r="B135" s="57" t="s">
        <v>53</v>
      </c>
      <c r="C135" s="56"/>
      <c r="D135" s="10"/>
      <c r="E135" s="10"/>
      <c r="F135" s="10"/>
      <c r="G135" s="12">
        <f>SUMIFS(G17:G130,A17:A130,1)</f>
        <v>8330.2150330000004</v>
      </c>
    </row>
    <row r="136" spans="1:7" ht="13.5" x14ac:dyDescent="0.25">
      <c r="A136" s="2"/>
      <c r="B136" s="57" t="s">
        <v>54</v>
      </c>
      <c r="C136" s="56"/>
      <c r="D136" s="10"/>
      <c r="E136" s="10"/>
      <c r="F136" s="10"/>
      <c r="G136" s="12">
        <f>SUMIFS(G17:G130,A17:A130,2)</f>
        <v>555.93572799999993</v>
      </c>
    </row>
    <row r="137" spans="1:7" ht="13.5" x14ac:dyDescent="0.25">
      <c r="A137" s="2"/>
      <c r="B137" s="12" t="s">
        <v>37</v>
      </c>
      <c r="C137" s="56"/>
      <c r="D137" s="10"/>
      <c r="E137" s="10"/>
      <c r="F137" s="10"/>
      <c r="G137" s="12">
        <f>(G135+G136)*25%</f>
        <v>2221.5376902500002</v>
      </c>
    </row>
    <row r="138" spans="1:7" ht="13.5" x14ac:dyDescent="0.25">
      <c r="A138" s="15"/>
      <c r="B138" s="25" t="s">
        <v>8</v>
      </c>
      <c r="C138" s="17"/>
      <c r="D138" s="26"/>
      <c r="E138" s="27"/>
      <c r="F138" s="28"/>
      <c r="G138" s="12">
        <f>SUM(G133:G137)</f>
        <v>97590.456233170131</v>
      </c>
    </row>
    <row r="139" spans="1:7" ht="13.5" x14ac:dyDescent="0.25">
      <c r="A139" s="2"/>
      <c r="B139" s="4" t="s">
        <v>61</v>
      </c>
      <c r="C139" s="8"/>
      <c r="D139" s="9"/>
      <c r="E139" s="9"/>
      <c r="F139" s="10"/>
      <c r="G139" s="12">
        <f>G138*10%</f>
        <v>9759.0456233170135</v>
      </c>
    </row>
    <row r="140" spans="1:7" ht="13.5" x14ac:dyDescent="0.25">
      <c r="A140" s="2"/>
      <c r="B140" s="4" t="s">
        <v>55</v>
      </c>
      <c r="C140" s="7" t="s">
        <v>11</v>
      </c>
      <c r="D140" s="11"/>
      <c r="E140" s="5">
        <f>SUMIFS(E129:E136,B129:B136,"Бетон марки БМ-350")</f>
        <v>0</v>
      </c>
      <c r="F140" s="63"/>
      <c r="G140" s="12">
        <f>+F140*E140</f>
        <v>0</v>
      </c>
    </row>
    <row r="141" spans="1:7" ht="13.5" x14ac:dyDescent="0.25">
      <c r="A141" s="2"/>
      <c r="B141" s="4" t="s">
        <v>56</v>
      </c>
      <c r="C141" s="7" t="s">
        <v>11</v>
      </c>
      <c r="D141" s="11"/>
      <c r="E141" s="5">
        <f>E140</f>
        <v>0</v>
      </c>
      <c r="F141" s="63"/>
      <c r="G141" s="12">
        <f>+F141*E141</f>
        <v>0</v>
      </c>
    </row>
    <row r="142" spans="1:7" ht="13.5" x14ac:dyDescent="0.25">
      <c r="A142" s="2"/>
      <c r="B142" s="55" t="s">
        <v>8</v>
      </c>
      <c r="C142" s="56"/>
      <c r="D142" s="10"/>
      <c r="E142" s="10"/>
      <c r="F142" s="10"/>
      <c r="G142" s="12">
        <f>SUM(G138:G141)</f>
        <v>107349.50185648714</v>
      </c>
    </row>
    <row r="143" spans="1:7" ht="13.5" x14ac:dyDescent="0.25">
      <c r="A143" s="2"/>
      <c r="B143" s="55" t="s">
        <v>63</v>
      </c>
      <c r="C143" s="56"/>
      <c r="D143" s="10"/>
      <c r="E143" s="10"/>
      <c r="F143" s="10"/>
      <c r="G143" s="12">
        <f>G142*7%</f>
        <v>7514.465129954101</v>
      </c>
    </row>
    <row r="144" spans="1:7" ht="13.5" x14ac:dyDescent="0.25">
      <c r="A144" s="2"/>
      <c r="B144" s="55" t="s">
        <v>31</v>
      </c>
      <c r="C144" s="56"/>
      <c r="D144" s="10"/>
      <c r="E144" s="10"/>
      <c r="F144" s="10"/>
      <c r="G144" s="12">
        <f>SUM(G142:G143)</f>
        <v>114863.96698644124</v>
      </c>
    </row>
    <row r="145" spans="1:9" x14ac:dyDescent="0.25">
      <c r="F145" s="40"/>
    </row>
    <row r="146" spans="1:9" x14ac:dyDescent="0.25">
      <c r="F146" s="40"/>
    </row>
    <row r="147" spans="1:9" x14ac:dyDescent="0.25">
      <c r="F147" s="40"/>
    </row>
    <row r="148" spans="1:9" ht="13.5" x14ac:dyDescent="0.25">
      <c r="A148" s="13"/>
      <c r="B148" s="136" t="s">
        <v>33</v>
      </c>
      <c r="C148" s="144" t="s">
        <v>35</v>
      </c>
      <c r="D148" s="144"/>
      <c r="E148" s="144"/>
      <c r="F148" s="144"/>
      <c r="G148" s="14"/>
    </row>
    <row r="149" spans="1:9" ht="13.5" x14ac:dyDescent="0.25">
      <c r="A149" s="13"/>
      <c r="B149" s="136"/>
      <c r="C149" s="136"/>
      <c r="D149" s="136"/>
      <c r="E149" s="136"/>
      <c r="F149" s="136"/>
      <c r="G149" s="14"/>
    </row>
    <row r="150" spans="1:9" ht="13.5" x14ac:dyDescent="0.25">
      <c r="A150" s="13"/>
      <c r="B150" s="136" t="s">
        <v>34</v>
      </c>
      <c r="C150" s="144" t="s">
        <v>36</v>
      </c>
      <c r="D150" s="144"/>
      <c r="E150" s="144"/>
      <c r="F150" s="144"/>
      <c r="G150" s="14"/>
    </row>
    <row r="151" spans="1:9" x14ac:dyDescent="0.25">
      <c r="F151" s="40"/>
    </row>
    <row r="156" spans="1:9" x14ac:dyDescent="0.25">
      <c r="B156" s="19" t="s">
        <v>93</v>
      </c>
      <c r="C156" s="22" t="s">
        <v>12</v>
      </c>
      <c r="D156" s="69"/>
      <c r="E156" s="23">
        <f t="shared" ref="E156:E184" si="10">SUMIFS($E$17:$E$129,$B$17:$B$129,B156)</f>
        <v>0</v>
      </c>
      <c r="F156" s="31">
        <v>6500</v>
      </c>
      <c r="G156" s="36">
        <f>E156*F156</f>
        <v>0</v>
      </c>
      <c r="H156" s="74">
        <f t="shared" ref="H156:H184" si="11">SUMIFS($G$17:$G$129,$B$17:$B$129,B156)</f>
        <v>0</v>
      </c>
      <c r="I156" s="40">
        <f t="shared" ref="I156:I181" si="12">G156-H156</f>
        <v>0</v>
      </c>
    </row>
    <row r="157" spans="1:9" x14ac:dyDescent="0.25">
      <c r="B157" s="19" t="s">
        <v>65</v>
      </c>
      <c r="C157" s="22" t="s">
        <v>12</v>
      </c>
      <c r="D157" s="69"/>
      <c r="E157" s="23">
        <f t="shared" si="10"/>
        <v>0.95400000000000018</v>
      </c>
      <c r="F157" s="31">
        <v>6500</v>
      </c>
      <c r="G157" s="36">
        <f t="shared" ref="G157:G184" si="13">E157*F157</f>
        <v>6201.0000000000009</v>
      </c>
      <c r="H157" s="74">
        <f t="shared" si="11"/>
        <v>6201</v>
      </c>
      <c r="I157" s="40">
        <f t="shared" si="12"/>
        <v>0</v>
      </c>
    </row>
    <row r="158" spans="1:9" x14ac:dyDescent="0.25">
      <c r="B158" s="19" t="s">
        <v>87</v>
      </c>
      <c r="C158" s="22" t="s">
        <v>12</v>
      </c>
      <c r="D158" s="69"/>
      <c r="E158" s="23">
        <f t="shared" si="10"/>
        <v>3.8759999999999999</v>
      </c>
      <c r="F158" s="31">
        <v>6500</v>
      </c>
      <c r="G158" s="36">
        <f t="shared" si="13"/>
        <v>25194</v>
      </c>
      <c r="H158" s="74">
        <f t="shared" si="11"/>
        <v>25194</v>
      </c>
      <c r="I158" s="40">
        <f t="shared" si="12"/>
        <v>0</v>
      </c>
    </row>
    <row r="159" spans="1:9" x14ac:dyDescent="0.25">
      <c r="B159" s="19" t="s">
        <v>44</v>
      </c>
      <c r="C159" s="22" t="s">
        <v>12</v>
      </c>
      <c r="D159" s="6"/>
      <c r="E159" s="23">
        <f t="shared" si="10"/>
        <v>0.57200000000000006</v>
      </c>
      <c r="F159" s="31">
        <v>6500</v>
      </c>
      <c r="G159" s="36">
        <f t="shared" si="13"/>
        <v>3718.0000000000005</v>
      </c>
      <c r="H159" s="74">
        <f t="shared" si="11"/>
        <v>3718</v>
      </c>
      <c r="I159" s="40">
        <f t="shared" si="12"/>
        <v>0</v>
      </c>
    </row>
    <row r="160" spans="1:9" x14ac:dyDescent="0.25">
      <c r="B160" s="19" t="s">
        <v>71</v>
      </c>
      <c r="C160" s="22" t="s">
        <v>12</v>
      </c>
      <c r="D160" s="6"/>
      <c r="E160" s="23">
        <f t="shared" si="10"/>
        <v>0</v>
      </c>
      <c r="F160" s="31">
        <v>6500</v>
      </c>
      <c r="G160" s="36">
        <f t="shared" si="13"/>
        <v>0</v>
      </c>
      <c r="H160" s="74">
        <f t="shared" si="11"/>
        <v>0</v>
      </c>
      <c r="I160" s="40">
        <f t="shared" si="12"/>
        <v>0</v>
      </c>
    </row>
    <row r="161" spans="2:9" x14ac:dyDescent="0.25">
      <c r="B161" s="19" t="s">
        <v>83</v>
      </c>
      <c r="C161" s="22" t="s">
        <v>12</v>
      </c>
      <c r="D161" s="69"/>
      <c r="E161" s="23">
        <f t="shared" si="10"/>
        <v>1.0310000000000001</v>
      </c>
      <c r="F161" s="31">
        <v>6500</v>
      </c>
      <c r="G161" s="36">
        <f t="shared" si="13"/>
        <v>6701.5000000000009</v>
      </c>
      <c r="H161" s="74">
        <f t="shared" si="11"/>
        <v>6701.5</v>
      </c>
      <c r="I161" s="40">
        <f t="shared" si="12"/>
        <v>0</v>
      </c>
    </row>
    <row r="162" spans="2:9" x14ac:dyDescent="0.25">
      <c r="B162" s="19" t="s">
        <v>43</v>
      </c>
      <c r="C162" s="22" t="s">
        <v>12</v>
      </c>
      <c r="D162" s="69"/>
      <c r="E162" s="23">
        <f t="shared" si="10"/>
        <v>0.311</v>
      </c>
      <c r="F162" s="31">
        <v>6500</v>
      </c>
      <c r="G162" s="36">
        <f t="shared" si="13"/>
        <v>2021.5</v>
      </c>
      <c r="H162" s="74">
        <f t="shared" si="11"/>
        <v>2021.5</v>
      </c>
      <c r="I162" s="40">
        <f t="shared" si="12"/>
        <v>0</v>
      </c>
    </row>
    <row r="163" spans="2:9" x14ac:dyDescent="0.25">
      <c r="B163" s="19" t="s">
        <v>80</v>
      </c>
      <c r="C163" s="22" t="s">
        <v>12</v>
      </c>
      <c r="D163" s="69"/>
      <c r="E163" s="23">
        <f t="shared" si="10"/>
        <v>1.698</v>
      </c>
      <c r="F163" s="31">
        <v>6500</v>
      </c>
      <c r="G163" s="36">
        <f t="shared" si="13"/>
        <v>11037</v>
      </c>
      <c r="H163" s="74">
        <f t="shared" si="11"/>
        <v>11037</v>
      </c>
      <c r="I163" s="40">
        <f t="shared" si="12"/>
        <v>0</v>
      </c>
    </row>
    <row r="164" spans="2:9" x14ac:dyDescent="0.25">
      <c r="B164" s="19" t="s">
        <v>75</v>
      </c>
      <c r="C164" s="22" t="s">
        <v>12</v>
      </c>
      <c r="D164" s="69"/>
      <c r="E164" s="23">
        <f t="shared" si="10"/>
        <v>0.80700000000000005</v>
      </c>
      <c r="F164" s="31">
        <v>6500</v>
      </c>
      <c r="G164" s="36">
        <f t="shared" si="13"/>
        <v>5245.5</v>
      </c>
      <c r="H164" s="74">
        <f t="shared" si="11"/>
        <v>5245.5</v>
      </c>
      <c r="I164" s="40">
        <f t="shared" si="12"/>
        <v>0</v>
      </c>
    </row>
    <row r="165" spans="2:9" x14ac:dyDescent="0.25">
      <c r="B165" s="19" t="s">
        <v>77</v>
      </c>
      <c r="C165" s="22" t="s">
        <v>12</v>
      </c>
      <c r="D165" s="69"/>
      <c r="E165" s="23">
        <f t="shared" si="10"/>
        <v>0</v>
      </c>
      <c r="F165" s="31">
        <v>6500</v>
      </c>
      <c r="G165" s="36">
        <f t="shared" si="13"/>
        <v>0</v>
      </c>
      <c r="H165" s="74">
        <f t="shared" si="11"/>
        <v>0</v>
      </c>
      <c r="I165" s="40">
        <f t="shared" si="12"/>
        <v>0</v>
      </c>
    </row>
    <row r="166" spans="2:9" x14ac:dyDescent="0.25">
      <c r="B166" s="19" t="s">
        <v>79</v>
      </c>
      <c r="C166" s="22" t="s">
        <v>12</v>
      </c>
      <c r="D166" s="69"/>
      <c r="E166" s="23">
        <f t="shared" si="10"/>
        <v>0</v>
      </c>
      <c r="F166" s="31">
        <v>6500</v>
      </c>
      <c r="G166" s="36">
        <f t="shared" si="13"/>
        <v>0</v>
      </c>
      <c r="H166" s="74">
        <f t="shared" si="11"/>
        <v>0</v>
      </c>
      <c r="I166" s="40">
        <f t="shared" si="12"/>
        <v>0</v>
      </c>
    </row>
    <row r="167" spans="2:9" x14ac:dyDescent="0.25">
      <c r="B167" s="19" t="s">
        <v>78</v>
      </c>
      <c r="C167" s="22" t="s">
        <v>12</v>
      </c>
      <c r="D167" s="69"/>
      <c r="E167" s="23">
        <f t="shared" si="10"/>
        <v>0</v>
      </c>
      <c r="F167" s="31">
        <v>6500</v>
      </c>
      <c r="G167" s="36">
        <f>E167*F167</f>
        <v>0</v>
      </c>
      <c r="H167" s="74">
        <f t="shared" si="11"/>
        <v>0</v>
      </c>
      <c r="I167" s="40">
        <f t="shared" si="12"/>
        <v>0</v>
      </c>
    </row>
    <row r="168" spans="2:9" x14ac:dyDescent="0.25">
      <c r="B168" s="19" t="s">
        <v>76</v>
      </c>
      <c r="C168" s="22" t="s">
        <v>11</v>
      </c>
      <c r="D168" s="69"/>
      <c r="E168" s="23">
        <f t="shared" si="10"/>
        <v>66.776300000000006</v>
      </c>
      <c r="F168" s="31"/>
      <c r="G168" s="36">
        <f t="shared" si="13"/>
        <v>0</v>
      </c>
      <c r="H168" s="74">
        <f t="shared" si="11"/>
        <v>0</v>
      </c>
      <c r="I168" s="40">
        <f t="shared" si="12"/>
        <v>0</v>
      </c>
    </row>
    <row r="169" spans="2:9" x14ac:dyDescent="0.25">
      <c r="B169" s="19" t="s">
        <v>50</v>
      </c>
      <c r="C169" s="22" t="s">
        <v>11</v>
      </c>
      <c r="D169" s="69"/>
      <c r="E169" s="23">
        <f t="shared" si="10"/>
        <v>0</v>
      </c>
      <c r="F169" s="31">
        <v>2000</v>
      </c>
      <c r="G169" s="36">
        <f t="shared" si="13"/>
        <v>0</v>
      </c>
      <c r="H169" s="74">
        <f t="shared" si="11"/>
        <v>0</v>
      </c>
      <c r="I169" s="40">
        <f t="shared" si="12"/>
        <v>0</v>
      </c>
    </row>
    <row r="170" spans="2:9" x14ac:dyDescent="0.25">
      <c r="B170" s="21" t="s">
        <v>13</v>
      </c>
      <c r="C170" s="22" t="s">
        <v>12</v>
      </c>
      <c r="D170" s="69"/>
      <c r="E170" s="23">
        <f t="shared" si="10"/>
        <v>2.1100000000000004E-2</v>
      </c>
      <c r="F170" s="31">
        <v>8500</v>
      </c>
      <c r="G170" s="36">
        <f t="shared" si="13"/>
        <v>179.35000000000002</v>
      </c>
      <c r="H170" s="74">
        <f t="shared" si="11"/>
        <v>179.35</v>
      </c>
      <c r="I170" s="40">
        <f t="shared" si="12"/>
        <v>0</v>
      </c>
    </row>
    <row r="171" spans="2:9" x14ac:dyDescent="0.25">
      <c r="B171" s="19" t="s">
        <v>82</v>
      </c>
      <c r="C171" s="22" t="s">
        <v>11</v>
      </c>
      <c r="D171" s="69"/>
      <c r="E171" s="23">
        <f t="shared" si="10"/>
        <v>0.88929999999999998</v>
      </c>
      <c r="F171" s="31">
        <v>2563.75</v>
      </c>
      <c r="G171" s="36">
        <f t="shared" si="13"/>
        <v>2279.9428749999997</v>
      </c>
      <c r="H171" s="74">
        <f t="shared" si="11"/>
        <v>2279.9428749999997</v>
      </c>
      <c r="I171" s="40">
        <f t="shared" si="12"/>
        <v>0</v>
      </c>
    </row>
    <row r="172" spans="2:9" x14ac:dyDescent="0.25">
      <c r="B172" s="19" t="s">
        <v>103</v>
      </c>
      <c r="C172" s="22" t="s">
        <v>104</v>
      </c>
      <c r="D172" s="69"/>
      <c r="E172" s="23">
        <f t="shared" si="10"/>
        <v>0</v>
      </c>
      <c r="F172" s="31">
        <v>593.79999999999995</v>
      </c>
      <c r="G172" s="36">
        <f t="shared" si="13"/>
        <v>0</v>
      </c>
      <c r="H172" s="74">
        <f t="shared" si="11"/>
        <v>0</v>
      </c>
      <c r="I172" s="40">
        <f t="shared" si="12"/>
        <v>0</v>
      </c>
    </row>
    <row r="173" spans="2:9" x14ac:dyDescent="0.25">
      <c r="B173" s="19" t="s">
        <v>90</v>
      </c>
      <c r="C173" s="22" t="s">
        <v>64</v>
      </c>
      <c r="D173" s="69"/>
      <c r="E173" s="23">
        <f t="shared" si="10"/>
        <v>0</v>
      </c>
      <c r="F173" s="31">
        <v>50</v>
      </c>
      <c r="G173" s="36">
        <f t="shared" si="13"/>
        <v>0</v>
      </c>
      <c r="H173" s="74">
        <f t="shared" si="11"/>
        <v>0</v>
      </c>
      <c r="I173" s="40">
        <f t="shared" si="12"/>
        <v>0</v>
      </c>
    </row>
    <row r="174" spans="2:9" x14ac:dyDescent="0.25">
      <c r="B174" s="19" t="s">
        <v>91</v>
      </c>
      <c r="C174" s="22" t="s">
        <v>64</v>
      </c>
      <c r="D174" s="69"/>
      <c r="E174" s="23">
        <f t="shared" si="10"/>
        <v>0</v>
      </c>
      <c r="F174" s="31">
        <v>50</v>
      </c>
      <c r="G174" s="36">
        <f t="shared" si="13"/>
        <v>0</v>
      </c>
      <c r="H174" s="74">
        <f t="shared" si="11"/>
        <v>0</v>
      </c>
      <c r="I174" s="40">
        <f t="shared" si="12"/>
        <v>0</v>
      </c>
    </row>
    <row r="175" spans="2:9" x14ac:dyDescent="0.25">
      <c r="B175" s="19" t="s">
        <v>92</v>
      </c>
      <c r="C175" s="22" t="s">
        <v>64</v>
      </c>
      <c r="D175" s="69"/>
      <c r="E175" s="23">
        <f t="shared" si="10"/>
        <v>0</v>
      </c>
      <c r="F175" s="31">
        <v>50</v>
      </c>
      <c r="G175" s="36">
        <f t="shared" si="13"/>
        <v>0</v>
      </c>
      <c r="H175" s="74">
        <f t="shared" si="11"/>
        <v>0</v>
      </c>
      <c r="I175" s="40">
        <f t="shared" si="12"/>
        <v>0</v>
      </c>
    </row>
    <row r="176" spans="2:9" x14ac:dyDescent="0.25">
      <c r="B176" s="21" t="s">
        <v>29</v>
      </c>
      <c r="C176" s="22" t="s">
        <v>12</v>
      </c>
      <c r="D176" s="69"/>
      <c r="E176" s="23">
        <f t="shared" si="10"/>
        <v>47.704999999999998</v>
      </c>
      <c r="F176" s="31">
        <f>2449.06/159.17</f>
        <v>15.386442168750394</v>
      </c>
      <c r="G176" s="36">
        <f t="shared" si="13"/>
        <v>734.01022366023756</v>
      </c>
      <c r="H176" s="74">
        <f t="shared" si="11"/>
        <v>734.01022366023756</v>
      </c>
      <c r="I176" s="40">
        <f t="shared" si="12"/>
        <v>0</v>
      </c>
    </row>
    <row r="177" spans="2:9" x14ac:dyDescent="0.25">
      <c r="B177" s="21" t="s">
        <v>101</v>
      </c>
      <c r="C177" s="22" t="s">
        <v>12</v>
      </c>
      <c r="D177" s="69"/>
      <c r="E177" s="23">
        <f t="shared" si="10"/>
        <v>0</v>
      </c>
      <c r="F177" s="31">
        <v>36</v>
      </c>
      <c r="G177" s="36">
        <f t="shared" si="13"/>
        <v>0</v>
      </c>
      <c r="H177" s="74">
        <f t="shared" si="11"/>
        <v>0</v>
      </c>
      <c r="I177" s="40">
        <f t="shared" si="12"/>
        <v>0</v>
      </c>
    </row>
    <row r="178" spans="2:9" x14ac:dyDescent="0.25">
      <c r="B178" s="19" t="s">
        <v>25</v>
      </c>
      <c r="C178" s="22" t="s">
        <v>11</v>
      </c>
      <c r="D178" s="69"/>
      <c r="E178" s="23">
        <f t="shared" si="10"/>
        <v>0</v>
      </c>
      <c r="F178" s="31">
        <v>2500</v>
      </c>
      <c r="G178" s="36">
        <f t="shared" si="13"/>
        <v>0</v>
      </c>
      <c r="H178" s="74">
        <f t="shared" si="11"/>
        <v>0</v>
      </c>
      <c r="I178" s="40">
        <f t="shared" si="12"/>
        <v>0</v>
      </c>
    </row>
    <row r="179" spans="2:9" x14ac:dyDescent="0.25">
      <c r="B179" s="19" t="s">
        <v>70</v>
      </c>
      <c r="C179" s="22" t="s">
        <v>12</v>
      </c>
      <c r="D179" s="69"/>
      <c r="E179" s="23">
        <f t="shared" si="10"/>
        <v>7.1999999999999998E-3</v>
      </c>
      <c r="F179" s="31">
        <v>5423.7330000000002</v>
      </c>
      <c r="G179" s="36">
        <f t="shared" si="13"/>
        <v>39.0508776</v>
      </c>
      <c r="H179" s="74">
        <f t="shared" si="11"/>
        <v>39.0508776</v>
      </c>
      <c r="I179" s="40">
        <f t="shared" si="12"/>
        <v>0</v>
      </c>
    </row>
    <row r="180" spans="2:9" x14ac:dyDescent="0.25">
      <c r="B180" s="21" t="s">
        <v>99</v>
      </c>
      <c r="C180" s="22" t="s">
        <v>12</v>
      </c>
      <c r="D180" s="69"/>
      <c r="E180" s="23">
        <f t="shared" si="10"/>
        <v>0</v>
      </c>
      <c r="F180" s="31">
        <v>580</v>
      </c>
      <c r="G180" s="36">
        <f t="shared" si="13"/>
        <v>0</v>
      </c>
      <c r="H180" s="74">
        <f t="shared" si="11"/>
        <v>0</v>
      </c>
      <c r="I180" s="40">
        <f t="shared" si="12"/>
        <v>0</v>
      </c>
    </row>
    <row r="181" spans="2:9" x14ac:dyDescent="0.25">
      <c r="B181" s="21" t="s">
        <v>72</v>
      </c>
      <c r="C181" s="22" t="s">
        <v>12</v>
      </c>
      <c r="D181" s="69"/>
      <c r="E181" s="23">
        <f t="shared" si="10"/>
        <v>25.508599999999998</v>
      </c>
      <c r="F181" s="73">
        <v>630</v>
      </c>
      <c r="G181" s="36">
        <f t="shared" si="13"/>
        <v>16070.417999999998</v>
      </c>
      <c r="H181" s="74">
        <f t="shared" si="11"/>
        <v>16070.418</v>
      </c>
      <c r="I181" s="40">
        <f t="shared" si="12"/>
        <v>0</v>
      </c>
    </row>
    <row r="182" spans="2:9" x14ac:dyDescent="0.25">
      <c r="B182" s="21" t="s">
        <v>28</v>
      </c>
      <c r="C182" s="22" t="s">
        <v>12</v>
      </c>
      <c r="D182" s="69"/>
      <c r="E182" s="23">
        <f t="shared" si="10"/>
        <v>85.473700000000008</v>
      </c>
      <c r="F182" s="31">
        <f>4991.72/392.53</f>
        <v>12.7167859781418</v>
      </c>
      <c r="G182" s="36">
        <f t="shared" si="13"/>
        <v>1086.950749659899</v>
      </c>
      <c r="H182" s="74">
        <f t="shared" si="11"/>
        <v>1086.9507496598987</v>
      </c>
      <c r="I182" s="40">
        <f>G182-H182</f>
        <v>0</v>
      </c>
    </row>
    <row r="183" spans="2:9" x14ac:dyDescent="0.25">
      <c r="B183" s="19" t="s">
        <v>24</v>
      </c>
      <c r="C183" s="22" t="s">
        <v>14</v>
      </c>
      <c r="D183" s="69"/>
      <c r="E183" s="23">
        <f t="shared" si="10"/>
        <v>35.373800000000003</v>
      </c>
      <c r="F183" s="73"/>
      <c r="G183" s="36">
        <f t="shared" si="13"/>
        <v>0</v>
      </c>
      <c r="H183" s="74">
        <f t="shared" si="11"/>
        <v>0</v>
      </c>
      <c r="I183" s="40">
        <f>G183-H183</f>
        <v>0</v>
      </c>
    </row>
    <row r="184" spans="2:9" x14ac:dyDescent="0.25">
      <c r="B184" s="19" t="s">
        <v>39</v>
      </c>
      <c r="C184" s="22" t="s">
        <v>12</v>
      </c>
      <c r="D184" s="69"/>
      <c r="E184" s="23">
        <f t="shared" si="10"/>
        <v>7.7899999999999983E-2</v>
      </c>
      <c r="F184" s="31">
        <v>9500</v>
      </c>
      <c r="G184" s="36">
        <f t="shared" si="13"/>
        <v>740.04999999999984</v>
      </c>
      <c r="H184" s="74">
        <f t="shared" si="11"/>
        <v>740.05</v>
      </c>
      <c r="I184" s="40">
        <f>G184-H184</f>
        <v>0</v>
      </c>
    </row>
    <row r="185" spans="2:9" x14ac:dyDescent="0.25">
      <c r="G185" s="58">
        <f>SUM(G156:G184)</f>
        <v>81248.272725920135</v>
      </c>
    </row>
  </sheetData>
  <autoFilter ref="A15:G127">
    <filterColumn colId="3" showButton="0"/>
  </autoFilter>
  <mergeCells count="17">
    <mergeCell ref="C148:F148"/>
    <mergeCell ref="C150:F150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  <mergeCell ref="A10:G10"/>
    <mergeCell ref="E1:G1"/>
    <mergeCell ref="E3:G3"/>
    <mergeCell ref="E5:G5"/>
    <mergeCell ref="A6:E6"/>
    <mergeCell ref="A8:G8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50"/>
  <sheetViews>
    <sheetView view="pageBreakPreview" topLeftCell="A61" zoomScale="130" zoomScaleNormal="130" zoomScaleSheetLayoutView="130" workbookViewId="0">
      <selection activeCell="E69" sqref="E69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25"/>
      <c r="C7" s="125"/>
      <c r="D7" s="124"/>
      <c r="E7" s="124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28"/>
      <c r="B9" s="48"/>
      <c r="C9" s="128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28"/>
      <c r="B11" s="145" t="s">
        <v>164</v>
      </c>
      <c r="C11" s="145"/>
      <c r="D11" s="145"/>
      <c r="E11" s="145"/>
      <c r="F11" s="145"/>
      <c r="G11" s="145"/>
    </row>
    <row r="12" spans="1:7" ht="20.25" x14ac:dyDescent="0.25">
      <c r="A12" s="146" t="s">
        <v>152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153</v>
      </c>
      <c r="B13" s="148"/>
      <c r="C13" s="148"/>
      <c r="D13" s="148"/>
      <c r="E13" s="148"/>
      <c r="F13" s="149"/>
      <c r="G13" s="148"/>
    </row>
    <row r="14" spans="1:7" ht="13.5" x14ac:dyDescent="0.25">
      <c r="A14" s="128"/>
      <c r="B14" s="128"/>
      <c r="C14" s="128"/>
      <c r="D14" s="128"/>
      <c r="E14" s="128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27" t="s">
        <v>5</v>
      </c>
      <c r="E16" s="127" t="s">
        <v>6</v>
      </c>
      <c r="F16" s="150"/>
      <c r="G16" s="150"/>
    </row>
    <row r="17" spans="1:7" s="51" customFormat="1" ht="27" x14ac:dyDescent="0.25">
      <c r="A17" s="15" t="s">
        <v>45</v>
      </c>
      <c r="B17" s="16" t="s">
        <v>165</v>
      </c>
      <c r="C17" s="17" t="s">
        <v>20</v>
      </c>
      <c r="D17" s="18"/>
      <c r="E17" s="30">
        <f>0.38*0.38*2.9*4/100</f>
        <v>1.6750399999999999E-2</v>
      </c>
      <c r="F17" s="30"/>
      <c r="G17" s="19"/>
    </row>
    <row r="18" spans="1:7" s="51" customFormat="1" x14ac:dyDescent="0.25">
      <c r="A18" s="20">
        <v>1</v>
      </c>
      <c r="B18" s="21" t="s">
        <v>46</v>
      </c>
      <c r="C18" s="22" t="s">
        <v>7</v>
      </c>
      <c r="D18" s="18">
        <v>1569.4</v>
      </c>
      <c r="E18" s="23">
        <f>ROUND(D18*E17,4)</f>
        <v>26.2881</v>
      </c>
      <c r="F18" s="31">
        <v>10.46</v>
      </c>
      <c r="G18" s="24">
        <f t="shared" ref="G18:G30" si="0">F18*E18</f>
        <v>274.97352600000005</v>
      </c>
    </row>
    <row r="19" spans="1:7" s="51" customFormat="1" x14ac:dyDescent="0.25">
      <c r="A19" s="20">
        <v>2</v>
      </c>
      <c r="B19" s="21" t="s">
        <v>18</v>
      </c>
      <c r="C19" s="22" t="s">
        <v>7</v>
      </c>
      <c r="D19" s="18">
        <v>93.3</v>
      </c>
      <c r="E19" s="23">
        <f>ROUND(D19*E17,4)</f>
        <v>1.5628</v>
      </c>
      <c r="F19" s="31">
        <v>15.44</v>
      </c>
      <c r="G19" s="24">
        <f t="shared" si="0"/>
        <v>24.129631999999997</v>
      </c>
    </row>
    <row r="20" spans="1:7" s="51" customFormat="1" ht="25.5" x14ac:dyDescent="0.25">
      <c r="A20" s="20" t="s">
        <v>40</v>
      </c>
      <c r="B20" s="19" t="s">
        <v>47</v>
      </c>
      <c r="C20" s="22" t="s">
        <v>19</v>
      </c>
      <c r="D20" s="18">
        <v>93.3</v>
      </c>
      <c r="E20" s="23">
        <f>ROUND(D20*E17,4)</f>
        <v>1.5628</v>
      </c>
      <c r="F20" s="31">
        <f>152.37-15.44</f>
        <v>136.93</v>
      </c>
      <c r="G20" s="24">
        <f t="shared" si="0"/>
        <v>213.994204</v>
      </c>
    </row>
    <row r="21" spans="1:7" s="51" customFormat="1" x14ac:dyDescent="0.25">
      <c r="A21" s="20" t="s">
        <v>41</v>
      </c>
      <c r="B21" s="21" t="s">
        <v>38</v>
      </c>
      <c r="C21" s="22" t="s">
        <v>19</v>
      </c>
      <c r="D21" s="18">
        <v>124.95</v>
      </c>
      <c r="E21" s="23">
        <f>ROUND(D21*E17,4)</f>
        <v>2.093</v>
      </c>
      <c r="F21" s="31">
        <v>8.4600000000000009</v>
      </c>
      <c r="G21" s="24">
        <f t="shared" si="0"/>
        <v>17.706780000000002</v>
      </c>
    </row>
    <row r="22" spans="1:7" s="51" customFormat="1" x14ac:dyDescent="0.25">
      <c r="A22" s="20">
        <v>111100</v>
      </c>
      <c r="B22" s="19" t="s">
        <v>27</v>
      </c>
      <c r="C22" s="22" t="s">
        <v>19</v>
      </c>
      <c r="D22" s="18">
        <v>61.88</v>
      </c>
      <c r="E22" s="23">
        <f>ROUND(D22*E17,4)</f>
        <v>1.0365</v>
      </c>
      <c r="F22" s="31">
        <v>2.83</v>
      </c>
      <c r="G22" s="24">
        <f t="shared" si="0"/>
        <v>2.9332950000000002</v>
      </c>
    </row>
    <row r="23" spans="1:7" s="51" customFormat="1" x14ac:dyDescent="0.25">
      <c r="A23" s="20">
        <v>331532</v>
      </c>
      <c r="B23" s="19" t="s">
        <v>26</v>
      </c>
      <c r="C23" s="22" t="s">
        <v>19</v>
      </c>
      <c r="D23" s="18">
        <v>1.9</v>
      </c>
      <c r="E23" s="23">
        <f>ROUND(D23*E17,4)</f>
        <v>3.1800000000000002E-2</v>
      </c>
      <c r="F23" s="31">
        <v>1.63</v>
      </c>
      <c r="G23" s="24">
        <f t="shared" si="0"/>
        <v>5.1833999999999998E-2</v>
      </c>
    </row>
    <row r="24" spans="1:7" s="51" customFormat="1" x14ac:dyDescent="0.25">
      <c r="A24" s="20" t="s">
        <v>48</v>
      </c>
      <c r="B24" s="19" t="s">
        <v>39</v>
      </c>
      <c r="C24" s="22" t="s">
        <v>12</v>
      </c>
      <c r="D24" s="18">
        <v>0.15</v>
      </c>
      <c r="E24" s="23">
        <f>ROUND(D24*E17,4)</f>
        <v>2.5000000000000001E-3</v>
      </c>
      <c r="F24" s="31">
        <v>9500</v>
      </c>
      <c r="G24" s="24">
        <f t="shared" si="0"/>
        <v>23.75</v>
      </c>
    </row>
    <row r="25" spans="1:7" s="51" customFormat="1" x14ac:dyDescent="0.25">
      <c r="A25" s="20" t="s">
        <v>74</v>
      </c>
      <c r="B25" s="19" t="s">
        <v>25</v>
      </c>
      <c r="C25" s="22" t="s">
        <v>11</v>
      </c>
      <c r="D25" s="18">
        <v>1.7</v>
      </c>
      <c r="E25" s="23">
        <f>ROUND(D25*E17,4)</f>
        <v>2.8500000000000001E-2</v>
      </c>
      <c r="F25" s="31">
        <v>2500</v>
      </c>
      <c r="G25" s="24">
        <f t="shared" si="0"/>
        <v>71.25</v>
      </c>
    </row>
    <row r="26" spans="1:7" s="51" customFormat="1" x14ac:dyDescent="0.25">
      <c r="A26" s="20" t="s">
        <v>49</v>
      </c>
      <c r="B26" s="19" t="s">
        <v>50</v>
      </c>
      <c r="C26" s="22" t="s">
        <v>11</v>
      </c>
      <c r="D26" s="18">
        <v>0.25</v>
      </c>
      <c r="E26" s="23">
        <f>ROUND(D26*E17,4)</f>
        <v>4.1999999999999997E-3</v>
      </c>
      <c r="F26" s="31">
        <v>2000</v>
      </c>
      <c r="G26" s="24">
        <f t="shared" si="0"/>
        <v>8.4</v>
      </c>
    </row>
    <row r="27" spans="1:7" s="51" customFormat="1" x14ac:dyDescent="0.25">
      <c r="A27" s="20" t="s">
        <v>22</v>
      </c>
      <c r="B27" s="19" t="s">
        <v>24</v>
      </c>
      <c r="C27" s="22" t="s">
        <v>14</v>
      </c>
      <c r="D27" s="18">
        <v>135</v>
      </c>
      <c r="E27" s="23">
        <f>ROUND(D27*E17,4)</f>
        <v>2.2612999999999999</v>
      </c>
      <c r="F27" s="24"/>
      <c r="G27" s="24">
        <f t="shared" si="0"/>
        <v>0</v>
      </c>
    </row>
    <row r="28" spans="1:7" s="51" customFormat="1" x14ac:dyDescent="0.25">
      <c r="A28" s="20" t="s">
        <v>16</v>
      </c>
      <c r="B28" s="19" t="s">
        <v>77</v>
      </c>
      <c r="C28" s="22" t="s">
        <v>12</v>
      </c>
      <c r="D28" s="18" t="s">
        <v>17</v>
      </c>
      <c r="E28" s="23">
        <f>283/1000</f>
        <v>0.28299999999999997</v>
      </c>
      <c r="F28" s="31">
        <v>6500</v>
      </c>
      <c r="G28" s="24">
        <f t="shared" si="0"/>
        <v>1839.4999999999998</v>
      </c>
    </row>
    <row r="29" spans="1:7" s="51" customFormat="1" x14ac:dyDescent="0.25">
      <c r="A29" s="20" t="s">
        <v>16</v>
      </c>
      <c r="B29" s="19" t="s">
        <v>75</v>
      </c>
      <c r="C29" s="22" t="s">
        <v>12</v>
      </c>
      <c r="D29" s="18" t="s">
        <v>17</v>
      </c>
      <c r="E29" s="23">
        <f>210/1000</f>
        <v>0.21</v>
      </c>
      <c r="F29" s="31">
        <v>6500</v>
      </c>
      <c r="G29" s="24">
        <f t="shared" si="0"/>
        <v>1365</v>
      </c>
    </row>
    <row r="30" spans="1:7" s="51" customFormat="1" x14ac:dyDescent="0.25">
      <c r="A30" s="20" t="s">
        <v>16</v>
      </c>
      <c r="B30" s="19" t="s">
        <v>65</v>
      </c>
      <c r="C30" s="22" t="s">
        <v>12</v>
      </c>
      <c r="D30" s="18" t="s">
        <v>17</v>
      </c>
      <c r="E30" s="23">
        <f>75/1000</f>
        <v>7.4999999999999997E-2</v>
      </c>
      <c r="F30" s="31">
        <v>6500</v>
      </c>
      <c r="G30" s="24">
        <f t="shared" si="0"/>
        <v>487.5</v>
      </c>
    </row>
    <row r="31" spans="1:7" s="51" customFormat="1" x14ac:dyDescent="0.25">
      <c r="A31" s="20" t="s">
        <v>23</v>
      </c>
      <c r="B31" s="19" t="s">
        <v>76</v>
      </c>
      <c r="C31" s="22" t="s">
        <v>11</v>
      </c>
      <c r="D31" s="18">
        <v>100</v>
      </c>
      <c r="E31" s="23">
        <f>ROUND(D31*E17,4)</f>
        <v>1.675</v>
      </c>
      <c r="F31" s="24"/>
      <c r="G31" s="24"/>
    </row>
    <row r="32" spans="1:7" s="51" customFormat="1" x14ac:dyDescent="0.25">
      <c r="A32" s="20"/>
      <c r="B32" s="32" t="s">
        <v>72</v>
      </c>
      <c r="C32" s="22" t="s">
        <v>12</v>
      </c>
      <c r="D32" s="18">
        <v>0.38200000000000001</v>
      </c>
      <c r="E32" s="23">
        <f>ROUND(D32*E31,4)</f>
        <v>0.63990000000000002</v>
      </c>
      <c r="F32" s="31">
        <v>630</v>
      </c>
      <c r="G32" s="24">
        <f t="shared" ref="G32:G34" si="1">F32*E32</f>
        <v>403.137</v>
      </c>
    </row>
    <row r="33" spans="1:8" s="51" customFormat="1" x14ac:dyDescent="0.25">
      <c r="A33" s="20"/>
      <c r="B33" s="32" t="s">
        <v>29</v>
      </c>
      <c r="C33" s="22" t="s">
        <v>12</v>
      </c>
      <c r="D33" s="18">
        <f>47/100*1.52</f>
        <v>0.71439999999999992</v>
      </c>
      <c r="E33" s="23">
        <f>ROUND(D33*E31,4)</f>
        <v>1.1966000000000001</v>
      </c>
      <c r="F33" s="31">
        <f>2449.06/159.17</f>
        <v>15.386442168750394</v>
      </c>
      <c r="G33" s="24">
        <f t="shared" si="1"/>
        <v>18.411416699126722</v>
      </c>
    </row>
    <row r="34" spans="1:8" s="51" customFormat="1" x14ac:dyDescent="0.25">
      <c r="A34" s="20"/>
      <c r="B34" s="32" t="s">
        <v>28</v>
      </c>
      <c r="C34" s="22" t="s">
        <v>12</v>
      </c>
      <c r="D34" s="18">
        <f>80/100*1.6</f>
        <v>1.2800000000000002</v>
      </c>
      <c r="E34" s="23">
        <f>ROUND(D34*E31,4)</f>
        <v>2.1440000000000001</v>
      </c>
      <c r="F34" s="31">
        <f>4991.72/392.53</f>
        <v>12.7167859781418</v>
      </c>
      <c r="G34" s="24">
        <f t="shared" si="1"/>
        <v>27.26478913713602</v>
      </c>
    </row>
    <row r="35" spans="1:8" s="51" customFormat="1" ht="13.5" x14ac:dyDescent="0.25">
      <c r="A35" s="15"/>
      <c r="B35" s="25" t="s">
        <v>8</v>
      </c>
      <c r="C35" s="17"/>
      <c r="D35" s="26"/>
      <c r="E35" s="27"/>
      <c r="F35" s="28"/>
      <c r="G35" s="29">
        <f>SUM(G18:G34)</f>
        <v>4778.0024768362618</v>
      </c>
    </row>
    <row r="36" spans="1:8" s="51" customFormat="1" ht="27" x14ac:dyDescent="0.25">
      <c r="A36" s="15" t="s">
        <v>73</v>
      </c>
      <c r="B36" s="16" t="s">
        <v>166</v>
      </c>
      <c r="C36" s="17" t="s">
        <v>20</v>
      </c>
      <c r="D36" s="18"/>
      <c r="E36" s="17">
        <f>33.51/100</f>
        <v>0.33509999999999995</v>
      </c>
      <c r="F36" s="24"/>
      <c r="G36" s="24"/>
    </row>
    <row r="37" spans="1:8" s="51" customFormat="1" x14ac:dyDescent="0.25">
      <c r="A37" s="20">
        <v>1</v>
      </c>
      <c r="B37" s="21" t="s">
        <v>46</v>
      </c>
      <c r="C37" s="22" t="s">
        <v>7</v>
      </c>
      <c r="D37" s="18">
        <v>763.46</v>
      </c>
      <c r="E37" s="23">
        <f>ROUND(D37*E36,4)</f>
        <v>255.83539999999999</v>
      </c>
      <c r="F37" s="31">
        <v>10.46</v>
      </c>
      <c r="G37" s="24">
        <f t="shared" ref="G37:G52" si="2">F37*E37</f>
        <v>2676.0382840000002</v>
      </c>
    </row>
    <row r="38" spans="1:8" s="51" customFormat="1" x14ac:dyDescent="0.25">
      <c r="A38" s="20">
        <v>2</v>
      </c>
      <c r="B38" s="21" t="s">
        <v>18</v>
      </c>
      <c r="C38" s="22" t="s">
        <v>7</v>
      </c>
      <c r="D38" s="18">
        <v>70.45</v>
      </c>
      <c r="E38" s="23">
        <f>ROUND(D38*E36,4)</f>
        <v>23.607800000000001</v>
      </c>
      <c r="F38" s="31">
        <v>15.44</v>
      </c>
      <c r="G38" s="24">
        <f t="shared" si="2"/>
        <v>364.50443200000001</v>
      </c>
    </row>
    <row r="39" spans="1:8" s="51" customFormat="1" ht="25.5" x14ac:dyDescent="0.25">
      <c r="A39" s="20" t="s">
        <v>40</v>
      </c>
      <c r="B39" s="19" t="s">
        <v>47</v>
      </c>
      <c r="C39" s="22" t="s">
        <v>19</v>
      </c>
      <c r="D39" s="18">
        <v>70.45</v>
      </c>
      <c r="E39" s="23">
        <f>ROUND(D39*E36,4)</f>
        <v>23.607800000000001</v>
      </c>
      <c r="F39" s="31">
        <f>152.37-15.44</f>
        <v>136.93</v>
      </c>
      <c r="G39" s="24">
        <f t="shared" si="2"/>
        <v>3232.6160540000001</v>
      </c>
    </row>
    <row r="40" spans="1:8" s="51" customFormat="1" x14ac:dyDescent="0.25">
      <c r="A40" s="20" t="s">
        <v>41</v>
      </c>
      <c r="B40" s="21" t="s">
        <v>38</v>
      </c>
      <c r="C40" s="22" t="s">
        <v>19</v>
      </c>
      <c r="D40" s="18">
        <v>124.95</v>
      </c>
      <c r="E40" s="23">
        <f>ROUND(D40*E36,4)</f>
        <v>41.870699999999999</v>
      </c>
      <c r="F40" s="31">
        <v>8.4600000000000009</v>
      </c>
      <c r="G40" s="24">
        <f t="shared" si="2"/>
        <v>354.22612200000003</v>
      </c>
    </row>
    <row r="41" spans="1:8" s="51" customFormat="1" x14ac:dyDescent="0.25">
      <c r="A41" s="20">
        <v>111100</v>
      </c>
      <c r="B41" s="19" t="s">
        <v>27</v>
      </c>
      <c r="C41" s="22" t="s">
        <v>19</v>
      </c>
      <c r="D41" s="18">
        <v>30.11</v>
      </c>
      <c r="E41" s="23">
        <f>ROUND(D41*E36,4)</f>
        <v>10.0899</v>
      </c>
      <c r="F41" s="31">
        <v>2.83</v>
      </c>
      <c r="G41" s="24">
        <f t="shared" si="2"/>
        <v>28.554417000000001</v>
      </c>
    </row>
    <row r="42" spans="1:8" s="51" customFormat="1" x14ac:dyDescent="0.25">
      <c r="A42" s="20">
        <v>331532</v>
      </c>
      <c r="B42" s="19" t="s">
        <v>26</v>
      </c>
      <c r="C42" s="22" t="s">
        <v>19</v>
      </c>
      <c r="D42" s="18">
        <v>0.7</v>
      </c>
      <c r="E42" s="23">
        <f>ROUND(D42*E36,4)</f>
        <v>0.2346</v>
      </c>
      <c r="F42" s="31">
        <v>1.63</v>
      </c>
      <c r="G42" s="24">
        <f t="shared" si="2"/>
        <v>0.38239799999999996</v>
      </c>
    </row>
    <row r="43" spans="1:8" s="51" customFormat="1" x14ac:dyDescent="0.25">
      <c r="A43" s="20" t="s">
        <v>48</v>
      </c>
      <c r="B43" s="19" t="s">
        <v>39</v>
      </c>
      <c r="C43" s="22" t="s">
        <v>12</v>
      </c>
      <c r="D43" s="18">
        <v>0.15</v>
      </c>
      <c r="E43" s="23">
        <f>ROUND(D43*E36,4)</f>
        <v>5.0299999999999997E-2</v>
      </c>
      <c r="F43" s="31">
        <v>9500</v>
      </c>
      <c r="G43" s="24">
        <f t="shared" si="2"/>
        <v>477.84999999999997</v>
      </c>
    </row>
    <row r="44" spans="1:8" s="51" customFormat="1" x14ac:dyDescent="0.25">
      <c r="A44" s="20" t="s">
        <v>15</v>
      </c>
      <c r="B44" s="21" t="s">
        <v>13</v>
      </c>
      <c r="C44" s="22" t="s">
        <v>12</v>
      </c>
      <c r="D44" s="18">
        <v>1.7000000000000001E-2</v>
      </c>
      <c r="E44" s="23">
        <f>ROUND(D44*E36,4)</f>
        <v>5.7000000000000002E-3</v>
      </c>
      <c r="F44" s="31">
        <v>8500</v>
      </c>
      <c r="G44" s="24">
        <f t="shared" si="2"/>
        <v>48.45</v>
      </c>
    </row>
    <row r="45" spans="1:8" s="51" customFormat="1" x14ac:dyDescent="0.25">
      <c r="A45" s="20" t="s">
        <v>74</v>
      </c>
      <c r="B45" s="19" t="s">
        <v>25</v>
      </c>
      <c r="C45" s="22" t="s">
        <v>11</v>
      </c>
      <c r="D45" s="18">
        <v>0.72</v>
      </c>
      <c r="E45" s="23">
        <f>ROUND(D45*E36,4)</f>
        <v>0.24129999999999999</v>
      </c>
      <c r="F45" s="31">
        <v>2500</v>
      </c>
      <c r="G45" s="24">
        <f t="shared" si="2"/>
        <v>603.25</v>
      </c>
    </row>
    <row r="46" spans="1:8" s="51" customFormat="1" x14ac:dyDescent="0.25">
      <c r="A46" s="20" t="s">
        <v>22</v>
      </c>
      <c r="B46" s="19" t="s">
        <v>24</v>
      </c>
      <c r="C46" s="22" t="s">
        <v>14</v>
      </c>
      <c r="D46" s="18">
        <v>55</v>
      </c>
      <c r="E46" s="23">
        <f>ROUND(D46*E36,4)</f>
        <v>18.430499999999999</v>
      </c>
      <c r="F46" s="24"/>
      <c r="G46" s="24">
        <f t="shared" si="2"/>
        <v>0</v>
      </c>
    </row>
    <row r="47" spans="1:8" s="51" customFormat="1" x14ac:dyDescent="0.25">
      <c r="A47" s="20" t="s">
        <v>16</v>
      </c>
      <c r="B47" s="19" t="s">
        <v>77</v>
      </c>
      <c r="C47" s="22" t="s">
        <v>12</v>
      </c>
      <c r="D47" s="18" t="s">
        <v>17</v>
      </c>
      <c r="E47" s="23">
        <f>284/1000</f>
        <v>0.28399999999999997</v>
      </c>
      <c r="F47" s="31">
        <v>6500</v>
      </c>
      <c r="G47" s="24">
        <f t="shared" si="2"/>
        <v>1845.9999999999998</v>
      </c>
      <c r="H47" s="75"/>
    </row>
    <row r="48" spans="1:8" s="51" customFormat="1" x14ac:dyDescent="0.25">
      <c r="A48" s="20" t="s">
        <v>16</v>
      </c>
      <c r="B48" s="19" t="s">
        <v>75</v>
      </c>
      <c r="C48" s="22" t="s">
        <v>12</v>
      </c>
      <c r="D48" s="18" t="s">
        <v>17</v>
      </c>
      <c r="E48" s="23">
        <f>420/1000</f>
        <v>0.42</v>
      </c>
      <c r="F48" s="31">
        <v>6500</v>
      </c>
      <c r="G48" s="24">
        <f t="shared" si="2"/>
        <v>2730</v>
      </c>
      <c r="H48" s="75"/>
    </row>
    <row r="49" spans="1:8" s="51" customFormat="1" x14ac:dyDescent="0.25">
      <c r="A49" s="20" t="s">
        <v>16</v>
      </c>
      <c r="B49" s="19" t="s">
        <v>43</v>
      </c>
      <c r="C49" s="22" t="s">
        <v>12</v>
      </c>
      <c r="D49" s="18" t="s">
        <v>17</v>
      </c>
      <c r="E49" s="23">
        <f>130/1000</f>
        <v>0.13</v>
      </c>
      <c r="F49" s="31">
        <v>6500</v>
      </c>
      <c r="G49" s="24">
        <f t="shared" si="2"/>
        <v>845</v>
      </c>
      <c r="H49" s="75"/>
    </row>
    <row r="50" spans="1:8" s="51" customFormat="1" x14ac:dyDescent="0.25">
      <c r="A50" s="20" t="s">
        <v>16</v>
      </c>
      <c r="B50" s="19" t="s">
        <v>71</v>
      </c>
      <c r="C50" s="22" t="s">
        <v>12</v>
      </c>
      <c r="D50" s="18" t="s">
        <v>17</v>
      </c>
      <c r="E50" s="23">
        <f>1255/1000</f>
        <v>1.2549999999999999</v>
      </c>
      <c r="F50" s="31">
        <v>6500</v>
      </c>
      <c r="G50" s="24">
        <f t="shared" si="2"/>
        <v>8157.4999999999991</v>
      </c>
      <c r="H50" s="75"/>
    </row>
    <row r="51" spans="1:8" s="51" customFormat="1" x14ac:dyDescent="0.25">
      <c r="A51" s="20" t="s">
        <v>16</v>
      </c>
      <c r="B51" s="19" t="s">
        <v>87</v>
      </c>
      <c r="C51" s="22" t="s">
        <v>12</v>
      </c>
      <c r="D51" s="18" t="s">
        <v>17</v>
      </c>
      <c r="E51" s="23">
        <f>739/1000</f>
        <v>0.73899999999999999</v>
      </c>
      <c r="F51" s="31">
        <v>6500</v>
      </c>
      <c r="G51" s="24">
        <f t="shared" si="2"/>
        <v>4803.5</v>
      </c>
      <c r="H51" s="75"/>
    </row>
    <row r="52" spans="1:8" s="51" customFormat="1" x14ac:dyDescent="0.25">
      <c r="A52" s="20" t="s">
        <v>16</v>
      </c>
      <c r="B52" s="19" t="s">
        <v>65</v>
      </c>
      <c r="C52" s="22" t="s">
        <v>12</v>
      </c>
      <c r="D52" s="18" t="s">
        <v>17</v>
      </c>
      <c r="E52" s="70">
        <f>151/1000</f>
        <v>0.151</v>
      </c>
      <c r="F52" s="31">
        <v>6500</v>
      </c>
      <c r="G52" s="24">
        <f t="shared" si="2"/>
        <v>981.5</v>
      </c>
    </row>
    <row r="53" spans="1:8" s="51" customFormat="1" x14ac:dyDescent="0.25">
      <c r="A53" s="20" t="s">
        <v>23</v>
      </c>
      <c r="B53" s="19" t="s">
        <v>76</v>
      </c>
      <c r="C53" s="22" t="s">
        <v>11</v>
      </c>
      <c r="D53" s="18">
        <v>100</v>
      </c>
      <c r="E53" s="23">
        <f>ROUND(D53*E36,4)</f>
        <v>33.51</v>
      </c>
      <c r="F53" s="24"/>
      <c r="G53" s="24"/>
    </row>
    <row r="54" spans="1:8" s="51" customFormat="1" x14ac:dyDescent="0.25">
      <c r="A54" s="20"/>
      <c r="B54" s="32" t="s">
        <v>72</v>
      </c>
      <c r="C54" s="22" t="s">
        <v>12</v>
      </c>
      <c r="D54" s="18">
        <v>0.38200000000000001</v>
      </c>
      <c r="E54" s="23">
        <f>ROUND(D54*E53,4)</f>
        <v>12.800800000000001</v>
      </c>
      <c r="F54" s="31">
        <v>630</v>
      </c>
      <c r="G54" s="24">
        <f t="shared" ref="G54:G56" si="3">F54*E54</f>
        <v>8064.5040000000008</v>
      </c>
    </row>
    <row r="55" spans="1:8" s="51" customFormat="1" x14ac:dyDescent="0.25">
      <c r="A55" s="20"/>
      <c r="B55" s="32" t="s">
        <v>29</v>
      </c>
      <c r="C55" s="22" t="s">
        <v>12</v>
      </c>
      <c r="D55" s="18">
        <f>47/100*1.52</f>
        <v>0.71439999999999992</v>
      </c>
      <c r="E55" s="23">
        <f>ROUND(D55*E53,4)</f>
        <v>23.939499999999999</v>
      </c>
      <c r="F55" s="31">
        <f>2449.06/159.17</f>
        <v>15.386442168750394</v>
      </c>
      <c r="G55" s="24">
        <f t="shared" si="3"/>
        <v>368.34373229880003</v>
      </c>
    </row>
    <row r="56" spans="1:8" s="51" customFormat="1" x14ac:dyDescent="0.25">
      <c r="A56" s="20"/>
      <c r="B56" s="32" t="s">
        <v>28</v>
      </c>
      <c r="C56" s="22" t="s">
        <v>12</v>
      </c>
      <c r="D56" s="18">
        <f>80/100*1.6</f>
        <v>1.2800000000000002</v>
      </c>
      <c r="E56" s="23">
        <f>ROUND(D56*E53,4)</f>
        <v>42.892800000000001</v>
      </c>
      <c r="F56" s="31">
        <f>4991.72/392.53</f>
        <v>12.7167859781418</v>
      </c>
      <c r="G56" s="24">
        <f t="shared" si="3"/>
        <v>545.45855760324059</v>
      </c>
    </row>
    <row r="57" spans="1:8" ht="13.5" x14ac:dyDescent="0.25">
      <c r="A57" s="15"/>
      <c r="B57" s="25" t="s">
        <v>8</v>
      </c>
      <c r="C57" s="17"/>
      <c r="D57" s="26"/>
      <c r="E57" s="27"/>
      <c r="F57" s="28"/>
      <c r="G57" s="29">
        <f>SUM(G37:G56)</f>
        <v>36127.677996902043</v>
      </c>
    </row>
    <row r="58" spans="1:8" ht="13.5" x14ac:dyDescent="0.25">
      <c r="A58" s="15" t="s">
        <v>94</v>
      </c>
      <c r="B58" s="16" t="s">
        <v>95</v>
      </c>
      <c r="C58" s="17" t="s">
        <v>11</v>
      </c>
      <c r="D58" s="18"/>
      <c r="E58" s="30">
        <f>25737/394</f>
        <v>65.32233502538071</v>
      </c>
      <c r="F58" s="31"/>
      <c r="G58" s="24"/>
    </row>
    <row r="59" spans="1:8" x14ac:dyDescent="0.25">
      <c r="A59" s="20">
        <v>1</v>
      </c>
      <c r="B59" s="21" t="s">
        <v>96</v>
      </c>
      <c r="C59" s="22" t="s">
        <v>7</v>
      </c>
      <c r="D59" s="18">
        <v>6.03</v>
      </c>
      <c r="E59" s="23">
        <f>ROUND(D59*E58,4)</f>
        <v>393.89370000000002</v>
      </c>
      <c r="F59" s="31">
        <v>10.210000000000001</v>
      </c>
      <c r="G59" s="24">
        <f t="shared" ref="G59:G67" si="4">F59*E59</f>
        <v>4021.6546770000004</v>
      </c>
    </row>
    <row r="60" spans="1:8" x14ac:dyDescent="0.25">
      <c r="A60" s="20">
        <v>2</v>
      </c>
      <c r="B60" s="21" t="s">
        <v>18</v>
      </c>
      <c r="C60" s="22" t="s">
        <v>7</v>
      </c>
      <c r="D60" s="18">
        <v>0.4</v>
      </c>
      <c r="E60" s="23">
        <f>ROUND(D60*E58,4)</f>
        <v>26.128900000000002</v>
      </c>
      <c r="F60" s="31">
        <v>15.44</v>
      </c>
      <c r="G60" s="24">
        <f t="shared" si="4"/>
        <v>403.43021600000003</v>
      </c>
    </row>
    <row r="61" spans="1:8" ht="25.5" x14ac:dyDescent="0.25">
      <c r="A61" s="20" t="s">
        <v>40</v>
      </c>
      <c r="B61" s="19" t="s">
        <v>47</v>
      </c>
      <c r="C61" s="22" t="s">
        <v>19</v>
      </c>
      <c r="D61" s="18">
        <v>0.4</v>
      </c>
      <c r="E61" s="23">
        <f>ROUND(D61*E58,4)</f>
        <v>26.128900000000002</v>
      </c>
      <c r="F61" s="31">
        <f>136.52-15.44</f>
        <v>121.08000000000001</v>
      </c>
      <c r="G61" s="24">
        <f t="shared" si="4"/>
        <v>3163.6872120000007</v>
      </c>
    </row>
    <row r="62" spans="1:8" x14ac:dyDescent="0.25">
      <c r="A62" s="20" t="s">
        <v>21</v>
      </c>
      <c r="B62" s="19" t="s">
        <v>82</v>
      </c>
      <c r="C62" s="22" t="s">
        <v>11</v>
      </c>
      <c r="D62" s="18">
        <v>5.0000000000000001E-4</v>
      </c>
      <c r="E62" s="23">
        <f>ROUND(D62*E58,4)</f>
        <v>3.27E-2</v>
      </c>
      <c r="F62" s="31">
        <v>2563.75</v>
      </c>
      <c r="G62" s="10">
        <f t="shared" si="4"/>
        <v>83.834625000000003</v>
      </c>
    </row>
    <row r="63" spans="1:8" x14ac:dyDescent="0.25">
      <c r="A63" s="20" t="s">
        <v>97</v>
      </c>
      <c r="B63" s="19" t="s">
        <v>98</v>
      </c>
      <c r="C63" s="22" t="s">
        <v>11</v>
      </c>
      <c r="D63" s="18">
        <v>0.24</v>
      </c>
      <c r="E63" s="23">
        <f>ROUND(D63*E58,4)</f>
        <v>15.6774</v>
      </c>
      <c r="F63" s="31"/>
      <c r="G63" s="24"/>
    </row>
    <row r="64" spans="1:8" x14ac:dyDescent="0.25">
      <c r="A64" s="20"/>
      <c r="B64" s="32" t="s">
        <v>99</v>
      </c>
      <c r="C64" s="22" t="s">
        <v>12</v>
      </c>
      <c r="D64" s="18">
        <v>0.17799999999999999</v>
      </c>
      <c r="E64" s="23">
        <f>ROUND(D64*E63,4)</f>
        <v>2.7906</v>
      </c>
      <c r="F64" s="24">
        <v>580</v>
      </c>
      <c r="G64" s="24">
        <f t="shared" si="4"/>
        <v>1618.548</v>
      </c>
    </row>
    <row r="65" spans="1:7" x14ac:dyDescent="0.25">
      <c r="A65" s="20"/>
      <c r="B65" s="32" t="s">
        <v>100</v>
      </c>
      <c r="C65" s="22" t="s">
        <v>12</v>
      </c>
      <c r="D65" s="18">
        <f>0.13*1.6</f>
        <v>0.20800000000000002</v>
      </c>
      <c r="E65" s="23">
        <f>ROUND(D65*E63,3)</f>
        <v>3.2610000000000001</v>
      </c>
      <c r="F65" s="31"/>
      <c r="G65" s="24">
        <f t="shared" si="4"/>
        <v>0</v>
      </c>
    </row>
    <row r="66" spans="1:7" x14ac:dyDescent="0.25">
      <c r="A66" s="20"/>
      <c r="B66" s="32" t="s">
        <v>101</v>
      </c>
      <c r="C66" s="22" t="s">
        <v>12</v>
      </c>
      <c r="D66" s="18">
        <f>1.28*1.52</f>
        <v>1.9456</v>
      </c>
      <c r="E66" s="23">
        <f>ROUND(D66*E63,4)</f>
        <v>30.501899999999999</v>
      </c>
      <c r="F66" s="31">
        <v>36</v>
      </c>
      <c r="G66" s="24">
        <f t="shared" si="4"/>
        <v>1098.0683999999999</v>
      </c>
    </row>
    <row r="67" spans="1:7" x14ac:dyDescent="0.25">
      <c r="A67" s="20" t="s">
        <v>102</v>
      </c>
      <c r="B67" s="19" t="s">
        <v>103</v>
      </c>
      <c r="C67" s="22" t="s">
        <v>104</v>
      </c>
      <c r="D67" s="18">
        <v>0.39400000000000002</v>
      </c>
      <c r="E67" s="23">
        <f>ROUND(D67*E58,3)</f>
        <v>25.736999999999998</v>
      </c>
      <c r="F67" s="31">
        <v>593.79999999999995</v>
      </c>
      <c r="G67" s="24">
        <f t="shared" si="4"/>
        <v>15282.630599999999</v>
      </c>
    </row>
    <row r="68" spans="1:7" ht="13.5" x14ac:dyDescent="0.25">
      <c r="A68" s="15"/>
      <c r="B68" s="25" t="s">
        <v>8</v>
      </c>
      <c r="C68" s="17"/>
      <c r="D68" s="26"/>
      <c r="E68" s="27"/>
      <c r="F68" s="31"/>
      <c r="G68" s="29">
        <f>SUM(G59:G67)</f>
        <v>25671.853730000003</v>
      </c>
    </row>
    <row r="69" spans="1:7" ht="13.5" x14ac:dyDescent="0.25">
      <c r="A69" s="15" t="s">
        <v>45</v>
      </c>
      <c r="B69" s="16" t="s">
        <v>107</v>
      </c>
      <c r="C69" s="17" t="s">
        <v>20</v>
      </c>
      <c r="D69" s="18"/>
      <c r="E69" s="30">
        <f>(40.6*0.38*0.12+40.7*0.25*0.12)/100</f>
        <v>3.0723600000000004E-2</v>
      </c>
      <c r="F69" s="31"/>
      <c r="G69" s="24"/>
    </row>
    <row r="70" spans="1:7" x14ac:dyDescent="0.25">
      <c r="A70" s="20">
        <v>1</v>
      </c>
      <c r="B70" s="21" t="s">
        <v>46</v>
      </c>
      <c r="C70" s="22" t="s">
        <v>7</v>
      </c>
      <c r="D70" s="18">
        <v>1569.4</v>
      </c>
      <c r="E70" s="23">
        <f>ROUND(D70*E69,4)</f>
        <v>48.217599999999997</v>
      </c>
      <c r="F70" s="31">
        <v>10.46</v>
      </c>
      <c r="G70" s="31">
        <f t="shared" ref="G70:G86" si="5">F70*E70</f>
        <v>504.35609600000004</v>
      </c>
    </row>
    <row r="71" spans="1:7" x14ac:dyDescent="0.25">
      <c r="A71" s="20">
        <v>2</v>
      </c>
      <c r="B71" s="21" t="s">
        <v>18</v>
      </c>
      <c r="C71" s="22" t="s">
        <v>7</v>
      </c>
      <c r="D71" s="18">
        <v>93.3</v>
      </c>
      <c r="E71" s="23">
        <f>ROUND(D71*E69,4)</f>
        <v>2.8664999999999998</v>
      </c>
      <c r="F71" s="31">
        <v>15.44</v>
      </c>
      <c r="G71" s="31">
        <f t="shared" si="5"/>
        <v>44.258759999999995</v>
      </c>
    </row>
    <row r="72" spans="1:7" ht="25.5" x14ac:dyDescent="0.25">
      <c r="A72" s="20" t="s">
        <v>40</v>
      </c>
      <c r="B72" s="19" t="s">
        <v>47</v>
      </c>
      <c r="C72" s="22" t="s">
        <v>19</v>
      </c>
      <c r="D72" s="18">
        <v>93.3</v>
      </c>
      <c r="E72" s="23">
        <f>ROUND(D72*E69,4)</f>
        <v>2.8664999999999998</v>
      </c>
      <c r="F72" s="31">
        <f>136.52-15.44</f>
        <v>121.08000000000001</v>
      </c>
      <c r="G72" s="31">
        <f t="shared" si="5"/>
        <v>347.07582000000002</v>
      </c>
    </row>
    <row r="73" spans="1:7" x14ac:dyDescent="0.25">
      <c r="A73" s="20" t="s">
        <v>41</v>
      </c>
      <c r="B73" s="21" t="s">
        <v>38</v>
      </c>
      <c r="C73" s="22" t="s">
        <v>19</v>
      </c>
      <c r="D73" s="18">
        <v>124.95</v>
      </c>
      <c r="E73" s="23">
        <f>ROUND(D73*E69,4)</f>
        <v>3.8389000000000002</v>
      </c>
      <c r="F73" s="31">
        <v>8.4600000000000009</v>
      </c>
      <c r="G73" s="31">
        <f t="shared" si="5"/>
        <v>32.477094000000008</v>
      </c>
    </row>
    <row r="74" spans="1:7" x14ac:dyDescent="0.25">
      <c r="A74" s="20">
        <v>111100</v>
      </c>
      <c r="B74" s="19" t="s">
        <v>27</v>
      </c>
      <c r="C74" s="22" t="s">
        <v>19</v>
      </c>
      <c r="D74" s="18">
        <v>61.88</v>
      </c>
      <c r="E74" s="23">
        <f>ROUND(D74*E69,4)</f>
        <v>1.9012</v>
      </c>
      <c r="F74" s="31">
        <v>2.83</v>
      </c>
      <c r="G74" s="31">
        <f t="shared" si="5"/>
        <v>5.3803960000000002</v>
      </c>
    </row>
    <row r="75" spans="1:7" x14ac:dyDescent="0.25">
      <c r="A75" s="20">
        <v>331532</v>
      </c>
      <c r="B75" s="19" t="s">
        <v>26</v>
      </c>
      <c r="C75" s="22" t="s">
        <v>19</v>
      </c>
      <c r="D75" s="18">
        <v>1.9</v>
      </c>
      <c r="E75" s="23">
        <f>ROUND(D75*E69,4)</f>
        <v>5.8400000000000001E-2</v>
      </c>
      <c r="F75" s="31">
        <v>1.82</v>
      </c>
      <c r="G75" s="31">
        <f t="shared" si="5"/>
        <v>0.10628800000000001</v>
      </c>
    </row>
    <row r="76" spans="1:7" x14ac:dyDescent="0.25">
      <c r="A76" s="20" t="s">
        <v>48</v>
      </c>
      <c r="B76" s="19" t="s">
        <v>39</v>
      </c>
      <c r="C76" s="22" t="s">
        <v>12</v>
      </c>
      <c r="D76" s="18">
        <v>0.15</v>
      </c>
      <c r="E76" s="23">
        <f>ROUND(D76*E69,4)</f>
        <v>4.5999999999999999E-3</v>
      </c>
      <c r="F76" s="31">
        <v>9500</v>
      </c>
      <c r="G76" s="31">
        <f t="shared" si="5"/>
        <v>43.699999999999996</v>
      </c>
    </row>
    <row r="77" spans="1:7" x14ac:dyDescent="0.25">
      <c r="A77" s="20" t="s">
        <v>15</v>
      </c>
      <c r="B77" s="21" t="s">
        <v>13</v>
      </c>
      <c r="C77" s="22" t="s">
        <v>12</v>
      </c>
      <c r="D77" s="18">
        <v>4.4999999999999998E-2</v>
      </c>
      <c r="E77" s="23">
        <f>ROUND(D77*E69,4)</f>
        <v>1.4E-3</v>
      </c>
      <c r="F77" s="31">
        <v>8500</v>
      </c>
      <c r="G77" s="31">
        <f t="shared" si="5"/>
        <v>11.9</v>
      </c>
    </row>
    <row r="78" spans="1:7" x14ac:dyDescent="0.25">
      <c r="A78" s="20" t="s">
        <v>21</v>
      </c>
      <c r="B78" s="19" t="s">
        <v>82</v>
      </c>
      <c r="C78" s="22" t="s">
        <v>11</v>
      </c>
      <c r="D78" s="18">
        <v>1.7</v>
      </c>
      <c r="E78" s="23">
        <f>ROUND(D78*E69,4)</f>
        <v>5.2200000000000003E-2</v>
      </c>
      <c r="F78" s="31">
        <v>2563.75</v>
      </c>
      <c r="G78" s="10">
        <f t="shared" si="5"/>
        <v>133.82775000000001</v>
      </c>
    </row>
    <row r="79" spans="1:7" x14ac:dyDescent="0.25">
      <c r="A79" s="20" t="s">
        <v>49</v>
      </c>
      <c r="B79" s="19" t="s">
        <v>50</v>
      </c>
      <c r="C79" s="22" t="s">
        <v>11</v>
      </c>
      <c r="D79" s="18">
        <v>0.25</v>
      </c>
      <c r="E79" s="23">
        <f>ROUND(D79*E69,4)</f>
        <v>7.7000000000000002E-3</v>
      </c>
      <c r="F79" s="31">
        <v>2000</v>
      </c>
      <c r="G79" s="31">
        <f t="shared" si="5"/>
        <v>15.4</v>
      </c>
    </row>
    <row r="80" spans="1:7" x14ac:dyDescent="0.25">
      <c r="A80" s="20" t="s">
        <v>22</v>
      </c>
      <c r="B80" s="19" t="s">
        <v>24</v>
      </c>
      <c r="C80" s="22" t="s">
        <v>14</v>
      </c>
      <c r="D80" s="18">
        <v>135</v>
      </c>
      <c r="E80" s="23">
        <f>ROUND(D80*E69,4)</f>
        <v>4.1477000000000004</v>
      </c>
      <c r="F80" s="31"/>
      <c r="G80" s="10">
        <f t="shared" si="5"/>
        <v>0</v>
      </c>
    </row>
    <row r="81" spans="1:7" x14ac:dyDescent="0.25">
      <c r="A81" s="20" t="s">
        <v>16</v>
      </c>
      <c r="B81" s="19" t="s">
        <v>44</v>
      </c>
      <c r="C81" s="22" t="s">
        <v>12</v>
      </c>
      <c r="D81" s="18" t="s">
        <v>17</v>
      </c>
      <c r="E81" s="23">
        <f>(82+82)/1000</f>
        <v>0.16400000000000001</v>
      </c>
      <c r="F81" s="31">
        <v>6500</v>
      </c>
      <c r="G81" s="31">
        <f t="shared" si="5"/>
        <v>1066</v>
      </c>
    </row>
    <row r="82" spans="1:7" x14ac:dyDescent="0.25">
      <c r="A82" s="20" t="s">
        <v>16</v>
      </c>
      <c r="B82" s="19" t="s">
        <v>65</v>
      </c>
      <c r="C82" s="22" t="s">
        <v>12</v>
      </c>
      <c r="D82" s="18" t="s">
        <v>17</v>
      </c>
      <c r="E82" s="23">
        <f>(25+25)/1000</f>
        <v>0.05</v>
      </c>
      <c r="F82" s="31">
        <v>6500</v>
      </c>
      <c r="G82" s="31">
        <f t="shared" si="5"/>
        <v>325</v>
      </c>
    </row>
    <row r="83" spans="1:7" x14ac:dyDescent="0.25">
      <c r="A83" s="20" t="s">
        <v>23</v>
      </c>
      <c r="B83" s="19" t="s">
        <v>76</v>
      </c>
      <c r="C83" s="22" t="s">
        <v>11</v>
      </c>
      <c r="D83" s="18">
        <v>100</v>
      </c>
      <c r="E83" s="23">
        <f>ROUND(D83*E69,4)</f>
        <v>3.0724</v>
      </c>
      <c r="F83" s="31"/>
      <c r="G83" s="31"/>
    </row>
    <row r="84" spans="1:7" x14ac:dyDescent="0.25">
      <c r="A84" s="20"/>
      <c r="B84" s="32" t="s">
        <v>99</v>
      </c>
      <c r="C84" s="22" t="s">
        <v>12</v>
      </c>
      <c r="D84" s="18">
        <v>0.47899999999999998</v>
      </c>
      <c r="E84" s="23">
        <f>ROUND(D84*E83,4)</f>
        <v>1.4717</v>
      </c>
      <c r="F84" s="24">
        <v>580</v>
      </c>
      <c r="G84" s="31">
        <f t="shared" si="5"/>
        <v>853.58600000000001</v>
      </c>
    </row>
    <row r="85" spans="1:7" x14ac:dyDescent="0.25">
      <c r="A85" s="20"/>
      <c r="B85" s="32" t="s">
        <v>29</v>
      </c>
      <c r="C85" s="22" t="s">
        <v>12</v>
      </c>
      <c r="D85" s="18">
        <v>0.40300000000000002</v>
      </c>
      <c r="E85" s="23">
        <f>ROUND(D85*E83,4)</f>
        <v>1.2382</v>
      </c>
      <c r="F85" s="31">
        <f>2449.06/159.17</f>
        <v>15.386442168750394</v>
      </c>
      <c r="G85" s="31">
        <f t="shared" si="5"/>
        <v>19.051492693346738</v>
      </c>
    </row>
    <row r="86" spans="1:7" x14ac:dyDescent="0.25">
      <c r="A86" s="20"/>
      <c r="B86" s="32" t="s">
        <v>28</v>
      </c>
      <c r="C86" s="22" t="s">
        <v>12</v>
      </c>
      <c r="D86" s="18">
        <v>1.881</v>
      </c>
      <c r="E86" s="23">
        <f>ROUND(D86*E83,4)</f>
        <v>5.7792000000000003</v>
      </c>
      <c r="F86" s="31">
        <f>4991.72/392.53</f>
        <v>12.7167859781418</v>
      </c>
      <c r="G86" s="31">
        <f t="shared" si="5"/>
        <v>73.492849524877101</v>
      </c>
    </row>
    <row r="87" spans="1:7" ht="13.5" x14ac:dyDescent="0.25">
      <c r="A87" s="15"/>
      <c r="B87" s="25" t="s">
        <v>8</v>
      </c>
      <c r="C87" s="17"/>
      <c r="D87" s="26"/>
      <c r="E87" s="27"/>
      <c r="F87" s="31"/>
      <c r="G87" s="71">
        <f>SUM(G70:G86)</f>
        <v>3475.6125462182235</v>
      </c>
    </row>
    <row r="88" spans="1:7" ht="13.5" x14ac:dyDescent="0.25">
      <c r="A88" s="64"/>
      <c r="B88" s="65"/>
      <c r="C88" s="66"/>
      <c r="D88" s="67"/>
      <c r="E88" s="67"/>
      <c r="F88" s="67"/>
      <c r="G88" s="68"/>
    </row>
    <row r="89" spans="1:7" ht="13.5" x14ac:dyDescent="0.25">
      <c r="A89" s="52"/>
      <c r="B89" s="53"/>
      <c r="C89" s="52"/>
      <c r="D89" s="53"/>
      <c r="E89" s="53"/>
      <c r="F89" s="61"/>
      <c r="G89" s="54"/>
    </row>
    <row r="90" spans="1:7" ht="13.5" x14ac:dyDescent="0.25">
      <c r="A90" s="52"/>
      <c r="B90" s="53"/>
      <c r="C90" s="52"/>
      <c r="D90" s="53"/>
      <c r="E90" s="53"/>
      <c r="F90" s="61"/>
      <c r="G90" s="54"/>
    </row>
    <row r="91" spans="1:7" ht="13.5" x14ac:dyDescent="0.25">
      <c r="A91" s="2"/>
      <c r="B91" s="55" t="s">
        <v>42</v>
      </c>
      <c r="C91" s="56"/>
      <c r="D91" s="10"/>
      <c r="E91" s="10"/>
      <c r="F91" s="40"/>
      <c r="G91" s="12">
        <f>SUMIFS(G17:G90,B17:B90,"Итого")</f>
        <v>70053.146749956533</v>
      </c>
    </row>
    <row r="92" spans="1:7" ht="13.5" x14ac:dyDescent="0.25">
      <c r="A92" s="2"/>
      <c r="B92" s="55" t="s">
        <v>30</v>
      </c>
      <c r="C92" s="56"/>
      <c r="D92" s="10"/>
      <c r="E92" s="10"/>
      <c r="F92" s="10"/>
      <c r="G92" s="12"/>
    </row>
    <row r="93" spans="1:7" ht="13.5" x14ac:dyDescent="0.25">
      <c r="A93" s="2"/>
      <c r="B93" s="57" t="s">
        <v>51</v>
      </c>
      <c r="C93" s="56"/>
      <c r="D93" s="10"/>
      <c r="E93" s="10"/>
      <c r="F93" s="72">
        <f>G24+G25+G26+G27+G28+G29+G30++G32+G33+G34+G43+G44+G45+G46+G47+G48+G49+G50+G51+G52+G54+G55+G56+G62+G64+G65+G66+G67+G76+G77+G78+G79+G80+G81+G82+G84+G85+G86</f>
        <v>54340.60921295653</v>
      </c>
      <c r="G93" s="12">
        <f>G91-G94-G95-G96</f>
        <v>54340.60921295653</v>
      </c>
    </row>
    <row r="94" spans="1:7" ht="13.5" x14ac:dyDescent="0.25">
      <c r="A94" s="2"/>
      <c r="B94" s="57" t="s">
        <v>52</v>
      </c>
      <c r="C94" s="56"/>
      <c r="D94" s="10"/>
      <c r="E94" s="10"/>
      <c r="F94" s="10"/>
      <c r="G94" s="12">
        <f>SUMIFS(G17:G90,C17:C90,"маш/час")</f>
        <v>7399.1919140000009</v>
      </c>
    </row>
    <row r="95" spans="1:7" ht="13.5" x14ac:dyDescent="0.25">
      <c r="A95" s="2"/>
      <c r="B95" s="57" t="s">
        <v>53</v>
      </c>
      <c r="C95" s="56"/>
      <c r="D95" s="10"/>
      <c r="E95" s="10"/>
      <c r="F95" s="10"/>
      <c r="G95" s="12">
        <f>SUMIFS(G17:G90,A17:A90,1)</f>
        <v>7477.0225830000009</v>
      </c>
    </row>
    <row r="96" spans="1:7" ht="13.5" x14ac:dyDescent="0.25">
      <c r="A96" s="2"/>
      <c r="B96" s="57" t="s">
        <v>54</v>
      </c>
      <c r="C96" s="56"/>
      <c r="D96" s="10"/>
      <c r="E96" s="10"/>
      <c r="F96" s="10"/>
      <c r="G96" s="12">
        <f>SUMIFS(G17:G90,A17:A90,2)</f>
        <v>836.32303999999999</v>
      </c>
    </row>
    <row r="97" spans="1:7" ht="13.5" x14ac:dyDescent="0.25">
      <c r="A97" s="2"/>
      <c r="B97" s="12" t="s">
        <v>37</v>
      </c>
      <c r="C97" s="56"/>
      <c r="D97" s="10"/>
      <c r="E97" s="10"/>
      <c r="F97" s="10"/>
      <c r="G97" s="12">
        <f>(G95+G96)*25%</f>
        <v>2078.3364057500003</v>
      </c>
    </row>
    <row r="98" spans="1:7" ht="13.5" x14ac:dyDescent="0.25">
      <c r="A98" s="15"/>
      <c r="B98" s="25" t="s">
        <v>8</v>
      </c>
      <c r="C98" s="17"/>
      <c r="D98" s="26"/>
      <c r="E98" s="27"/>
      <c r="F98" s="28"/>
      <c r="G98" s="12">
        <f>SUM(G93:G97)</f>
        <v>72131.483155706534</v>
      </c>
    </row>
    <row r="99" spans="1:7" ht="13.5" x14ac:dyDescent="0.25">
      <c r="A99" s="2"/>
      <c r="B99" s="4" t="s">
        <v>61</v>
      </c>
      <c r="C99" s="8"/>
      <c r="D99" s="9"/>
      <c r="E99" s="9"/>
      <c r="F99" s="10"/>
      <c r="G99" s="12">
        <f>G98*10%</f>
        <v>7213.1483155706537</v>
      </c>
    </row>
    <row r="100" spans="1:7" ht="13.5" x14ac:dyDescent="0.25">
      <c r="A100" s="2"/>
      <c r="B100" s="4" t="s">
        <v>55</v>
      </c>
      <c r="C100" s="7" t="s">
        <v>11</v>
      </c>
      <c r="D100" s="11"/>
      <c r="E100" s="5">
        <f>SUMIFS(E89:E96,B89:B96,"Бетон марки БМ-350")</f>
        <v>0</v>
      </c>
      <c r="F100" s="63"/>
      <c r="G100" s="12">
        <f>+F100*E100</f>
        <v>0</v>
      </c>
    </row>
    <row r="101" spans="1:7" ht="13.5" x14ac:dyDescent="0.25">
      <c r="A101" s="2"/>
      <c r="B101" s="4" t="s">
        <v>56</v>
      </c>
      <c r="C101" s="7" t="s">
        <v>11</v>
      </c>
      <c r="D101" s="11"/>
      <c r="E101" s="5">
        <f>E100</f>
        <v>0</v>
      </c>
      <c r="F101" s="63"/>
      <c r="G101" s="12">
        <f>+F101*E101</f>
        <v>0</v>
      </c>
    </row>
    <row r="102" spans="1:7" ht="13.5" x14ac:dyDescent="0.25">
      <c r="A102" s="2"/>
      <c r="B102" s="55" t="s">
        <v>8</v>
      </c>
      <c r="C102" s="56"/>
      <c r="D102" s="10"/>
      <c r="E102" s="10"/>
      <c r="F102" s="10"/>
      <c r="G102" s="12">
        <f>SUM(G98:G101)</f>
        <v>79344.631471277185</v>
      </c>
    </row>
    <row r="103" spans="1:7" ht="13.5" x14ac:dyDescent="0.25">
      <c r="A103" s="2"/>
      <c r="B103" s="55" t="s">
        <v>63</v>
      </c>
      <c r="C103" s="56"/>
      <c r="D103" s="10"/>
      <c r="E103" s="10"/>
      <c r="F103" s="10"/>
      <c r="G103" s="12">
        <f>G102*7%</f>
        <v>5554.1242029894038</v>
      </c>
    </row>
    <row r="104" spans="1:7" ht="13.5" x14ac:dyDescent="0.25">
      <c r="A104" s="2"/>
      <c r="B104" s="55" t="s">
        <v>31</v>
      </c>
      <c r="C104" s="56"/>
      <c r="D104" s="10"/>
      <c r="E104" s="10"/>
      <c r="F104" s="10"/>
      <c r="G104" s="12">
        <f>SUM(G102:G103)</f>
        <v>84898.755674266591</v>
      </c>
    </row>
    <row r="105" spans="1:7" x14ac:dyDescent="0.25">
      <c r="F105" s="40"/>
    </row>
    <row r="106" spans="1:7" x14ac:dyDescent="0.25">
      <c r="F106" s="40"/>
    </row>
    <row r="107" spans="1:7" x14ac:dyDescent="0.25">
      <c r="F107" s="40"/>
    </row>
    <row r="108" spans="1:7" ht="13.5" x14ac:dyDescent="0.25">
      <c r="A108" s="13"/>
      <c r="B108" s="126" t="s">
        <v>33</v>
      </c>
      <c r="C108" s="144" t="s">
        <v>35</v>
      </c>
      <c r="D108" s="144"/>
      <c r="E108" s="144"/>
      <c r="F108" s="144"/>
      <c r="G108" s="14"/>
    </row>
    <row r="109" spans="1:7" ht="13.5" x14ac:dyDescent="0.25">
      <c r="A109" s="13"/>
      <c r="B109" s="126"/>
      <c r="C109" s="126"/>
      <c r="D109" s="126"/>
      <c r="E109" s="126"/>
      <c r="F109" s="126"/>
      <c r="G109" s="14"/>
    </row>
    <row r="110" spans="1:7" ht="13.5" x14ac:dyDescent="0.25">
      <c r="A110" s="13"/>
      <c r="B110" s="126" t="s">
        <v>34</v>
      </c>
      <c r="C110" s="144" t="s">
        <v>36</v>
      </c>
      <c r="D110" s="144"/>
      <c r="E110" s="144"/>
      <c r="F110" s="144"/>
      <c r="G110" s="14"/>
    </row>
    <row r="111" spans="1:7" x14ac:dyDescent="0.25">
      <c r="F111" s="40"/>
    </row>
    <row r="112" spans="1:7" x14ac:dyDescent="0.25">
      <c r="F112" s="40"/>
    </row>
    <row r="113" spans="2:9" x14ac:dyDescent="0.25">
      <c r="F113" s="40"/>
    </row>
    <row r="121" spans="2:9" x14ac:dyDescent="0.25">
      <c r="B121" s="19" t="s">
        <v>93</v>
      </c>
      <c r="C121" s="22" t="s">
        <v>12</v>
      </c>
      <c r="D121" s="69"/>
      <c r="E121" s="23">
        <f t="shared" ref="E121:E149" si="6">SUMIFS($E$17:$E$89,$B$17:$B$89,B121)</f>
        <v>0</v>
      </c>
      <c r="F121" s="31">
        <v>6500</v>
      </c>
      <c r="G121" s="36">
        <f>E121*F121</f>
        <v>0</v>
      </c>
      <c r="H121" s="74">
        <f t="shared" ref="H121:H149" si="7">SUMIFS($G$17:$G$89,$B$17:$B$89,B121)</f>
        <v>0</v>
      </c>
      <c r="I121" s="40">
        <f t="shared" ref="I121:I146" si="8">G121-H121</f>
        <v>0</v>
      </c>
    </row>
    <row r="122" spans="2:9" x14ac:dyDescent="0.25">
      <c r="B122" s="19" t="s">
        <v>65</v>
      </c>
      <c r="C122" s="22" t="s">
        <v>12</v>
      </c>
      <c r="D122" s="69"/>
      <c r="E122" s="23">
        <f t="shared" si="6"/>
        <v>0.27599999999999997</v>
      </c>
      <c r="F122" s="31">
        <v>6500</v>
      </c>
      <c r="G122" s="36">
        <f t="shared" ref="G122:G149" si="9">E122*F122</f>
        <v>1793.9999999999998</v>
      </c>
      <c r="H122" s="74">
        <f t="shared" si="7"/>
        <v>1794</v>
      </c>
      <c r="I122" s="40">
        <f t="shared" si="8"/>
        <v>0</v>
      </c>
    </row>
    <row r="123" spans="2:9" x14ac:dyDescent="0.25">
      <c r="B123" s="19" t="s">
        <v>87</v>
      </c>
      <c r="C123" s="22" t="s">
        <v>12</v>
      </c>
      <c r="D123" s="69"/>
      <c r="E123" s="23">
        <f t="shared" si="6"/>
        <v>0.73899999999999999</v>
      </c>
      <c r="F123" s="31">
        <v>6500</v>
      </c>
      <c r="G123" s="36">
        <f t="shared" si="9"/>
        <v>4803.5</v>
      </c>
      <c r="H123" s="74">
        <f t="shared" si="7"/>
        <v>4803.5</v>
      </c>
      <c r="I123" s="40">
        <f t="shared" si="8"/>
        <v>0</v>
      </c>
    </row>
    <row r="124" spans="2:9" x14ac:dyDescent="0.25">
      <c r="B124" s="19" t="s">
        <v>44</v>
      </c>
      <c r="C124" s="22" t="s">
        <v>12</v>
      </c>
      <c r="D124" s="6"/>
      <c r="E124" s="23">
        <f t="shared" si="6"/>
        <v>0.16400000000000001</v>
      </c>
      <c r="F124" s="31">
        <v>6500</v>
      </c>
      <c r="G124" s="36">
        <f t="shared" si="9"/>
        <v>1066</v>
      </c>
      <c r="H124" s="74">
        <f t="shared" si="7"/>
        <v>1066</v>
      </c>
      <c r="I124" s="40">
        <f t="shared" si="8"/>
        <v>0</v>
      </c>
    </row>
    <row r="125" spans="2:9" x14ac:dyDescent="0.25">
      <c r="B125" s="19" t="s">
        <v>71</v>
      </c>
      <c r="C125" s="22" t="s">
        <v>12</v>
      </c>
      <c r="D125" s="6"/>
      <c r="E125" s="23">
        <f t="shared" si="6"/>
        <v>1.2549999999999999</v>
      </c>
      <c r="F125" s="31">
        <v>6500</v>
      </c>
      <c r="G125" s="36">
        <f t="shared" si="9"/>
        <v>8157.4999999999991</v>
      </c>
      <c r="H125" s="74">
        <f t="shared" si="7"/>
        <v>8157.4999999999991</v>
      </c>
      <c r="I125" s="40">
        <f t="shared" si="8"/>
        <v>0</v>
      </c>
    </row>
    <row r="126" spans="2:9" x14ac:dyDescent="0.25">
      <c r="B126" s="19" t="s">
        <v>83</v>
      </c>
      <c r="C126" s="22" t="s">
        <v>12</v>
      </c>
      <c r="D126" s="69"/>
      <c r="E126" s="23">
        <f t="shared" si="6"/>
        <v>0</v>
      </c>
      <c r="F126" s="31">
        <v>6500</v>
      </c>
      <c r="G126" s="36">
        <f t="shared" si="9"/>
        <v>0</v>
      </c>
      <c r="H126" s="74">
        <f t="shared" si="7"/>
        <v>0</v>
      </c>
      <c r="I126" s="40">
        <f t="shared" si="8"/>
        <v>0</v>
      </c>
    </row>
    <row r="127" spans="2:9" x14ac:dyDescent="0.25">
      <c r="B127" s="19" t="s">
        <v>43</v>
      </c>
      <c r="C127" s="22" t="s">
        <v>12</v>
      </c>
      <c r="D127" s="69"/>
      <c r="E127" s="23">
        <f t="shared" si="6"/>
        <v>0.13</v>
      </c>
      <c r="F127" s="31">
        <v>6500</v>
      </c>
      <c r="G127" s="36">
        <f t="shared" si="9"/>
        <v>845</v>
      </c>
      <c r="H127" s="74">
        <f t="shared" si="7"/>
        <v>845</v>
      </c>
      <c r="I127" s="40">
        <f t="shared" si="8"/>
        <v>0</v>
      </c>
    </row>
    <row r="128" spans="2:9" x14ac:dyDescent="0.25">
      <c r="B128" s="19" t="s">
        <v>80</v>
      </c>
      <c r="C128" s="22" t="s">
        <v>12</v>
      </c>
      <c r="D128" s="69"/>
      <c r="E128" s="23">
        <f t="shared" si="6"/>
        <v>0</v>
      </c>
      <c r="F128" s="31">
        <v>6500</v>
      </c>
      <c r="G128" s="36">
        <f t="shared" si="9"/>
        <v>0</v>
      </c>
      <c r="H128" s="74">
        <f t="shared" si="7"/>
        <v>0</v>
      </c>
      <c r="I128" s="40">
        <f t="shared" si="8"/>
        <v>0</v>
      </c>
    </row>
    <row r="129" spans="2:9" x14ac:dyDescent="0.25">
      <c r="B129" s="19" t="s">
        <v>75</v>
      </c>
      <c r="C129" s="22" t="s">
        <v>12</v>
      </c>
      <c r="D129" s="69"/>
      <c r="E129" s="23">
        <f t="shared" si="6"/>
        <v>0.63</v>
      </c>
      <c r="F129" s="31">
        <v>6500</v>
      </c>
      <c r="G129" s="36">
        <f t="shared" si="9"/>
        <v>4095</v>
      </c>
      <c r="H129" s="74">
        <f t="shared" si="7"/>
        <v>4095</v>
      </c>
      <c r="I129" s="40">
        <f t="shared" si="8"/>
        <v>0</v>
      </c>
    </row>
    <row r="130" spans="2:9" x14ac:dyDescent="0.25">
      <c r="B130" s="19" t="s">
        <v>77</v>
      </c>
      <c r="C130" s="22" t="s">
        <v>12</v>
      </c>
      <c r="D130" s="69"/>
      <c r="E130" s="23">
        <f t="shared" si="6"/>
        <v>0.56699999999999995</v>
      </c>
      <c r="F130" s="31">
        <v>6500</v>
      </c>
      <c r="G130" s="36">
        <f t="shared" si="9"/>
        <v>3685.4999999999995</v>
      </c>
      <c r="H130" s="74">
        <f t="shared" si="7"/>
        <v>3685.4999999999995</v>
      </c>
      <c r="I130" s="40">
        <f t="shared" si="8"/>
        <v>0</v>
      </c>
    </row>
    <row r="131" spans="2:9" x14ac:dyDescent="0.25">
      <c r="B131" s="19" t="s">
        <v>79</v>
      </c>
      <c r="C131" s="22" t="s">
        <v>12</v>
      </c>
      <c r="D131" s="69"/>
      <c r="E131" s="23">
        <f t="shared" si="6"/>
        <v>0</v>
      </c>
      <c r="F131" s="31">
        <v>6500</v>
      </c>
      <c r="G131" s="36">
        <f t="shared" si="9"/>
        <v>0</v>
      </c>
      <c r="H131" s="74">
        <f t="shared" si="7"/>
        <v>0</v>
      </c>
      <c r="I131" s="40">
        <f t="shared" si="8"/>
        <v>0</v>
      </c>
    </row>
    <row r="132" spans="2:9" x14ac:dyDescent="0.25">
      <c r="B132" s="19" t="s">
        <v>78</v>
      </c>
      <c r="C132" s="22" t="s">
        <v>12</v>
      </c>
      <c r="D132" s="69"/>
      <c r="E132" s="23">
        <f t="shared" si="6"/>
        <v>0</v>
      </c>
      <c r="F132" s="31">
        <v>6500</v>
      </c>
      <c r="G132" s="36">
        <f>E132*F132</f>
        <v>0</v>
      </c>
      <c r="H132" s="74">
        <f t="shared" si="7"/>
        <v>0</v>
      </c>
      <c r="I132" s="40">
        <f t="shared" si="8"/>
        <v>0</v>
      </c>
    </row>
    <row r="133" spans="2:9" x14ac:dyDescent="0.25">
      <c r="B133" s="19" t="s">
        <v>76</v>
      </c>
      <c r="C133" s="22" t="s">
        <v>11</v>
      </c>
      <c r="D133" s="69"/>
      <c r="E133" s="23">
        <f t="shared" si="6"/>
        <v>38.257399999999997</v>
      </c>
      <c r="F133" s="31"/>
      <c r="G133" s="36">
        <f t="shared" si="9"/>
        <v>0</v>
      </c>
      <c r="H133" s="74">
        <f t="shared" si="7"/>
        <v>0</v>
      </c>
      <c r="I133" s="40">
        <f t="shared" si="8"/>
        <v>0</v>
      </c>
    </row>
    <row r="134" spans="2:9" x14ac:dyDescent="0.25">
      <c r="B134" s="19" t="s">
        <v>50</v>
      </c>
      <c r="C134" s="22" t="s">
        <v>11</v>
      </c>
      <c r="D134" s="69"/>
      <c r="E134" s="23">
        <f t="shared" si="6"/>
        <v>1.1900000000000001E-2</v>
      </c>
      <c r="F134" s="31">
        <v>2000</v>
      </c>
      <c r="G134" s="36">
        <f t="shared" si="9"/>
        <v>23.8</v>
      </c>
      <c r="H134" s="74">
        <f t="shared" si="7"/>
        <v>23.8</v>
      </c>
      <c r="I134" s="40">
        <f t="shared" si="8"/>
        <v>0</v>
      </c>
    </row>
    <row r="135" spans="2:9" x14ac:dyDescent="0.25">
      <c r="B135" s="21" t="s">
        <v>13</v>
      </c>
      <c r="C135" s="22" t="s">
        <v>12</v>
      </c>
      <c r="D135" s="69"/>
      <c r="E135" s="23">
        <f t="shared" si="6"/>
        <v>7.1000000000000004E-3</v>
      </c>
      <c r="F135" s="31">
        <v>8500</v>
      </c>
      <c r="G135" s="36">
        <f t="shared" si="9"/>
        <v>60.35</v>
      </c>
      <c r="H135" s="74">
        <f t="shared" si="7"/>
        <v>60.35</v>
      </c>
      <c r="I135" s="40">
        <f t="shared" si="8"/>
        <v>0</v>
      </c>
    </row>
    <row r="136" spans="2:9" x14ac:dyDescent="0.25">
      <c r="B136" s="19" t="s">
        <v>82</v>
      </c>
      <c r="C136" s="22" t="s">
        <v>11</v>
      </c>
      <c r="D136" s="69"/>
      <c r="E136" s="23">
        <f t="shared" si="6"/>
        <v>8.4900000000000003E-2</v>
      </c>
      <c r="F136" s="31">
        <v>2563.75</v>
      </c>
      <c r="G136" s="36">
        <f t="shared" si="9"/>
        <v>217.662375</v>
      </c>
      <c r="H136" s="74">
        <f t="shared" si="7"/>
        <v>217.662375</v>
      </c>
      <c r="I136" s="40">
        <f t="shared" si="8"/>
        <v>0</v>
      </c>
    </row>
    <row r="137" spans="2:9" x14ac:dyDescent="0.25">
      <c r="B137" s="19" t="s">
        <v>103</v>
      </c>
      <c r="C137" s="22" t="s">
        <v>104</v>
      </c>
      <c r="D137" s="69"/>
      <c r="E137" s="23">
        <f t="shared" si="6"/>
        <v>25.736999999999998</v>
      </c>
      <c r="F137" s="31">
        <v>593.79999999999995</v>
      </c>
      <c r="G137" s="36">
        <f t="shared" si="9"/>
        <v>15282.630599999999</v>
      </c>
      <c r="H137" s="74">
        <f t="shared" si="7"/>
        <v>15282.630599999999</v>
      </c>
      <c r="I137" s="40">
        <f t="shared" si="8"/>
        <v>0</v>
      </c>
    </row>
    <row r="138" spans="2:9" x14ac:dyDescent="0.25">
      <c r="B138" s="19" t="s">
        <v>90</v>
      </c>
      <c r="C138" s="22" t="s">
        <v>64</v>
      </c>
      <c r="D138" s="69"/>
      <c r="E138" s="23">
        <f t="shared" si="6"/>
        <v>0</v>
      </c>
      <c r="F138" s="31">
        <v>50</v>
      </c>
      <c r="G138" s="36">
        <f t="shared" si="9"/>
        <v>0</v>
      </c>
      <c r="H138" s="74">
        <f t="shared" si="7"/>
        <v>0</v>
      </c>
      <c r="I138" s="40">
        <f t="shared" si="8"/>
        <v>0</v>
      </c>
    </row>
    <row r="139" spans="2:9" x14ac:dyDescent="0.25">
      <c r="B139" s="19" t="s">
        <v>91</v>
      </c>
      <c r="C139" s="22" t="s">
        <v>64</v>
      </c>
      <c r="D139" s="69"/>
      <c r="E139" s="23">
        <f t="shared" si="6"/>
        <v>0</v>
      </c>
      <c r="F139" s="31">
        <v>50</v>
      </c>
      <c r="G139" s="36">
        <f t="shared" si="9"/>
        <v>0</v>
      </c>
      <c r="H139" s="74">
        <f t="shared" si="7"/>
        <v>0</v>
      </c>
      <c r="I139" s="40">
        <f t="shared" si="8"/>
        <v>0</v>
      </c>
    </row>
    <row r="140" spans="2:9" x14ac:dyDescent="0.25">
      <c r="B140" s="19" t="s">
        <v>92</v>
      </c>
      <c r="C140" s="22" t="s">
        <v>64</v>
      </c>
      <c r="D140" s="69"/>
      <c r="E140" s="23">
        <f t="shared" si="6"/>
        <v>0</v>
      </c>
      <c r="F140" s="31">
        <v>50</v>
      </c>
      <c r="G140" s="36">
        <f t="shared" si="9"/>
        <v>0</v>
      </c>
      <c r="H140" s="74">
        <f t="shared" si="7"/>
        <v>0</v>
      </c>
      <c r="I140" s="40">
        <f t="shared" si="8"/>
        <v>0</v>
      </c>
    </row>
    <row r="141" spans="2:9" x14ac:dyDescent="0.25">
      <c r="B141" s="21" t="s">
        <v>29</v>
      </c>
      <c r="C141" s="22" t="s">
        <v>12</v>
      </c>
      <c r="D141" s="69"/>
      <c r="E141" s="23">
        <f t="shared" si="6"/>
        <v>26.374299999999998</v>
      </c>
      <c r="F141" s="31">
        <f>2449.06/159.17</f>
        <v>15.386442168750394</v>
      </c>
      <c r="G141" s="36">
        <f t="shared" si="9"/>
        <v>405.80664169127346</v>
      </c>
      <c r="H141" s="74">
        <f t="shared" si="7"/>
        <v>405.80664169127351</v>
      </c>
      <c r="I141" s="40">
        <f t="shared" si="8"/>
        <v>0</v>
      </c>
    </row>
    <row r="142" spans="2:9" x14ac:dyDescent="0.25">
      <c r="B142" s="21" t="s">
        <v>101</v>
      </c>
      <c r="C142" s="22" t="s">
        <v>12</v>
      </c>
      <c r="D142" s="69"/>
      <c r="E142" s="23">
        <f t="shared" si="6"/>
        <v>30.501899999999999</v>
      </c>
      <c r="F142" s="31">
        <v>36</v>
      </c>
      <c r="G142" s="36">
        <f t="shared" si="9"/>
        <v>1098.0683999999999</v>
      </c>
      <c r="H142" s="74">
        <f t="shared" si="7"/>
        <v>1098.0683999999999</v>
      </c>
      <c r="I142" s="40">
        <f t="shared" si="8"/>
        <v>0</v>
      </c>
    </row>
    <row r="143" spans="2:9" x14ac:dyDescent="0.25">
      <c r="B143" s="19" t="s">
        <v>25</v>
      </c>
      <c r="C143" s="22" t="s">
        <v>11</v>
      </c>
      <c r="D143" s="69"/>
      <c r="E143" s="23">
        <f t="shared" si="6"/>
        <v>0.26979999999999998</v>
      </c>
      <c r="F143" s="31">
        <v>2500</v>
      </c>
      <c r="G143" s="36">
        <f t="shared" si="9"/>
        <v>674.5</v>
      </c>
      <c r="H143" s="74">
        <f t="shared" si="7"/>
        <v>674.5</v>
      </c>
      <c r="I143" s="40">
        <f t="shared" si="8"/>
        <v>0</v>
      </c>
    </row>
    <row r="144" spans="2:9" x14ac:dyDescent="0.25">
      <c r="B144" s="19" t="s">
        <v>70</v>
      </c>
      <c r="C144" s="22" t="s">
        <v>12</v>
      </c>
      <c r="D144" s="69"/>
      <c r="E144" s="23">
        <f t="shared" si="6"/>
        <v>0</v>
      </c>
      <c r="F144" s="31">
        <v>5423.7330000000002</v>
      </c>
      <c r="G144" s="36">
        <f t="shared" si="9"/>
        <v>0</v>
      </c>
      <c r="H144" s="74">
        <f t="shared" si="7"/>
        <v>0</v>
      </c>
      <c r="I144" s="40">
        <f t="shared" si="8"/>
        <v>0</v>
      </c>
    </row>
    <row r="145" spans="2:9" x14ac:dyDescent="0.25">
      <c r="B145" s="21" t="s">
        <v>99</v>
      </c>
      <c r="C145" s="22" t="s">
        <v>12</v>
      </c>
      <c r="D145" s="69"/>
      <c r="E145" s="23">
        <f t="shared" si="6"/>
        <v>4.2622999999999998</v>
      </c>
      <c r="F145" s="31">
        <v>580</v>
      </c>
      <c r="G145" s="36">
        <f t="shared" si="9"/>
        <v>2472.134</v>
      </c>
      <c r="H145" s="74">
        <f t="shared" si="7"/>
        <v>2472.134</v>
      </c>
      <c r="I145" s="40">
        <f t="shared" si="8"/>
        <v>0</v>
      </c>
    </row>
    <row r="146" spans="2:9" x14ac:dyDescent="0.25">
      <c r="B146" s="21" t="s">
        <v>72</v>
      </c>
      <c r="C146" s="22" t="s">
        <v>12</v>
      </c>
      <c r="D146" s="69"/>
      <c r="E146" s="23">
        <f t="shared" si="6"/>
        <v>13.440700000000001</v>
      </c>
      <c r="F146" s="73">
        <v>630</v>
      </c>
      <c r="G146" s="36">
        <f t="shared" si="9"/>
        <v>8467.6410000000014</v>
      </c>
      <c r="H146" s="74">
        <f t="shared" si="7"/>
        <v>8467.6410000000014</v>
      </c>
      <c r="I146" s="40">
        <f t="shared" si="8"/>
        <v>0</v>
      </c>
    </row>
    <row r="147" spans="2:9" x14ac:dyDescent="0.25">
      <c r="B147" s="21" t="s">
        <v>28</v>
      </c>
      <c r="C147" s="22" t="s">
        <v>12</v>
      </c>
      <c r="D147" s="69"/>
      <c r="E147" s="23">
        <f t="shared" si="6"/>
        <v>50.816000000000003</v>
      </c>
      <c r="F147" s="31">
        <f>4991.72/392.53</f>
        <v>12.7167859781418</v>
      </c>
      <c r="G147" s="36">
        <f t="shared" si="9"/>
        <v>646.21619626525376</v>
      </c>
      <c r="H147" s="74">
        <f t="shared" si="7"/>
        <v>646.21619626525376</v>
      </c>
      <c r="I147" s="40">
        <f>G147-H147</f>
        <v>0</v>
      </c>
    </row>
    <row r="148" spans="2:9" x14ac:dyDescent="0.25">
      <c r="B148" s="19" t="s">
        <v>24</v>
      </c>
      <c r="C148" s="22" t="s">
        <v>14</v>
      </c>
      <c r="D148" s="69"/>
      <c r="E148" s="23">
        <f t="shared" si="6"/>
        <v>24.839499999999997</v>
      </c>
      <c r="F148" s="73"/>
      <c r="G148" s="36">
        <f t="shared" si="9"/>
        <v>0</v>
      </c>
      <c r="H148" s="74">
        <f t="shared" si="7"/>
        <v>0</v>
      </c>
      <c r="I148" s="40">
        <f>G148-H148</f>
        <v>0</v>
      </c>
    </row>
    <row r="149" spans="2:9" x14ac:dyDescent="0.25">
      <c r="B149" s="19" t="s">
        <v>39</v>
      </c>
      <c r="C149" s="22" t="s">
        <v>12</v>
      </c>
      <c r="D149" s="69"/>
      <c r="E149" s="23">
        <f t="shared" si="6"/>
        <v>5.74E-2</v>
      </c>
      <c r="F149" s="31">
        <v>9500</v>
      </c>
      <c r="G149" s="36">
        <f t="shared" si="9"/>
        <v>545.29999999999995</v>
      </c>
      <c r="H149" s="74">
        <f t="shared" si="7"/>
        <v>545.29999999999995</v>
      </c>
      <c r="I149" s="40">
        <f>G149-H149</f>
        <v>0</v>
      </c>
    </row>
    <row r="150" spans="2:9" x14ac:dyDescent="0.25">
      <c r="G150" s="58">
        <f>SUM(G121:G149)</f>
        <v>54340.60921295653</v>
      </c>
    </row>
  </sheetData>
  <autoFilter ref="A15:G87">
    <filterColumn colId="3" showButton="0"/>
  </autoFilter>
  <mergeCells count="17">
    <mergeCell ref="A10:G10"/>
    <mergeCell ref="E1:G1"/>
    <mergeCell ref="E3:G3"/>
    <mergeCell ref="E5:G5"/>
    <mergeCell ref="A6:E6"/>
    <mergeCell ref="A8:G8"/>
    <mergeCell ref="C108:F108"/>
    <mergeCell ref="C110:F110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64"/>
  <sheetViews>
    <sheetView view="pageBreakPreview" topLeftCell="A143" zoomScale="130" zoomScaleNormal="130" zoomScaleSheetLayoutView="130" workbookViewId="0">
      <selection activeCell="F19" sqref="F19:F185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21"/>
      <c r="C7" s="121"/>
      <c r="D7" s="122"/>
      <c r="E7" s="122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23"/>
      <c r="B9" s="48"/>
      <c r="C9" s="123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23"/>
      <c r="B11" s="145" t="s">
        <v>151</v>
      </c>
      <c r="C11" s="145"/>
      <c r="D11" s="145"/>
      <c r="E11" s="145"/>
      <c r="F11" s="145"/>
      <c r="G11" s="145"/>
    </row>
    <row r="12" spans="1:7" ht="20.25" x14ac:dyDescent="0.25">
      <c r="A12" s="146" t="s">
        <v>162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163</v>
      </c>
      <c r="B13" s="148"/>
      <c r="C13" s="148"/>
      <c r="D13" s="148"/>
      <c r="E13" s="148"/>
      <c r="F13" s="149"/>
      <c r="G13" s="148"/>
    </row>
    <row r="14" spans="1:7" ht="13.5" x14ac:dyDescent="0.25">
      <c r="A14" s="123"/>
      <c r="B14" s="123"/>
      <c r="C14" s="123"/>
      <c r="D14" s="123"/>
      <c r="E14" s="123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20" t="s">
        <v>5</v>
      </c>
      <c r="E16" s="120" t="s">
        <v>6</v>
      </c>
      <c r="F16" s="150"/>
      <c r="G16" s="150"/>
    </row>
    <row r="17" spans="1:7" s="51" customFormat="1" ht="27" x14ac:dyDescent="0.25">
      <c r="A17" s="15" t="s">
        <v>45</v>
      </c>
      <c r="B17" s="16" t="s">
        <v>154</v>
      </c>
      <c r="C17" s="17" t="s">
        <v>20</v>
      </c>
      <c r="D17" s="18"/>
      <c r="E17" s="30">
        <f>0.38*0.38*2.9*4/100</f>
        <v>1.6750399999999999E-2</v>
      </c>
      <c r="F17" s="30"/>
      <c r="G17" s="19"/>
    </row>
    <row r="18" spans="1:7" s="51" customFormat="1" x14ac:dyDescent="0.25">
      <c r="A18" s="20">
        <v>1</v>
      </c>
      <c r="B18" s="21" t="s">
        <v>46</v>
      </c>
      <c r="C18" s="22" t="s">
        <v>7</v>
      </c>
      <c r="D18" s="18">
        <v>1569.4</v>
      </c>
      <c r="E18" s="23">
        <f>ROUND(D18*E17,4)</f>
        <v>26.2881</v>
      </c>
      <c r="F18" s="31">
        <v>10.46</v>
      </c>
      <c r="G18" s="24">
        <f t="shared" ref="G18:G30" si="0">F18*E18</f>
        <v>274.97352600000005</v>
      </c>
    </row>
    <row r="19" spans="1:7" s="51" customFormat="1" x14ac:dyDescent="0.25">
      <c r="A19" s="20">
        <v>2</v>
      </c>
      <c r="B19" s="21" t="s">
        <v>18</v>
      </c>
      <c r="C19" s="22" t="s">
        <v>7</v>
      </c>
      <c r="D19" s="18">
        <v>93.3</v>
      </c>
      <c r="E19" s="23">
        <f>ROUND(D19*E17,4)</f>
        <v>1.5628</v>
      </c>
      <c r="F19" s="31">
        <v>15.44</v>
      </c>
      <c r="G19" s="24">
        <f t="shared" si="0"/>
        <v>24.129631999999997</v>
      </c>
    </row>
    <row r="20" spans="1:7" s="51" customFormat="1" ht="25.5" x14ac:dyDescent="0.25">
      <c r="A20" s="20" t="s">
        <v>40</v>
      </c>
      <c r="B20" s="19" t="s">
        <v>47</v>
      </c>
      <c r="C20" s="22" t="s">
        <v>19</v>
      </c>
      <c r="D20" s="18">
        <v>93.3</v>
      </c>
      <c r="E20" s="23">
        <f>ROUND(D20*E17,4)</f>
        <v>1.5628</v>
      </c>
      <c r="F20" s="31">
        <f>152.37-15.44</f>
        <v>136.93</v>
      </c>
      <c r="G20" s="24">
        <f t="shared" si="0"/>
        <v>213.994204</v>
      </c>
    </row>
    <row r="21" spans="1:7" s="51" customFormat="1" x14ac:dyDescent="0.25">
      <c r="A21" s="20" t="s">
        <v>41</v>
      </c>
      <c r="B21" s="21" t="s">
        <v>38</v>
      </c>
      <c r="C21" s="22" t="s">
        <v>19</v>
      </c>
      <c r="D21" s="18">
        <v>124.95</v>
      </c>
      <c r="E21" s="23">
        <f>ROUND(D21*E17,4)</f>
        <v>2.093</v>
      </c>
      <c r="F21" s="31">
        <v>8.4600000000000009</v>
      </c>
      <c r="G21" s="24">
        <f t="shared" si="0"/>
        <v>17.706780000000002</v>
      </c>
    </row>
    <row r="22" spans="1:7" s="51" customFormat="1" x14ac:dyDescent="0.25">
      <c r="A22" s="20">
        <v>111100</v>
      </c>
      <c r="B22" s="19" t="s">
        <v>27</v>
      </c>
      <c r="C22" s="22" t="s">
        <v>19</v>
      </c>
      <c r="D22" s="18">
        <v>61.88</v>
      </c>
      <c r="E22" s="23">
        <f>ROUND(D22*E17,4)</f>
        <v>1.0365</v>
      </c>
      <c r="F22" s="31">
        <v>2.83</v>
      </c>
      <c r="G22" s="24">
        <f t="shared" si="0"/>
        <v>2.9332950000000002</v>
      </c>
    </row>
    <row r="23" spans="1:7" s="51" customFormat="1" x14ac:dyDescent="0.25">
      <c r="A23" s="20">
        <v>331532</v>
      </c>
      <c r="B23" s="19" t="s">
        <v>26</v>
      </c>
      <c r="C23" s="22" t="s">
        <v>19</v>
      </c>
      <c r="D23" s="18">
        <v>1.9</v>
      </c>
      <c r="E23" s="23">
        <f>ROUND(D23*E17,4)</f>
        <v>3.1800000000000002E-2</v>
      </c>
      <c r="F23" s="31">
        <v>1.63</v>
      </c>
      <c r="G23" s="24">
        <f t="shared" si="0"/>
        <v>5.1833999999999998E-2</v>
      </c>
    </row>
    <row r="24" spans="1:7" s="51" customFormat="1" x14ac:dyDescent="0.25">
      <c r="A24" s="20" t="s">
        <v>48</v>
      </c>
      <c r="B24" s="19" t="s">
        <v>39</v>
      </c>
      <c r="C24" s="22" t="s">
        <v>12</v>
      </c>
      <c r="D24" s="18">
        <v>0.15</v>
      </c>
      <c r="E24" s="23">
        <f>ROUND(D24*E17,4)</f>
        <v>2.5000000000000001E-3</v>
      </c>
      <c r="F24" s="31">
        <v>9500</v>
      </c>
      <c r="G24" s="24">
        <f t="shared" si="0"/>
        <v>23.75</v>
      </c>
    </row>
    <row r="25" spans="1:7" s="51" customFormat="1" x14ac:dyDescent="0.25">
      <c r="A25" s="20" t="s">
        <v>74</v>
      </c>
      <c r="B25" s="19" t="s">
        <v>25</v>
      </c>
      <c r="C25" s="22" t="s">
        <v>11</v>
      </c>
      <c r="D25" s="18">
        <v>1.7</v>
      </c>
      <c r="E25" s="23">
        <f>ROUND(D25*E17,4)</f>
        <v>2.8500000000000001E-2</v>
      </c>
      <c r="F25" s="31">
        <v>2500</v>
      </c>
      <c r="G25" s="24">
        <f t="shared" si="0"/>
        <v>71.25</v>
      </c>
    </row>
    <row r="26" spans="1:7" s="51" customFormat="1" x14ac:dyDescent="0.25">
      <c r="A26" s="20" t="s">
        <v>49</v>
      </c>
      <c r="B26" s="19" t="s">
        <v>50</v>
      </c>
      <c r="C26" s="22" t="s">
        <v>11</v>
      </c>
      <c r="D26" s="18">
        <v>0.25</v>
      </c>
      <c r="E26" s="23">
        <f>ROUND(D26*E17,4)</f>
        <v>4.1999999999999997E-3</v>
      </c>
      <c r="F26" s="31">
        <v>2000</v>
      </c>
      <c r="G26" s="24">
        <f t="shared" si="0"/>
        <v>8.4</v>
      </c>
    </row>
    <row r="27" spans="1:7" s="51" customFormat="1" x14ac:dyDescent="0.25">
      <c r="A27" s="20" t="s">
        <v>22</v>
      </c>
      <c r="B27" s="19" t="s">
        <v>24</v>
      </c>
      <c r="C27" s="22" t="s">
        <v>14</v>
      </c>
      <c r="D27" s="18">
        <v>135</v>
      </c>
      <c r="E27" s="23">
        <f>ROUND(D27*E17,4)</f>
        <v>2.2612999999999999</v>
      </c>
      <c r="F27" s="24"/>
      <c r="G27" s="24">
        <f t="shared" si="0"/>
        <v>0</v>
      </c>
    </row>
    <row r="28" spans="1:7" s="51" customFormat="1" x14ac:dyDescent="0.25">
      <c r="A28" s="20" t="s">
        <v>16</v>
      </c>
      <c r="B28" s="19" t="s">
        <v>77</v>
      </c>
      <c r="C28" s="22" t="s">
        <v>12</v>
      </c>
      <c r="D28" s="18" t="s">
        <v>17</v>
      </c>
      <c r="E28" s="23">
        <f>283/1000</f>
        <v>0.28299999999999997</v>
      </c>
      <c r="F28" s="31">
        <v>6500</v>
      </c>
      <c r="G28" s="24">
        <f t="shared" si="0"/>
        <v>1839.4999999999998</v>
      </c>
    </row>
    <row r="29" spans="1:7" s="51" customFormat="1" x14ac:dyDescent="0.25">
      <c r="A29" s="20" t="s">
        <v>16</v>
      </c>
      <c r="B29" s="19" t="s">
        <v>75</v>
      </c>
      <c r="C29" s="22" t="s">
        <v>12</v>
      </c>
      <c r="D29" s="18" t="s">
        <v>17</v>
      </c>
      <c r="E29" s="23">
        <f>210/1000</f>
        <v>0.21</v>
      </c>
      <c r="F29" s="31">
        <v>6500</v>
      </c>
      <c r="G29" s="24">
        <f t="shared" si="0"/>
        <v>1365</v>
      </c>
    </row>
    <row r="30" spans="1:7" s="51" customFormat="1" x14ac:dyDescent="0.25">
      <c r="A30" s="20" t="s">
        <v>16</v>
      </c>
      <c r="B30" s="19" t="s">
        <v>65</v>
      </c>
      <c r="C30" s="22" t="s">
        <v>12</v>
      </c>
      <c r="D30" s="18" t="s">
        <v>17</v>
      </c>
      <c r="E30" s="23">
        <f>75/1000</f>
        <v>7.4999999999999997E-2</v>
      </c>
      <c r="F30" s="31">
        <v>6500</v>
      </c>
      <c r="G30" s="24">
        <f t="shared" si="0"/>
        <v>487.5</v>
      </c>
    </row>
    <row r="31" spans="1:7" s="51" customFormat="1" x14ac:dyDescent="0.25">
      <c r="A31" s="20" t="s">
        <v>23</v>
      </c>
      <c r="B31" s="19" t="s">
        <v>76</v>
      </c>
      <c r="C31" s="22" t="s">
        <v>11</v>
      </c>
      <c r="D31" s="18">
        <v>100</v>
      </c>
      <c r="E31" s="23">
        <f>ROUND(D31*E17,4)</f>
        <v>1.675</v>
      </c>
      <c r="F31" s="24"/>
      <c r="G31" s="24"/>
    </row>
    <row r="32" spans="1:7" s="51" customFormat="1" x14ac:dyDescent="0.25">
      <c r="A32" s="20"/>
      <c r="B32" s="32" t="s">
        <v>72</v>
      </c>
      <c r="C32" s="22" t="s">
        <v>12</v>
      </c>
      <c r="D32" s="18">
        <v>0.38200000000000001</v>
      </c>
      <c r="E32" s="23">
        <f>ROUND(D32*E31,4)</f>
        <v>0.63990000000000002</v>
      </c>
      <c r="F32" s="31">
        <v>630</v>
      </c>
      <c r="G32" s="24">
        <f t="shared" ref="G32:G34" si="1">F32*E32</f>
        <v>403.137</v>
      </c>
    </row>
    <row r="33" spans="1:8" s="51" customFormat="1" x14ac:dyDescent="0.25">
      <c r="A33" s="20"/>
      <c r="B33" s="32" t="s">
        <v>29</v>
      </c>
      <c r="C33" s="22" t="s">
        <v>12</v>
      </c>
      <c r="D33" s="18">
        <f>47/100*1.52</f>
        <v>0.71439999999999992</v>
      </c>
      <c r="E33" s="23">
        <f>ROUND(D33*E31,4)</f>
        <v>1.1966000000000001</v>
      </c>
      <c r="F33" s="31">
        <f>2449.06/159.17</f>
        <v>15.386442168750394</v>
      </c>
      <c r="G33" s="24">
        <f t="shared" si="1"/>
        <v>18.411416699126722</v>
      </c>
    </row>
    <row r="34" spans="1:8" s="51" customFormat="1" x14ac:dyDescent="0.25">
      <c r="A34" s="20"/>
      <c r="B34" s="32" t="s">
        <v>28</v>
      </c>
      <c r="C34" s="22" t="s">
        <v>12</v>
      </c>
      <c r="D34" s="18">
        <f>80/100*1.6</f>
        <v>1.2800000000000002</v>
      </c>
      <c r="E34" s="23">
        <f>ROUND(D34*E31,4)</f>
        <v>2.1440000000000001</v>
      </c>
      <c r="F34" s="31">
        <f>4991.72/392.53</f>
        <v>12.7167859781418</v>
      </c>
      <c r="G34" s="24">
        <f t="shared" si="1"/>
        <v>27.26478913713602</v>
      </c>
    </row>
    <row r="35" spans="1:8" s="51" customFormat="1" ht="13.5" x14ac:dyDescent="0.25">
      <c r="A35" s="15"/>
      <c r="B35" s="25" t="s">
        <v>8</v>
      </c>
      <c r="C35" s="17"/>
      <c r="D35" s="26"/>
      <c r="E35" s="27"/>
      <c r="F35" s="28"/>
      <c r="G35" s="29">
        <f>SUM(G18:G34)</f>
        <v>4778.0024768362618</v>
      </c>
    </row>
    <row r="36" spans="1:8" s="51" customFormat="1" ht="27" x14ac:dyDescent="0.25">
      <c r="A36" s="15" t="s">
        <v>73</v>
      </c>
      <c r="B36" s="16" t="s">
        <v>155</v>
      </c>
      <c r="C36" s="17" t="s">
        <v>20</v>
      </c>
      <c r="D36" s="18"/>
      <c r="E36" s="17">
        <f>33.51/100</f>
        <v>0.33509999999999995</v>
      </c>
      <c r="F36" s="24"/>
      <c r="G36" s="24"/>
    </row>
    <row r="37" spans="1:8" s="51" customFormat="1" x14ac:dyDescent="0.25">
      <c r="A37" s="20">
        <v>1</v>
      </c>
      <c r="B37" s="21" t="s">
        <v>46</v>
      </c>
      <c r="C37" s="22" t="s">
        <v>7</v>
      </c>
      <c r="D37" s="18">
        <v>763.46</v>
      </c>
      <c r="E37" s="23">
        <f>ROUND(D37*E36,4)</f>
        <v>255.83539999999999</v>
      </c>
      <c r="F37" s="31">
        <v>10.46</v>
      </c>
      <c r="G37" s="24">
        <f t="shared" ref="G37:G52" si="2">F37*E37</f>
        <v>2676.0382840000002</v>
      </c>
    </row>
    <row r="38" spans="1:8" s="51" customFormat="1" x14ac:dyDescent="0.25">
      <c r="A38" s="20">
        <v>2</v>
      </c>
      <c r="B38" s="21" t="s">
        <v>18</v>
      </c>
      <c r="C38" s="22" t="s">
        <v>7</v>
      </c>
      <c r="D38" s="18">
        <v>70.45</v>
      </c>
      <c r="E38" s="23">
        <f>ROUND(D38*E36,4)</f>
        <v>23.607800000000001</v>
      </c>
      <c r="F38" s="31">
        <v>15.44</v>
      </c>
      <c r="G38" s="24">
        <f t="shared" si="2"/>
        <v>364.50443200000001</v>
      </c>
    </row>
    <row r="39" spans="1:8" s="51" customFormat="1" ht="25.5" x14ac:dyDescent="0.25">
      <c r="A39" s="20" t="s">
        <v>40</v>
      </c>
      <c r="B39" s="19" t="s">
        <v>47</v>
      </c>
      <c r="C39" s="22" t="s">
        <v>19</v>
      </c>
      <c r="D39" s="18">
        <v>70.45</v>
      </c>
      <c r="E39" s="23">
        <f>ROUND(D39*E36,4)</f>
        <v>23.607800000000001</v>
      </c>
      <c r="F39" s="31">
        <f>152.37-15.44</f>
        <v>136.93</v>
      </c>
      <c r="G39" s="24">
        <f t="shared" si="2"/>
        <v>3232.6160540000001</v>
      </c>
    </row>
    <row r="40" spans="1:8" s="51" customFormat="1" x14ac:dyDescent="0.25">
      <c r="A40" s="20" t="s">
        <v>41</v>
      </c>
      <c r="B40" s="21" t="s">
        <v>38</v>
      </c>
      <c r="C40" s="22" t="s">
        <v>19</v>
      </c>
      <c r="D40" s="18">
        <v>124.95</v>
      </c>
      <c r="E40" s="23">
        <f>ROUND(D40*E36,4)</f>
        <v>41.870699999999999</v>
      </c>
      <c r="F40" s="31">
        <v>8.4600000000000009</v>
      </c>
      <c r="G40" s="24">
        <f t="shared" si="2"/>
        <v>354.22612200000003</v>
      </c>
    </row>
    <row r="41" spans="1:8" s="51" customFormat="1" x14ac:dyDescent="0.25">
      <c r="A41" s="20">
        <v>111100</v>
      </c>
      <c r="B41" s="19" t="s">
        <v>27</v>
      </c>
      <c r="C41" s="22" t="s">
        <v>19</v>
      </c>
      <c r="D41" s="18">
        <v>30.11</v>
      </c>
      <c r="E41" s="23">
        <f>ROUND(D41*E36,4)</f>
        <v>10.0899</v>
      </c>
      <c r="F41" s="31">
        <v>2.83</v>
      </c>
      <c r="G41" s="24">
        <f t="shared" si="2"/>
        <v>28.554417000000001</v>
      </c>
    </row>
    <row r="42" spans="1:8" s="51" customFormat="1" x14ac:dyDescent="0.25">
      <c r="A42" s="20">
        <v>331532</v>
      </c>
      <c r="B42" s="19" t="s">
        <v>26</v>
      </c>
      <c r="C42" s="22" t="s">
        <v>19</v>
      </c>
      <c r="D42" s="18">
        <v>0.7</v>
      </c>
      <c r="E42" s="23">
        <f>ROUND(D42*E36,4)</f>
        <v>0.2346</v>
      </c>
      <c r="F42" s="31">
        <v>1.63</v>
      </c>
      <c r="G42" s="24">
        <f t="shared" si="2"/>
        <v>0.38239799999999996</v>
      </c>
    </row>
    <row r="43" spans="1:8" s="51" customFormat="1" x14ac:dyDescent="0.25">
      <c r="A43" s="20" t="s">
        <v>48</v>
      </c>
      <c r="B43" s="19" t="s">
        <v>39</v>
      </c>
      <c r="C43" s="22" t="s">
        <v>12</v>
      </c>
      <c r="D43" s="18">
        <v>0.15</v>
      </c>
      <c r="E43" s="23">
        <f>ROUND(D43*E36,4)</f>
        <v>5.0299999999999997E-2</v>
      </c>
      <c r="F43" s="31">
        <v>9500</v>
      </c>
      <c r="G43" s="24">
        <f t="shared" si="2"/>
        <v>477.84999999999997</v>
      </c>
    </row>
    <row r="44" spans="1:8" s="51" customFormat="1" x14ac:dyDescent="0.25">
      <c r="A44" s="20" t="s">
        <v>15</v>
      </c>
      <c r="B44" s="21" t="s">
        <v>13</v>
      </c>
      <c r="C44" s="22" t="s">
        <v>12</v>
      </c>
      <c r="D44" s="18">
        <v>1.7000000000000001E-2</v>
      </c>
      <c r="E44" s="23">
        <f>ROUND(D44*E36,4)</f>
        <v>5.7000000000000002E-3</v>
      </c>
      <c r="F44" s="31">
        <v>8500</v>
      </c>
      <c r="G44" s="24">
        <f t="shared" si="2"/>
        <v>48.45</v>
      </c>
    </row>
    <row r="45" spans="1:8" s="51" customFormat="1" x14ac:dyDescent="0.25">
      <c r="A45" s="20" t="s">
        <v>74</v>
      </c>
      <c r="B45" s="19" t="s">
        <v>25</v>
      </c>
      <c r="C45" s="22" t="s">
        <v>11</v>
      </c>
      <c r="D45" s="18">
        <v>0.72</v>
      </c>
      <c r="E45" s="23">
        <f>ROUND(D45*E36,4)</f>
        <v>0.24129999999999999</v>
      </c>
      <c r="F45" s="31">
        <v>2500</v>
      </c>
      <c r="G45" s="24">
        <f t="shared" si="2"/>
        <v>603.25</v>
      </c>
    </row>
    <row r="46" spans="1:8" s="51" customFormat="1" x14ac:dyDescent="0.25">
      <c r="A46" s="20" t="s">
        <v>22</v>
      </c>
      <c r="B46" s="19" t="s">
        <v>24</v>
      </c>
      <c r="C46" s="22" t="s">
        <v>14</v>
      </c>
      <c r="D46" s="18">
        <v>55</v>
      </c>
      <c r="E46" s="23">
        <f>ROUND(D46*E36,4)</f>
        <v>18.430499999999999</v>
      </c>
      <c r="F46" s="24"/>
      <c r="G46" s="24">
        <f t="shared" si="2"/>
        <v>0</v>
      </c>
    </row>
    <row r="47" spans="1:8" s="51" customFormat="1" x14ac:dyDescent="0.25">
      <c r="A47" s="20" t="s">
        <v>16</v>
      </c>
      <c r="B47" s="19" t="s">
        <v>77</v>
      </c>
      <c r="C47" s="22" t="s">
        <v>12</v>
      </c>
      <c r="D47" s="18" t="s">
        <v>17</v>
      </c>
      <c r="E47" s="23">
        <f>284/1000</f>
        <v>0.28399999999999997</v>
      </c>
      <c r="F47" s="31">
        <v>6500</v>
      </c>
      <c r="G47" s="24">
        <f t="shared" si="2"/>
        <v>1845.9999999999998</v>
      </c>
      <c r="H47" s="75"/>
    </row>
    <row r="48" spans="1:8" s="51" customFormat="1" x14ac:dyDescent="0.25">
      <c r="A48" s="20" t="s">
        <v>16</v>
      </c>
      <c r="B48" s="19" t="s">
        <v>75</v>
      </c>
      <c r="C48" s="22" t="s">
        <v>12</v>
      </c>
      <c r="D48" s="18" t="s">
        <v>17</v>
      </c>
      <c r="E48" s="23">
        <f>420/1000</f>
        <v>0.42</v>
      </c>
      <c r="F48" s="31">
        <v>6500</v>
      </c>
      <c r="G48" s="24">
        <f t="shared" ref="G48:G50" si="3">F48*E48</f>
        <v>2730</v>
      </c>
      <c r="H48" s="75"/>
    </row>
    <row r="49" spans="1:8" s="51" customFormat="1" x14ac:dyDescent="0.25">
      <c r="A49" s="20" t="s">
        <v>16</v>
      </c>
      <c r="B49" s="19" t="s">
        <v>43</v>
      </c>
      <c r="C49" s="22" t="s">
        <v>12</v>
      </c>
      <c r="D49" s="18" t="s">
        <v>17</v>
      </c>
      <c r="E49" s="23">
        <f>130/1000</f>
        <v>0.13</v>
      </c>
      <c r="F49" s="31">
        <v>6500</v>
      </c>
      <c r="G49" s="24">
        <f t="shared" ref="G49" si="4">F49*E49</f>
        <v>845</v>
      </c>
      <c r="H49" s="75"/>
    </row>
    <row r="50" spans="1:8" s="51" customFormat="1" x14ac:dyDescent="0.25">
      <c r="A50" s="20" t="s">
        <v>16</v>
      </c>
      <c r="B50" s="19" t="s">
        <v>71</v>
      </c>
      <c r="C50" s="22" t="s">
        <v>12</v>
      </c>
      <c r="D50" s="18" t="s">
        <v>17</v>
      </c>
      <c r="E50" s="23">
        <f>1255/1000</f>
        <v>1.2549999999999999</v>
      </c>
      <c r="F50" s="31">
        <v>6500</v>
      </c>
      <c r="G50" s="24">
        <f t="shared" si="3"/>
        <v>8157.4999999999991</v>
      </c>
      <c r="H50" s="75"/>
    </row>
    <row r="51" spans="1:8" s="51" customFormat="1" x14ac:dyDescent="0.25">
      <c r="A51" s="20" t="s">
        <v>16</v>
      </c>
      <c r="B51" s="19" t="s">
        <v>87</v>
      </c>
      <c r="C51" s="22" t="s">
        <v>12</v>
      </c>
      <c r="D51" s="18" t="s">
        <v>17</v>
      </c>
      <c r="E51" s="23">
        <f>739/1000</f>
        <v>0.73899999999999999</v>
      </c>
      <c r="F51" s="31">
        <v>6500</v>
      </c>
      <c r="G51" s="24">
        <f t="shared" si="2"/>
        <v>4803.5</v>
      </c>
      <c r="H51" s="75"/>
    </row>
    <row r="52" spans="1:8" s="51" customFormat="1" x14ac:dyDescent="0.25">
      <c r="A52" s="20" t="s">
        <v>16</v>
      </c>
      <c r="B52" s="19" t="s">
        <v>65</v>
      </c>
      <c r="C52" s="22" t="s">
        <v>12</v>
      </c>
      <c r="D52" s="18" t="s">
        <v>17</v>
      </c>
      <c r="E52" s="70">
        <f>151/1000</f>
        <v>0.151</v>
      </c>
      <c r="F52" s="31">
        <v>6500</v>
      </c>
      <c r="G52" s="24">
        <f t="shared" si="2"/>
        <v>981.5</v>
      </c>
    </row>
    <row r="53" spans="1:8" s="51" customFormat="1" x14ac:dyDescent="0.25">
      <c r="A53" s="20" t="s">
        <v>23</v>
      </c>
      <c r="B53" s="19" t="s">
        <v>76</v>
      </c>
      <c r="C53" s="22" t="s">
        <v>11</v>
      </c>
      <c r="D53" s="18">
        <v>100</v>
      </c>
      <c r="E53" s="23">
        <f>ROUND(D53*E36,4)</f>
        <v>33.51</v>
      </c>
      <c r="F53" s="24"/>
      <c r="G53" s="24"/>
    </row>
    <row r="54" spans="1:8" s="51" customFormat="1" x14ac:dyDescent="0.25">
      <c r="A54" s="20"/>
      <c r="B54" s="32" t="s">
        <v>72</v>
      </c>
      <c r="C54" s="22" t="s">
        <v>12</v>
      </c>
      <c r="D54" s="18">
        <v>0.38200000000000001</v>
      </c>
      <c r="E54" s="23">
        <f>ROUND(D54*E53,4)</f>
        <v>12.800800000000001</v>
      </c>
      <c r="F54" s="31">
        <v>630</v>
      </c>
      <c r="G54" s="24">
        <f t="shared" ref="G54:G56" si="5">F54*E54</f>
        <v>8064.5040000000008</v>
      </c>
    </row>
    <row r="55" spans="1:8" s="51" customFormat="1" x14ac:dyDescent="0.25">
      <c r="A55" s="20"/>
      <c r="B55" s="32" t="s">
        <v>29</v>
      </c>
      <c r="C55" s="22" t="s">
        <v>12</v>
      </c>
      <c r="D55" s="18">
        <f>47/100*1.52</f>
        <v>0.71439999999999992</v>
      </c>
      <c r="E55" s="23">
        <f>ROUND(D55*E53,4)</f>
        <v>23.939499999999999</v>
      </c>
      <c r="F55" s="31">
        <f>2449.06/159.17</f>
        <v>15.386442168750394</v>
      </c>
      <c r="G55" s="24">
        <f t="shared" si="5"/>
        <v>368.34373229880003</v>
      </c>
    </row>
    <row r="56" spans="1:8" s="51" customFormat="1" x14ac:dyDescent="0.25">
      <c r="A56" s="20"/>
      <c r="B56" s="32" t="s">
        <v>28</v>
      </c>
      <c r="C56" s="22" t="s">
        <v>12</v>
      </c>
      <c r="D56" s="18">
        <f>80/100*1.6</f>
        <v>1.2800000000000002</v>
      </c>
      <c r="E56" s="23">
        <f>ROUND(D56*E53,4)</f>
        <v>42.892800000000001</v>
      </c>
      <c r="F56" s="31">
        <f>4991.72/392.53</f>
        <v>12.7167859781418</v>
      </c>
      <c r="G56" s="24">
        <f t="shared" si="5"/>
        <v>545.45855760324059</v>
      </c>
    </row>
    <row r="57" spans="1:8" ht="13.5" x14ac:dyDescent="0.25">
      <c r="A57" s="15"/>
      <c r="B57" s="25" t="s">
        <v>8</v>
      </c>
      <c r="C57" s="17"/>
      <c r="D57" s="26"/>
      <c r="E57" s="27"/>
      <c r="F57" s="28"/>
      <c r="G57" s="29">
        <f>SUM(G37:G56)</f>
        <v>36127.677996902043</v>
      </c>
    </row>
    <row r="58" spans="1:8" ht="13.5" x14ac:dyDescent="0.25">
      <c r="A58" s="15" t="s">
        <v>81</v>
      </c>
      <c r="B58" s="16" t="s">
        <v>156</v>
      </c>
      <c r="C58" s="17" t="s">
        <v>20</v>
      </c>
      <c r="D58" s="18"/>
      <c r="E58" s="30">
        <f>0.4*0.38*120/100</f>
        <v>0.18240000000000001</v>
      </c>
      <c r="F58" s="31"/>
      <c r="G58" s="31"/>
    </row>
    <row r="59" spans="1:8" x14ac:dyDescent="0.25">
      <c r="A59" s="20">
        <v>1</v>
      </c>
      <c r="B59" s="21" t="s">
        <v>60</v>
      </c>
      <c r="C59" s="22" t="s">
        <v>7</v>
      </c>
      <c r="D59" s="18">
        <v>1749.3</v>
      </c>
      <c r="E59" s="23">
        <f>ROUND(D59*E58,4)</f>
        <v>319.07229999999998</v>
      </c>
      <c r="F59" s="31">
        <v>10.31</v>
      </c>
      <c r="G59" s="31">
        <f t="shared" ref="G59:G79" si="6">F59*E59</f>
        <v>3289.635413</v>
      </c>
    </row>
    <row r="60" spans="1:8" x14ac:dyDescent="0.25">
      <c r="A60" s="20">
        <v>2</v>
      </c>
      <c r="B60" s="21" t="s">
        <v>18</v>
      </c>
      <c r="C60" s="22" t="s">
        <v>7</v>
      </c>
      <c r="D60" s="18">
        <v>91.51</v>
      </c>
      <c r="E60" s="23">
        <f>ROUND(D60*E58,4)</f>
        <v>16.691400000000002</v>
      </c>
      <c r="F60" s="31">
        <v>15.44</v>
      </c>
      <c r="G60" s="31">
        <f t="shared" si="6"/>
        <v>257.715216</v>
      </c>
    </row>
    <row r="61" spans="1:8" ht="25.5" x14ac:dyDescent="0.25">
      <c r="A61" s="20" t="s">
        <v>40</v>
      </c>
      <c r="B61" s="19" t="s">
        <v>47</v>
      </c>
      <c r="C61" s="22" t="s">
        <v>19</v>
      </c>
      <c r="D61" s="18">
        <v>91.51</v>
      </c>
      <c r="E61" s="23">
        <f>ROUND(D61*E58,4)</f>
        <v>16.691400000000002</v>
      </c>
      <c r="F61" s="31">
        <f>152.37-15.44</f>
        <v>136.93</v>
      </c>
      <c r="G61" s="31">
        <f t="shared" si="6"/>
        <v>2285.5534020000005</v>
      </c>
    </row>
    <row r="62" spans="1:8" x14ac:dyDescent="0.25">
      <c r="A62" s="20" t="s">
        <v>41</v>
      </c>
      <c r="B62" s="21" t="s">
        <v>38</v>
      </c>
      <c r="C62" s="22" t="s">
        <v>19</v>
      </c>
      <c r="D62" s="18">
        <v>283.22000000000003</v>
      </c>
      <c r="E62" s="23">
        <f>ROUND(D62*E58,4)</f>
        <v>51.659300000000002</v>
      </c>
      <c r="F62" s="31">
        <v>8.4600000000000009</v>
      </c>
      <c r="G62" s="31">
        <f t="shared" si="6"/>
        <v>437.03767800000008</v>
      </c>
    </row>
    <row r="63" spans="1:8" x14ac:dyDescent="0.25">
      <c r="A63" s="20">
        <v>111100</v>
      </c>
      <c r="B63" s="19" t="s">
        <v>27</v>
      </c>
      <c r="C63" s="22" t="s">
        <v>19</v>
      </c>
      <c r="D63" s="18">
        <v>85.68</v>
      </c>
      <c r="E63" s="23">
        <f>ROUND(D63*E58,4)</f>
        <v>15.628</v>
      </c>
      <c r="F63" s="31">
        <v>2.83</v>
      </c>
      <c r="G63" s="31">
        <f t="shared" si="6"/>
        <v>44.227240000000002</v>
      </c>
    </row>
    <row r="64" spans="1:8" x14ac:dyDescent="0.25">
      <c r="A64" s="20">
        <v>331532</v>
      </c>
      <c r="B64" s="19" t="s">
        <v>26</v>
      </c>
      <c r="C64" s="22" t="s">
        <v>19</v>
      </c>
      <c r="D64" s="18">
        <v>6.28</v>
      </c>
      <c r="E64" s="23">
        <f>ROUND(D64*E58,4)</f>
        <v>1.1455</v>
      </c>
      <c r="F64" s="31">
        <v>1.63</v>
      </c>
      <c r="G64" s="31">
        <f t="shared" si="6"/>
        <v>1.8671649999999997</v>
      </c>
    </row>
    <row r="65" spans="1:7" x14ac:dyDescent="0.25">
      <c r="A65" s="20" t="s">
        <v>48</v>
      </c>
      <c r="B65" s="19" t="s">
        <v>39</v>
      </c>
      <c r="C65" s="22" t="s">
        <v>12</v>
      </c>
      <c r="D65" s="18">
        <v>0.34</v>
      </c>
      <c r="E65" s="23">
        <f>ROUND(D65*E58,4)</f>
        <v>6.2E-2</v>
      </c>
      <c r="F65" s="31">
        <v>9500</v>
      </c>
      <c r="G65" s="31">
        <f t="shared" si="6"/>
        <v>589</v>
      </c>
    </row>
    <row r="66" spans="1:7" x14ac:dyDescent="0.25">
      <c r="A66" s="20" t="s">
        <v>15</v>
      </c>
      <c r="B66" s="21" t="s">
        <v>13</v>
      </c>
      <c r="C66" s="22" t="s">
        <v>12</v>
      </c>
      <c r="D66" s="18">
        <v>6.7000000000000004E-2</v>
      </c>
      <c r="E66" s="23">
        <f>ROUND(D66*E58,4)</f>
        <v>1.2200000000000001E-2</v>
      </c>
      <c r="F66" s="31">
        <v>8500</v>
      </c>
      <c r="G66" s="31">
        <f t="shared" si="6"/>
        <v>103.7</v>
      </c>
    </row>
    <row r="67" spans="1:7" x14ac:dyDescent="0.25">
      <c r="A67" s="20" t="s">
        <v>21</v>
      </c>
      <c r="B67" s="19" t="s">
        <v>82</v>
      </c>
      <c r="C67" s="22" t="s">
        <v>11</v>
      </c>
      <c r="D67" s="18">
        <v>0.17799999999999999</v>
      </c>
      <c r="E67" s="23">
        <f>ROUND(D67*E58,4)</f>
        <v>3.2500000000000001E-2</v>
      </c>
      <c r="F67" s="31">
        <v>2563.75</v>
      </c>
      <c r="G67" s="31">
        <f t="shared" si="6"/>
        <v>83.321875000000006</v>
      </c>
    </row>
    <row r="68" spans="1:7" x14ac:dyDescent="0.25">
      <c r="A68" s="20" t="s">
        <v>22</v>
      </c>
      <c r="B68" s="19" t="s">
        <v>24</v>
      </c>
      <c r="C68" s="22" t="s">
        <v>14</v>
      </c>
      <c r="D68" s="18">
        <v>155</v>
      </c>
      <c r="E68" s="23">
        <f>ROUND(D68*E58,4)</f>
        <v>28.271999999999998</v>
      </c>
      <c r="F68" s="31"/>
      <c r="G68" s="31">
        <f t="shared" si="6"/>
        <v>0</v>
      </c>
    </row>
    <row r="69" spans="1:7" x14ac:dyDescent="0.25">
      <c r="A69" s="20" t="s">
        <v>16</v>
      </c>
      <c r="B69" s="19" t="s">
        <v>75</v>
      </c>
      <c r="C69" s="22" t="s">
        <v>12</v>
      </c>
      <c r="D69" s="18" t="s">
        <v>17</v>
      </c>
      <c r="E69" s="23">
        <f>807/1000</f>
        <v>0.80700000000000005</v>
      </c>
      <c r="F69" s="31">
        <v>6500</v>
      </c>
      <c r="G69" s="31">
        <f t="shared" si="6"/>
        <v>5245.5</v>
      </c>
    </row>
    <row r="70" spans="1:7" x14ac:dyDescent="0.25">
      <c r="A70" s="20" t="s">
        <v>16</v>
      </c>
      <c r="B70" s="19" t="s">
        <v>80</v>
      </c>
      <c r="C70" s="22" t="s">
        <v>12</v>
      </c>
      <c r="D70" s="18" t="s">
        <v>17</v>
      </c>
      <c r="E70" s="23">
        <f>1698/1000</f>
        <v>1.698</v>
      </c>
      <c r="F70" s="31">
        <v>6500</v>
      </c>
      <c r="G70" s="31">
        <f t="shared" si="6"/>
        <v>11037</v>
      </c>
    </row>
    <row r="71" spans="1:7" x14ac:dyDescent="0.25">
      <c r="A71" s="20" t="s">
        <v>16</v>
      </c>
      <c r="B71" s="19" t="s">
        <v>83</v>
      </c>
      <c r="C71" s="22" t="s">
        <v>12</v>
      </c>
      <c r="D71" s="18" t="s">
        <v>17</v>
      </c>
      <c r="E71" s="23">
        <f>221/1000</f>
        <v>0.221</v>
      </c>
      <c r="F71" s="31">
        <v>6500</v>
      </c>
      <c r="G71" s="31">
        <f t="shared" si="6"/>
        <v>1436.5</v>
      </c>
    </row>
    <row r="72" spans="1:7" x14ac:dyDescent="0.25">
      <c r="A72" s="20" t="s">
        <v>16</v>
      </c>
      <c r="B72" s="19" t="s">
        <v>65</v>
      </c>
      <c r="C72" s="22" t="s">
        <v>12</v>
      </c>
      <c r="D72" s="18" t="s">
        <v>17</v>
      </c>
      <c r="E72" s="23">
        <f>557/1000</f>
        <v>0.55700000000000005</v>
      </c>
      <c r="F72" s="31">
        <v>6500</v>
      </c>
      <c r="G72" s="31">
        <f t="shared" si="6"/>
        <v>3620.5000000000005</v>
      </c>
    </row>
    <row r="73" spans="1:7" x14ac:dyDescent="0.25">
      <c r="A73" s="20"/>
      <c r="B73" s="19" t="s">
        <v>90</v>
      </c>
      <c r="C73" s="22" t="s">
        <v>64</v>
      </c>
      <c r="D73" s="18" t="s">
        <v>17</v>
      </c>
      <c r="E73" s="23"/>
      <c r="F73" s="31">
        <v>50</v>
      </c>
      <c r="G73" s="31">
        <f t="shared" si="6"/>
        <v>0</v>
      </c>
    </row>
    <row r="74" spans="1:7" x14ac:dyDescent="0.25">
      <c r="A74" s="20"/>
      <c r="B74" s="19" t="s">
        <v>91</v>
      </c>
      <c r="C74" s="22" t="s">
        <v>64</v>
      </c>
      <c r="D74" s="18" t="s">
        <v>17</v>
      </c>
      <c r="E74" s="23"/>
      <c r="F74" s="31">
        <v>50</v>
      </c>
      <c r="G74" s="31">
        <f t="shared" si="6"/>
        <v>0</v>
      </c>
    </row>
    <row r="75" spans="1:7" x14ac:dyDescent="0.25">
      <c r="A75" s="20"/>
      <c r="B75" s="19" t="s">
        <v>92</v>
      </c>
      <c r="C75" s="22" t="s">
        <v>64</v>
      </c>
      <c r="D75" s="18" t="s">
        <v>17</v>
      </c>
      <c r="E75" s="23"/>
      <c r="F75" s="31">
        <v>50</v>
      </c>
      <c r="G75" s="31">
        <f t="shared" si="6"/>
        <v>0</v>
      </c>
    </row>
    <row r="76" spans="1:7" x14ac:dyDescent="0.25">
      <c r="A76" s="20" t="s">
        <v>23</v>
      </c>
      <c r="B76" s="19" t="s">
        <v>76</v>
      </c>
      <c r="C76" s="22" t="s">
        <v>11</v>
      </c>
      <c r="D76" s="18">
        <v>100</v>
      </c>
      <c r="E76" s="23">
        <f>ROUND(D76*E58,4)</f>
        <v>18.239999999999998</v>
      </c>
      <c r="F76" s="31"/>
      <c r="G76" s="31"/>
    </row>
    <row r="77" spans="1:7" x14ac:dyDescent="0.25">
      <c r="A77" s="20"/>
      <c r="B77" s="32" t="s">
        <v>72</v>
      </c>
      <c r="C77" s="22" t="s">
        <v>12</v>
      </c>
      <c r="D77" s="18">
        <v>0.38200000000000001</v>
      </c>
      <c r="E77" s="23">
        <f>ROUND(D77*E76,4)</f>
        <v>6.9676999999999998</v>
      </c>
      <c r="F77" s="31">
        <v>630</v>
      </c>
      <c r="G77" s="31">
        <f t="shared" si="6"/>
        <v>4389.6509999999998</v>
      </c>
    </row>
    <row r="78" spans="1:7" x14ac:dyDescent="0.25">
      <c r="A78" s="20"/>
      <c r="B78" s="32" t="s">
        <v>29</v>
      </c>
      <c r="C78" s="22" t="s">
        <v>12</v>
      </c>
      <c r="D78" s="18">
        <f>47/100*1.52</f>
        <v>0.71439999999999992</v>
      </c>
      <c r="E78" s="23">
        <f>ROUND(D78*E76,4)</f>
        <v>13.0307</v>
      </c>
      <c r="F78" s="31">
        <f>2449.06/159.17</f>
        <v>15.386442168750394</v>
      </c>
      <c r="G78" s="31">
        <f t="shared" si="6"/>
        <v>200.49611196833575</v>
      </c>
    </row>
    <row r="79" spans="1:7" x14ac:dyDescent="0.25">
      <c r="A79" s="20"/>
      <c r="B79" s="32" t="s">
        <v>28</v>
      </c>
      <c r="C79" s="22" t="s">
        <v>12</v>
      </c>
      <c r="D79" s="18">
        <f>80/100*1.6</f>
        <v>1.2800000000000002</v>
      </c>
      <c r="E79" s="23">
        <f>ROUND(D79*E76,4)</f>
        <v>23.347200000000001</v>
      </c>
      <c r="F79" s="31">
        <f>4991.72/392.53</f>
        <v>12.7167859781418</v>
      </c>
      <c r="G79" s="31">
        <f t="shared" si="6"/>
        <v>296.90134558887223</v>
      </c>
    </row>
    <row r="80" spans="1:7" ht="13.5" x14ac:dyDescent="0.25">
      <c r="A80" s="15"/>
      <c r="B80" s="25" t="s">
        <v>8</v>
      </c>
      <c r="C80" s="17"/>
      <c r="D80" s="26"/>
      <c r="E80" s="27"/>
      <c r="F80" s="31"/>
      <c r="G80" s="71">
        <f>SUM(G59:G79)</f>
        <v>33318.606446557205</v>
      </c>
    </row>
    <row r="81" spans="1:7" ht="13.5" x14ac:dyDescent="0.25">
      <c r="A81" s="15" t="s">
        <v>81</v>
      </c>
      <c r="B81" s="16" t="s">
        <v>157</v>
      </c>
      <c r="C81" s="17" t="s">
        <v>20</v>
      </c>
      <c r="D81" s="18"/>
      <c r="E81" s="30">
        <f>0.4*0.25*28.08/100</f>
        <v>2.8079999999999997E-2</v>
      </c>
      <c r="F81" s="31"/>
      <c r="G81" s="31"/>
    </row>
    <row r="82" spans="1:7" x14ac:dyDescent="0.25">
      <c r="A82" s="20">
        <v>1</v>
      </c>
      <c r="B82" s="21" t="s">
        <v>60</v>
      </c>
      <c r="C82" s="22" t="s">
        <v>7</v>
      </c>
      <c r="D82" s="18">
        <v>1749.3</v>
      </c>
      <c r="E82" s="23">
        <f>ROUND(D82*E81,4)</f>
        <v>49.1203</v>
      </c>
      <c r="F82" s="31">
        <v>10.31</v>
      </c>
      <c r="G82" s="31">
        <f t="shared" ref="G82:G93" si="7">F82*E82</f>
        <v>506.43029300000001</v>
      </c>
    </row>
    <row r="83" spans="1:7" x14ac:dyDescent="0.25">
      <c r="A83" s="20">
        <v>2</v>
      </c>
      <c r="B83" s="21" t="s">
        <v>18</v>
      </c>
      <c r="C83" s="22" t="s">
        <v>7</v>
      </c>
      <c r="D83" s="18">
        <v>91.51</v>
      </c>
      <c r="E83" s="23">
        <f>ROUND(D83*E81,4)</f>
        <v>2.5695999999999999</v>
      </c>
      <c r="F83" s="31">
        <v>15.44</v>
      </c>
      <c r="G83" s="31">
        <f t="shared" si="7"/>
        <v>39.674623999999994</v>
      </c>
    </row>
    <row r="84" spans="1:7" ht="25.5" x14ac:dyDescent="0.25">
      <c r="A84" s="20" t="s">
        <v>40</v>
      </c>
      <c r="B84" s="19" t="s">
        <v>47</v>
      </c>
      <c r="C84" s="22" t="s">
        <v>19</v>
      </c>
      <c r="D84" s="18">
        <v>91.51</v>
      </c>
      <c r="E84" s="23">
        <f>ROUND(D84*E81,4)</f>
        <v>2.5695999999999999</v>
      </c>
      <c r="F84" s="31">
        <f>152.37-15.44</f>
        <v>136.93</v>
      </c>
      <c r="G84" s="31">
        <f t="shared" si="7"/>
        <v>351.85532799999999</v>
      </c>
    </row>
    <row r="85" spans="1:7" x14ac:dyDescent="0.25">
      <c r="A85" s="20" t="s">
        <v>41</v>
      </c>
      <c r="B85" s="21" t="s">
        <v>38</v>
      </c>
      <c r="C85" s="22" t="s">
        <v>19</v>
      </c>
      <c r="D85" s="18">
        <v>283.22000000000003</v>
      </c>
      <c r="E85" s="23">
        <f>ROUND(D85*E81,4)</f>
        <v>7.9527999999999999</v>
      </c>
      <c r="F85" s="31">
        <v>8.4600000000000009</v>
      </c>
      <c r="G85" s="31">
        <f t="shared" si="7"/>
        <v>67.280688000000012</v>
      </c>
    </row>
    <row r="86" spans="1:7" x14ac:dyDescent="0.25">
      <c r="A86" s="20">
        <v>111100</v>
      </c>
      <c r="B86" s="19" t="s">
        <v>27</v>
      </c>
      <c r="C86" s="22" t="s">
        <v>19</v>
      </c>
      <c r="D86" s="18">
        <v>85.68</v>
      </c>
      <c r="E86" s="23">
        <f>ROUND(D86*E81,4)</f>
        <v>2.4058999999999999</v>
      </c>
      <c r="F86" s="31">
        <v>2.83</v>
      </c>
      <c r="G86" s="31">
        <f t="shared" si="7"/>
        <v>6.8086969999999996</v>
      </c>
    </row>
    <row r="87" spans="1:7" x14ac:dyDescent="0.25">
      <c r="A87" s="20">
        <v>331532</v>
      </c>
      <c r="B87" s="19" t="s">
        <v>26</v>
      </c>
      <c r="C87" s="22" t="s">
        <v>19</v>
      </c>
      <c r="D87" s="18">
        <v>6.28</v>
      </c>
      <c r="E87" s="23">
        <f>ROUND(D87*E81,4)</f>
        <v>0.17630000000000001</v>
      </c>
      <c r="F87" s="31">
        <v>1.63</v>
      </c>
      <c r="G87" s="31">
        <f t="shared" si="7"/>
        <v>0.28736899999999999</v>
      </c>
    </row>
    <row r="88" spans="1:7" x14ac:dyDescent="0.25">
      <c r="A88" s="20" t="s">
        <v>48</v>
      </c>
      <c r="B88" s="19" t="s">
        <v>39</v>
      </c>
      <c r="C88" s="22" t="s">
        <v>12</v>
      </c>
      <c r="D88" s="18">
        <v>0.34</v>
      </c>
      <c r="E88" s="23">
        <f>ROUND(D88*E81,4)</f>
        <v>9.4999999999999998E-3</v>
      </c>
      <c r="F88" s="31">
        <v>9500</v>
      </c>
      <c r="G88" s="31">
        <f t="shared" si="7"/>
        <v>90.25</v>
      </c>
    </row>
    <row r="89" spans="1:7" x14ac:dyDescent="0.25">
      <c r="A89" s="20" t="s">
        <v>15</v>
      </c>
      <c r="B89" s="21" t="s">
        <v>13</v>
      </c>
      <c r="C89" s="22" t="s">
        <v>12</v>
      </c>
      <c r="D89" s="18">
        <v>6.7000000000000004E-2</v>
      </c>
      <c r="E89" s="23">
        <f>ROUND(D89*E81,4)</f>
        <v>1.9E-3</v>
      </c>
      <c r="F89" s="31">
        <v>8500</v>
      </c>
      <c r="G89" s="31">
        <f t="shared" si="7"/>
        <v>16.149999999999999</v>
      </c>
    </row>
    <row r="90" spans="1:7" x14ac:dyDescent="0.25">
      <c r="A90" s="20" t="s">
        <v>21</v>
      </c>
      <c r="B90" s="19" t="s">
        <v>82</v>
      </c>
      <c r="C90" s="22" t="s">
        <v>11</v>
      </c>
      <c r="D90" s="18">
        <v>0.17799999999999999</v>
      </c>
      <c r="E90" s="23">
        <f>ROUND(D90*E81,4)</f>
        <v>5.0000000000000001E-3</v>
      </c>
      <c r="F90" s="31">
        <v>2563.75</v>
      </c>
      <c r="G90" s="31">
        <f t="shared" si="7"/>
        <v>12.81875</v>
      </c>
    </row>
    <row r="91" spans="1:7" x14ac:dyDescent="0.25">
      <c r="A91" s="20" t="s">
        <v>22</v>
      </c>
      <c r="B91" s="19" t="s">
        <v>24</v>
      </c>
      <c r="C91" s="22" t="s">
        <v>14</v>
      </c>
      <c r="D91" s="18">
        <v>155</v>
      </c>
      <c r="E91" s="23">
        <f>ROUND(D91*E81,4)</f>
        <v>4.3524000000000003</v>
      </c>
      <c r="F91" s="31"/>
      <c r="G91" s="31">
        <f t="shared" si="7"/>
        <v>0</v>
      </c>
    </row>
    <row r="92" spans="1:7" x14ac:dyDescent="0.25">
      <c r="A92" s="20" t="s">
        <v>16</v>
      </c>
      <c r="B92" s="19" t="s">
        <v>43</v>
      </c>
      <c r="C92" s="22" t="s">
        <v>12</v>
      </c>
      <c r="D92" s="18" t="s">
        <v>17</v>
      </c>
      <c r="E92" s="23">
        <f>193/1000</f>
        <v>0.193</v>
      </c>
      <c r="F92" s="31">
        <v>6500</v>
      </c>
      <c r="G92" s="31">
        <f t="shared" si="7"/>
        <v>1254.5</v>
      </c>
    </row>
    <row r="93" spans="1:7" x14ac:dyDescent="0.25">
      <c r="A93" s="20" t="s">
        <v>16</v>
      </c>
      <c r="B93" s="19" t="s">
        <v>65</v>
      </c>
      <c r="C93" s="22" t="s">
        <v>12</v>
      </c>
      <c r="D93" s="18" t="s">
        <v>17</v>
      </c>
      <c r="E93" s="23">
        <f>63/1000</f>
        <v>6.3E-2</v>
      </c>
      <c r="F93" s="31">
        <v>6500</v>
      </c>
      <c r="G93" s="31">
        <f t="shared" si="7"/>
        <v>409.5</v>
      </c>
    </row>
    <row r="94" spans="1:7" x14ac:dyDescent="0.25">
      <c r="A94" s="20" t="s">
        <v>23</v>
      </c>
      <c r="B94" s="19" t="s">
        <v>76</v>
      </c>
      <c r="C94" s="22" t="s">
        <v>11</v>
      </c>
      <c r="D94" s="18">
        <v>100</v>
      </c>
      <c r="E94" s="23">
        <f>ROUND(D94*E81,4)</f>
        <v>2.8079999999999998</v>
      </c>
      <c r="F94" s="31"/>
      <c r="G94" s="31"/>
    </row>
    <row r="95" spans="1:7" x14ac:dyDescent="0.25">
      <c r="A95" s="20"/>
      <c r="B95" s="32" t="s">
        <v>72</v>
      </c>
      <c r="C95" s="22" t="s">
        <v>12</v>
      </c>
      <c r="D95" s="18">
        <v>0.38200000000000001</v>
      </c>
      <c r="E95" s="23">
        <f>ROUND(D95*E94,4)</f>
        <v>1.0727</v>
      </c>
      <c r="F95" s="31">
        <v>630</v>
      </c>
      <c r="G95" s="31">
        <f t="shared" ref="G95:G97" si="8">F95*E95</f>
        <v>675.80100000000004</v>
      </c>
    </row>
    <row r="96" spans="1:7" x14ac:dyDescent="0.25">
      <c r="A96" s="20"/>
      <c r="B96" s="32" t="s">
        <v>29</v>
      </c>
      <c r="C96" s="22" t="s">
        <v>12</v>
      </c>
      <c r="D96" s="18">
        <f>47/100*1.52</f>
        <v>0.71439999999999992</v>
      </c>
      <c r="E96" s="23">
        <f>ROUND(D96*E94,4)</f>
        <v>2.0059999999999998</v>
      </c>
      <c r="F96" s="31">
        <f>2449.06/159.17</f>
        <v>15.386442168750394</v>
      </c>
      <c r="G96" s="31">
        <f t="shared" si="8"/>
        <v>30.865202990513286</v>
      </c>
    </row>
    <row r="97" spans="1:7" x14ac:dyDescent="0.25">
      <c r="A97" s="20"/>
      <c r="B97" s="32" t="s">
        <v>28</v>
      </c>
      <c r="C97" s="22" t="s">
        <v>12</v>
      </c>
      <c r="D97" s="18">
        <f>80/100*1.6</f>
        <v>1.2800000000000002</v>
      </c>
      <c r="E97" s="23">
        <f>ROUND(D97*E94,4)</f>
        <v>3.5941999999999998</v>
      </c>
      <c r="F97" s="31">
        <f>4991.72/392.53</f>
        <v>12.7167859781418</v>
      </c>
      <c r="G97" s="31">
        <f t="shared" si="8"/>
        <v>45.706672162637254</v>
      </c>
    </row>
    <row r="98" spans="1:7" ht="13.5" x14ac:dyDescent="0.25">
      <c r="A98" s="15"/>
      <c r="B98" s="25" t="s">
        <v>8</v>
      </c>
      <c r="C98" s="17"/>
      <c r="D98" s="26"/>
      <c r="E98" s="27"/>
      <c r="F98" s="31"/>
      <c r="G98" s="71">
        <f>SUM(G82:G97)</f>
        <v>3507.9286241531508</v>
      </c>
    </row>
    <row r="99" spans="1:7" ht="13.5" x14ac:dyDescent="0.25">
      <c r="A99" s="15" t="s">
        <v>81</v>
      </c>
      <c r="B99" s="16" t="s">
        <v>159</v>
      </c>
      <c r="C99" s="17" t="s">
        <v>20</v>
      </c>
      <c r="D99" s="18"/>
      <c r="E99" s="30">
        <f>0.3*0.25*5.4/100</f>
        <v>4.0500000000000006E-3</v>
      </c>
      <c r="F99" s="31"/>
      <c r="G99" s="31"/>
    </row>
    <row r="100" spans="1:7" x14ac:dyDescent="0.25">
      <c r="A100" s="20">
        <v>1</v>
      </c>
      <c r="B100" s="21" t="s">
        <v>60</v>
      </c>
      <c r="C100" s="22" t="s">
        <v>7</v>
      </c>
      <c r="D100" s="18">
        <v>1749.3</v>
      </c>
      <c r="E100" s="23">
        <f>ROUND(D100*E99,4)</f>
        <v>7.0846999999999998</v>
      </c>
      <c r="F100" s="31">
        <v>10.31</v>
      </c>
      <c r="G100" s="31">
        <f t="shared" ref="G100:G111" si="9">F100*E100</f>
        <v>73.043256999999997</v>
      </c>
    </row>
    <row r="101" spans="1:7" x14ac:dyDescent="0.25">
      <c r="A101" s="20">
        <v>2</v>
      </c>
      <c r="B101" s="21" t="s">
        <v>18</v>
      </c>
      <c r="C101" s="22" t="s">
        <v>7</v>
      </c>
      <c r="D101" s="18">
        <v>91.51</v>
      </c>
      <c r="E101" s="23">
        <f>ROUND(D101*E99,4)</f>
        <v>0.37059999999999998</v>
      </c>
      <c r="F101" s="31">
        <v>15.44</v>
      </c>
      <c r="G101" s="31">
        <f t="shared" si="9"/>
        <v>5.7220639999999996</v>
      </c>
    </row>
    <row r="102" spans="1:7" ht="25.5" x14ac:dyDescent="0.25">
      <c r="A102" s="20" t="s">
        <v>40</v>
      </c>
      <c r="B102" s="19" t="s">
        <v>47</v>
      </c>
      <c r="C102" s="22" t="s">
        <v>19</v>
      </c>
      <c r="D102" s="18">
        <v>91.51</v>
      </c>
      <c r="E102" s="23">
        <f>ROUND(D102*E99,4)</f>
        <v>0.37059999999999998</v>
      </c>
      <c r="F102" s="31">
        <f>152.37-15.44</f>
        <v>136.93</v>
      </c>
      <c r="G102" s="31">
        <f t="shared" si="9"/>
        <v>50.746257999999997</v>
      </c>
    </row>
    <row r="103" spans="1:7" x14ac:dyDescent="0.25">
      <c r="A103" s="20" t="s">
        <v>41</v>
      </c>
      <c r="B103" s="21" t="s">
        <v>38</v>
      </c>
      <c r="C103" s="22" t="s">
        <v>19</v>
      </c>
      <c r="D103" s="18">
        <v>283.22000000000003</v>
      </c>
      <c r="E103" s="23">
        <f>ROUND(D103*E99,4)</f>
        <v>1.147</v>
      </c>
      <c r="F103" s="31">
        <v>8.4600000000000009</v>
      </c>
      <c r="G103" s="31">
        <f t="shared" si="9"/>
        <v>9.7036200000000008</v>
      </c>
    </row>
    <row r="104" spans="1:7" x14ac:dyDescent="0.25">
      <c r="A104" s="20">
        <v>111100</v>
      </c>
      <c r="B104" s="19" t="s">
        <v>27</v>
      </c>
      <c r="C104" s="22" t="s">
        <v>19</v>
      </c>
      <c r="D104" s="18">
        <v>85.68</v>
      </c>
      <c r="E104" s="23">
        <f>ROUND(D104*E99,4)</f>
        <v>0.34699999999999998</v>
      </c>
      <c r="F104" s="31">
        <v>2.83</v>
      </c>
      <c r="G104" s="31">
        <f t="shared" si="9"/>
        <v>0.98200999999999994</v>
      </c>
    </row>
    <row r="105" spans="1:7" x14ac:dyDescent="0.25">
      <c r="A105" s="20">
        <v>331532</v>
      </c>
      <c r="B105" s="19" t="s">
        <v>26</v>
      </c>
      <c r="C105" s="22" t="s">
        <v>19</v>
      </c>
      <c r="D105" s="18">
        <v>6.28</v>
      </c>
      <c r="E105" s="23">
        <f>ROUND(D105*E99,4)</f>
        <v>2.5399999999999999E-2</v>
      </c>
      <c r="F105" s="31">
        <v>1.63</v>
      </c>
      <c r="G105" s="31">
        <f t="shared" si="9"/>
        <v>4.1401999999999994E-2</v>
      </c>
    </row>
    <row r="106" spans="1:7" x14ac:dyDescent="0.25">
      <c r="A106" s="20" t="s">
        <v>48</v>
      </c>
      <c r="B106" s="19" t="s">
        <v>39</v>
      </c>
      <c r="C106" s="22" t="s">
        <v>12</v>
      </c>
      <c r="D106" s="18">
        <v>0.34</v>
      </c>
      <c r="E106" s="23">
        <f>ROUND(D106*E99,4)</f>
        <v>1.4E-3</v>
      </c>
      <c r="F106" s="31">
        <v>9500</v>
      </c>
      <c r="G106" s="31">
        <f t="shared" si="9"/>
        <v>13.3</v>
      </c>
    </row>
    <row r="107" spans="1:7" x14ac:dyDescent="0.25">
      <c r="A107" s="20" t="s">
        <v>15</v>
      </c>
      <c r="B107" s="21" t="s">
        <v>13</v>
      </c>
      <c r="C107" s="22" t="s">
        <v>12</v>
      </c>
      <c r="D107" s="18">
        <v>6.7000000000000004E-2</v>
      </c>
      <c r="E107" s="23">
        <f>ROUND(D107*E99,4)</f>
        <v>2.9999999999999997E-4</v>
      </c>
      <c r="F107" s="31">
        <v>8500</v>
      </c>
      <c r="G107" s="31">
        <f t="shared" si="9"/>
        <v>2.5499999999999998</v>
      </c>
    </row>
    <row r="108" spans="1:7" x14ac:dyDescent="0.25">
      <c r="A108" s="20" t="s">
        <v>21</v>
      </c>
      <c r="B108" s="19" t="s">
        <v>82</v>
      </c>
      <c r="C108" s="22" t="s">
        <v>11</v>
      </c>
      <c r="D108" s="18">
        <v>0.17799999999999999</v>
      </c>
      <c r="E108" s="23">
        <f>ROUND(D108*E99,4)</f>
        <v>6.9999999999999999E-4</v>
      </c>
      <c r="F108" s="31">
        <v>2563.75</v>
      </c>
      <c r="G108" s="31">
        <f t="shared" si="9"/>
        <v>1.7946249999999999</v>
      </c>
    </row>
    <row r="109" spans="1:7" x14ac:dyDescent="0.25">
      <c r="A109" s="20" t="s">
        <v>22</v>
      </c>
      <c r="B109" s="19" t="s">
        <v>24</v>
      </c>
      <c r="C109" s="22" t="s">
        <v>14</v>
      </c>
      <c r="D109" s="18">
        <v>155</v>
      </c>
      <c r="E109" s="23">
        <f>ROUND(D109*E99,4)</f>
        <v>0.62780000000000002</v>
      </c>
      <c r="F109" s="31"/>
      <c r="G109" s="31">
        <f t="shared" si="9"/>
        <v>0</v>
      </c>
    </row>
    <row r="110" spans="1:7" x14ac:dyDescent="0.25">
      <c r="A110" s="20" t="s">
        <v>16</v>
      </c>
      <c r="B110" s="19" t="s">
        <v>83</v>
      </c>
      <c r="C110" s="22" t="s">
        <v>12</v>
      </c>
      <c r="D110" s="18" t="s">
        <v>17</v>
      </c>
      <c r="E110" s="23">
        <f>53/1000</f>
        <v>5.2999999999999999E-2</v>
      </c>
      <c r="F110" s="31">
        <v>6500</v>
      </c>
      <c r="G110" s="31">
        <f t="shared" si="9"/>
        <v>344.5</v>
      </c>
    </row>
    <row r="111" spans="1:7" x14ac:dyDescent="0.25">
      <c r="A111" s="20" t="s">
        <v>16</v>
      </c>
      <c r="B111" s="19" t="s">
        <v>65</v>
      </c>
      <c r="C111" s="22" t="s">
        <v>12</v>
      </c>
      <c r="D111" s="18" t="s">
        <v>17</v>
      </c>
      <c r="E111" s="23">
        <f>11/1000</f>
        <v>1.0999999999999999E-2</v>
      </c>
      <c r="F111" s="31">
        <v>6500</v>
      </c>
      <c r="G111" s="31">
        <f t="shared" si="9"/>
        <v>71.5</v>
      </c>
    </row>
    <row r="112" spans="1:7" x14ac:dyDescent="0.25">
      <c r="A112" s="20" t="s">
        <v>23</v>
      </c>
      <c r="B112" s="19" t="s">
        <v>76</v>
      </c>
      <c r="C112" s="22" t="s">
        <v>11</v>
      </c>
      <c r="D112" s="18">
        <v>100</v>
      </c>
      <c r="E112" s="23">
        <f>ROUND(D112*E99,4)</f>
        <v>0.40500000000000003</v>
      </c>
      <c r="F112" s="31"/>
      <c r="G112" s="31"/>
    </row>
    <row r="113" spans="1:7" x14ac:dyDescent="0.25">
      <c r="A113" s="20"/>
      <c r="B113" s="32" t="s">
        <v>72</v>
      </c>
      <c r="C113" s="22" t="s">
        <v>12</v>
      </c>
      <c r="D113" s="18">
        <v>0.38200000000000001</v>
      </c>
      <c r="E113" s="23">
        <f>ROUND(D113*E112,4)</f>
        <v>0.1547</v>
      </c>
      <c r="F113" s="31">
        <v>630</v>
      </c>
      <c r="G113" s="31">
        <f t="shared" ref="G113:G115" si="10">F113*E113</f>
        <v>97.460999999999999</v>
      </c>
    </row>
    <row r="114" spans="1:7" x14ac:dyDescent="0.25">
      <c r="A114" s="20"/>
      <c r="B114" s="32" t="s">
        <v>29</v>
      </c>
      <c r="C114" s="22" t="s">
        <v>12</v>
      </c>
      <c r="D114" s="18">
        <f>47/100*1.52</f>
        <v>0.71439999999999992</v>
      </c>
      <c r="E114" s="23">
        <f>ROUND(D114*E112,4)</f>
        <v>0.2893</v>
      </c>
      <c r="F114" s="31">
        <f>2449.06/159.17</f>
        <v>15.386442168750394</v>
      </c>
      <c r="G114" s="31">
        <f t="shared" si="10"/>
        <v>4.4512977194194887</v>
      </c>
    </row>
    <row r="115" spans="1:7" x14ac:dyDescent="0.25">
      <c r="A115" s="20"/>
      <c r="B115" s="32" t="s">
        <v>28</v>
      </c>
      <c r="C115" s="22" t="s">
        <v>12</v>
      </c>
      <c r="D115" s="18">
        <f>80/100*1.6</f>
        <v>1.2800000000000002</v>
      </c>
      <c r="E115" s="23">
        <f>ROUND(D115*E112,4)</f>
        <v>0.51839999999999997</v>
      </c>
      <c r="F115" s="31">
        <f>4991.72/392.53</f>
        <v>12.7167859781418</v>
      </c>
      <c r="G115" s="31">
        <f t="shared" si="10"/>
        <v>6.5923818510687084</v>
      </c>
    </row>
    <row r="116" spans="1:7" ht="13.5" x14ac:dyDescent="0.25">
      <c r="A116" s="15"/>
      <c r="B116" s="25" t="s">
        <v>8</v>
      </c>
      <c r="C116" s="17"/>
      <c r="D116" s="26"/>
      <c r="E116" s="27"/>
      <c r="F116" s="31"/>
      <c r="G116" s="71">
        <f>SUM(G100:G115)</f>
        <v>682.38791557048819</v>
      </c>
    </row>
    <row r="117" spans="1:7" ht="13.5" x14ac:dyDescent="0.25">
      <c r="A117" s="15" t="s">
        <v>81</v>
      </c>
      <c r="B117" s="16" t="s">
        <v>158</v>
      </c>
      <c r="C117" s="17" t="s">
        <v>20</v>
      </c>
      <c r="D117" s="18"/>
      <c r="E117" s="30">
        <f>0.25*0.25*21.9/100</f>
        <v>1.3687499999999998E-2</v>
      </c>
      <c r="F117" s="31"/>
      <c r="G117" s="31"/>
    </row>
    <row r="118" spans="1:7" x14ac:dyDescent="0.25">
      <c r="A118" s="20">
        <v>1</v>
      </c>
      <c r="B118" s="21" t="s">
        <v>60</v>
      </c>
      <c r="C118" s="22" t="s">
        <v>7</v>
      </c>
      <c r="D118" s="18">
        <v>1749.3</v>
      </c>
      <c r="E118" s="23">
        <f>ROUND(D118*E117,4)</f>
        <v>23.9435</v>
      </c>
      <c r="F118" s="31">
        <v>10.31</v>
      </c>
      <c r="G118" s="31">
        <f t="shared" ref="G118:G129" si="11">F118*E118</f>
        <v>246.85748500000003</v>
      </c>
    </row>
    <row r="119" spans="1:7" x14ac:dyDescent="0.25">
      <c r="A119" s="20">
        <v>2</v>
      </c>
      <c r="B119" s="21" t="s">
        <v>18</v>
      </c>
      <c r="C119" s="22" t="s">
        <v>7</v>
      </c>
      <c r="D119" s="18">
        <v>91.51</v>
      </c>
      <c r="E119" s="23">
        <f>ROUND(D119*E117,4)</f>
        <v>1.2524999999999999</v>
      </c>
      <c r="F119" s="31">
        <v>15.44</v>
      </c>
      <c r="G119" s="31">
        <f t="shared" si="11"/>
        <v>19.3386</v>
      </c>
    </row>
    <row r="120" spans="1:7" ht="25.5" x14ac:dyDescent="0.25">
      <c r="A120" s="20" t="s">
        <v>40</v>
      </c>
      <c r="B120" s="19" t="s">
        <v>47</v>
      </c>
      <c r="C120" s="22" t="s">
        <v>19</v>
      </c>
      <c r="D120" s="18">
        <v>91.51</v>
      </c>
      <c r="E120" s="23">
        <f>ROUND(D120*E117,4)</f>
        <v>1.2524999999999999</v>
      </c>
      <c r="F120" s="31">
        <f>152.37-15.44</f>
        <v>136.93</v>
      </c>
      <c r="G120" s="31">
        <f t="shared" si="11"/>
        <v>171.50482500000001</v>
      </c>
    </row>
    <row r="121" spans="1:7" x14ac:dyDescent="0.25">
      <c r="A121" s="20" t="s">
        <v>41</v>
      </c>
      <c r="B121" s="21" t="s">
        <v>38</v>
      </c>
      <c r="C121" s="22" t="s">
        <v>19</v>
      </c>
      <c r="D121" s="18">
        <v>283.22000000000003</v>
      </c>
      <c r="E121" s="23">
        <f>ROUND(D121*E117,4)</f>
        <v>3.8765999999999998</v>
      </c>
      <c r="F121" s="31">
        <v>8.4600000000000009</v>
      </c>
      <c r="G121" s="31">
        <f t="shared" si="11"/>
        <v>32.796036000000001</v>
      </c>
    </row>
    <row r="122" spans="1:7" x14ac:dyDescent="0.25">
      <c r="A122" s="20">
        <v>111100</v>
      </c>
      <c r="B122" s="19" t="s">
        <v>27</v>
      </c>
      <c r="C122" s="22" t="s">
        <v>19</v>
      </c>
      <c r="D122" s="18">
        <v>85.68</v>
      </c>
      <c r="E122" s="23">
        <f>ROUND(D122*E117,4)</f>
        <v>1.1727000000000001</v>
      </c>
      <c r="F122" s="31">
        <v>2.83</v>
      </c>
      <c r="G122" s="31">
        <f t="shared" si="11"/>
        <v>3.3187410000000002</v>
      </c>
    </row>
    <row r="123" spans="1:7" x14ac:dyDescent="0.25">
      <c r="A123" s="20">
        <v>331532</v>
      </c>
      <c r="B123" s="19" t="s">
        <v>26</v>
      </c>
      <c r="C123" s="22" t="s">
        <v>19</v>
      </c>
      <c r="D123" s="18">
        <v>6.28</v>
      </c>
      <c r="E123" s="23">
        <f>ROUND(D123*E117,4)</f>
        <v>8.5999999999999993E-2</v>
      </c>
      <c r="F123" s="31">
        <v>1.63</v>
      </c>
      <c r="G123" s="31">
        <f t="shared" si="11"/>
        <v>0.14017999999999997</v>
      </c>
    </row>
    <row r="124" spans="1:7" x14ac:dyDescent="0.25">
      <c r="A124" s="20" t="s">
        <v>48</v>
      </c>
      <c r="B124" s="19" t="s">
        <v>39</v>
      </c>
      <c r="C124" s="22" t="s">
        <v>12</v>
      </c>
      <c r="D124" s="18">
        <v>0.34</v>
      </c>
      <c r="E124" s="23">
        <f>ROUND(D124*E117,4)</f>
        <v>4.7000000000000002E-3</v>
      </c>
      <c r="F124" s="31">
        <v>9500</v>
      </c>
      <c r="G124" s="31">
        <f t="shared" si="11"/>
        <v>44.65</v>
      </c>
    </row>
    <row r="125" spans="1:7" x14ac:dyDescent="0.25">
      <c r="A125" s="20" t="s">
        <v>15</v>
      </c>
      <c r="B125" s="21" t="s">
        <v>13</v>
      </c>
      <c r="C125" s="22" t="s">
        <v>12</v>
      </c>
      <c r="D125" s="18">
        <v>6.7000000000000004E-2</v>
      </c>
      <c r="E125" s="23">
        <f>ROUND(D125*E117,4)</f>
        <v>8.9999999999999998E-4</v>
      </c>
      <c r="F125" s="31">
        <v>8500</v>
      </c>
      <c r="G125" s="31">
        <f t="shared" si="11"/>
        <v>7.6499999999999995</v>
      </c>
    </row>
    <row r="126" spans="1:7" x14ac:dyDescent="0.25">
      <c r="A126" s="20" t="s">
        <v>21</v>
      </c>
      <c r="B126" s="19" t="s">
        <v>82</v>
      </c>
      <c r="C126" s="22" t="s">
        <v>11</v>
      </c>
      <c r="D126" s="18">
        <v>0.17799999999999999</v>
      </c>
      <c r="E126" s="23">
        <f>ROUND(D126*E117,4)</f>
        <v>2.3999999999999998E-3</v>
      </c>
      <c r="F126" s="31">
        <v>2563.75</v>
      </c>
      <c r="G126" s="31">
        <f t="shared" si="11"/>
        <v>6.1529999999999996</v>
      </c>
    </row>
    <row r="127" spans="1:7" x14ac:dyDescent="0.25">
      <c r="A127" s="20" t="s">
        <v>22</v>
      </c>
      <c r="B127" s="19" t="s">
        <v>24</v>
      </c>
      <c r="C127" s="22" t="s">
        <v>14</v>
      </c>
      <c r="D127" s="18">
        <v>155</v>
      </c>
      <c r="E127" s="23">
        <f>ROUND(D127*E117,4)</f>
        <v>2.1215999999999999</v>
      </c>
      <c r="F127" s="31"/>
      <c r="G127" s="31">
        <f t="shared" si="11"/>
        <v>0</v>
      </c>
    </row>
    <row r="128" spans="1:7" x14ac:dyDescent="0.25">
      <c r="A128" s="20" t="s">
        <v>16</v>
      </c>
      <c r="B128" s="19" t="s">
        <v>43</v>
      </c>
      <c r="C128" s="22" t="s">
        <v>12</v>
      </c>
      <c r="D128" s="18" t="s">
        <v>17</v>
      </c>
      <c r="E128" s="23">
        <f>118/1000</f>
        <v>0.11799999999999999</v>
      </c>
      <c r="F128" s="31">
        <v>6500</v>
      </c>
      <c r="G128" s="31">
        <f t="shared" si="11"/>
        <v>767</v>
      </c>
    </row>
    <row r="129" spans="1:7" x14ac:dyDescent="0.25">
      <c r="A129" s="20" t="s">
        <v>16</v>
      </c>
      <c r="B129" s="19" t="s">
        <v>65</v>
      </c>
      <c r="C129" s="22" t="s">
        <v>12</v>
      </c>
      <c r="D129" s="18" t="s">
        <v>17</v>
      </c>
      <c r="E129" s="23">
        <f>15/1000</f>
        <v>1.4999999999999999E-2</v>
      </c>
      <c r="F129" s="31">
        <v>6500</v>
      </c>
      <c r="G129" s="31">
        <f t="shared" si="11"/>
        <v>97.5</v>
      </c>
    </row>
    <row r="130" spans="1:7" x14ac:dyDescent="0.25">
      <c r="A130" s="20" t="s">
        <v>23</v>
      </c>
      <c r="B130" s="19" t="s">
        <v>76</v>
      </c>
      <c r="C130" s="22" t="s">
        <v>11</v>
      </c>
      <c r="D130" s="18">
        <v>100</v>
      </c>
      <c r="E130" s="23">
        <f>ROUND(D130*E117,4)</f>
        <v>1.3688</v>
      </c>
      <c r="F130" s="31"/>
      <c r="G130" s="31"/>
    </row>
    <row r="131" spans="1:7" x14ac:dyDescent="0.25">
      <c r="A131" s="20"/>
      <c r="B131" s="32" t="s">
        <v>72</v>
      </c>
      <c r="C131" s="22" t="s">
        <v>12</v>
      </c>
      <c r="D131" s="18">
        <v>0.38200000000000001</v>
      </c>
      <c r="E131" s="23">
        <f>ROUND(D131*E130,4)</f>
        <v>0.52290000000000003</v>
      </c>
      <c r="F131" s="31">
        <v>630</v>
      </c>
      <c r="G131" s="31">
        <f t="shared" ref="G131:G133" si="12">F131*E131</f>
        <v>329.42700000000002</v>
      </c>
    </row>
    <row r="132" spans="1:7" x14ac:dyDescent="0.25">
      <c r="A132" s="20"/>
      <c r="B132" s="32" t="s">
        <v>29</v>
      </c>
      <c r="C132" s="22" t="s">
        <v>12</v>
      </c>
      <c r="D132" s="18">
        <f>47/100*1.52</f>
        <v>0.71439999999999992</v>
      </c>
      <c r="E132" s="23">
        <f>ROUND(D132*E130,4)</f>
        <v>0.97789999999999999</v>
      </c>
      <c r="F132" s="31">
        <f>2449.06/159.17</f>
        <v>15.386442168750394</v>
      </c>
      <c r="G132" s="31">
        <f t="shared" si="12"/>
        <v>15.04640179682101</v>
      </c>
    </row>
    <row r="133" spans="1:7" x14ac:dyDescent="0.25">
      <c r="A133" s="20"/>
      <c r="B133" s="32" t="s">
        <v>28</v>
      </c>
      <c r="C133" s="22" t="s">
        <v>12</v>
      </c>
      <c r="D133" s="18">
        <f>80/100*1.6</f>
        <v>1.2800000000000002</v>
      </c>
      <c r="E133" s="23">
        <f>ROUND(D133*E130,4)</f>
        <v>1.7521</v>
      </c>
      <c r="F133" s="31">
        <f>4991.72/392.53</f>
        <v>12.7167859781418</v>
      </c>
      <c r="G133" s="31">
        <f t="shared" si="12"/>
        <v>22.281080712302249</v>
      </c>
    </row>
    <row r="134" spans="1:7" ht="13.5" x14ac:dyDescent="0.25">
      <c r="A134" s="15"/>
      <c r="B134" s="25" t="s">
        <v>8</v>
      </c>
      <c r="C134" s="17"/>
      <c r="D134" s="26"/>
      <c r="E134" s="27"/>
      <c r="F134" s="31"/>
      <c r="G134" s="71">
        <f>SUM(G118:G133)</f>
        <v>1763.6633495091237</v>
      </c>
    </row>
    <row r="135" spans="1:7" ht="27" x14ac:dyDescent="0.25">
      <c r="A135" s="3" t="s">
        <v>84</v>
      </c>
      <c r="B135" s="33" t="s">
        <v>160</v>
      </c>
      <c r="C135" s="7" t="s">
        <v>20</v>
      </c>
      <c r="D135" s="34"/>
      <c r="E135" s="30">
        <f>333.24*0.15/100</f>
        <v>0.49985999999999997</v>
      </c>
      <c r="F135" s="31"/>
      <c r="G135" s="33"/>
    </row>
    <row r="136" spans="1:7" x14ac:dyDescent="0.25">
      <c r="A136" s="2">
        <v>1</v>
      </c>
      <c r="B136" s="1" t="s">
        <v>60</v>
      </c>
      <c r="C136" s="8" t="s">
        <v>7</v>
      </c>
      <c r="D136" s="6">
        <v>833.6</v>
      </c>
      <c r="E136" s="23">
        <f>ROUND(D136*E135,4)</f>
        <v>416.68329999999997</v>
      </c>
      <c r="F136" s="31">
        <v>10.31</v>
      </c>
      <c r="G136" s="36">
        <f t="shared" ref="G136:G144" si="13">F136*E136</f>
        <v>4296.0048230000002</v>
      </c>
    </row>
    <row r="137" spans="1:7" x14ac:dyDescent="0.25">
      <c r="A137" s="2">
        <v>2</v>
      </c>
      <c r="B137" s="1" t="s">
        <v>18</v>
      </c>
      <c r="C137" s="8" t="s">
        <v>7</v>
      </c>
      <c r="D137" s="6">
        <v>33.28</v>
      </c>
      <c r="E137" s="23">
        <f>ROUND(D137*E135,4)</f>
        <v>16.635300000000001</v>
      </c>
      <c r="F137" s="31">
        <v>15.44</v>
      </c>
      <c r="G137" s="36">
        <f t="shared" si="13"/>
        <v>256.84903200000002</v>
      </c>
    </row>
    <row r="138" spans="1:7" ht="25.5" x14ac:dyDescent="0.25">
      <c r="A138" s="2" t="s">
        <v>40</v>
      </c>
      <c r="B138" s="35" t="s">
        <v>47</v>
      </c>
      <c r="C138" s="8" t="s">
        <v>19</v>
      </c>
      <c r="D138" s="6">
        <v>27</v>
      </c>
      <c r="E138" s="23">
        <f>ROUND(D138*E135,4)</f>
        <v>13.4962</v>
      </c>
      <c r="F138" s="31">
        <f>152.37-15.44</f>
        <v>136.93</v>
      </c>
      <c r="G138" s="36">
        <f t="shared" si="13"/>
        <v>1848.034666</v>
      </c>
    </row>
    <row r="139" spans="1:7" x14ac:dyDescent="0.25">
      <c r="A139" s="2">
        <v>111100</v>
      </c>
      <c r="B139" s="35" t="s">
        <v>27</v>
      </c>
      <c r="C139" s="8" t="s">
        <v>19</v>
      </c>
      <c r="D139" s="6">
        <v>40.299999999999997</v>
      </c>
      <c r="E139" s="23">
        <f>ROUND(D139*E135,4)</f>
        <v>20.144400000000001</v>
      </c>
      <c r="F139" s="31">
        <v>2.83</v>
      </c>
      <c r="G139" s="36">
        <f t="shared" si="13"/>
        <v>57.008652000000005</v>
      </c>
    </row>
    <row r="140" spans="1:7" x14ac:dyDescent="0.25">
      <c r="A140" s="2">
        <v>331532</v>
      </c>
      <c r="B140" s="35" t="s">
        <v>26</v>
      </c>
      <c r="C140" s="8" t="s">
        <v>19</v>
      </c>
      <c r="D140" s="6">
        <v>1.6</v>
      </c>
      <c r="E140" s="23">
        <f>ROUND(D140*E135,4)</f>
        <v>0.79979999999999996</v>
      </c>
      <c r="F140" s="31">
        <v>1.63</v>
      </c>
      <c r="G140" s="36">
        <f t="shared" si="13"/>
        <v>1.3036739999999998</v>
      </c>
    </row>
    <row r="141" spans="1:7" x14ac:dyDescent="0.25">
      <c r="A141" s="2" t="s">
        <v>69</v>
      </c>
      <c r="B141" s="35" t="s">
        <v>70</v>
      </c>
      <c r="C141" s="8" t="s">
        <v>12</v>
      </c>
      <c r="D141" s="6">
        <v>1.61E-2</v>
      </c>
      <c r="E141" s="23">
        <f>ROUND(D141*E135,4)</f>
        <v>8.0000000000000002E-3</v>
      </c>
      <c r="F141" s="31">
        <v>5423.7330000000002</v>
      </c>
      <c r="G141" s="36">
        <f t="shared" si="13"/>
        <v>43.389864000000003</v>
      </c>
    </row>
    <row r="142" spans="1:7" x14ac:dyDescent="0.25">
      <c r="A142" s="2" t="s">
        <v>15</v>
      </c>
      <c r="B142" s="1" t="s">
        <v>13</v>
      </c>
      <c r="C142" s="8" t="s">
        <v>12</v>
      </c>
      <c r="D142" s="6">
        <v>1.2999999999999999E-2</v>
      </c>
      <c r="E142" s="23">
        <f>ROUND(D142*E135,4)</f>
        <v>6.4999999999999997E-3</v>
      </c>
      <c r="F142" s="31">
        <v>8500</v>
      </c>
      <c r="G142" s="36">
        <f t="shared" si="13"/>
        <v>55.25</v>
      </c>
    </row>
    <row r="143" spans="1:7" x14ac:dyDescent="0.25">
      <c r="A143" s="2" t="s">
        <v>85</v>
      </c>
      <c r="B143" s="35" t="s">
        <v>86</v>
      </c>
      <c r="C143" s="8" t="s">
        <v>14</v>
      </c>
      <c r="D143" s="6">
        <v>55.56</v>
      </c>
      <c r="E143" s="23">
        <f>ROUND(D143*E135,4)</f>
        <v>27.772200000000002</v>
      </c>
      <c r="F143" s="31"/>
      <c r="G143" s="36">
        <f t="shared" si="13"/>
        <v>0</v>
      </c>
    </row>
    <row r="144" spans="1:7" x14ac:dyDescent="0.25">
      <c r="A144" s="2" t="s">
        <v>21</v>
      </c>
      <c r="B144" s="19" t="s">
        <v>82</v>
      </c>
      <c r="C144" s="8" t="s">
        <v>11</v>
      </c>
      <c r="D144" s="6">
        <v>1.92</v>
      </c>
      <c r="E144" s="23">
        <f>ROUND(D144*E135,4)</f>
        <v>0.9597</v>
      </c>
      <c r="F144" s="31">
        <v>2563.75</v>
      </c>
      <c r="G144" s="36">
        <f t="shared" si="13"/>
        <v>2460.430875</v>
      </c>
    </row>
    <row r="145" spans="1:7" x14ac:dyDescent="0.25">
      <c r="A145" s="20" t="s">
        <v>16</v>
      </c>
      <c r="B145" s="19" t="s">
        <v>83</v>
      </c>
      <c r="C145" s="22" t="s">
        <v>12</v>
      </c>
      <c r="D145" s="18" t="s">
        <v>17</v>
      </c>
      <c r="E145" s="23">
        <f>757/1000</f>
        <v>0.75700000000000001</v>
      </c>
      <c r="F145" s="31">
        <v>6500</v>
      </c>
      <c r="G145" s="36">
        <f>F145*E145</f>
        <v>4920.5</v>
      </c>
    </row>
    <row r="146" spans="1:7" x14ac:dyDescent="0.25">
      <c r="A146" s="20" t="s">
        <v>16</v>
      </c>
      <c r="B146" s="19" t="s">
        <v>44</v>
      </c>
      <c r="C146" s="22" t="s">
        <v>12</v>
      </c>
      <c r="D146" s="18" t="s">
        <v>17</v>
      </c>
      <c r="E146" s="23">
        <f>234/1000</f>
        <v>0.23400000000000001</v>
      </c>
      <c r="F146" s="31">
        <v>6500</v>
      </c>
      <c r="G146" s="36">
        <f>F146*E146</f>
        <v>1521</v>
      </c>
    </row>
    <row r="147" spans="1:7" x14ac:dyDescent="0.25">
      <c r="A147" s="20" t="s">
        <v>16</v>
      </c>
      <c r="B147" s="19" t="s">
        <v>87</v>
      </c>
      <c r="C147" s="22" t="s">
        <v>12</v>
      </c>
      <c r="D147" s="18" t="s">
        <v>17</v>
      </c>
      <c r="E147" s="23">
        <f>3876/1000</f>
        <v>3.8759999999999999</v>
      </c>
      <c r="F147" s="31">
        <v>6500</v>
      </c>
      <c r="G147" s="36">
        <f>F147*E147</f>
        <v>25194</v>
      </c>
    </row>
    <row r="148" spans="1:7" x14ac:dyDescent="0.25">
      <c r="A148" s="20" t="s">
        <v>16</v>
      </c>
      <c r="B148" s="19" t="s">
        <v>65</v>
      </c>
      <c r="C148" s="22" t="s">
        <v>12</v>
      </c>
      <c r="D148" s="18" t="s">
        <v>17</v>
      </c>
      <c r="E148" s="23">
        <f>298/1000</f>
        <v>0.29799999999999999</v>
      </c>
      <c r="F148" s="31">
        <v>6500</v>
      </c>
      <c r="G148" s="31">
        <f t="shared" ref="G148" si="14">F148*E148</f>
        <v>1937</v>
      </c>
    </row>
    <row r="149" spans="1:7" x14ac:dyDescent="0.25">
      <c r="A149" s="2" t="s">
        <v>88</v>
      </c>
      <c r="B149" s="19" t="s">
        <v>76</v>
      </c>
      <c r="C149" s="22" t="s">
        <v>11</v>
      </c>
      <c r="D149" s="18">
        <v>100</v>
      </c>
      <c r="E149" s="23">
        <f>ROUND(D149*E135,4)</f>
        <v>49.985999999999997</v>
      </c>
      <c r="F149" s="31"/>
      <c r="G149" s="36"/>
    </row>
    <row r="150" spans="1:7" x14ac:dyDescent="0.25">
      <c r="A150" s="20"/>
      <c r="B150" s="32" t="s">
        <v>72</v>
      </c>
      <c r="C150" s="22" t="s">
        <v>12</v>
      </c>
      <c r="D150" s="18">
        <v>0.38200000000000001</v>
      </c>
      <c r="E150" s="23">
        <f>ROUND(D150*E149,4)</f>
        <v>19.0947</v>
      </c>
      <c r="F150" s="31">
        <v>630</v>
      </c>
      <c r="G150" s="36">
        <f>F150*E150</f>
        <v>12029.661</v>
      </c>
    </row>
    <row r="151" spans="1:7" x14ac:dyDescent="0.25">
      <c r="A151" s="20"/>
      <c r="B151" s="32" t="s">
        <v>29</v>
      </c>
      <c r="C151" s="22" t="s">
        <v>12</v>
      </c>
      <c r="D151" s="18">
        <f>47/100*1.52</f>
        <v>0.71439999999999992</v>
      </c>
      <c r="E151" s="23">
        <f>ROUND(D151*E149,4)</f>
        <v>35.71</v>
      </c>
      <c r="F151" s="31">
        <f>2449.06/159.17</f>
        <v>15.386442168750394</v>
      </c>
      <c r="G151" s="36">
        <f>F151*E151</f>
        <v>549.44984984607663</v>
      </c>
    </row>
    <row r="152" spans="1:7" x14ac:dyDescent="0.25">
      <c r="A152" s="20"/>
      <c r="B152" s="32" t="s">
        <v>28</v>
      </c>
      <c r="C152" s="22" t="s">
        <v>12</v>
      </c>
      <c r="D152" s="18">
        <f>80/100*1.6</f>
        <v>1.2800000000000002</v>
      </c>
      <c r="E152" s="23">
        <f>ROUND(D152*E149,4)</f>
        <v>63.982100000000003</v>
      </c>
      <c r="F152" s="31">
        <f>4991.72/392.53</f>
        <v>12.7167859781418</v>
      </c>
      <c r="G152" s="36">
        <f>F152*E152</f>
        <v>813.64667213206656</v>
      </c>
    </row>
    <row r="153" spans="1:7" ht="13.5" x14ac:dyDescent="0.25">
      <c r="A153" s="15"/>
      <c r="B153" s="25" t="s">
        <v>8</v>
      </c>
      <c r="C153" s="17"/>
      <c r="D153" s="26"/>
      <c r="E153" s="27"/>
      <c r="F153" s="31"/>
      <c r="G153" s="29">
        <f>SUM(G136:G152)</f>
        <v>55983.529107978145</v>
      </c>
    </row>
    <row r="154" spans="1:7" ht="27" x14ac:dyDescent="0.25">
      <c r="A154" s="15" t="s">
        <v>68</v>
      </c>
      <c r="B154" s="16" t="s">
        <v>161</v>
      </c>
      <c r="C154" s="17" t="s">
        <v>20</v>
      </c>
      <c r="D154" s="18"/>
      <c r="E154" s="30">
        <f>(17.88*0.15)/100</f>
        <v>2.682E-2</v>
      </c>
      <c r="F154" s="31"/>
      <c r="G154" s="24"/>
    </row>
    <row r="155" spans="1:7" x14ac:dyDescent="0.25">
      <c r="A155" s="20">
        <v>1</v>
      </c>
      <c r="B155" s="21" t="s">
        <v>60</v>
      </c>
      <c r="C155" s="22" t="s">
        <v>7</v>
      </c>
      <c r="D155" s="18">
        <v>2412.6</v>
      </c>
      <c r="E155" s="23">
        <f>ROUND(D155*E154,4)</f>
        <v>64.7059</v>
      </c>
      <c r="F155" s="31">
        <v>10.31</v>
      </c>
      <c r="G155" s="24">
        <f t="shared" ref="G155:G170" si="15">F155*E155</f>
        <v>667.11782900000003</v>
      </c>
    </row>
    <row r="156" spans="1:7" x14ac:dyDescent="0.25">
      <c r="A156" s="20">
        <v>2</v>
      </c>
      <c r="B156" s="21" t="s">
        <v>18</v>
      </c>
      <c r="C156" s="22" t="s">
        <v>7</v>
      </c>
      <c r="D156" s="18">
        <v>51.7</v>
      </c>
      <c r="E156" s="23">
        <f>ROUND(D156*E154,4)</f>
        <v>1.3866000000000001</v>
      </c>
      <c r="F156" s="31">
        <v>15.44</v>
      </c>
      <c r="G156" s="24">
        <f t="shared" si="15"/>
        <v>21.409103999999999</v>
      </c>
    </row>
    <row r="157" spans="1:7" ht="25.5" x14ac:dyDescent="0.25">
      <c r="A157" s="20" t="s">
        <v>40</v>
      </c>
      <c r="B157" s="19" t="s">
        <v>47</v>
      </c>
      <c r="C157" s="22" t="s">
        <v>19</v>
      </c>
      <c r="D157" s="18">
        <v>51.7</v>
      </c>
      <c r="E157" s="23">
        <f>ROUND(D157*E154,4)</f>
        <v>1.3866000000000001</v>
      </c>
      <c r="F157" s="31">
        <f>152.37-15.44</f>
        <v>136.93</v>
      </c>
      <c r="G157" s="24">
        <f t="shared" si="15"/>
        <v>189.86713800000001</v>
      </c>
    </row>
    <row r="158" spans="1:7" x14ac:dyDescent="0.25">
      <c r="A158" s="20" t="s">
        <v>41</v>
      </c>
      <c r="B158" s="21" t="s">
        <v>38</v>
      </c>
      <c r="C158" s="22" t="s">
        <v>19</v>
      </c>
      <c r="D158" s="18">
        <v>13.2</v>
      </c>
      <c r="E158" s="23">
        <f>ROUND(D158*E154,4)</f>
        <v>0.35399999999999998</v>
      </c>
      <c r="F158" s="31">
        <v>8.4600000000000009</v>
      </c>
      <c r="G158" s="24">
        <f t="shared" si="15"/>
        <v>2.9948399999999999</v>
      </c>
    </row>
    <row r="159" spans="1:7" x14ac:dyDescent="0.25">
      <c r="A159" s="20">
        <v>111301</v>
      </c>
      <c r="B159" s="19" t="s">
        <v>66</v>
      </c>
      <c r="C159" s="22" t="s">
        <v>19</v>
      </c>
      <c r="D159" s="18">
        <v>78</v>
      </c>
      <c r="E159" s="23">
        <f>ROUND(D159*E154,4)</f>
        <v>2.0920000000000001</v>
      </c>
      <c r="F159" s="31">
        <v>1.62</v>
      </c>
      <c r="G159" s="24">
        <f t="shared" si="15"/>
        <v>3.3890400000000005</v>
      </c>
    </row>
    <row r="160" spans="1:7" x14ac:dyDescent="0.25">
      <c r="A160" s="20">
        <v>331532</v>
      </c>
      <c r="B160" s="19" t="s">
        <v>26</v>
      </c>
      <c r="C160" s="22" t="s">
        <v>19</v>
      </c>
      <c r="D160" s="18">
        <v>1.21</v>
      </c>
      <c r="E160" s="23">
        <f>ROUND(D160*E154,4)</f>
        <v>3.2500000000000001E-2</v>
      </c>
      <c r="F160" s="31">
        <v>1.63</v>
      </c>
      <c r="G160" s="24">
        <f t="shared" si="15"/>
        <v>5.2975000000000001E-2</v>
      </c>
    </row>
    <row r="161" spans="1:7" x14ac:dyDescent="0.25">
      <c r="A161" s="20" t="s">
        <v>69</v>
      </c>
      <c r="B161" s="19" t="s">
        <v>70</v>
      </c>
      <c r="C161" s="22" t="s">
        <v>12</v>
      </c>
      <c r="D161" s="18">
        <v>2.3599999999999999E-2</v>
      </c>
      <c r="E161" s="23">
        <f>ROUND(D161*E154,4)</f>
        <v>5.9999999999999995E-4</v>
      </c>
      <c r="F161" s="31">
        <v>5423.7330000000002</v>
      </c>
      <c r="G161" s="24">
        <f t="shared" si="15"/>
        <v>3.2542397999999997</v>
      </c>
    </row>
    <row r="162" spans="1:7" x14ac:dyDescent="0.25">
      <c r="A162" s="20" t="s">
        <v>48</v>
      </c>
      <c r="B162" s="19" t="s">
        <v>39</v>
      </c>
      <c r="C162" s="22" t="s">
        <v>12</v>
      </c>
      <c r="D162" s="18">
        <v>1.2999999999999999E-2</v>
      </c>
      <c r="E162" s="23">
        <f>ROUND(D162*E154,4)</f>
        <v>2.9999999999999997E-4</v>
      </c>
      <c r="F162" s="31">
        <v>9500</v>
      </c>
      <c r="G162" s="24">
        <f t="shared" si="15"/>
        <v>2.8499999999999996</v>
      </c>
    </row>
    <row r="163" spans="1:7" x14ac:dyDescent="0.25">
      <c r="A163" s="20" t="s">
        <v>15</v>
      </c>
      <c r="B163" s="21" t="s">
        <v>13</v>
      </c>
      <c r="C163" s="22" t="s">
        <v>12</v>
      </c>
      <c r="D163" s="18">
        <v>1.4999999999999999E-2</v>
      </c>
      <c r="E163" s="23">
        <f>ROUND(D163*E154,4)</f>
        <v>4.0000000000000002E-4</v>
      </c>
      <c r="F163" s="31">
        <v>8500</v>
      </c>
      <c r="G163" s="24">
        <f t="shared" si="15"/>
        <v>3.4000000000000004</v>
      </c>
    </row>
    <row r="164" spans="1:7" x14ac:dyDescent="0.25">
      <c r="A164" s="20" t="s">
        <v>21</v>
      </c>
      <c r="B164" s="19" t="s">
        <v>82</v>
      </c>
      <c r="C164" s="22" t="s">
        <v>11</v>
      </c>
      <c r="D164" s="18">
        <v>2.1</v>
      </c>
      <c r="E164" s="23">
        <f>ROUND(D164*E154,4)</f>
        <v>5.6300000000000003E-2</v>
      </c>
      <c r="F164" s="31">
        <v>2563.75</v>
      </c>
      <c r="G164" s="24">
        <f t="shared" si="15"/>
        <v>144.339125</v>
      </c>
    </row>
    <row r="165" spans="1:7" x14ac:dyDescent="0.25">
      <c r="A165" s="20" t="s">
        <v>16</v>
      </c>
      <c r="B165" s="19" t="s">
        <v>44</v>
      </c>
      <c r="C165" s="22" t="s">
        <v>12</v>
      </c>
      <c r="D165" s="18" t="s">
        <v>17</v>
      </c>
      <c r="E165" s="23">
        <f>338/1000</f>
        <v>0.33800000000000002</v>
      </c>
      <c r="F165" s="31">
        <v>6500</v>
      </c>
      <c r="G165" s="24">
        <f t="shared" si="15"/>
        <v>2197</v>
      </c>
    </row>
    <row r="166" spans="1:7" x14ac:dyDescent="0.25">
      <c r="A166" s="20" t="s">
        <v>16</v>
      </c>
      <c r="B166" s="19" t="s">
        <v>65</v>
      </c>
      <c r="C166" s="22" t="s">
        <v>12</v>
      </c>
      <c r="D166" s="18" t="s">
        <v>17</v>
      </c>
      <c r="E166" s="23">
        <f>10/1000</f>
        <v>0.01</v>
      </c>
      <c r="F166" s="31">
        <v>6500</v>
      </c>
      <c r="G166" s="31">
        <f t="shared" si="15"/>
        <v>65</v>
      </c>
    </row>
    <row r="167" spans="1:7" x14ac:dyDescent="0.25">
      <c r="A167" s="20" t="s">
        <v>23</v>
      </c>
      <c r="B167" s="19" t="s">
        <v>76</v>
      </c>
      <c r="C167" s="22" t="s">
        <v>11</v>
      </c>
      <c r="D167" s="18">
        <v>100</v>
      </c>
      <c r="E167" s="23">
        <f>ROUND(D167*E154,4)</f>
        <v>2.6819999999999999</v>
      </c>
      <c r="F167" s="31"/>
      <c r="G167" s="24"/>
    </row>
    <row r="168" spans="1:7" x14ac:dyDescent="0.25">
      <c r="A168" s="20"/>
      <c r="B168" s="32" t="s">
        <v>72</v>
      </c>
      <c r="C168" s="22" t="s">
        <v>12</v>
      </c>
      <c r="D168" s="18">
        <v>0.38200000000000001</v>
      </c>
      <c r="E168" s="23">
        <f>ROUND(D168*E167,4)</f>
        <v>1.0245</v>
      </c>
      <c r="F168" s="31">
        <v>630</v>
      </c>
      <c r="G168" s="24">
        <f t="shared" si="15"/>
        <v>645.43499999999995</v>
      </c>
    </row>
    <row r="169" spans="1:7" x14ac:dyDescent="0.25">
      <c r="A169" s="20"/>
      <c r="B169" s="32" t="s">
        <v>29</v>
      </c>
      <c r="C169" s="22" t="s">
        <v>12</v>
      </c>
      <c r="D169" s="18">
        <f>47/100*1.52</f>
        <v>0.71439999999999992</v>
      </c>
      <c r="E169" s="23">
        <f>ROUND(D169*E167,4)</f>
        <v>1.9159999999999999</v>
      </c>
      <c r="F169" s="31">
        <f>2449.06/159.17</f>
        <v>15.386442168750394</v>
      </c>
      <c r="G169" s="24">
        <f t="shared" si="15"/>
        <v>29.480423195325752</v>
      </c>
    </row>
    <row r="170" spans="1:7" x14ac:dyDescent="0.25">
      <c r="A170" s="20"/>
      <c r="B170" s="32" t="s">
        <v>28</v>
      </c>
      <c r="C170" s="22" t="s">
        <v>12</v>
      </c>
      <c r="D170" s="18">
        <f>80/100*1.6</f>
        <v>1.2800000000000002</v>
      </c>
      <c r="E170" s="23">
        <f>ROUND(D170*E167,4)</f>
        <v>3.4329999999999998</v>
      </c>
      <c r="F170" s="31">
        <f>4991.72/392.53</f>
        <v>12.7167859781418</v>
      </c>
      <c r="G170" s="24">
        <f t="shared" si="15"/>
        <v>43.656726262960795</v>
      </c>
    </row>
    <row r="171" spans="1:7" ht="13.5" x14ac:dyDescent="0.25">
      <c r="A171" s="15"/>
      <c r="B171" s="25" t="s">
        <v>8</v>
      </c>
      <c r="C171" s="17"/>
      <c r="D171" s="26"/>
      <c r="E171" s="27"/>
      <c r="F171" s="28"/>
      <c r="G171" s="29">
        <f>SUM(G155:G170)</f>
        <v>4019.2464402582864</v>
      </c>
    </row>
    <row r="172" spans="1:7" ht="13.5" x14ac:dyDescent="0.25">
      <c r="A172" s="15" t="s">
        <v>94</v>
      </c>
      <c r="B172" s="16" t="s">
        <v>95</v>
      </c>
      <c r="C172" s="17" t="s">
        <v>11</v>
      </c>
      <c r="D172" s="18"/>
      <c r="E172" s="30">
        <f>25737/394</f>
        <v>65.32233502538071</v>
      </c>
      <c r="F172" s="31"/>
      <c r="G172" s="24"/>
    </row>
    <row r="173" spans="1:7" x14ac:dyDescent="0.25">
      <c r="A173" s="20">
        <v>1</v>
      </c>
      <c r="B173" s="21" t="s">
        <v>96</v>
      </c>
      <c r="C173" s="22" t="s">
        <v>7</v>
      </c>
      <c r="D173" s="18">
        <v>6.03</v>
      </c>
      <c r="E173" s="23">
        <f>ROUND(D173*E172,4)</f>
        <v>393.89370000000002</v>
      </c>
      <c r="F173" s="31">
        <v>10.210000000000001</v>
      </c>
      <c r="G173" s="24">
        <f t="shared" ref="G173:G181" si="16">F173*E173</f>
        <v>4021.6546770000004</v>
      </c>
    </row>
    <row r="174" spans="1:7" x14ac:dyDescent="0.25">
      <c r="A174" s="20">
        <v>2</v>
      </c>
      <c r="B174" s="21" t="s">
        <v>18</v>
      </c>
      <c r="C174" s="22" t="s">
        <v>7</v>
      </c>
      <c r="D174" s="18">
        <v>0.4</v>
      </c>
      <c r="E174" s="23">
        <f>ROUND(D174*E172,4)</f>
        <v>26.128900000000002</v>
      </c>
      <c r="F174" s="31">
        <v>15.44</v>
      </c>
      <c r="G174" s="24">
        <f t="shared" si="16"/>
        <v>403.43021600000003</v>
      </c>
    </row>
    <row r="175" spans="1:7" ht="25.5" x14ac:dyDescent="0.25">
      <c r="A175" s="20" t="s">
        <v>40</v>
      </c>
      <c r="B175" s="19" t="s">
        <v>47</v>
      </c>
      <c r="C175" s="22" t="s">
        <v>19</v>
      </c>
      <c r="D175" s="18">
        <v>0.4</v>
      </c>
      <c r="E175" s="23">
        <f>ROUND(D175*E172,4)</f>
        <v>26.128900000000002</v>
      </c>
      <c r="F175" s="31">
        <f>136.52-15.44</f>
        <v>121.08000000000001</v>
      </c>
      <c r="G175" s="24">
        <f t="shared" si="16"/>
        <v>3163.6872120000007</v>
      </c>
    </row>
    <row r="176" spans="1:7" x14ac:dyDescent="0.25">
      <c r="A176" s="20" t="s">
        <v>21</v>
      </c>
      <c r="B176" s="19" t="s">
        <v>82</v>
      </c>
      <c r="C176" s="22" t="s">
        <v>11</v>
      </c>
      <c r="D176" s="18">
        <v>5.0000000000000001E-4</v>
      </c>
      <c r="E176" s="23">
        <f>ROUND(D176*E172,4)</f>
        <v>3.27E-2</v>
      </c>
      <c r="F176" s="31">
        <v>2563.75</v>
      </c>
      <c r="G176" s="10">
        <f t="shared" si="16"/>
        <v>83.834625000000003</v>
      </c>
    </row>
    <row r="177" spans="1:7" x14ac:dyDescent="0.25">
      <c r="A177" s="20" t="s">
        <v>97</v>
      </c>
      <c r="B177" s="19" t="s">
        <v>98</v>
      </c>
      <c r="C177" s="22" t="s">
        <v>11</v>
      </c>
      <c r="D177" s="18">
        <v>0.24</v>
      </c>
      <c r="E177" s="23">
        <f>ROUND(D177*E172,4)</f>
        <v>15.6774</v>
      </c>
      <c r="F177" s="31"/>
      <c r="G177" s="24"/>
    </row>
    <row r="178" spans="1:7" x14ac:dyDescent="0.25">
      <c r="A178" s="20"/>
      <c r="B178" s="32" t="s">
        <v>99</v>
      </c>
      <c r="C178" s="22" t="s">
        <v>12</v>
      </c>
      <c r="D178" s="18">
        <v>0.17799999999999999</v>
      </c>
      <c r="E178" s="23">
        <f>ROUND(D178*E177,4)</f>
        <v>2.7906</v>
      </c>
      <c r="F178" s="24">
        <v>580</v>
      </c>
      <c r="G178" s="24">
        <f t="shared" si="16"/>
        <v>1618.548</v>
      </c>
    </row>
    <row r="179" spans="1:7" x14ac:dyDescent="0.25">
      <c r="A179" s="20"/>
      <c r="B179" s="32" t="s">
        <v>100</v>
      </c>
      <c r="C179" s="22" t="s">
        <v>12</v>
      </c>
      <c r="D179" s="18">
        <f>0.13*1.6</f>
        <v>0.20800000000000002</v>
      </c>
      <c r="E179" s="23">
        <f>ROUND(D179*E177,3)</f>
        <v>3.2610000000000001</v>
      </c>
      <c r="F179" s="31"/>
      <c r="G179" s="24">
        <f t="shared" si="16"/>
        <v>0</v>
      </c>
    </row>
    <row r="180" spans="1:7" x14ac:dyDescent="0.25">
      <c r="A180" s="20"/>
      <c r="B180" s="32" t="s">
        <v>101</v>
      </c>
      <c r="C180" s="22" t="s">
        <v>12</v>
      </c>
      <c r="D180" s="18">
        <f>1.28*1.52</f>
        <v>1.9456</v>
      </c>
      <c r="E180" s="23">
        <f>ROUND(D180*E177,4)</f>
        <v>30.501899999999999</v>
      </c>
      <c r="F180" s="31">
        <v>36</v>
      </c>
      <c r="G180" s="24">
        <f t="shared" si="16"/>
        <v>1098.0683999999999</v>
      </c>
    </row>
    <row r="181" spans="1:7" x14ac:dyDescent="0.25">
      <c r="A181" s="20" t="s">
        <v>102</v>
      </c>
      <c r="B181" s="19" t="s">
        <v>103</v>
      </c>
      <c r="C181" s="22" t="s">
        <v>104</v>
      </c>
      <c r="D181" s="18">
        <v>0.39400000000000002</v>
      </c>
      <c r="E181" s="23">
        <f>ROUND(D181*E172,3)</f>
        <v>25.736999999999998</v>
      </c>
      <c r="F181" s="31">
        <v>593.79999999999995</v>
      </c>
      <c r="G181" s="24">
        <f t="shared" si="16"/>
        <v>15282.630599999999</v>
      </c>
    </row>
    <row r="182" spans="1:7" ht="13.5" x14ac:dyDescent="0.25">
      <c r="A182" s="15"/>
      <c r="B182" s="25" t="s">
        <v>8</v>
      </c>
      <c r="C182" s="17"/>
      <c r="D182" s="26"/>
      <c r="E182" s="27"/>
      <c r="F182" s="31"/>
      <c r="G182" s="29">
        <f>SUM(G173:G181)</f>
        <v>25671.853730000003</v>
      </c>
    </row>
    <row r="183" spans="1:7" ht="13.5" x14ac:dyDescent="0.25">
      <c r="A183" s="15" t="s">
        <v>45</v>
      </c>
      <c r="B183" s="16" t="s">
        <v>107</v>
      </c>
      <c r="C183" s="17" t="s">
        <v>20</v>
      </c>
      <c r="D183" s="18"/>
      <c r="E183" s="30">
        <f>(40.6*0.38*0.12+40.7*0.25*0.12)/100</f>
        <v>3.0723600000000004E-2</v>
      </c>
      <c r="F183" s="31"/>
      <c r="G183" s="24"/>
    </row>
    <row r="184" spans="1:7" x14ac:dyDescent="0.25">
      <c r="A184" s="20">
        <v>1</v>
      </c>
      <c r="B184" s="21" t="s">
        <v>46</v>
      </c>
      <c r="C184" s="22" t="s">
        <v>7</v>
      </c>
      <c r="D184" s="18">
        <v>1569.4</v>
      </c>
      <c r="E184" s="23">
        <f>ROUND(D184*E183,4)</f>
        <v>48.217599999999997</v>
      </c>
      <c r="F184" s="31">
        <v>10.46</v>
      </c>
      <c r="G184" s="31">
        <f t="shared" ref="G184:G200" si="17">F184*E184</f>
        <v>504.35609600000004</v>
      </c>
    </row>
    <row r="185" spans="1:7" x14ac:dyDescent="0.25">
      <c r="A185" s="20">
        <v>2</v>
      </c>
      <c r="B185" s="21" t="s">
        <v>18</v>
      </c>
      <c r="C185" s="22" t="s">
        <v>7</v>
      </c>
      <c r="D185" s="18">
        <v>93.3</v>
      </c>
      <c r="E185" s="23">
        <f>ROUND(D185*E183,4)</f>
        <v>2.8664999999999998</v>
      </c>
      <c r="F185" s="31">
        <v>15.44</v>
      </c>
      <c r="G185" s="31">
        <f t="shared" si="17"/>
        <v>44.258759999999995</v>
      </c>
    </row>
    <row r="186" spans="1:7" ht="25.5" x14ac:dyDescent="0.25">
      <c r="A186" s="20" t="s">
        <v>40</v>
      </c>
      <c r="B186" s="19" t="s">
        <v>47</v>
      </c>
      <c r="C186" s="22" t="s">
        <v>19</v>
      </c>
      <c r="D186" s="18">
        <v>93.3</v>
      </c>
      <c r="E186" s="23">
        <f>ROUND(D186*E183,4)</f>
        <v>2.8664999999999998</v>
      </c>
      <c r="F186" s="31">
        <f>136.52-15.44</f>
        <v>121.08000000000001</v>
      </c>
      <c r="G186" s="31">
        <f t="shared" si="17"/>
        <v>347.07582000000002</v>
      </c>
    </row>
    <row r="187" spans="1:7" x14ac:dyDescent="0.25">
      <c r="A187" s="20" t="s">
        <v>41</v>
      </c>
      <c r="B187" s="21" t="s">
        <v>38</v>
      </c>
      <c r="C187" s="22" t="s">
        <v>19</v>
      </c>
      <c r="D187" s="18">
        <v>124.95</v>
      </c>
      <c r="E187" s="23">
        <f>ROUND(D187*E183,4)</f>
        <v>3.8389000000000002</v>
      </c>
      <c r="F187" s="31">
        <v>8.4600000000000009</v>
      </c>
      <c r="G187" s="31">
        <f t="shared" si="17"/>
        <v>32.477094000000008</v>
      </c>
    </row>
    <row r="188" spans="1:7" x14ac:dyDescent="0.25">
      <c r="A188" s="20">
        <v>111100</v>
      </c>
      <c r="B188" s="19" t="s">
        <v>27</v>
      </c>
      <c r="C188" s="22" t="s">
        <v>19</v>
      </c>
      <c r="D188" s="18">
        <v>61.88</v>
      </c>
      <c r="E188" s="23">
        <f>ROUND(D188*E183,4)</f>
        <v>1.9012</v>
      </c>
      <c r="F188" s="31">
        <v>2.83</v>
      </c>
      <c r="G188" s="31">
        <f t="shared" si="17"/>
        <v>5.3803960000000002</v>
      </c>
    </row>
    <row r="189" spans="1:7" x14ac:dyDescent="0.25">
      <c r="A189" s="20">
        <v>331532</v>
      </c>
      <c r="B189" s="19" t="s">
        <v>26</v>
      </c>
      <c r="C189" s="22" t="s">
        <v>19</v>
      </c>
      <c r="D189" s="18">
        <v>1.9</v>
      </c>
      <c r="E189" s="23">
        <f>ROUND(D189*E183,4)</f>
        <v>5.8400000000000001E-2</v>
      </c>
      <c r="F189" s="31">
        <v>1.82</v>
      </c>
      <c r="G189" s="31">
        <f t="shared" si="17"/>
        <v>0.10628800000000001</v>
      </c>
    </row>
    <row r="190" spans="1:7" x14ac:dyDescent="0.25">
      <c r="A190" s="20" t="s">
        <v>48</v>
      </c>
      <c r="B190" s="19" t="s">
        <v>39</v>
      </c>
      <c r="C190" s="22" t="s">
        <v>12</v>
      </c>
      <c r="D190" s="18">
        <v>0.15</v>
      </c>
      <c r="E190" s="23">
        <f>ROUND(D190*E183,4)</f>
        <v>4.5999999999999999E-3</v>
      </c>
      <c r="F190" s="31">
        <v>9500</v>
      </c>
      <c r="G190" s="31">
        <f t="shared" si="17"/>
        <v>43.699999999999996</v>
      </c>
    </row>
    <row r="191" spans="1:7" x14ac:dyDescent="0.25">
      <c r="A191" s="20" t="s">
        <v>15</v>
      </c>
      <c r="B191" s="21" t="s">
        <v>13</v>
      </c>
      <c r="C191" s="22" t="s">
        <v>12</v>
      </c>
      <c r="D191" s="18">
        <v>4.4999999999999998E-2</v>
      </c>
      <c r="E191" s="23">
        <f>ROUND(D191*E183,4)</f>
        <v>1.4E-3</v>
      </c>
      <c r="F191" s="31">
        <v>8500</v>
      </c>
      <c r="G191" s="31">
        <f t="shared" si="17"/>
        <v>11.9</v>
      </c>
    </row>
    <row r="192" spans="1:7" x14ac:dyDescent="0.25">
      <c r="A192" s="20" t="s">
        <v>21</v>
      </c>
      <c r="B192" s="19" t="s">
        <v>82</v>
      </c>
      <c r="C192" s="22" t="s">
        <v>11</v>
      </c>
      <c r="D192" s="18">
        <v>1.7</v>
      </c>
      <c r="E192" s="23">
        <f>ROUND(D192*E183,4)</f>
        <v>5.2200000000000003E-2</v>
      </c>
      <c r="F192" s="31">
        <v>2563.75</v>
      </c>
      <c r="G192" s="10">
        <f t="shared" si="17"/>
        <v>133.82775000000001</v>
      </c>
    </row>
    <row r="193" spans="1:7" x14ac:dyDescent="0.25">
      <c r="A193" s="20" t="s">
        <v>49</v>
      </c>
      <c r="B193" s="19" t="s">
        <v>50</v>
      </c>
      <c r="C193" s="22" t="s">
        <v>11</v>
      </c>
      <c r="D193" s="18">
        <v>0.25</v>
      </c>
      <c r="E193" s="23">
        <f>ROUND(D193*E183,4)</f>
        <v>7.7000000000000002E-3</v>
      </c>
      <c r="F193" s="31">
        <v>2000</v>
      </c>
      <c r="G193" s="31">
        <f t="shared" si="17"/>
        <v>15.4</v>
      </c>
    </row>
    <row r="194" spans="1:7" x14ac:dyDescent="0.25">
      <c r="A194" s="20" t="s">
        <v>22</v>
      </c>
      <c r="B194" s="19" t="s">
        <v>24</v>
      </c>
      <c r="C194" s="22" t="s">
        <v>14</v>
      </c>
      <c r="D194" s="18">
        <v>135</v>
      </c>
      <c r="E194" s="23">
        <f>ROUND(D194*E183,4)</f>
        <v>4.1477000000000004</v>
      </c>
      <c r="F194" s="31"/>
      <c r="G194" s="10">
        <f t="shared" si="17"/>
        <v>0</v>
      </c>
    </row>
    <row r="195" spans="1:7" x14ac:dyDescent="0.25">
      <c r="A195" s="20" t="s">
        <v>16</v>
      </c>
      <c r="B195" s="19" t="s">
        <v>44</v>
      </c>
      <c r="C195" s="22" t="s">
        <v>12</v>
      </c>
      <c r="D195" s="18" t="s">
        <v>17</v>
      </c>
      <c r="E195" s="23">
        <f>(82+82)/1000</f>
        <v>0.16400000000000001</v>
      </c>
      <c r="F195" s="31">
        <v>6500</v>
      </c>
      <c r="G195" s="31">
        <f t="shared" si="17"/>
        <v>1066</v>
      </c>
    </row>
    <row r="196" spans="1:7" x14ac:dyDescent="0.25">
      <c r="A196" s="20" t="s">
        <v>16</v>
      </c>
      <c r="B196" s="19" t="s">
        <v>65</v>
      </c>
      <c r="C196" s="22" t="s">
        <v>12</v>
      </c>
      <c r="D196" s="18" t="s">
        <v>17</v>
      </c>
      <c r="E196" s="23">
        <f>(25+25)/1000</f>
        <v>0.05</v>
      </c>
      <c r="F196" s="31">
        <v>6500</v>
      </c>
      <c r="G196" s="31">
        <f t="shared" si="17"/>
        <v>325</v>
      </c>
    </row>
    <row r="197" spans="1:7" x14ac:dyDescent="0.25">
      <c r="A197" s="20" t="s">
        <v>23</v>
      </c>
      <c r="B197" s="19" t="s">
        <v>76</v>
      </c>
      <c r="C197" s="22" t="s">
        <v>11</v>
      </c>
      <c r="D197" s="18">
        <v>100</v>
      </c>
      <c r="E197" s="23">
        <f>ROUND(D197*E183,4)</f>
        <v>3.0724</v>
      </c>
      <c r="F197" s="31"/>
      <c r="G197" s="31"/>
    </row>
    <row r="198" spans="1:7" x14ac:dyDescent="0.25">
      <c r="A198" s="20"/>
      <c r="B198" s="32" t="s">
        <v>99</v>
      </c>
      <c r="C198" s="22" t="s">
        <v>12</v>
      </c>
      <c r="D198" s="18">
        <v>0.47899999999999998</v>
      </c>
      <c r="E198" s="23">
        <f>ROUND(D198*E197,4)</f>
        <v>1.4717</v>
      </c>
      <c r="F198" s="24">
        <v>580</v>
      </c>
      <c r="G198" s="31">
        <f t="shared" si="17"/>
        <v>853.58600000000001</v>
      </c>
    </row>
    <row r="199" spans="1:7" x14ac:dyDescent="0.25">
      <c r="A199" s="20"/>
      <c r="B199" s="32" t="s">
        <v>29</v>
      </c>
      <c r="C199" s="22" t="s">
        <v>12</v>
      </c>
      <c r="D199" s="18">
        <v>0.40300000000000002</v>
      </c>
      <c r="E199" s="23">
        <f>ROUND(D199*E197,4)</f>
        <v>1.2382</v>
      </c>
      <c r="F199" s="31">
        <f>2449.06/159.17</f>
        <v>15.386442168750394</v>
      </c>
      <c r="G199" s="31">
        <f t="shared" si="17"/>
        <v>19.051492693346738</v>
      </c>
    </row>
    <row r="200" spans="1:7" x14ac:dyDescent="0.25">
      <c r="A200" s="20"/>
      <c r="B200" s="32" t="s">
        <v>28</v>
      </c>
      <c r="C200" s="22" t="s">
        <v>12</v>
      </c>
      <c r="D200" s="18">
        <v>1.881</v>
      </c>
      <c r="E200" s="23">
        <f>ROUND(D200*E197,4)</f>
        <v>5.7792000000000003</v>
      </c>
      <c r="F200" s="31">
        <f>4991.72/392.53</f>
        <v>12.7167859781418</v>
      </c>
      <c r="G200" s="31">
        <f t="shared" si="17"/>
        <v>73.492849524877101</v>
      </c>
    </row>
    <row r="201" spans="1:7" ht="13.5" x14ac:dyDescent="0.25">
      <c r="A201" s="15"/>
      <c r="B201" s="25" t="s">
        <v>8</v>
      </c>
      <c r="C201" s="17"/>
      <c r="D201" s="26"/>
      <c r="E201" s="27"/>
      <c r="F201" s="31"/>
      <c r="G201" s="71">
        <f>SUM(G184:G200)</f>
        <v>3475.6125462182235</v>
      </c>
    </row>
    <row r="202" spans="1:7" ht="13.5" x14ac:dyDescent="0.25">
      <c r="A202" s="64"/>
      <c r="B202" s="65"/>
      <c r="C202" s="66"/>
      <c r="D202" s="67"/>
      <c r="E202" s="67"/>
      <c r="F202" s="67"/>
      <c r="G202" s="68"/>
    </row>
    <row r="203" spans="1:7" ht="13.5" x14ac:dyDescent="0.25">
      <c r="A203" s="52"/>
      <c r="B203" s="53"/>
      <c r="C203" s="52"/>
      <c r="D203" s="53"/>
      <c r="E203" s="53"/>
      <c r="F203" s="61"/>
      <c r="G203" s="54"/>
    </row>
    <row r="204" spans="1:7" ht="13.5" x14ac:dyDescent="0.25">
      <c r="A204" s="52"/>
      <c r="B204" s="53"/>
      <c r="C204" s="52"/>
      <c r="D204" s="53"/>
      <c r="E204" s="53"/>
      <c r="F204" s="61"/>
      <c r="G204" s="54"/>
    </row>
    <row r="205" spans="1:7" ht="13.5" x14ac:dyDescent="0.25">
      <c r="A205" s="2"/>
      <c r="B205" s="55" t="s">
        <v>42</v>
      </c>
      <c r="C205" s="56"/>
      <c r="D205" s="10"/>
      <c r="E205" s="10"/>
      <c r="F205" s="40"/>
      <c r="G205" s="12">
        <f>SUMIFS(G17:G204,B17:B204,"Итого")</f>
        <v>169328.50863398291</v>
      </c>
    </row>
    <row r="206" spans="1:7" ht="13.5" x14ac:dyDescent="0.25">
      <c r="A206" s="2"/>
      <c r="B206" s="55" t="s">
        <v>30</v>
      </c>
      <c r="C206" s="56"/>
      <c r="D206" s="10"/>
      <c r="E206" s="10"/>
      <c r="F206" s="10"/>
      <c r="G206" s="12"/>
    </row>
    <row r="207" spans="1:7" ht="13.5" x14ac:dyDescent="0.25">
      <c r="A207" s="2"/>
      <c r="B207" s="57" t="s">
        <v>51</v>
      </c>
      <c r="C207" s="56"/>
      <c r="D207" s="10"/>
      <c r="E207" s="10"/>
      <c r="F207" s="72">
        <f>G24+G25+G26+G27+G28+G29+G30++G32+G33+G34+G43+G44+G45+G46+G47+G48+G49+G50+G51+G52+G54+G55+G56+G65+G66+G67+G69+G70+G71+G72+G73+G74+G75+G77+G78+G79+G88+G89+G90+G91+G92+G93+G95+G96+G97+G106+G107+G108+G109+G110+G111+G113+G114+G115+G124+G125+G126+G127+G128+G129+G131+G132+G133+G141+G142+G143+G144+G145+G146+G147+G148+G150+G151+G152+G161+G162+G163+G164+G165+G166+G168+G169+G170+G176+G178+G179+G180+G181+G190+G191+G192+G193+G194+G195+G196+G198+G199+G200</f>
        <v>138369.37173298292</v>
      </c>
      <c r="G207" s="12">
        <f>G205-G208-G209-G210</f>
        <v>138369.37173298292</v>
      </c>
    </row>
    <row r="208" spans="1:7" ht="13.5" x14ac:dyDescent="0.25">
      <c r="A208" s="2"/>
      <c r="B208" s="57" t="s">
        <v>52</v>
      </c>
      <c r="C208" s="56"/>
      <c r="D208" s="10"/>
      <c r="E208" s="10"/>
      <c r="F208" s="10"/>
      <c r="G208" s="12">
        <f>SUMIFS(G17:G204,C17:C204,"маш/час")</f>
        <v>12965.993538000002</v>
      </c>
    </row>
    <row r="209" spans="1:7" ht="13.5" x14ac:dyDescent="0.25">
      <c r="A209" s="2"/>
      <c r="B209" s="57" t="s">
        <v>53</v>
      </c>
      <c r="C209" s="56"/>
      <c r="D209" s="10"/>
      <c r="E209" s="10"/>
      <c r="F209" s="10"/>
      <c r="G209" s="12">
        <f>SUMIFS(G17:G204,A17:A204,1)</f>
        <v>16556.111683000003</v>
      </c>
    </row>
    <row r="210" spans="1:7" ht="13.5" x14ac:dyDescent="0.25">
      <c r="A210" s="2"/>
      <c r="B210" s="57" t="s">
        <v>54</v>
      </c>
      <c r="C210" s="56"/>
      <c r="D210" s="10"/>
      <c r="E210" s="10"/>
      <c r="F210" s="10"/>
      <c r="G210" s="12">
        <f>SUMIFS(G17:G204,A17:A204,2)</f>
        <v>1437.0316800000001</v>
      </c>
    </row>
    <row r="211" spans="1:7" ht="13.5" x14ac:dyDescent="0.25">
      <c r="A211" s="2"/>
      <c r="B211" s="12" t="s">
        <v>37</v>
      </c>
      <c r="C211" s="56"/>
      <c r="D211" s="10"/>
      <c r="E211" s="10"/>
      <c r="F211" s="10"/>
      <c r="G211" s="12">
        <f>(G209+G210)*25%</f>
        <v>4498.2858407500007</v>
      </c>
    </row>
    <row r="212" spans="1:7" ht="13.5" x14ac:dyDescent="0.25">
      <c r="A212" s="15"/>
      <c r="B212" s="25" t="s">
        <v>8</v>
      </c>
      <c r="C212" s="17"/>
      <c r="D212" s="26"/>
      <c r="E212" s="27"/>
      <c r="F212" s="28"/>
      <c r="G212" s="12">
        <f>SUM(G207:G211)</f>
        <v>173826.79447473292</v>
      </c>
    </row>
    <row r="213" spans="1:7" ht="13.5" x14ac:dyDescent="0.25">
      <c r="A213" s="2"/>
      <c r="B213" s="4" t="s">
        <v>61</v>
      </c>
      <c r="C213" s="8"/>
      <c r="D213" s="9"/>
      <c r="E213" s="9"/>
      <c r="F213" s="10"/>
      <c r="G213" s="12">
        <f>G212*10%</f>
        <v>17382.679447473292</v>
      </c>
    </row>
    <row r="214" spans="1:7" ht="13.5" x14ac:dyDescent="0.25">
      <c r="A214" s="2"/>
      <c r="B214" s="4" t="s">
        <v>55</v>
      </c>
      <c r="C214" s="7" t="s">
        <v>11</v>
      </c>
      <c r="D214" s="11"/>
      <c r="E214" s="5">
        <f>SUMIFS(E203:E210,B203:B210,"Бетон марки БМ-350")</f>
        <v>0</v>
      </c>
      <c r="F214" s="63"/>
      <c r="G214" s="12">
        <f>+F214*E214</f>
        <v>0</v>
      </c>
    </row>
    <row r="215" spans="1:7" ht="13.5" x14ac:dyDescent="0.25">
      <c r="A215" s="2"/>
      <c r="B215" s="4" t="s">
        <v>56</v>
      </c>
      <c r="C215" s="7" t="s">
        <v>11</v>
      </c>
      <c r="D215" s="11"/>
      <c r="E215" s="5">
        <f>E214</f>
        <v>0</v>
      </c>
      <c r="F215" s="63"/>
      <c r="G215" s="12">
        <f>+F215*E215</f>
        <v>0</v>
      </c>
    </row>
    <row r="216" spans="1:7" ht="13.5" x14ac:dyDescent="0.25">
      <c r="A216" s="2"/>
      <c r="B216" s="55" t="s">
        <v>8</v>
      </c>
      <c r="C216" s="56"/>
      <c r="D216" s="10"/>
      <c r="E216" s="10"/>
      <c r="F216" s="10"/>
      <c r="G216" s="12">
        <f>SUM(G212:G215)</f>
        <v>191209.47392220621</v>
      </c>
    </row>
    <row r="217" spans="1:7" ht="13.5" x14ac:dyDescent="0.25">
      <c r="A217" s="2"/>
      <c r="B217" s="55" t="s">
        <v>63</v>
      </c>
      <c r="C217" s="56"/>
      <c r="D217" s="10"/>
      <c r="E217" s="10"/>
      <c r="F217" s="10"/>
      <c r="G217" s="12">
        <f>G216*7%</f>
        <v>13384.663174554436</v>
      </c>
    </row>
    <row r="218" spans="1:7" ht="13.5" x14ac:dyDescent="0.25">
      <c r="A218" s="2"/>
      <c r="B218" s="55" t="s">
        <v>31</v>
      </c>
      <c r="C218" s="56"/>
      <c r="D218" s="10"/>
      <c r="E218" s="10"/>
      <c r="F218" s="10"/>
      <c r="G218" s="12">
        <f>SUM(G216:G217)</f>
        <v>204594.13709676065</v>
      </c>
    </row>
    <row r="219" spans="1:7" x14ac:dyDescent="0.25">
      <c r="F219" s="40"/>
    </row>
    <row r="220" spans="1:7" x14ac:dyDescent="0.25">
      <c r="F220" s="40"/>
    </row>
    <row r="221" spans="1:7" x14ac:dyDescent="0.25">
      <c r="F221" s="40"/>
    </row>
    <row r="222" spans="1:7" ht="13.5" x14ac:dyDescent="0.25">
      <c r="A222" s="13"/>
      <c r="B222" s="119" t="s">
        <v>33</v>
      </c>
      <c r="C222" s="144" t="s">
        <v>35</v>
      </c>
      <c r="D222" s="144"/>
      <c r="E222" s="144"/>
      <c r="F222" s="144"/>
      <c r="G222" s="14"/>
    </row>
    <row r="223" spans="1:7" ht="13.5" x14ac:dyDescent="0.25">
      <c r="A223" s="13"/>
      <c r="B223" s="119"/>
      <c r="C223" s="119"/>
      <c r="D223" s="119"/>
      <c r="E223" s="119"/>
      <c r="F223" s="119"/>
      <c r="G223" s="14"/>
    </row>
    <row r="224" spans="1:7" ht="13.5" x14ac:dyDescent="0.25">
      <c r="A224" s="13"/>
      <c r="B224" s="119" t="s">
        <v>34</v>
      </c>
      <c r="C224" s="144" t="s">
        <v>36</v>
      </c>
      <c r="D224" s="144"/>
      <c r="E224" s="144"/>
      <c r="F224" s="144"/>
      <c r="G224" s="14"/>
    </row>
    <row r="225" spans="2:9" x14ac:dyDescent="0.25">
      <c r="F225" s="40"/>
    </row>
    <row r="226" spans="2:9" x14ac:dyDescent="0.25">
      <c r="F226" s="40"/>
    </row>
    <row r="227" spans="2:9" x14ac:dyDescent="0.25">
      <c r="F227" s="40"/>
    </row>
    <row r="235" spans="2:9" x14ac:dyDescent="0.25">
      <c r="B235" s="19" t="s">
        <v>93</v>
      </c>
      <c r="C235" s="22" t="s">
        <v>12</v>
      </c>
      <c r="D235" s="69"/>
      <c r="E235" s="23">
        <f t="shared" ref="E235:E258" si="18">SUMIFS($E$17:$E$203,$B$17:$B$203,B235)</f>
        <v>0</v>
      </c>
      <c r="F235" s="31">
        <v>6500</v>
      </c>
      <c r="G235" s="36">
        <f>E235*F235</f>
        <v>0</v>
      </c>
      <c r="H235" s="74">
        <f t="shared" ref="H235:H258" si="19">SUMIFS($G$17:$G$203,$B$17:$B$203,B235)</f>
        <v>0</v>
      </c>
      <c r="I235" s="40">
        <f t="shared" ref="I235:I258" si="20">G235-H235</f>
        <v>0</v>
      </c>
    </row>
    <row r="236" spans="2:9" x14ac:dyDescent="0.25">
      <c r="B236" s="19" t="s">
        <v>65</v>
      </c>
      <c r="C236" s="22" t="s">
        <v>12</v>
      </c>
      <c r="D236" s="69"/>
      <c r="E236" s="23">
        <f t="shared" si="18"/>
        <v>1.2300000000000002</v>
      </c>
      <c r="F236" s="31">
        <v>6500</v>
      </c>
      <c r="G236" s="36">
        <f t="shared" ref="G236:G263" si="21">E236*F236</f>
        <v>7995.0000000000009</v>
      </c>
      <c r="H236" s="74">
        <f t="shared" si="19"/>
        <v>7995</v>
      </c>
      <c r="I236" s="40">
        <f t="shared" si="20"/>
        <v>0</v>
      </c>
    </row>
    <row r="237" spans="2:9" x14ac:dyDescent="0.25">
      <c r="B237" s="19" t="s">
        <v>87</v>
      </c>
      <c r="C237" s="22" t="s">
        <v>12</v>
      </c>
      <c r="D237" s="69"/>
      <c r="E237" s="23">
        <f t="shared" si="18"/>
        <v>4.6150000000000002</v>
      </c>
      <c r="F237" s="31">
        <v>6500</v>
      </c>
      <c r="G237" s="36">
        <f t="shared" si="21"/>
        <v>29997.5</v>
      </c>
      <c r="H237" s="74">
        <f t="shared" si="19"/>
        <v>29997.5</v>
      </c>
      <c r="I237" s="40">
        <f t="shared" si="20"/>
        <v>0</v>
      </c>
    </row>
    <row r="238" spans="2:9" x14ac:dyDescent="0.25">
      <c r="B238" s="19" t="s">
        <v>44</v>
      </c>
      <c r="C238" s="22" t="s">
        <v>12</v>
      </c>
      <c r="D238" s="6"/>
      <c r="E238" s="23">
        <f t="shared" si="18"/>
        <v>0.7360000000000001</v>
      </c>
      <c r="F238" s="31">
        <v>6500</v>
      </c>
      <c r="G238" s="36">
        <f t="shared" si="21"/>
        <v>4784.0000000000009</v>
      </c>
      <c r="H238" s="74">
        <f t="shared" si="19"/>
        <v>4784</v>
      </c>
      <c r="I238" s="40">
        <f t="shared" si="20"/>
        <v>0</v>
      </c>
    </row>
    <row r="239" spans="2:9" x14ac:dyDescent="0.25">
      <c r="B239" s="19" t="s">
        <v>71</v>
      </c>
      <c r="C239" s="22" t="s">
        <v>12</v>
      </c>
      <c r="D239" s="6"/>
      <c r="E239" s="23">
        <f t="shared" si="18"/>
        <v>1.2549999999999999</v>
      </c>
      <c r="F239" s="31">
        <v>6500</v>
      </c>
      <c r="G239" s="36">
        <f t="shared" si="21"/>
        <v>8157.4999999999991</v>
      </c>
      <c r="H239" s="74">
        <f t="shared" si="19"/>
        <v>8157.4999999999991</v>
      </c>
      <c r="I239" s="40">
        <f t="shared" si="20"/>
        <v>0</v>
      </c>
    </row>
    <row r="240" spans="2:9" x14ac:dyDescent="0.25">
      <c r="B240" s="19" t="s">
        <v>83</v>
      </c>
      <c r="C240" s="22" t="s">
        <v>12</v>
      </c>
      <c r="D240" s="69"/>
      <c r="E240" s="23">
        <f t="shared" si="18"/>
        <v>1.0310000000000001</v>
      </c>
      <c r="F240" s="31">
        <v>6500</v>
      </c>
      <c r="G240" s="36">
        <f t="shared" si="21"/>
        <v>6701.5000000000009</v>
      </c>
      <c r="H240" s="74">
        <f t="shared" si="19"/>
        <v>6701.5</v>
      </c>
      <c r="I240" s="40">
        <f t="shared" si="20"/>
        <v>0</v>
      </c>
    </row>
    <row r="241" spans="2:9" x14ac:dyDescent="0.25">
      <c r="B241" s="19" t="s">
        <v>43</v>
      </c>
      <c r="C241" s="22" t="s">
        <v>12</v>
      </c>
      <c r="D241" s="69"/>
      <c r="E241" s="23">
        <f t="shared" si="18"/>
        <v>0.441</v>
      </c>
      <c r="F241" s="31">
        <v>6500</v>
      </c>
      <c r="G241" s="36">
        <f t="shared" si="21"/>
        <v>2866.5</v>
      </c>
      <c r="H241" s="74">
        <f t="shared" si="19"/>
        <v>2866.5</v>
      </c>
      <c r="I241" s="40">
        <f t="shared" si="20"/>
        <v>0</v>
      </c>
    </row>
    <row r="242" spans="2:9" x14ac:dyDescent="0.25">
      <c r="B242" s="19" t="s">
        <v>80</v>
      </c>
      <c r="C242" s="22" t="s">
        <v>12</v>
      </c>
      <c r="D242" s="69"/>
      <c r="E242" s="23">
        <f t="shared" si="18"/>
        <v>1.698</v>
      </c>
      <c r="F242" s="31">
        <v>6500</v>
      </c>
      <c r="G242" s="36">
        <f t="shared" si="21"/>
        <v>11037</v>
      </c>
      <c r="H242" s="74">
        <f t="shared" si="19"/>
        <v>11037</v>
      </c>
      <c r="I242" s="40">
        <f t="shared" si="20"/>
        <v>0</v>
      </c>
    </row>
    <row r="243" spans="2:9" x14ac:dyDescent="0.25">
      <c r="B243" s="19" t="s">
        <v>75</v>
      </c>
      <c r="C243" s="22" t="s">
        <v>12</v>
      </c>
      <c r="D243" s="69"/>
      <c r="E243" s="23">
        <f t="shared" si="18"/>
        <v>1.4370000000000001</v>
      </c>
      <c r="F243" s="31">
        <v>6500</v>
      </c>
      <c r="G243" s="36">
        <f t="shared" si="21"/>
        <v>9340.5</v>
      </c>
      <c r="H243" s="74">
        <f t="shared" si="19"/>
        <v>9340.5</v>
      </c>
      <c r="I243" s="40">
        <f t="shared" si="20"/>
        <v>0</v>
      </c>
    </row>
    <row r="244" spans="2:9" x14ac:dyDescent="0.25">
      <c r="B244" s="19" t="s">
        <v>77</v>
      </c>
      <c r="C244" s="22" t="s">
        <v>12</v>
      </c>
      <c r="D244" s="69"/>
      <c r="E244" s="23">
        <f t="shared" si="18"/>
        <v>0.56699999999999995</v>
      </c>
      <c r="F244" s="31">
        <v>6500</v>
      </c>
      <c r="G244" s="36">
        <f t="shared" si="21"/>
        <v>3685.4999999999995</v>
      </c>
      <c r="H244" s="74">
        <f t="shared" si="19"/>
        <v>3685.4999999999995</v>
      </c>
      <c r="I244" s="40">
        <f t="shared" si="20"/>
        <v>0</v>
      </c>
    </row>
    <row r="245" spans="2:9" x14ac:dyDescent="0.25">
      <c r="B245" s="19" t="s">
        <v>79</v>
      </c>
      <c r="C245" s="22" t="s">
        <v>12</v>
      </c>
      <c r="D245" s="69"/>
      <c r="E245" s="23">
        <f t="shared" si="18"/>
        <v>0</v>
      </c>
      <c r="F245" s="31">
        <v>6500</v>
      </c>
      <c r="G245" s="36">
        <f t="shared" si="21"/>
        <v>0</v>
      </c>
      <c r="H245" s="74">
        <f t="shared" si="19"/>
        <v>0</v>
      </c>
      <c r="I245" s="40">
        <f t="shared" si="20"/>
        <v>0</v>
      </c>
    </row>
    <row r="246" spans="2:9" x14ac:dyDescent="0.25">
      <c r="B246" s="19" t="s">
        <v>78</v>
      </c>
      <c r="C246" s="22" t="s">
        <v>12</v>
      </c>
      <c r="D246" s="69"/>
      <c r="E246" s="23">
        <f t="shared" si="18"/>
        <v>0</v>
      </c>
      <c r="F246" s="31">
        <v>6500</v>
      </c>
      <c r="G246" s="36">
        <f>E246*F246</f>
        <v>0</v>
      </c>
      <c r="H246" s="74">
        <f t="shared" si="19"/>
        <v>0</v>
      </c>
      <c r="I246" s="40">
        <f t="shared" si="20"/>
        <v>0</v>
      </c>
    </row>
    <row r="247" spans="2:9" x14ac:dyDescent="0.25">
      <c r="B247" s="19" t="s">
        <v>76</v>
      </c>
      <c r="C247" s="22" t="s">
        <v>11</v>
      </c>
      <c r="D247" s="69"/>
      <c r="E247" s="23">
        <f t="shared" si="18"/>
        <v>113.74719999999999</v>
      </c>
      <c r="F247" s="31"/>
      <c r="G247" s="36">
        <f t="shared" si="21"/>
        <v>0</v>
      </c>
      <c r="H247" s="74">
        <f t="shared" si="19"/>
        <v>0</v>
      </c>
      <c r="I247" s="40">
        <f t="shared" si="20"/>
        <v>0</v>
      </c>
    </row>
    <row r="248" spans="2:9" x14ac:dyDescent="0.25">
      <c r="B248" s="19" t="s">
        <v>50</v>
      </c>
      <c r="C248" s="22" t="s">
        <v>11</v>
      </c>
      <c r="D248" s="69"/>
      <c r="E248" s="23">
        <f t="shared" si="18"/>
        <v>1.1900000000000001E-2</v>
      </c>
      <c r="F248" s="31">
        <v>2000</v>
      </c>
      <c r="G248" s="36">
        <f t="shared" si="21"/>
        <v>23.8</v>
      </c>
      <c r="H248" s="74">
        <f t="shared" si="19"/>
        <v>23.8</v>
      </c>
      <c r="I248" s="40">
        <f t="shared" si="20"/>
        <v>0</v>
      </c>
    </row>
    <row r="249" spans="2:9" x14ac:dyDescent="0.25">
      <c r="B249" s="21" t="s">
        <v>13</v>
      </c>
      <c r="C249" s="22" t="s">
        <v>12</v>
      </c>
      <c r="D249" s="69"/>
      <c r="E249" s="23">
        <f t="shared" si="18"/>
        <v>2.93E-2</v>
      </c>
      <c r="F249" s="31">
        <v>8500</v>
      </c>
      <c r="G249" s="36">
        <f t="shared" si="21"/>
        <v>249.04999999999998</v>
      </c>
      <c r="H249" s="74">
        <f t="shared" si="19"/>
        <v>249.05000000000004</v>
      </c>
      <c r="I249" s="40">
        <f t="shared" si="20"/>
        <v>0</v>
      </c>
    </row>
    <row r="250" spans="2:9" x14ac:dyDescent="0.25">
      <c r="B250" s="19" t="s">
        <v>82</v>
      </c>
      <c r="C250" s="22" t="s">
        <v>11</v>
      </c>
      <c r="D250" s="69"/>
      <c r="E250" s="23">
        <f t="shared" si="18"/>
        <v>1.1415</v>
      </c>
      <c r="F250" s="31">
        <v>2563.75</v>
      </c>
      <c r="G250" s="36">
        <f t="shared" si="21"/>
        <v>2926.5206250000001</v>
      </c>
      <c r="H250" s="74">
        <f t="shared" si="19"/>
        <v>2926.5206249999997</v>
      </c>
      <c r="I250" s="40">
        <f t="shared" si="20"/>
        <v>0</v>
      </c>
    </row>
    <row r="251" spans="2:9" x14ac:dyDescent="0.25">
      <c r="B251" s="19" t="s">
        <v>103</v>
      </c>
      <c r="C251" s="22" t="s">
        <v>104</v>
      </c>
      <c r="D251" s="69"/>
      <c r="E251" s="23">
        <f t="shared" si="18"/>
        <v>25.736999999999998</v>
      </c>
      <c r="F251" s="31">
        <v>593.79999999999995</v>
      </c>
      <c r="G251" s="36">
        <f t="shared" si="21"/>
        <v>15282.630599999999</v>
      </c>
      <c r="H251" s="74">
        <f t="shared" si="19"/>
        <v>15282.630599999999</v>
      </c>
      <c r="I251" s="40">
        <f t="shared" si="20"/>
        <v>0</v>
      </c>
    </row>
    <row r="252" spans="2:9" x14ac:dyDescent="0.25">
      <c r="B252" s="19" t="s">
        <v>90</v>
      </c>
      <c r="C252" s="22" t="s">
        <v>64</v>
      </c>
      <c r="D252" s="69"/>
      <c r="E252" s="23">
        <f t="shared" si="18"/>
        <v>0</v>
      </c>
      <c r="F252" s="31">
        <v>50</v>
      </c>
      <c r="G252" s="36">
        <f t="shared" si="21"/>
        <v>0</v>
      </c>
      <c r="H252" s="74">
        <f t="shared" si="19"/>
        <v>0</v>
      </c>
      <c r="I252" s="40">
        <f t="shared" si="20"/>
        <v>0</v>
      </c>
    </row>
    <row r="253" spans="2:9" x14ac:dyDescent="0.25">
      <c r="B253" s="19" t="s">
        <v>91</v>
      </c>
      <c r="C253" s="22" t="s">
        <v>64</v>
      </c>
      <c r="D253" s="69"/>
      <c r="E253" s="23">
        <f t="shared" si="18"/>
        <v>0</v>
      </c>
      <c r="F253" s="31">
        <v>50</v>
      </c>
      <c r="G253" s="36">
        <f t="shared" si="21"/>
        <v>0</v>
      </c>
      <c r="H253" s="74">
        <f t="shared" si="19"/>
        <v>0</v>
      </c>
      <c r="I253" s="40">
        <f t="shared" si="20"/>
        <v>0</v>
      </c>
    </row>
    <row r="254" spans="2:9" x14ac:dyDescent="0.25">
      <c r="B254" s="19" t="s">
        <v>92</v>
      </c>
      <c r="C254" s="22" t="s">
        <v>64</v>
      </c>
      <c r="D254" s="69"/>
      <c r="E254" s="23">
        <f t="shared" si="18"/>
        <v>0</v>
      </c>
      <c r="F254" s="31">
        <v>50</v>
      </c>
      <c r="G254" s="36">
        <f t="shared" si="21"/>
        <v>0</v>
      </c>
      <c r="H254" s="74">
        <f t="shared" si="19"/>
        <v>0</v>
      </c>
      <c r="I254" s="40">
        <f t="shared" si="20"/>
        <v>0</v>
      </c>
    </row>
    <row r="255" spans="2:9" x14ac:dyDescent="0.25">
      <c r="B255" s="21" t="s">
        <v>29</v>
      </c>
      <c r="C255" s="22" t="s">
        <v>12</v>
      </c>
      <c r="D255" s="69"/>
      <c r="E255" s="23">
        <f t="shared" si="18"/>
        <v>80.304199999999994</v>
      </c>
      <c r="F255" s="31">
        <f>2449.06/159.17</f>
        <v>15.386442168750394</v>
      </c>
      <c r="G255" s="36">
        <f t="shared" si="21"/>
        <v>1235.5959292077653</v>
      </c>
      <c r="H255" s="74">
        <f t="shared" si="19"/>
        <v>1235.5959292077653</v>
      </c>
      <c r="I255" s="40">
        <f t="shared" si="20"/>
        <v>0</v>
      </c>
    </row>
    <row r="256" spans="2:9" x14ac:dyDescent="0.25">
      <c r="B256" s="21" t="s">
        <v>101</v>
      </c>
      <c r="C256" s="22" t="s">
        <v>12</v>
      </c>
      <c r="D256" s="69"/>
      <c r="E256" s="23">
        <f t="shared" si="18"/>
        <v>30.501899999999999</v>
      </c>
      <c r="F256" s="31">
        <v>36</v>
      </c>
      <c r="G256" s="36">
        <f t="shared" ref="G256" si="22">E256*F256</f>
        <v>1098.0683999999999</v>
      </c>
      <c r="H256" s="74">
        <f t="shared" si="19"/>
        <v>1098.0683999999999</v>
      </c>
      <c r="I256" s="40">
        <f t="shared" si="20"/>
        <v>0</v>
      </c>
    </row>
    <row r="257" spans="2:9" x14ac:dyDescent="0.25">
      <c r="B257" s="19" t="s">
        <v>25</v>
      </c>
      <c r="C257" s="22" t="s">
        <v>11</v>
      </c>
      <c r="D257" s="69"/>
      <c r="E257" s="23">
        <f t="shared" si="18"/>
        <v>0.26979999999999998</v>
      </c>
      <c r="F257" s="31">
        <v>2500</v>
      </c>
      <c r="G257" s="36">
        <f t="shared" si="21"/>
        <v>674.5</v>
      </c>
      <c r="H257" s="74">
        <f t="shared" si="19"/>
        <v>674.5</v>
      </c>
      <c r="I257" s="40">
        <f t="shared" si="20"/>
        <v>0</v>
      </c>
    </row>
    <row r="258" spans="2:9" x14ac:dyDescent="0.25">
      <c r="B258" s="19" t="s">
        <v>70</v>
      </c>
      <c r="C258" s="22" t="s">
        <v>12</v>
      </c>
      <c r="D258" s="69"/>
      <c r="E258" s="23">
        <f t="shared" si="18"/>
        <v>8.6E-3</v>
      </c>
      <c r="F258" s="31">
        <v>5423.7330000000002</v>
      </c>
      <c r="G258" s="36">
        <f t="shared" si="21"/>
        <v>46.644103800000003</v>
      </c>
      <c r="H258" s="74">
        <f t="shared" si="19"/>
        <v>46.644103800000003</v>
      </c>
      <c r="I258" s="40">
        <f t="shared" si="20"/>
        <v>0</v>
      </c>
    </row>
    <row r="259" spans="2:9" x14ac:dyDescent="0.25">
      <c r="B259" s="21" t="s">
        <v>99</v>
      </c>
      <c r="C259" s="22" t="s">
        <v>12</v>
      </c>
      <c r="D259" s="69"/>
      <c r="E259" s="23">
        <f t="shared" ref="E259:E260" si="23">SUMIFS($E$17:$E$203,$B$17:$B$203,B259)</f>
        <v>4.2622999999999998</v>
      </c>
      <c r="F259" s="31">
        <v>580</v>
      </c>
      <c r="G259" s="36">
        <f t="shared" si="21"/>
        <v>2472.134</v>
      </c>
      <c r="H259" s="74">
        <f t="shared" ref="H259:H260" si="24">SUMIFS($G$17:$G$203,$B$17:$B$203,B259)</f>
        <v>2472.134</v>
      </c>
      <c r="I259" s="40">
        <f t="shared" ref="I259:I260" si="25">G259-H259</f>
        <v>0</v>
      </c>
    </row>
    <row r="260" spans="2:9" x14ac:dyDescent="0.25">
      <c r="B260" s="21" t="s">
        <v>72</v>
      </c>
      <c r="C260" s="22" t="s">
        <v>12</v>
      </c>
      <c r="D260" s="69"/>
      <c r="E260" s="23">
        <f t="shared" si="23"/>
        <v>42.277900000000002</v>
      </c>
      <c r="F260" s="73">
        <v>630</v>
      </c>
      <c r="G260" s="36">
        <f t="shared" si="21"/>
        <v>26635.077000000001</v>
      </c>
      <c r="H260" s="74">
        <f t="shared" si="24"/>
        <v>26635.077000000001</v>
      </c>
      <c r="I260" s="40">
        <f t="shared" si="25"/>
        <v>0</v>
      </c>
    </row>
    <row r="261" spans="2:9" x14ac:dyDescent="0.25">
      <c r="B261" s="21" t="s">
        <v>28</v>
      </c>
      <c r="C261" s="22" t="s">
        <v>12</v>
      </c>
      <c r="D261" s="69"/>
      <c r="E261" s="23">
        <f>SUMIFS($E$17:$E$203,$B$17:$B$203,B261)</f>
        <v>147.44299999999998</v>
      </c>
      <c r="F261" s="31">
        <f>4991.72/392.53</f>
        <v>12.7167859781418</v>
      </c>
      <c r="G261" s="36">
        <f t="shared" si="21"/>
        <v>1875.0010749751611</v>
      </c>
      <c r="H261" s="74">
        <f>SUMIFS($G$17:$G$203,$B$17:$B$203,B261)</f>
        <v>1875.0010749751614</v>
      </c>
      <c r="I261" s="40">
        <f>G261-H261</f>
        <v>0</v>
      </c>
    </row>
    <row r="262" spans="2:9" x14ac:dyDescent="0.25">
      <c r="B262" s="19" t="s">
        <v>24</v>
      </c>
      <c r="C262" s="22" t="s">
        <v>14</v>
      </c>
      <c r="D262" s="69"/>
      <c r="E262" s="23">
        <f>SUMIFS($E$17:$E$203,$B$17:$B$203,B262)</f>
        <v>60.213299999999997</v>
      </c>
      <c r="F262" s="73"/>
      <c r="G262" s="36">
        <f t="shared" si="21"/>
        <v>0</v>
      </c>
      <c r="H262" s="74">
        <f>SUMIFS($G$17:$G$203,$B$17:$B$203,B262)</f>
        <v>0</v>
      </c>
      <c r="I262" s="40">
        <f>G262-H262</f>
        <v>0</v>
      </c>
    </row>
    <row r="263" spans="2:9" x14ac:dyDescent="0.25">
      <c r="B263" s="19" t="s">
        <v>39</v>
      </c>
      <c r="C263" s="22" t="s">
        <v>12</v>
      </c>
      <c r="D263" s="69"/>
      <c r="E263" s="23">
        <f>SUMIFS($E$17:$E$203,$B$17:$B$203,B263)</f>
        <v>0.1353</v>
      </c>
      <c r="F263" s="31">
        <v>9500</v>
      </c>
      <c r="G263" s="36">
        <f t="shared" si="21"/>
        <v>1285.3500000000001</v>
      </c>
      <c r="H263" s="74">
        <f>SUMIFS($G$17:$G$203,$B$17:$B$203,B263)</f>
        <v>1285.3499999999999</v>
      </c>
      <c r="I263" s="40">
        <f>G263-H263</f>
        <v>0</v>
      </c>
    </row>
    <row r="264" spans="2:9" x14ac:dyDescent="0.25">
      <c r="G264" s="58">
        <f>SUM(G235:G263)</f>
        <v>138369.37173298295</v>
      </c>
    </row>
  </sheetData>
  <autoFilter ref="A15:G201">
    <filterColumn colId="3" showButton="0"/>
  </autoFilter>
  <mergeCells count="17">
    <mergeCell ref="C222:F222"/>
    <mergeCell ref="C224:F224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  <mergeCell ref="A10:G10"/>
    <mergeCell ref="E1:G1"/>
    <mergeCell ref="E3:G3"/>
    <mergeCell ref="E5:G5"/>
    <mergeCell ref="A6:E6"/>
    <mergeCell ref="A8:G8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61"/>
  <sheetViews>
    <sheetView view="pageBreakPreview" topLeftCell="A204" zoomScale="130" zoomScaleNormal="130" zoomScaleSheetLayoutView="130" workbookViewId="0">
      <selection activeCell="B235" sqref="B235:B236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33"/>
      <c r="C7" s="133"/>
      <c r="D7" s="132"/>
      <c r="E7" s="132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30"/>
      <c r="B9" s="48"/>
      <c r="C9" s="130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30"/>
      <c r="B11" s="145" t="s">
        <v>171</v>
      </c>
      <c r="C11" s="145"/>
      <c r="D11" s="145"/>
      <c r="E11" s="145"/>
      <c r="F11" s="145"/>
      <c r="G11" s="145"/>
    </row>
    <row r="12" spans="1:7" ht="20.25" x14ac:dyDescent="0.25">
      <c r="A12" s="146" t="s">
        <v>172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150</v>
      </c>
      <c r="B13" s="148"/>
      <c r="C13" s="148"/>
      <c r="D13" s="148"/>
      <c r="E13" s="148"/>
      <c r="F13" s="149"/>
      <c r="G13" s="148"/>
    </row>
    <row r="14" spans="1:7" ht="13.5" x14ac:dyDescent="0.25">
      <c r="A14" s="130"/>
      <c r="B14" s="130"/>
      <c r="C14" s="130"/>
      <c r="D14" s="130"/>
      <c r="E14" s="130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31" t="s">
        <v>5</v>
      </c>
      <c r="E16" s="131" t="s">
        <v>6</v>
      </c>
      <c r="F16" s="150"/>
      <c r="G16" s="150"/>
    </row>
    <row r="17" spans="1:7" s="51" customFormat="1" ht="27" x14ac:dyDescent="0.25">
      <c r="A17" s="15" t="s">
        <v>45</v>
      </c>
      <c r="B17" s="16" t="s">
        <v>179</v>
      </c>
      <c r="C17" s="17" t="s">
        <v>20</v>
      </c>
      <c r="D17" s="18"/>
      <c r="E17" s="30">
        <f>0.38*0.38*2.9*4/100</f>
        <v>1.6750399999999999E-2</v>
      </c>
      <c r="F17" s="30"/>
      <c r="G17" s="19"/>
    </row>
    <row r="18" spans="1:7" s="51" customFormat="1" x14ac:dyDescent="0.25">
      <c r="A18" s="20">
        <v>1</v>
      </c>
      <c r="B18" s="21" t="s">
        <v>46</v>
      </c>
      <c r="C18" s="22" t="s">
        <v>7</v>
      </c>
      <c r="D18" s="18">
        <v>1569.4</v>
      </c>
      <c r="E18" s="23">
        <f>ROUND(D18*E17,4)</f>
        <v>26.2881</v>
      </c>
      <c r="F18" s="31">
        <v>10.46</v>
      </c>
      <c r="G18" s="24">
        <f t="shared" ref="G18:G30" si="0">F18*E18</f>
        <v>274.97352600000005</v>
      </c>
    </row>
    <row r="19" spans="1:7" s="51" customFormat="1" x14ac:dyDescent="0.25">
      <c r="A19" s="20">
        <v>2</v>
      </c>
      <c r="B19" s="21" t="s">
        <v>18</v>
      </c>
      <c r="C19" s="22" t="s">
        <v>7</v>
      </c>
      <c r="D19" s="18">
        <v>93.3</v>
      </c>
      <c r="E19" s="23">
        <f>ROUND(D19*E17,4)</f>
        <v>1.5628</v>
      </c>
      <c r="F19" s="31">
        <v>15.44</v>
      </c>
      <c r="G19" s="24">
        <f t="shared" si="0"/>
        <v>24.129631999999997</v>
      </c>
    </row>
    <row r="20" spans="1:7" s="51" customFormat="1" ht="25.5" x14ac:dyDescent="0.25">
      <c r="A20" s="20" t="s">
        <v>40</v>
      </c>
      <c r="B20" s="19" t="s">
        <v>47</v>
      </c>
      <c r="C20" s="22" t="s">
        <v>19</v>
      </c>
      <c r="D20" s="18">
        <v>93.3</v>
      </c>
      <c r="E20" s="23">
        <f>ROUND(D20*E17,4)</f>
        <v>1.5628</v>
      </c>
      <c r="F20" s="31">
        <f>152.37-15.44</f>
        <v>136.93</v>
      </c>
      <c r="G20" s="24">
        <f t="shared" si="0"/>
        <v>213.994204</v>
      </c>
    </row>
    <row r="21" spans="1:7" s="51" customFormat="1" x14ac:dyDescent="0.25">
      <c r="A21" s="20" t="s">
        <v>41</v>
      </c>
      <c r="B21" s="21" t="s">
        <v>38</v>
      </c>
      <c r="C21" s="22" t="s">
        <v>19</v>
      </c>
      <c r="D21" s="18">
        <v>124.95</v>
      </c>
      <c r="E21" s="23">
        <f>ROUND(D21*E17,4)</f>
        <v>2.093</v>
      </c>
      <c r="F21" s="31">
        <v>8.4600000000000009</v>
      </c>
      <c r="G21" s="24">
        <f t="shared" si="0"/>
        <v>17.706780000000002</v>
      </c>
    </row>
    <row r="22" spans="1:7" s="51" customFormat="1" x14ac:dyDescent="0.25">
      <c r="A22" s="20">
        <v>111100</v>
      </c>
      <c r="B22" s="19" t="s">
        <v>27</v>
      </c>
      <c r="C22" s="22" t="s">
        <v>19</v>
      </c>
      <c r="D22" s="18">
        <v>61.88</v>
      </c>
      <c r="E22" s="23">
        <f>ROUND(D22*E17,4)</f>
        <v>1.0365</v>
      </c>
      <c r="F22" s="31">
        <v>2.83</v>
      </c>
      <c r="G22" s="24">
        <f t="shared" si="0"/>
        <v>2.9332950000000002</v>
      </c>
    </row>
    <row r="23" spans="1:7" s="51" customFormat="1" x14ac:dyDescent="0.25">
      <c r="A23" s="20">
        <v>331532</v>
      </c>
      <c r="B23" s="19" t="s">
        <v>26</v>
      </c>
      <c r="C23" s="22" t="s">
        <v>19</v>
      </c>
      <c r="D23" s="18">
        <v>1.9</v>
      </c>
      <c r="E23" s="23">
        <f>ROUND(D23*E17,4)</f>
        <v>3.1800000000000002E-2</v>
      </c>
      <c r="F23" s="31">
        <v>1.63</v>
      </c>
      <c r="G23" s="24">
        <f t="shared" si="0"/>
        <v>5.1833999999999998E-2</v>
      </c>
    </row>
    <row r="24" spans="1:7" s="51" customFormat="1" x14ac:dyDescent="0.25">
      <c r="A24" s="20" t="s">
        <v>48</v>
      </c>
      <c r="B24" s="19" t="s">
        <v>39</v>
      </c>
      <c r="C24" s="22" t="s">
        <v>12</v>
      </c>
      <c r="D24" s="18">
        <v>0.15</v>
      </c>
      <c r="E24" s="23">
        <f>ROUND(D24*E17,4)</f>
        <v>2.5000000000000001E-3</v>
      </c>
      <c r="F24" s="31">
        <v>9500</v>
      </c>
      <c r="G24" s="24">
        <f t="shared" si="0"/>
        <v>23.75</v>
      </c>
    </row>
    <row r="25" spans="1:7" s="51" customFormat="1" x14ac:dyDescent="0.25">
      <c r="A25" s="20" t="s">
        <v>74</v>
      </c>
      <c r="B25" s="19" t="s">
        <v>25</v>
      </c>
      <c r="C25" s="22" t="s">
        <v>11</v>
      </c>
      <c r="D25" s="18">
        <v>1.7</v>
      </c>
      <c r="E25" s="23">
        <f>ROUND(D25*E17,4)</f>
        <v>2.8500000000000001E-2</v>
      </c>
      <c r="F25" s="31">
        <v>2500</v>
      </c>
      <c r="G25" s="24">
        <f t="shared" si="0"/>
        <v>71.25</v>
      </c>
    </row>
    <row r="26" spans="1:7" s="51" customFormat="1" x14ac:dyDescent="0.25">
      <c r="A26" s="20" t="s">
        <v>49</v>
      </c>
      <c r="B26" s="19" t="s">
        <v>50</v>
      </c>
      <c r="C26" s="22" t="s">
        <v>11</v>
      </c>
      <c r="D26" s="18">
        <v>0.25</v>
      </c>
      <c r="E26" s="23">
        <f>ROUND(D26*E17,4)</f>
        <v>4.1999999999999997E-3</v>
      </c>
      <c r="F26" s="31">
        <v>2000</v>
      </c>
      <c r="G26" s="24">
        <f t="shared" si="0"/>
        <v>8.4</v>
      </c>
    </row>
    <row r="27" spans="1:7" s="51" customFormat="1" x14ac:dyDescent="0.25">
      <c r="A27" s="20" t="s">
        <v>22</v>
      </c>
      <c r="B27" s="19" t="s">
        <v>24</v>
      </c>
      <c r="C27" s="22" t="s">
        <v>14</v>
      </c>
      <c r="D27" s="18">
        <v>135</v>
      </c>
      <c r="E27" s="23">
        <f>ROUND(D27*E17,4)</f>
        <v>2.2612999999999999</v>
      </c>
      <c r="F27" s="24"/>
      <c r="G27" s="24">
        <f t="shared" si="0"/>
        <v>0</v>
      </c>
    </row>
    <row r="28" spans="1:7" s="51" customFormat="1" x14ac:dyDescent="0.25">
      <c r="A28" s="20" t="s">
        <v>16</v>
      </c>
      <c r="B28" s="19" t="s">
        <v>77</v>
      </c>
      <c r="C28" s="22" t="s">
        <v>12</v>
      </c>
      <c r="D28" s="18" t="s">
        <v>17</v>
      </c>
      <c r="E28" s="23">
        <f>283/1000</f>
        <v>0.28299999999999997</v>
      </c>
      <c r="F28" s="31">
        <v>6500</v>
      </c>
      <c r="G28" s="24">
        <f t="shared" si="0"/>
        <v>1839.4999999999998</v>
      </c>
    </row>
    <row r="29" spans="1:7" s="51" customFormat="1" x14ac:dyDescent="0.25">
      <c r="A29" s="20" t="s">
        <v>16</v>
      </c>
      <c r="B29" s="19" t="s">
        <v>75</v>
      </c>
      <c r="C29" s="22" t="s">
        <v>12</v>
      </c>
      <c r="D29" s="18" t="s">
        <v>17</v>
      </c>
      <c r="E29" s="23">
        <f>210/1000</f>
        <v>0.21</v>
      </c>
      <c r="F29" s="31">
        <v>6500</v>
      </c>
      <c r="G29" s="24">
        <f t="shared" si="0"/>
        <v>1365</v>
      </c>
    </row>
    <row r="30" spans="1:7" s="51" customFormat="1" x14ac:dyDescent="0.25">
      <c r="A30" s="20" t="s">
        <v>16</v>
      </c>
      <c r="B30" s="19" t="s">
        <v>65</v>
      </c>
      <c r="C30" s="22" t="s">
        <v>12</v>
      </c>
      <c r="D30" s="18" t="s">
        <v>17</v>
      </c>
      <c r="E30" s="23">
        <f>75/1000</f>
        <v>7.4999999999999997E-2</v>
      </c>
      <c r="F30" s="31">
        <v>6500</v>
      </c>
      <c r="G30" s="24">
        <f t="shared" si="0"/>
        <v>487.5</v>
      </c>
    </row>
    <row r="31" spans="1:7" s="51" customFormat="1" x14ac:dyDescent="0.25">
      <c r="A31" s="20" t="s">
        <v>23</v>
      </c>
      <c r="B31" s="19" t="s">
        <v>76</v>
      </c>
      <c r="C31" s="22" t="s">
        <v>11</v>
      </c>
      <c r="D31" s="18">
        <v>100</v>
      </c>
      <c r="E31" s="23">
        <f>ROUND(D31*E17,4)</f>
        <v>1.675</v>
      </c>
      <c r="F31" s="24"/>
      <c r="G31" s="24"/>
    </row>
    <row r="32" spans="1:7" s="51" customFormat="1" x14ac:dyDescent="0.25">
      <c r="A32" s="20"/>
      <c r="B32" s="32" t="s">
        <v>72</v>
      </c>
      <c r="C32" s="22" t="s">
        <v>12</v>
      </c>
      <c r="D32" s="18">
        <v>0.38200000000000001</v>
      </c>
      <c r="E32" s="23">
        <f>ROUND(D32*E31,4)</f>
        <v>0.63990000000000002</v>
      </c>
      <c r="F32" s="31">
        <v>630</v>
      </c>
      <c r="G32" s="24">
        <f t="shared" ref="G32:G34" si="1">F32*E32</f>
        <v>403.137</v>
      </c>
    </row>
    <row r="33" spans="1:8" s="51" customFormat="1" x14ac:dyDescent="0.25">
      <c r="A33" s="20"/>
      <c r="B33" s="32" t="s">
        <v>29</v>
      </c>
      <c r="C33" s="22" t="s">
        <v>12</v>
      </c>
      <c r="D33" s="18">
        <f>47/100*1.52</f>
        <v>0.71439999999999992</v>
      </c>
      <c r="E33" s="23">
        <f>ROUND(D33*E31,4)</f>
        <v>1.1966000000000001</v>
      </c>
      <c r="F33" s="31">
        <f>2449.06/159.17</f>
        <v>15.386442168750394</v>
      </c>
      <c r="G33" s="24">
        <f t="shared" si="1"/>
        <v>18.411416699126722</v>
      </c>
    </row>
    <row r="34" spans="1:8" s="51" customFormat="1" x14ac:dyDescent="0.25">
      <c r="A34" s="20"/>
      <c r="B34" s="32" t="s">
        <v>28</v>
      </c>
      <c r="C34" s="22" t="s">
        <v>12</v>
      </c>
      <c r="D34" s="18">
        <f>80/100*1.6</f>
        <v>1.2800000000000002</v>
      </c>
      <c r="E34" s="23">
        <f>ROUND(D34*E31,4)</f>
        <v>2.1440000000000001</v>
      </c>
      <c r="F34" s="31">
        <f>4991.72/392.53</f>
        <v>12.7167859781418</v>
      </c>
      <c r="G34" s="24">
        <f t="shared" si="1"/>
        <v>27.26478913713602</v>
      </c>
    </row>
    <row r="35" spans="1:8" s="51" customFormat="1" ht="13.5" x14ac:dyDescent="0.25">
      <c r="A35" s="15"/>
      <c r="B35" s="25" t="s">
        <v>8</v>
      </c>
      <c r="C35" s="17"/>
      <c r="D35" s="26"/>
      <c r="E35" s="27"/>
      <c r="F35" s="28"/>
      <c r="G35" s="29">
        <f>SUM(G18:G34)</f>
        <v>4778.0024768362618</v>
      </c>
    </row>
    <row r="36" spans="1:8" s="51" customFormat="1" ht="27" x14ac:dyDescent="0.25">
      <c r="A36" s="15" t="s">
        <v>73</v>
      </c>
      <c r="B36" s="16" t="s">
        <v>173</v>
      </c>
      <c r="C36" s="17" t="s">
        <v>20</v>
      </c>
      <c r="D36" s="18"/>
      <c r="E36" s="17">
        <f>33.51/100</f>
        <v>0.33509999999999995</v>
      </c>
      <c r="F36" s="24"/>
      <c r="G36" s="24"/>
    </row>
    <row r="37" spans="1:8" s="51" customFormat="1" x14ac:dyDescent="0.25">
      <c r="A37" s="20">
        <v>1</v>
      </c>
      <c r="B37" s="21" t="s">
        <v>46</v>
      </c>
      <c r="C37" s="22" t="s">
        <v>7</v>
      </c>
      <c r="D37" s="18">
        <v>763.46</v>
      </c>
      <c r="E37" s="23">
        <f>ROUND(D37*E36,4)</f>
        <v>255.83539999999999</v>
      </c>
      <c r="F37" s="31">
        <v>10.46</v>
      </c>
      <c r="G37" s="24">
        <f t="shared" ref="G37:G52" si="2">F37*E37</f>
        <v>2676.0382840000002</v>
      </c>
    </row>
    <row r="38" spans="1:8" s="51" customFormat="1" x14ac:dyDescent="0.25">
      <c r="A38" s="20">
        <v>2</v>
      </c>
      <c r="B38" s="21" t="s">
        <v>18</v>
      </c>
      <c r="C38" s="22" t="s">
        <v>7</v>
      </c>
      <c r="D38" s="18">
        <v>70.45</v>
      </c>
      <c r="E38" s="23">
        <f>ROUND(D38*E36,4)</f>
        <v>23.607800000000001</v>
      </c>
      <c r="F38" s="31">
        <v>15.44</v>
      </c>
      <c r="G38" s="24">
        <f t="shared" si="2"/>
        <v>364.50443200000001</v>
      </c>
    </row>
    <row r="39" spans="1:8" s="51" customFormat="1" ht="25.5" x14ac:dyDescent="0.25">
      <c r="A39" s="20" t="s">
        <v>40</v>
      </c>
      <c r="B39" s="19" t="s">
        <v>47</v>
      </c>
      <c r="C39" s="22" t="s">
        <v>19</v>
      </c>
      <c r="D39" s="18">
        <v>70.45</v>
      </c>
      <c r="E39" s="23">
        <f>ROUND(D39*E36,4)</f>
        <v>23.607800000000001</v>
      </c>
      <c r="F39" s="31">
        <f>152.37-15.44</f>
        <v>136.93</v>
      </c>
      <c r="G39" s="24">
        <f t="shared" si="2"/>
        <v>3232.6160540000001</v>
      </c>
    </row>
    <row r="40" spans="1:8" s="51" customFormat="1" x14ac:dyDescent="0.25">
      <c r="A40" s="20" t="s">
        <v>41</v>
      </c>
      <c r="B40" s="21" t="s">
        <v>38</v>
      </c>
      <c r="C40" s="22" t="s">
        <v>19</v>
      </c>
      <c r="D40" s="18">
        <v>124.95</v>
      </c>
      <c r="E40" s="23">
        <f>ROUND(D40*E36,4)</f>
        <v>41.870699999999999</v>
      </c>
      <c r="F40" s="31">
        <v>8.4600000000000009</v>
      </c>
      <c r="G40" s="24">
        <f t="shared" si="2"/>
        <v>354.22612200000003</v>
      </c>
    </row>
    <row r="41" spans="1:8" s="51" customFormat="1" x14ac:dyDescent="0.25">
      <c r="A41" s="20">
        <v>111100</v>
      </c>
      <c r="B41" s="19" t="s">
        <v>27</v>
      </c>
      <c r="C41" s="22" t="s">
        <v>19</v>
      </c>
      <c r="D41" s="18">
        <v>30.11</v>
      </c>
      <c r="E41" s="23">
        <f>ROUND(D41*E36,4)</f>
        <v>10.0899</v>
      </c>
      <c r="F41" s="31">
        <v>2.83</v>
      </c>
      <c r="G41" s="24">
        <f t="shared" si="2"/>
        <v>28.554417000000001</v>
      </c>
    </row>
    <row r="42" spans="1:8" s="51" customFormat="1" x14ac:dyDescent="0.25">
      <c r="A42" s="20">
        <v>331532</v>
      </c>
      <c r="B42" s="19" t="s">
        <v>26</v>
      </c>
      <c r="C42" s="22" t="s">
        <v>19</v>
      </c>
      <c r="D42" s="18">
        <v>0.7</v>
      </c>
      <c r="E42" s="23">
        <f>ROUND(D42*E36,4)</f>
        <v>0.2346</v>
      </c>
      <c r="F42" s="31">
        <v>1.63</v>
      </c>
      <c r="G42" s="24">
        <f t="shared" si="2"/>
        <v>0.38239799999999996</v>
      </c>
    </row>
    <row r="43" spans="1:8" s="51" customFormat="1" x14ac:dyDescent="0.25">
      <c r="A43" s="20" t="s">
        <v>48</v>
      </c>
      <c r="B43" s="19" t="s">
        <v>39</v>
      </c>
      <c r="C43" s="22" t="s">
        <v>12</v>
      </c>
      <c r="D43" s="18">
        <v>0.15</v>
      </c>
      <c r="E43" s="23">
        <f>ROUND(D43*E36,4)</f>
        <v>5.0299999999999997E-2</v>
      </c>
      <c r="F43" s="31">
        <v>9500</v>
      </c>
      <c r="G43" s="24">
        <f t="shared" si="2"/>
        <v>477.84999999999997</v>
      </c>
    </row>
    <row r="44" spans="1:8" s="51" customFormat="1" x14ac:dyDescent="0.25">
      <c r="A44" s="20" t="s">
        <v>15</v>
      </c>
      <c r="B44" s="21" t="s">
        <v>13</v>
      </c>
      <c r="C44" s="22" t="s">
        <v>12</v>
      </c>
      <c r="D44" s="18">
        <v>1.7000000000000001E-2</v>
      </c>
      <c r="E44" s="23">
        <f>ROUND(D44*E36,4)</f>
        <v>5.7000000000000002E-3</v>
      </c>
      <c r="F44" s="31">
        <v>8500</v>
      </c>
      <c r="G44" s="24">
        <f t="shared" si="2"/>
        <v>48.45</v>
      </c>
    </row>
    <row r="45" spans="1:8" s="51" customFormat="1" x14ac:dyDescent="0.25">
      <c r="A45" s="20" t="s">
        <v>74</v>
      </c>
      <c r="B45" s="19" t="s">
        <v>25</v>
      </c>
      <c r="C45" s="22" t="s">
        <v>11</v>
      </c>
      <c r="D45" s="18">
        <v>0.72</v>
      </c>
      <c r="E45" s="23">
        <f>ROUND(D45*E36,4)</f>
        <v>0.24129999999999999</v>
      </c>
      <c r="F45" s="31">
        <v>2500</v>
      </c>
      <c r="G45" s="24">
        <f t="shared" si="2"/>
        <v>603.25</v>
      </c>
    </row>
    <row r="46" spans="1:8" s="51" customFormat="1" x14ac:dyDescent="0.25">
      <c r="A46" s="20" t="s">
        <v>22</v>
      </c>
      <c r="B46" s="19" t="s">
        <v>24</v>
      </c>
      <c r="C46" s="22" t="s">
        <v>14</v>
      </c>
      <c r="D46" s="18">
        <v>55</v>
      </c>
      <c r="E46" s="23">
        <f>ROUND(D46*E36,4)</f>
        <v>18.430499999999999</v>
      </c>
      <c r="F46" s="24"/>
      <c r="G46" s="24">
        <f t="shared" si="2"/>
        <v>0</v>
      </c>
    </row>
    <row r="47" spans="1:8" s="51" customFormat="1" x14ac:dyDescent="0.25">
      <c r="A47" s="20" t="s">
        <v>16</v>
      </c>
      <c r="B47" s="19" t="s">
        <v>77</v>
      </c>
      <c r="C47" s="22" t="s">
        <v>12</v>
      </c>
      <c r="D47" s="18" t="s">
        <v>17</v>
      </c>
      <c r="E47" s="23">
        <f>284/1000</f>
        <v>0.28399999999999997</v>
      </c>
      <c r="F47" s="31">
        <v>6500</v>
      </c>
      <c r="G47" s="24">
        <f t="shared" si="2"/>
        <v>1845.9999999999998</v>
      </c>
      <c r="H47" s="75"/>
    </row>
    <row r="48" spans="1:8" s="51" customFormat="1" x14ac:dyDescent="0.25">
      <c r="A48" s="20" t="s">
        <v>16</v>
      </c>
      <c r="B48" s="19" t="s">
        <v>75</v>
      </c>
      <c r="C48" s="22" t="s">
        <v>12</v>
      </c>
      <c r="D48" s="18" t="s">
        <v>17</v>
      </c>
      <c r="E48" s="23">
        <f>420/1000</f>
        <v>0.42</v>
      </c>
      <c r="F48" s="31">
        <v>6500</v>
      </c>
      <c r="G48" s="24">
        <f t="shared" si="2"/>
        <v>2730</v>
      </c>
      <c r="H48" s="75"/>
    </row>
    <row r="49" spans="1:8" s="51" customFormat="1" x14ac:dyDescent="0.25">
      <c r="A49" s="20" t="s">
        <v>16</v>
      </c>
      <c r="B49" s="19" t="s">
        <v>43</v>
      </c>
      <c r="C49" s="22" t="s">
        <v>12</v>
      </c>
      <c r="D49" s="18" t="s">
        <v>17</v>
      </c>
      <c r="E49" s="23">
        <f>130/1000</f>
        <v>0.13</v>
      </c>
      <c r="F49" s="31">
        <v>6500</v>
      </c>
      <c r="G49" s="24">
        <f t="shared" si="2"/>
        <v>845</v>
      </c>
      <c r="H49" s="75"/>
    </row>
    <row r="50" spans="1:8" s="51" customFormat="1" x14ac:dyDescent="0.25">
      <c r="A50" s="20" t="s">
        <v>16</v>
      </c>
      <c r="B50" s="19" t="s">
        <v>71</v>
      </c>
      <c r="C50" s="22" t="s">
        <v>12</v>
      </c>
      <c r="D50" s="18" t="s">
        <v>17</v>
      </c>
      <c r="E50" s="23">
        <f>1255/1000</f>
        <v>1.2549999999999999</v>
      </c>
      <c r="F50" s="31">
        <v>6500</v>
      </c>
      <c r="G50" s="24">
        <f t="shared" si="2"/>
        <v>8157.4999999999991</v>
      </c>
      <c r="H50" s="75"/>
    </row>
    <row r="51" spans="1:8" s="51" customFormat="1" x14ac:dyDescent="0.25">
      <c r="A51" s="20" t="s">
        <v>16</v>
      </c>
      <c r="B51" s="19" t="s">
        <v>87</v>
      </c>
      <c r="C51" s="22" t="s">
        <v>12</v>
      </c>
      <c r="D51" s="18" t="s">
        <v>17</v>
      </c>
      <c r="E51" s="23">
        <f>739/1000</f>
        <v>0.73899999999999999</v>
      </c>
      <c r="F51" s="31">
        <v>6500</v>
      </c>
      <c r="G51" s="24">
        <f t="shared" si="2"/>
        <v>4803.5</v>
      </c>
      <c r="H51" s="75"/>
    </row>
    <row r="52" spans="1:8" s="51" customFormat="1" x14ac:dyDescent="0.25">
      <c r="A52" s="20" t="s">
        <v>16</v>
      </c>
      <c r="B52" s="19" t="s">
        <v>65</v>
      </c>
      <c r="C52" s="22" t="s">
        <v>12</v>
      </c>
      <c r="D52" s="18" t="s">
        <v>17</v>
      </c>
      <c r="E52" s="70">
        <f>151/1000</f>
        <v>0.151</v>
      </c>
      <c r="F52" s="31">
        <v>6500</v>
      </c>
      <c r="G52" s="24">
        <f t="shared" si="2"/>
        <v>981.5</v>
      </c>
    </row>
    <row r="53" spans="1:8" s="51" customFormat="1" x14ac:dyDescent="0.25">
      <c r="A53" s="20" t="s">
        <v>23</v>
      </c>
      <c r="B53" s="19" t="s">
        <v>76</v>
      </c>
      <c r="C53" s="22" t="s">
        <v>11</v>
      </c>
      <c r="D53" s="18">
        <v>100</v>
      </c>
      <c r="E53" s="23">
        <f>ROUND(D53*E36,4)</f>
        <v>33.51</v>
      </c>
      <c r="F53" s="24"/>
      <c r="G53" s="24"/>
    </row>
    <row r="54" spans="1:8" s="51" customFormat="1" x14ac:dyDescent="0.25">
      <c r="A54" s="20"/>
      <c r="B54" s="32" t="s">
        <v>72</v>
      </c>
      <c r="C54" s="22" t="s">
        <v>12</v>
      </c>
      <c r="D54" s="18">
        <v>0.38200000000000001</v>
      </c>
      <c r="E54" s="23">
        <f>ROUND(D54*E53,4)</f>
        <v>12.800800000000001</v>
      </c>
      <c r="F54" s="31">
        <v>630</v>
      </c>
      <c r="G54" s="24">
        <f t="shared" ref="G54:G56" si="3">F54*E54</f>
        <v>8064.5040000000008</v>
      </c>
    </row>
    <row r="55" spans="1:8" s="51" customFormat="1" x14ac:dyDescent="0.25">
      <c r="A55" s="20"/>
      <c r="B55" s="32" t="s">
        <v>29</v>
      </c>
      <c r="C55" s="22" t="s">
        <v>12</v>
      </c>
      <c r="D55" s="18">
        <f>47/100*1.52</f>
        <v>0.71439999999999992</v>
      </c>
      <c r="E55" s="23">
        <f>ROUND(D55*E53,4)</f>
        <v>23.939499999999999</v>
      </c>
      <c r="F55" s="31">
        <f>2449.06/159.17</f>
        <v>15.386442168750394</v>
      </c>
      <c r="G55" s="24">
        <f t="shared" si="3"/>
        <v>368.34373229880003</v>
      </c>
    </row>
    <row r="56" spans="1:8" s="51" customFormat="1" x14ac:dyDescent="0.25">
      <c r="A56" s="20"/>
      <c r="B56" s="32" t="s">
        <v>28</v>
      </c>
      <c r="C56" s="22" t="s">
        <v>12</v>
      </c>
      <c r="D56" s="18">
        <f>80/100*1.6</f>
        <v>1.2800000000000002</v>
      </c>
      <c r="E56" s="23">
        <f>ROUND(D56*E53,4)</f>
        <v>42.892800000000001</v>
      </c>
      <c r="F56" s="31">
        <f>4991.72/392.53</f>
        <v>12.7167859781418</v>
      </c>
      <c r="G56" s="24">
        <f t="shared" si="3"/>
        <v>545.45855760324059</v>
      </c>
    </row>
    <row r="57" spans="1:8" ht="13.5" x14ac:dyDescent="0.25">
      <c r="A57" s="15"/>
      <c r="B57" s="25" t="s">
        <v>8</v>
      </c>
      <c r="C57" s="17"/>
      <c r="D57" s="26"/>
      <c r="E57" s="27"/>
      <c r="F57" s="28"/>
      <c r="G57" s="29">
        <f>SUM(G37:G56)</f>
        <v>36127.677996902043</v>
      </c>
    </row>
    <row r="58" spans="1:8" ht="13.5" x14ac:dyDescent="0.25">
      <c r="A58" s="15" t="s">
        <v>81</v>
      </c>
      <c r="B58" s="16" t="s">
        <v>178</v>
      </c>
      <c r="C58" s="17" t="s">
        <v>20</v>
      </c>
      <c r="D58" s="18"/>
      <c r="E58" s="30">
        <f>0.4*0.38*120/100</f>
        <v>0.18240000000000001</v>
      </c>
      <c r="F58" s="31"/>
      <c r="G58" s="31"/>
    </row>
    <row r="59" spans="1:8" x14ac:dyDescent="0.25">
      <c r="A59" s="20">
        <v>1</v>
      </c>
      <c r="B59" s="21" t="s">
        <v>60</v>
      </c>
      <c r="C59" s="22" t="s">
        <v>7</v>
      </c>
      <c r="D59" s="18">
        <v>1749.3</v>
      </c>
      <c r="E59" s="23">
        <f>ROUND(D59*E58,4)</f>
        <v>319.07229999999998</v>
      </c>
      <c r="F59" s="31">
        <v>10.31</v>
      </c>
      <c r="G59" s="31">
        <f t="shared" ref="G59:G76" si="4">F59*E59</f>
        <v>3289.635413</v>
      </c>
    </row>
    <row r="60" spans="1:8" x14ac:dyDescent="0.25">
      <c r="A60" s="20">
        <v>2</v>
      </c>
      <c r="B60" s="21" t="s">
        <v>18</v>
      </c>
      <c r="C60" s="22" t="s">
        <v>7</v>
      </c>
      <c r="D60" s="18">
        <v>91.51</v>
      </c>
      <c r="E60" s="23">
        <f>ROUND(D60*E58,4)</f>
        <v>16.691400000000002</v>
      </c>
      <c r="F60" s="31">
        <v>15.44</v>
      </c>
      <c r="G60" s="31">
        <f t="shared" si="4"/>
        <v>257.715216</v>
      </c>
    </row>
    <row r="61" spans="1:8" ht="25.5" x14ac:dyDescent="0.25">
      <c r="A61" s="20" t="s">
        <v>40</v>
      </c>
      <c r="B61" s="19" t="s">
        <v>47</v>
      </c>
      <c r="C61" s="22" t="s">
        <v>19</v>
      </c>
      <c r="D61" s="18">
        <v>91.51</v>
      </c>
      <c r="E61" s="23">
        <f>ROUND(D61*E58,4)</f>
        <v>16.691400000000002</v>
      </c>
      <c r="F61" s="31">
        <f>152.37-15.44</f>
        <v>136.93</v>
      </c>
      <c r="G61" s="31">
        <f t="shared" si="4"/>
        <v>2285.5534020000005</v>
      </c>
    </row>
    <row r="62" spans="1:8" x14ac:dyDescent="0.25">
      <c r="A62" s="20" t="s">
        <v>41</v>
      </c>
      <c r="B62" s="21" t="s">
        <v>38</v>
      </c>
      <c r="C62" s="22" t="s">
        <v>19</v>
      </c>
      <c r="D62" s="18">
        <v>283.22000000000003</v>
      </c>
      <c r="E62" s="23">
        <f>ROUND(D62*E58,4)</f>
        <v>51.659300000000002</v>
      </c>
      <c r="F62" s="31">
        <v>8.4600000000000009</v>
      </c>
      <c r="G62" s="31">
        <f t="shared" si="4"/>
        <v>437.03767800000008</v>
      </c>
    </row>
    <row r="63" spans="1:8" x14ac:dyDescent="0.25">
      <c r="A63" s="20">
        <v>111100</v>
      </c>
      <c r="B63" s="19" t="s">
        <v>27</v>
      </c>
      <c r="C63" s="22" t="s">
        <v>19</v>
      </c>
      <c r="D63" s="18">
        <v>85.68</v>
      </c>
      <c r="E63" s="23">
        <f>ROUND(D63*E58,4)</f>
        <v>15.628</v>
      </c>
      <c r="F63" s="31">
        <v>2.83</v>
      </c>
      <c r="G63" s="31">
        <f t="shared" si="4"/>
        <v>44.227240000000002</v>
      </c>
    </row>
    <row r="64" spans="1:8" x14ac:dyDescent="0.25">
      <c r="A64" s="20">
        <v>331532</v>
      </c>
      <c r="B64" s="19" t="s">
        <v>26</v>
      </c>
      <c r="C64" s="22" t="s">
        <v>19</v>
      </c>
      <c r="D64" s="18">
        <v>6.28</v>
      </c>
      <c r="E64" s="23">
        <f>ROUND(D64*E58,4)</f>
        <v>1.1455</v>
      </c>
      <c r="F64" s="31">
        <v>1.63</v>
      </c>
      <c r="G64" s="31">
        <f t="shared" si="4"/>
        <v>1.8671649999999997</v>
      </c>
    </row>
    <row r="65" spans="1:7" x14ac:dyDescent="0.25">
      <c r="A65" s="20" t="s">
        <v>48</v>
      </c>
      <c r="B65" s="19" t="s">
        <v>39</v>
      </c>
      <c r="C65" s="22" t="s">
        <v>12</v>
      </c>
      <c r="D65" s="18">
        <v>0.34</v>
      </c>
      <c r="E65" s="23">
        <f>ROUND(D65*E58,4)</f>
        <v>6.2E-2</v>
      </c>
      <c r="F65" s="31">
        <v>9500</v>
      </c>
      <c r="G65" s="31">
        <f t="shared" si="4"/>
        <v>589</v>
      </c>
    </row>
    <row r="66" spans="1:7" x14ac:dyDescent="0.25">
      <c r="A66" s="20" t="s">
        <v>15</v>
      </c>
      <c r="B66" s="21" t="s">
        <v>13</v>
      </c>
      <c r="C66" s="22" t="s">
        <v>12</v>
      </c>
      <c r="D66" s="18">
        <v>6.7000000000000004E-2</v>
      </c>
      <c r="E66" s="23">
        <f>ROUND(D66*E58,4)</f>
        <v>1.2200000000000001E-2</v>
      </c>
      <c r="F66" s="31">
        <v>8500</v>
      </c>
      <c r="G66" s="31">
        <f t="shared" si="4"/>
        <v>103.7</v>
      </c>
    </row>
    <row r="67" spans="1:7" x14ac:dyDescent="0.25">
      <c r="A67" s="20" t="s">
        <v>21</v>
      </c>
      <c r="B67" s="19" t="s">
        <v>82</v>
      </c>
      <c r="C67" s="22" t="s">
        <v>11</v>
      </c>
      <c r="D67" s="18">
        <v>0.17799999999999999</v>
      </c>
      <c r="E67" s="23">
        <f>ROUND(D67*E58,4)</f>
        <v>3.2500000000000001E-2</v>
      </c>
      <c r="F67" s="31">
        <v>2563.75</v>
      </c>
      <c r="G67" s="31">
        <f t="shared" si="4"/>
        <v>83.321875000000006</v>
      </c>
    </row>
    <row r="68" spans="1:7" x14ac:dyDescent="0.25">
      <c r="A68" s="20" t="s">
        <v>22</v>
      </c>
      <c r="B68" s="19" t="s">
        <v>24</v>
      </c>
      <c r="C68" s="22" t="s">
        <v>14</v>
      </c>
      <c r="D68" s="18">
        <v>155</v>
      </c>
      <c r="E68" s="23">
        <f>ROUND(D68*E58,4)</f>
        <v>28.271999999999998</v>
      </c>
      <c r="F68" s="31"/>
      <c r="G68" s="31">
        <f t="shared" si="4"/>
        <v>0</v>
      </c>
    </row>
    <row r="69" spans="1:7" x14ac:dyDescent="0.25">
      <c r="A69" s="20" t="s">
        <v>16</v>
      </c>
      <c r="B69" s="19" t="s">
        <v>75</v>
      </c>
      <c r="C69" s="22" t="s">
        <v>12</v>
      </c>
      <c r="D69" s="18" t="s">
        <v>17</v>
      </c>
      <c r="E69" s="23">
        <f>807/1000</f>
        <v>0.80700000000000005</v>
      </c>
      <c r="F69" s="31">
        <v>6500</v>
      </c>
      <c r="G69" s="31">
        <f t="shared" si="4"/>
        <v>5245.5</v>
      </c>
    </row>
    <row r="70" spans="1:7" x14ac:dyDescent="0.25">
      <c r="A70" s="20" t="s">
        <v>16</v>
      </c>
      <c r="B70" s="19" t="s">
        <v>80</v>
      </c>
      <c r="C70" s="22" t="s">
        <v>12</v>
      </c>
      <c r="D70" s="18" t="s">
        <v>17</v>
      </c>
      <c r="E70" s="23">
        <f>1698/1000</f>
        <v>1.698</v>
      </c>
      <c r="F70" s="31">
        <v>6500</v>
      </c>
      <c r="G70" s="31">
        <f t="shared" si="4"/>
        <v>11037</v>
      </c>
    </row>
    <row r="71" spans="1:7" x14ac:dyDescent="0.25">
      <c r="A71" s="20" t="s">
        <v>16</v>
      </c>
      <c r="B71" s="19" t="s">
        <v>83</v>
      </c>
      <c r="C71" s="22" t="s">
        <v>12</v>
      </c>
      <c r="D71" s="18" t="s">
        <v>17</v>
      </c>
      <c r="E71" s="23">
        <f>221/1000</f>
        <v>0.221</v>
      </c>
      <c r="F71" s="31">
        <v>6500</v>
      </c>
      <c r="G71" s="31">
        <f t="shared" si="4"/>
        <v>1436.5</v>
      </c>
    </row>
    <row r="72" spans="1:7" x14ac:dyDescent="0.25">
      <c r="A72" s="20" t="s">
        <v>16</v>
      </c>
      <c r="B72" s="19" t="s">
        <v>65</v>
      </c>
      <c r="C72" s="22" t="s">
        <v>12</v>
      </c>
      <c r="D72" s="18" t="s">
        <v>17</v>
      </c>
      <c r="E72" s="23">
        <f>557/1000</f>
        <v>0.55700000000000005</v>
      </c>
      <c r="F72" s="31">
        <v>6500</v>
      </c>
      <c r="G72" s="31">
        <f t="shared" si="4"/>
        <v>3620.5000000000005</v>
      </c>
    </row>
    <row r="73" spans="1:7" x14ac:dyDescent="0.25">
      <c r="A73" s="20" t="s">
        <v>23</v>
      </c>
      <c r="B73" s="19" t="s">
        <v>76</v>
      </c>
      <c r="C73" s="22" t="s">
        <v>11</v>
      </c>
      <c r="D73" s="18">
        <v>100</v>
      </c>
      <c r="E73" s="23">
        <f>ROUND(D73*E58,4)</f>
        <v>18.239999999999998</v>
      </c>
      <c r="F73" s="31"/>
      <c r="G73" s="31"/>
    </row>
    <row r="74" spans="1:7" x14ac:dyDescent="0.25">
      <c r="A74" s="20"/>
      <c r="B74" s="32" t="s">
        <v>72</v>
      </c>
      <c r="C74" s="22" t="s">
        <v>12</v>
      </c>
      <c r="D74" s="18">
        <v>0.38200000000000001</v>
      </c>
      <c r="E74" s="23">
        <f>ROUND(D74*E73,4)</f>
        <v>6.9676999999999998</v>
      </c>
      <c r="F74" s="31">
        <v>630</v>
      </c>
      <c r="G74" s="31">
        <f t="shared" si="4"/>
        <v>4389.6509999999998</v>
      </c>
    </row>
    <row r="75" spans="1:7" x14ac:dyDescent="0.25">
      <c r="A75" s="20"/>
      <c r="B75" s="32" t="s">
        <v>29</v>
      </c>
      <c r="C75" s="22" t="s">
        <v>12</v>
      </c>
      <c r="D75" s="18">
        <f>47/100*1.52</f>
        <v>0.71439999999999992</v>
      </c>
      <c r="E75" s="23">
        <f>ROUND(D75*E73,4)</f>
        <v>13.0307</v>
      </c>
      <c r="F75" s="31">
        <f>2449.06/159.17</f>
        <v>15.386442168750394</v>
      </c>
      <c r="G75" s="31">
        <f t="shared" si="4"/>
        <v>200.49611196833575</v>
      </c>
    </row>
    <row r="76" spans="1:7" x14ac:dyDescent="0.25">
      <c r="A76" s="20"/>
      <c r="B76" s="32" t="s">
        <v>28</v>
      </c>
      <c r="C76" s="22" t="s">
        <v>12</v>
      </c>
      <c r="D76" s="18">
        <f>80/100*1.6</f>
        <v>1.2800000000000002</v>
      </c>
      <c r="E76" s="23">
        <f>ROUND(D76*E73,4)</f>
        <v>23.347200000000001</v>
      </c>
      <c r="F76" s="31">
        <f>4991.72/392.53</f>
        <v>12.7167859781418</v>
      </c>
      <c r="G76" s="31">
        <f t="shared" si="4"/>
        <v>296.90134558887223</v>
      </c>
    </row>
    <row r="77" spans="1:7" ht="13.5" x14ac:dyDescent="0.25">
      <c r="A77" s="15"/>
      <c r="B77" s="25" t="s">
        <v>8</v>
      </c>
      <c r="C77" s="17"/>
      <c r="D77" s="26"/>
      <c r="E77" s="27"/>
      <c r="F77" s="31"/>
      <c r="G77" s="71">
        <f>SUM(G59:G76)</f>
        <v>33318.606446557205</v>
      </c>
    </row>
    <row r="78" spans="1:7" ht="13.5" x14ac:dyDescent="0.25">
      <c r="A78" s="15" t="s">
        <v>81</v>
      </c>
      <c r="B78" s="16" t="s">
        <v>177</v>
      </c>
      <c r="C78" s="17" t="s">
        <v>20</v>
      </c>
      <c r="D78" s="18"/>
      <c r="E78" s="30">
        <f>0.4*0.25*28.08/100</f>
        <v>2.8079999999999997E-2</v>
      </c>
      <c r="F78" s="31"/>
      <c r="G78" s="31"/>
    </row>
    <row r="79" spans="1:7" x14ac:dyDescent="0.25">
      <c r="A79" s="20">
        <v>1</v>
      </c>
      <c r="B79" s="21" t="s">
        <v>60</v>
      </c>
      <c r="C79" s="22" t="s">
        <v>7</v>
      </c>
      <c r="D79" s="18">
        <v>1749.3</v>
      </c>
      <c r="E79" s="23">
        <f>ROUND(D79*E78,4)</f>
        <v>49.1203</v>
      </c>
      <c r="F79" s="31">
        <v>10.31</v>
      </c>
      <c r="G79" s="31">
        <f t="shared" ref="G79:G90" si="5">F79*E79</f>
        <v>506.43029300000001</v>
      </c>
    </row>
    <row r="80" spans="1:7" x14ac:dyDescent="0.25">
      <c r="A80" s="20">
        <v>2</v>
      </c>
      <c r="B80" s="21" t="s">
        <v>18</v>
      </c>
      <c r="C80" s="22" t="s">
        <v>7</v>
      </c>
      <c r="D80" s="18">
        <v>91.51</v>
      </c>
      <c r="E80" s="23">
        <f>ROUND(D80*E78,4)</f>
        <v>2.5695999999999999</v>
      </c>
      <c r="F80" s="31">
        <v>15.44</v>
      </c>
      <c r="G80" s="31">
        <f t="shared" si="5"/>
        <v>39.674623999999994</v>
      </c>
    </row>
    <row r="81" spans="1:7" ht="25.5" x14ac:dyDescent="0.25">
      <c r="A81" s="20" t="s">
        <v>40</v>
      </c>
      <c r="B81" s="19" t="s">
        <v>47</v>
      </c>
      <c r="C81" s="22" t="s">
        <v>19</v>
      </c>
      <c r="D81" s="18">
        <v>91.51</v>
      </c>
      <c r="E81" s="23">
        <f>ROUND(D81*E78,4)</f>
        <v>2.5695999999999999</v>
      </c>
      <c r="F81" s="31">
        <f>152.37-15.44</f>
        <v>136.93</v>
      </c>
      <c r="G81" s="31">
        <f t="shared" si="5"/>
        <v>351.85532799999999</v>
      </c>
    </row>
    <row r="82" spans="1:7" x14ac:dyDescent="0.25">
      <c r="A82" s="20" t="s">
        <v>41</v>
      </c>
      <c r="B82" s="21" t="s">
        <v>38</v>
      </c>
      <c r="C82" s="22" t="s">
        <v>19</v>
      </c>
      <c r="D82" s="18">
        <v>283.22000000000003</v>
      </c>
      <c r="E82" s="23">
        <f>ROUND(D82*E78,4)</f>
        <v>7.9527999999999999</v>
      </c>
      <c r="F82" s="31">
        <v>8.4600000000000009</v>
      </c>
      <c r="G82" s="31">
        <f t="shared" si="5"/>
        <v>67.280688000000012</v>
      </c>
    </row>
    <row r="83" spans="1:7" x14ac:dyDescent="0.25">
      <c r="A83" s="20">
        <v>111100</v>
      </c>
      <c r="B83" s="19" t="s">
        <v>27</v>
      </c>
      <c r="C83" s="22" t="s">
        <v>19</v>
      </c>
      <c r="D83" s="18">
        <v>85.68</v>
      </c>
      <c r="E83" s="23">
        <f>ROUND(D83*E78,4)</f>
        <v>2.4058999999999999</v>
      </c>
      <c r="F83" s="31">
        <v>2.83</v>
      </c>
      <c r="G83" s="31">
        <f t="shared" si="5"/>
        <v>6.8086969999999996</v>
      </c>
    </row>
    <row r="84" spans="1:7" x14ac:dyDescent="0.25">
      <c r="A84" s="20">
        <v>331532</v>
      </c>
      <c r="B84" s="19" t="s">
        <v>26</v>
      </c>
      <c r="C84" s="22" t="s">
        <v>19</v>
      </c>
      <c r="D84" s="18">
        <v>6.28</v>
      </c>
      <c r="E84" s="23">
        <f>ROUND(D84*E78,4)</f>
        <v>0.17630000000000001</v>
      </c>
      <c r="F84" s="31">
        <v>1.63</v>
      </c>
      <c r="G84" s="31">
        <f t="shared" si="5"/>
        <v>0.28736899999999999</v>
      </c>
    </row>
    <row r="85" spans="1:7" x14ac:dyDescent="0.25">
      <c r="A85" s="20" t="s">
        <v>48</v>
      </c>
      <c r="B85" s="19" t="s">
        <v>39</v>
      </c>
      <c r="C85" s="22" t="s">
        <v>12</v>
      </c>
      <c r="D85" s="18">
        <v>0.34</v>
      </c>
      <c r="E85" s="23">
        <f>ROUND(D85*E78,4)</f>
        <v>9.4999999999999998E-3</v>
      </c>
      <c r="F85" s="31">
        <v>9500</v>
      </c>
      <c r="G85" s="31">
        <f t="shared" si="5"/>
        <v>90.25</v>
      </c>
    </row>
    <row r="86" spans="1:7" x14ac:dyDescent="0.25">
      <c r="A86" s="20" t="s">
        <v>15</v>
      </c>
      <c r="B86" s="21" t="s">
        <v>13</v>
      </c>
      <c r="C86" s="22" t="s">
        <v>12</v>
      </c>
      <c r="D86" s="18">
        <v>6.7000000000000004E-2</v>
      </c>
      <c r="E86" s="23">
        <f>ROUND(D86*E78,4)</f>
        <v>1.9E-3</v>
      </c>
      <c r="F86" s="31">
        <v>8500</v>
      </c>
      <c r="G86" s="31">
        <f t="shared" si="5"/>
        <v>16.149999999999999</v>
      </c>
    </row>
    <row r="87" spans="1:7" x14ac:dyDescent="0.25">
      <c r="A87" s="20" t="s">
        <v>21</v>
      </c>
      <c r="B87" s="19" t="s">
        <v>82</v>
      </c>
      <c r="C87" s="22" t="s">
        <v>11</v>
      </c>
      <c r="D87" s="18">
        <v>0.17799999999999999</v>
      </c>
      <c r="E87" s="23">
        <f>ROUND(D87*E78,4)</f>
        <v>5.0000000000000001E-3</v>
      </c>
      <c r="F87" s="31">
        <v>2563.75</v>
      </c>
      <c r="G87" s="31">
        <f t="shared" si="5"/>
        <v>12.81875</v>
      </c>
    </row>
    <row r="88" spans="1:7" x14ac:dyDescent="0.25">
      <c r="A88" s="20" t="s">
        <v>22</v>
      </c>
      <c r="B88" s="19" t="s">
        <v>24</v>
      </c>
      <c r="C88" s="22" t="s">
        <v>14</v>
      </c>
      <c r="D88" s="18">
        <v>155</v>
      </c>
      <c r="E88" s="23">
        <f>ROUND(D88*E78,4)</f>
        <v>4.3524000000000003</v>
      </c>
      <c r="F88" s="31"/>
      <c r="G88" s="31">
        <f t="shared" si="5"/>
        <v>0</v>
      </c>
    </row>
    <row r="89" spans="1:7" x14ac:dyDescent="0.25">
      <c r="A89" s="20" t="s">
        <v>16</v>
      </c>
      <c r="B89" s="19" t="s">
        <v>43</v>
      </c>
      <c r="C89" s="22" t="s">
        <v>12</v>
      </c>
      <c r="D89" s="18" t="s">
        <v>17</v>
      </c>
      <c r="E89" s="23">
        <f>193/1000</f>
        <v>0.193</v>
      </c>
      <c r="F89" s="31">
        <v>6500</v>
      </c>
      <c r="G89" s="31">
        <f t="shared" si="5"/>
        <v>1254.5</v>
      </c>
    </row>
    <row r="90" spans="1:7" x14ac:dyDescent="0.25">
      <c r="A90" s="20" t="s">
        <v>16</v>
      </c>
      <c r="B90" s="19" t="s">
        <v>65</v>
      </c>
      <c r="C90" s="22" t="s">
        <v>12</v>
      </c>
      <c r="D90" s="18" t="s">
        <v>17</v>
      </c>
      <c r="E90" s="23">
        <f>63/1000</f>
        <v>6.3E-2</v>
      </c>
      <c r="F90" s="31">
        <v>6500</v>
      </c>
      <c r="G90" s="31">
        <f t="shared" si="5"/>
        <v>409.5</v>
      </c>
    </row>
    <row r="91" spans="1:7" x14ac:dyDescent="0.25">
      <c r="A91" s="20" t="s">
        <v>23</v>
      </c>
      <c r="B91" s="19" t="s">
        <v>76</v>
      </c>
      <c r="C91" s="22" t="s">
        <v>11</v>
      </c>
      <c r="D91" s="18">
        <v>100</v>
      </c>
      <c r="E91" s="23">
        <f>ROUND(D91*E78,4)</f>
        <v>2.8079999999999998</v>
      </c>
      <c r="F91" s="31"/>
      <c r="G91" s="31"/>
    </row>
    <row r="92" spans="1:7" x14ac:dyDescent="0.25">
      <c r="A92" s="20"/>
      <c r="B92" s="32" t="s">
        <v>72</v>
      </c>
      <c r="C92" s="22" t="s">
        <v>12</v>
      </c>
      <c r="D92" s="18">
        <v>0.38200000000000001</v>
      </c>
      <c r="E92" s="23">
        <f>ROUND(D92*E91,4)</f>
        <v>1.0727</v>
      </c>
      <c r="F92" s="31">
        <v>630</v>
      </c>
      <c r="G92" s="31">
        <f t="shared" ref="G92:G94" si="6">F92*E92</f>
        <v>675.80100000000004</v>
      </c>
    </row>
    <row r="93" spans="1:7" x14ac:dyDescent="0.25">
      <c r="A93" s="20"/>
      <c r="B93" s="32" t="s">
        <v>29</v>
      </c>
      <c r="C93" s="22" t="s">
        <v>12</v>
      </c>
      <c r="D93" s="18">
        <f>47/100*1.52</f>
        <v>0.71439999999999992</v>
      </c>
      <c r="E93" s="23">
        <f>ROUND(D93*E91,4)</f>
        <v>2.0059999999999998</v>
      </c>
      <c r="F93" s="31">
        <f>2449.06/159.17</f>
        <v>15.386442168750394</v>
      </c>
      <c r="G93" s="31">
        <f t="shared" si="6"/>
        <v>30.865202990513286</v>
      </c>
    </row>
    <row r="94" spans="1:7" x14ac:dyDescent="0.25">
      <c r="A94" s="20"/>
      <c r="B94" s="32" t="s">
        <v>28</v>
      </c>
      <c r="C94" s="22" t="s">
        <v>12</v>
      </c>
      <c r="D94" s="18">
        <f>80/100*1.6</f>
        <v>1.2800000000000002</v>
      </c>
      <c r="E94" s="23">
        <f>ROUND(D94*E91,4)</f>
        <v>3.5941999999999998</v>
      </c>
      <c r="F94" s="31">
        <f>4991.72/392.53</f>
        <v>12.7167859781418</v>
      </c>
      <c r="G94" s="31">
        <f t="shared" si="6"/>
        <v>45.706672162637254</v>
      </c>
    </row>
    <row r="95" spans="1:7" ht="13.5" x14ac:dyDescent="0.25">
      <c r="A95" s="15"/>
      <c r="B95" s="25" t="s">
        <v>8</v>
      </c>
      <c r="C95" s="17"/>
      <c r="D95" s="26"/>
      <c r="E95" s="27"/>
      <c r="F95" s="31"/>
      <c r="G95" s="71">
        <f>SUM(G79:G94)</f>
        <v>3507.9286241531508</v>
      </c>
    </row>
    <row r="96" spans="1:7" ht="13.5" x14ac:dyDescent="0.25">
      <c r="A96" s="15" t="s">
        <v>81</v>
      </c>
      <c r="B96" s="16" t="s">
        <v>176</v>
      </c>
      <c r="C96" s="17" t="s">
        <v>20</v>
      </c>
      <c r="D96" s="18"/>
      <c r="E96" s="30">
        <f>0.3*0.25*5.4/100</f>
        <v>4.0500000000000006E-3</v>
      </c>
      <c r="F96" s="31"/>
      <c r="G96" s="31"/>
    </row>
    <row r="97" spans="1:7" x14ac:dyDescent="0.25">
      <c r="A97" s="20">
        <v>1</v>
      </c>
      <c r="B97" s="21" t="s">
        <v>60</v>
      </c>
      <c r="C97" s="22" t="s">
        <v>7</v>
      </c>
      <c r="D97" s="18">
        <v>1749.3</v>
      </c>
      <c r="E97" s="23">
        <f>ROUND(D97*E96,4)</f>
        <v>7.0846999999999998</v>
      </c>
      <c r="F97" s="31">
        <v>10.31</v>
      </c>
      <c r="G97" s="31">
        <f t="shared" ref="G97:G108" si="7">F97*E97</f>
        <v>73.043256999999997</v>
      </c>
    </row>
    <row r="98" spans="1:7" x14ac:dyDescent="0.25">
      <c r="A98" s="20">
        <v>2</v>
      </c>
      <c r="B98" s="21" t="s">
        <v>18</v>
      </c>
      <c r="C98" s="22" t="s">
        <v>7</v>
      </c>
      <c r="D98" s="18">
        <v>91.51</v>
      </c>
      <c r="E98" s="23">
        <f>ROUND(D98*E96,4)</f>
        <v>0.37059999999999998</v>
      </c>
      <c r="F98" s="31">
        <v>15.44</v>
      </c>
      <c r="G98" s="31">
        <f t="shared" si="7"/>
        <v>5.7220639999999996</v>
      </c>
    </row>
    <row r="99" spans="1:7" ht="25.5" x14ac:dyDescent="0.25">
      <c r="A99" s="20" t="s">
        <v>40</v>
      </c>
      <c r="B99" s="19" t="s">
        <v>47</v>
      </c>
      <c r="C99" s="22" t="s">
        <v>19</v>
      </c>
      <c r="D99" s="18">
        <v>91.51</v>
      </c>
      <c r="E99" s="23">
        <f>ROUND(D99*E96,4)</f>
        <v>0.37059999999999998</v>
      </c>
      <c r="F99" s="31">
        <f>152.37-15.44</f>
        <v>136.93</v>
      </c>
      <c r="G99" s="31">
        <f t="shared" si="7"/>
        <v>50.746257999999997</v>
      </c>
    </row>
    <row r="100" spans="1:7" x14ac:dyDescent="0.25">
      <c r="A100" s="20" t="s">
        <v>41</v>
      </c>
      <c r="B100" s="21" t="s">
        <v>38</v>
      </c>
      <c r="C100" s="22" t="s">
        <v>19</v>
      </c>
      <c r="D100" s="18">
        <v>283.22000000000003</v>
      </c>
      <c r="E100" s="23">
        <f>ROUND(D100*E96,4)</f>
        <v>1.147</v>
      </c>
      <c r="F100" s="31">
        <v>8.4600000000000009</v>
      </c>
      <c r="G100" s="31">
        <f t="shared" si="7"/>
        <v>9.7036200000000008</v>
      </c>
    </row>
    <row r="101" spans="1:7" x14ac:dyDescent="0.25">
      <c r="A101" s="20">
        <v>111100</v>
      </c>
      <c r="B101" s="19" t="s">
        <v>27</v>
      </c>
      <c r="C101" s="22" t="s">
        <v>19</v>
      </c>
      <c r="D101" s="18">
        <v>85.68</v>
      </c>
      <c r="E101" s="23">
        <f>ROUND(D101*E96,4)</f>
        <v>0.34699999999999998</v>
      </c>
      <c r="F101" s="31">
        <v>2.83</v>
      </c>
      <c r="G101" s="31">
        <f t="shared" si="7"/>
        <v>0.98200999999999994</v>
      </c>
    </row>
    <row r="102" spans="1:7" x14ac:dyDescent="0.25">
      <c r="A102" s="20">
        <v>331532</v>
      </c>
      <c r="B102" s="19" t="s">
        <v>26</v>
      </c>
      <c r="C102" s="22" t="s">
        <v>19</v>
      </c>
      <c r="D102" s="18">
        <v>6.28</v>
      </c>
      <c r="E102" s="23">
        <f>ROUND(D102*E96,4)</f>
        <v>2.5399999999999999E-2</v>
      </c>
      <c r="F102" s="31">
        <v>1.63</v>
      </c>
      <c r="G102" s="31">
        <f t="shared" si="7"/>
        <v>4.1401999999999994E-2</v>
      </c>
    </row>
    <row r="103" spans="1:7" x14ac:dyDescent="0.25">
      <c r="A103" s="20" t="s">
        <v>48</v>
      </c>
      <c r="B103" s="19" t="s">
        <v>39</v>
      </c>
      <c r="C103" s="22" t="s">
        <v>12</v>
      </c>
      <c r="D103" s="18">
        <v>0.34</v>
      </c>
      <c r="E103" s="23">
        <f>ROUND(D103*E96,4)</f>
        <v>1.4E-3</v>
      </c>
      <c r="F103" s="31">
        <v>9500</v>
      </c>
      <c r="G103" s="31">
        <f t="shared" si="7"/>
        <v>13.3</v>
      </c>
    </row>
    <row r="104" spans="1:7" x14ac:dyDescent="0.25">
      <c r="A104" s="20" t="s">
        <v>15</v>
      </c>
      <c r="B104" s="21" t="s">
        <v>13</v>
      </c>
      <c r="C104" s="22" t="s">
        <v>12</v>
      </c>
      <c r="D104" s="18">
        <v>6.7000000000000004E-2</v>
      </c>
      <c r="E104" s="23">
        <f>ROUND(D104*E96,4)</f>
        <v>2.9999999999999997E-4</v>
      </c>
      <c r="F104" s="31">
        <v>8500</v>
      </c>
      <c r="G104" s="31">
        <f t="shared" si="7"/>
        <v>2.5499999999999998</v>
      </c>
    </row>
    <row r="105" spans="1:7" x14ac:dyDescent="0.25">
      <c r="A105" s="20" t="s">
        <v>21</v>
      </c>
      <c r="B105" s="19" t="s">
        <v>82</v>
      </c>
      <c r="C105" s="22" t="s">
        <v>11</v>
      </c>
      <c r="D105" s="18">
        <v>0.17799999999999999</v>
      </c>
      <c r="E105" s="23">
        <f>ROUND(D105*E96,4)</f>
        <v>6.9999999999999999E-4</v>
      </c>
      <c r="F105" s="31">
        <v>2563.75</v>
      </c>
      <c r="G105" s="31">
        <f t="shared" si="7"/>
        <v>1.7946249999999999</v>
      </c>
    </row>
    <row r="106" spans="1:7" x14ac:dyDescent="0.25">
      <c r="A106" s="20" t="s">
        <v>22</v>
      </c>
      <c r="B106" s="19" t="s">
        <v>24</v>
      </c>
      <c r="C106" s="22" t="s">
        <v>14</v>
      </c>
      <c r="D106" s="18">
        <v>155</v>
      </c>
      <c r="E106" s="23">
        <f>ROUND(D106*E96,4)</f>
        <v>0.62780000000000002</v>
      </c>
      <c r="F106" s="31"/>
      <c r="G106" s="31">
        <f t="shared" si="7"/>
        <v>0</v>
      </c>
    </row>
    <row r="107" spans="1:7" x14ac:dyDescent="0.25">
      <c r="A107" s="20" t="s">
        <v>16</v>
      </c>
      <c r="B107" s="19" t="s">
        <v>83</v>
      </c>
      <c r="C107" s="22" t="s">
        <v>12</v>
      </c>
      <c r="D107" s="18" t="s">
        <v>17</v>
      </c>
      <c r="E107" s="23">
        <f>53/1000</f>
        <v>5.2999999999999999E-2</v>
      </c>
      <c r="F107" s="31">
        <v>6500</v>
      </c>
      <c r="G107" s="31">
        <f t="shared" si="7"/>
        <v>344.5</v>
      </c>
    </row>
    <row r="108" spans="1:7" x14ac:dyDescent="0.25">
      <c r="A108" s="20" t="s">
        <v>16</v>
      </c>
      <c r="B108" s="19" t="s">
        <v>65</v>
      </c>
      <c r="C108" s="22" t="s">
        <v>12</v>
      </c>
      <c r="D108" s="18" t="s">
        <v>17</v>
      </c>
      <c r="E108" s="23">
        <f>11/1000</f>
        <v>1.0999999999999999E-2</v>
      </c>
      <c r="F108" s="31">
        <v>6500</v>
      </c>
      <c r="G108" s="31">
        <f t="shared" si="7"/>
        <v>71.5</v>
      </c>
    </row>
    <row r="109" spans="1:7" x14ac:dyDescent="0.25">
      <c r="A109" s="20" t="s">
        <v>23</v>
      </c>
      <c r="B109" s="19" t="s">
        <v>76</v>
      </c>
      <c r="C109" s="22" t="s">
        <v>11</v>
      </c>
      <c r="D109" s="18">
        <v>100</v>
      </c>
      <c r="E109" s="23">
        <f>ROUND(D109*E96,4)</f>
        <v>0.40500000000000003</v>
      </c>
      <c r="F109" s="31"/>
      <c r="G109" s="31"/>
    </row>
    <row r="110" spans="1:7" x14ac:dyDescent="0.25">
      <c r="A110" s="20"/>
      <c r="B110" s="32" t="s">
        <v>72</v>
      </c>
      <c r="C110" s="22" t="s">
        <v>12</v>
      </c>
      <c r="D110" s="18">
        <v>0.38200000000000001</v>
      </c>
      <c r="E110" s="23">
        <f>ROUND(D110*E109,4)</f>
        <v>0.1547</v>
      </c>
      <c r="F110" s="31">
        <v>630</v>
      </c>
      <c r="G110" s="31">
        <f t="shared" ref="G110:G112" si="8">F110*E110</f>
        <v>97.460999999999999</v>
      </c>
    </row>
    <row r="111" spans="1:7" x14ac:dyDescent="0.25">
      <c r="A111" s="20"/>
      <c r="B111" s="32" t="s">
        <v>29</v>
      </c>
      <c r="C111" s="22" t="s">
        <v>12</v>
      </c>
      <c r="D111" s="18">
        <f>47/100*1.52</f>
        <v>0.71439999999999992</v>
      </c>
      <c r="E111" s="23">
        <f>ROUND(D111*E109,4)</f>
        <v>0.2893</v>
      </c>
      <c r="F111" s="31">
        <f>2449.06/159.17</f>
        <v>15.386442168750394</v>
      </c>
      <c r="G111" s="31">
        <f t="shared" si="8"/>
        <v>4.4512977194194887</v>
      </c>
    </row>
    <row r="112" spans="1:7" x14ac:dyDescent="0.25">
      <c r="A112" s="20"/>
      <c r="B112" s="32" t="s">
        <v>28</v>
      </c>
      <c r="C112" s="22" t="s">
        <v>12</v>
      </c>
      <c r="D112" s="18">
        <f>80/100*1.6</f>
        <v>1.2800000000000002</v>
      </c>
      <c r="E112" s="23">
        <f>ROUND(D112*E109,4)</f>
        <v>0.51839999999999997</v>
      </c>
      <c r="F112" s="31">
        <f>4991.72/392.53</f>
        <v>12.7167859781418</v>
      </c>
      <c r="G112" s="31">
        <f t="shared" si="8"/>
        <v>6.5923818510687084</v>
      </c>
    </row>
    <row r="113" spans="1:7" ht="13.5" x14ac:dyDescent="0.25">
      <c r="A113" s="15"/>
      <c r="B113" s="25" t="s">
        <v>8</v>
      </c>
      <c r="C113" s="17"/>
      <c r="D113" s="26"/>
      <c r="E113" s="27"/>
      <c r="F113" s="31"/>
      <c r="G113" s="71">
        <f>SUM(G97:G112)</f>
        <v>682.38791557048819</v>
      </c>
    </row>
    <row r="114" spans="1:7" ht="13.5" x14ac:dyDescent="0.25">
      <c r="A114" s="15" t="s">
        <v>81</v>
      </c>
      <c r="B114" s="16" t="s">
        <v>175</v>
      </c>
      <c r="C114" s="17" t="s">
        <v>20</v>
      </c>
      <c r="D114" s="18"/>
      <c r="E114" s="30">
        <f>0.25*0.25*21.9/100</f>
        <v>1.3687499999999998E-2</v>
      </c>
      <c r="F114" s="31"/>
      <c r="G114" s="31"/>
    </row>
    <row r="115" spans="1:7" x14ac:dyDescent="0.25">
      <c r="A115" s="20">
        <v>1</v>
      </c>
      <c r="B115" s="21" t="s">
        <v>60</v>
      </c>
      <c r="C115" s="22" t="s">
        <v>7</v>
      </c>
      <c r="D115" s="18">
        <v>1749.3</v>
      </c>
      <c r="E115" s="23">
        <f>ROUND(D115*E114,4)</f>
        <v>23.9435</v>
      </c>
      <c r="F115" s="31">
        <v>10.31</v>
      </c>
      <c r="G115" s="31">
        <f t="shared" ref="G115:G126" si="9">F115*E115</f>
        <v>246.85748500000003</v>
      </c>
    </row>
    <row r="116" spans="1:7" x14ac:dyDescent="0.25">
      <c r="A116" s="20">
        <v>2</v>
      </c>
      <c r="B116" s="21" t="s">
        <v>18</v>
      </c>
      <c r="C116" s="22" t="s">
        <v>7</v>
      </c>
      <c r="D116" s="18">
        <v>91.51</v>
      </c>
      <c r="E116" s="23">
        <f>ROUND(D116*E114,4)</f>
        <v>1.2524999999999999</v>
      </c>
      <c r="F116" s="31">
        <v>15.44</v>
      </c>
      <c r="G116" s="31">
        <f t="shared" si="9"/>
        <v>19.3386</v>
      </c>
    </row>
    <row r="117" spans="1:7" ht="25.5" x14ac:dyDescent="0.25">
      <c r="A117" s="20" t="s">
        <v>40</v>
      </c>
      <c r="B117" s="19" t="s">
        <v>47</v>
      </c>
      <c r="C117" s="22" t="s">
        <v>19</v>
      </c>
      <c r="D117" s="18">
        <v>91.51</v>
      </c>
      <c r="E117" s="23">
        <f>ROUND(D117*E114,4)</f>
        <v>1.2524999999999999</v>
      </c>
      <c r="F117" s="31">
        <f>152.37-15.44</f>
        <v>136.93</v>
      </c>
      <c r="G117" s="31">
        <f t="shared" si="9"/>
        <v>171.50482500000001</v>
      </c>
    </row>
    <row r="118" spans="1:7" x14ac:dyDescent="0.25">
      <c r="A118" s="20" t="s">
        <v>41</v>
      </c>
      <c r="B118" s="21" t="s">
        <v>38</v>
      </c>
      <c r="C118" s="22" t="s">
        <v>19</v>
      </c>
      <c r="D118" s="18">
        <v>283.22000000000003</v>
      </c>
      <c r="E118" s="23">
        <f>ROUND(D118*E114,4)</f>
        <v>3.8765999999999998</v>
      </c>
      <c r="F118" s="31">
        <v>8.4600000000000009</v>
      </c>
      <c r="G118" s="31">
        <f t="shared" si="9"/>
        <v>32.796036000000001</v>
      </c>
    </row>
    <row r="119" spans="1:7" x14ac:dyDescent="0.25">
      <c r="A119" s="20">
        <v>111100</v>
      </c>
      <c r="B119" s="19" t="s">
        <v>27</v>
      </c>
      <c r="C119" s="22" t="s">
        <v>19</v>
      </c>
      <c r="D119" s="18">
        <v>85.68</v>
      </c>
      <c r="E119" s="23">
        <f>ROUND(D119*E114,4)</f>
        <v>1.1727000000000001</v>
      </c>
      <c r="F119" s="31">
        <v>2.83</v>
      </c>
      <c r="G119" s="31">
        <f t="shared" si="9"/>
        <v>3.3187410000000002</v>
      </c>
    </row>
    <row r="120" spans="1:7" x14ac:dyDescent="0.25">
      <c r="A120" s="20">
        <v>331532</v>
      </c>
      <c r="B120" s="19" t="s">
        <v>26</v>
      </c>
      <c r="C120" s="22" t="s">
        <v>19</v>
      </c>
      <c r="D120" s="18">
        <v>6.28</v>
      </c>
      <c r="E120" s="23">
        <f>ROUND(D120*E114,4)</f>
        <v>8.5999999999999993E-2</v>
      </c>
      <c r="F120" s="31">
        <v>1.63</v>
      </c>
      <c r="G120" s="31">
        <f t="shared" si="9"/>
        <v>0.14017999999999997</v>
      </c>
    </row>
    <row r="121" spans="1:7" x14ac:dyDescent="0.25">
      <c r="A121" s="20" t="s">
        <v>48</v>
      </c>
      <c r="B121" s="19" t="s">
        <v>39</v>
      </c>
      <c r="C121" s="22" t="s">
        <v>12</v>
      </c>
      <c r="D121" s="18">
        <v>0.34</v>
      </c>
      <c r="E121" s="23">
        <f>ROUND(D121*E114,4)</f>
        <v>4.7000000000000002E-3</v>
      </c>
      <c r="F121" s="31">
        <v>9500</v>
      </c>
      <c r="G121" s="31">
        <f t="shared" si="9"/>
        <v>44.65</v>
      </c>
    </row>
    <row r="122" spans="1:7" x14ac:dyDescent="0.25">
      <c r="A122" s="20" t="s">
        <v>15</v>
      </c>
      <c r="B122" s="21" t="s">
        <v>13</v>
      </c>
      <c r="C122" s="22" t="s">
        <v>12</v>
      </c>
      <c r="D122" s="18">
        <v>6.7000000000000004E-2</v>
      </c>
      <c r="E122" s="23">
        <f>ROUND(D122*E114,4)</f>
        <v>8.9999999999999998E-4</v>
      </c>
      <c r="F122" s="31">
        <v>8500</v>
      </c>
      <c r="G122" s="31">
        <f t="shared" si="9"/>
        <v>7.6499999999999995</v>
      </c>
    </row>
    <row r="123" spans="1:7" x14ac:dyDescent="0.25">
      <c r="A123" s="20" t="s">
        <v>21</v>
      </c>
      <c r="B123" s="19" t="s">
        <v>82</v>
      </c>
      <c r="C123" s="22" t="s">
        <v>11</v>
      </c>
      <c r="D123" s="18">
        <v>0.17799999999999999</v>
      </c>
      <c r="E123" s="23">
        <f>ROUND(D123*E114,4)</f>
        <v>2.3999999999999998E-3</v>
      </c>
      <c r="F123" s="31">
        <v>2563.75</v>
      </c>
      <c r="G123" s="31">
        <f t="shared" si="9"/>
        <v>6.1529999999999996</v>
      </c>
    </row>
    <row r="124" spans="1:7" x14ac:dyDescent="0.25">
      <c r="A124" s="20" t="s">
        <v>22</v>
      </c>
      <c r="B124" s="19" t="s">
        <v>24</v>
      </c>
      <c r="C124" s="22" t="s">
        <v>14</v>
      </c>
      <c r="D124" s="18">
        <v>155</v>
      </c>
      <c r="E124" s="23">
        <f>ROUND(D124*E114,4)</f>
        <v>2.1215999999999999</v>
      </c>
      <c r="F124" s="31"/>
      <c r="G124" s="31">
        <f t="shared" si="9"/>
        <v>0</v>
      </c>
    </row>
    <row r="125" spans="1:7" x14ac:dyDescent="0.25">
      <c r="A125" s="20" t="s">
        <v>16</v>
      </c>
      <c r="B125" s="19" t="s">
        <v>43</v>
      </c>
      <c r="C125" s="22" t="s">
        <v>12</v>
      </c>
      <c r="D125" s="18" t="s">
        <v>17</v>
      </c>
      <c r="E125" s="23">
        <f>118/1000</f>
        <v>0.11799999999999999</v>
      </c>
      <c r="F125" s="31">
        <v>6500</v>
      </c>
      <c r="G125" s="31">
        <f t="shared" si="9"/>
        <v>767</v>
      </c>
    </row>
    <row r="126" spans="1:7" x14ac:dyDescent="0.25">
      <c r="A126" s="20" t="s">
        <v>16</v>
      </c>
      <c r="B126" s="19" t="s">
        <v>65</v>
      </c>
      <c r="C126" s="22" t="s">
        <v>12</v>
      </c>
      <c r="D126" s="18" t="s">
        <v>17</v>
      </c>
      <c r="E126" s="23">
        <f>15/1000</f>
        <v>1.4999999999999999E-2</v>
      </c>
      <c r="F126" s="31">
        <v>6500</v>
      </c>
      <c r="G126" s="31">
        <f t="shared" si="9"/>
        <v>97.5</v>
      </c>
    </row>
    <row r="127" spans="1:7" x14ac:dyDescent="0.25">
      <c r="A127" s="20" t="s">
        <v>23</v>
      </c>
      <c r="B127" s="19" t="s">
        <v>76</v>
      </c>
      <c r="C127" s="22" t="s">
        <v>11</v>
      </c>
      <c r="D127" s="18">
        <v>100</v>
      </c>
      <c r="E127" s="23">
        <f>ROUND(D127*E114,4)</f>
        <v>1.3688</v>
      </c>
      <c r="F127" s="31"/>
      <c r="G127" s="31"/>
    </row>
    <row r="128" spans="1:7" x14ac:dyDescent="0.25">
      <c r="A128" s="20"/>
      <c r="B128" s="32" t="s">
        <v>72</v>
      </c>
      <c r="C128" s="22" t="s">
        <v>12</v>
      </c>
      <c r="D128" s="18">
        <v>0.38200000000000001</v>
      </c>
      <c r="E128" s="23">
        <f>ROUND(D128*E127,4)</f>
        <v>0.52290000000000003</v>
      </c>
      <c r="F128" s="31">
        <v>630</v>
      </c>
      <c r="G128" s="31">
        <f t="shared" ref="G128:G130" si="10">F128*E128</f>
        <v>329.42700000000002</v>
      </c>
    </row>
    <row r="129" spans="1:7" x14ac:dyDescent="0.25">
      <c r="A129" s="20"/>
      <c r="B129" s="32" t="s">
        <v>29</v>
      </c>
      <c r="C129" s="22" t="s">
        <v>12</v>
      </c>
      <c r="D129" s="18">
        <f>47/100*1.52</f>
        <v>0.71439999999999992</v>
      </c>
      <c r="E129" s="23">
        <f>ROUND(D129*E127,4)</f>
        <v>0.97789999999999999</v>
      </c>
      <c r="F129" s="31">
        <f>2449.06/159.17</f>
        <v>15.386442168750394</v>
      </c>
      <c r="G129" s="31">
        <f t="shared" si="10"/>
        <v>15.04640179682101</v>
      </c>
    </row>
    <row r="130" spans="1:7" x14ac:dyDescent="0.25">
      <c r="A130" s="20"/>
      <c r="B130" s="32" t="s">
        <v>28</v>
      </c>
      <c r="C130" s="22" t="s">
        <v>12</v>
      </c>
      <c r="D130" s="18">
        <f>80/100*1.6</f>
        <v>1.2800000000000002</v>
      </c>
      <c r="E130" s="23">
        <f>ROUND(D130*E127,4)</f>
        <v>1.7521</v>
      </c>
      <c r="F130" s="31">
        <f>4991.72/392.53</f>
        <v>12.7167859781418</v>
      </c>
      <c r="G130" s="31">
        <f t="shared" si="10"/>
        <v>22.281080712302249</v>
      </c>
    </row>
    <row r="131" spans="1:7" ht="13.5" x14ac:dyDescent="0.25">
      <c r="A131" s="15"/>
      <c r="B131" s="25" t="s">
        <v>8</v>
      </c>
      <c r="C131" s="17"/>
      <c r="D131" s="26"/>
      <c r="E131" s="27"/>
      <c r="F131" s="31"/>
      <c r="G131" s="71">
        <f>SUM(G115:G130)</f>
        <v>1763.6633495091237</v>
      </c>
    </row>
    <row r="132" spans="1:7" ht="27" x14ac:dyDescent="0.25">
      <c r="A132" s="3" t="s">
        <v>84</v>
      </c>
      <c r="B132" s="33" t="s">
        <v>174</v>
      </c>
      <c r="C132" s="7" t="s">
        <v>20</v>
      </c>
      <c r="D132" s="34"/>
      <c r="E132" s="30">
        <f>333.24*0.15/100</f>
        <v>0.49985999999999997</v>
      </c>
      <c r="F132" s="31"/>
      <c r="G132" s="33"/>
    </row>
    <row r="133" spans="1:7" x14ac:dyDescent="0.25">
      <c r="A133" s="2">
        <v>1</v>
      </c>
      <c r="B133" s="1" t="s">
        <v>60</v>
      </c>
      <c r="C133" s="8" t="s">
        <v>7</v>
      </c>
      <c r="D133" s="6">
        <v>833.6</v>
      </c>
      <c r="E133" s="23">
        <f>ROUND(D133*E132,4)</f>
        <v>416.68329999999997</v>
      </c>
      <c r="F133" s="31">
        <v>10.31</v>
      </c>
      <c r="G133" s="36">
        <f t="shared" ref="G133:G141" si="11">F133*E133</f>
        <v>4296.0048230000002</v>
      </c>
    </row>
    <row r="134" spans="1:7" x14ac:dyDescent="0.25">
      <c r="A134" s="2">
        <v>2</v>
      </c>
      <c r="B134" s="1" t="s">
        <v>18</v>
      </c>
      <c r="C134" s="8" t="s">
        <v>7</v>
      </c>
      <c r="D134" s="6">
        <v>33.28</v>
      </c>
      <c r="E134" s="23">
        <f>ROUND(D134*E132,4)</f>
        <v>16.635300000000001</v>
      </c>
      <c r="F134" s="31">
        <v>15.44</v>
      </c>
      <c r="G134" s="36">
        <f t="shared" si="11"/>
        <v>256.84903200000002</v>
      </c>
    </row>
    <row r="135" spans="1:7" ht="25.5" x14ac:dyDescent="0.25">
      <c r="A135" s="2" t="s">
        <v>40</v>
      </c>
      <c r="B135" s="35" t="s">
        <v>47</v>
      </c>
      <c r="C135" s="8" t="s">
        <v>19</v>
      </c>
      <c r="D135" s="6">
        <v>27</v>
      </c>
      <c r="E135" s="23">
        <f>ROUND(D135*E132,4)</f>
        <v>13.4962</v>
      </c>
      <c r="F135" s="31">
        <f>152.37-15.44</f>
        <v>136.93</v>
      </c>
      <c r="G135" s="36">
        <f t="shared" si="11"/>
        <v>1848.034666</v>
      </c>
    </row>
    <row r="136" spans="1:7" x14ac:dyDescent="0.25">
      <c r="A136" s="2">
        <v>111100</v>
      </c>
      <c r="B136" s="35" t="s">
        <v>27</v>
      </c>
      <c r="C136" s="8" t="s">
        <v>19</v>
      </c>
      <c r="D136" s="6">
        <v>40.299999999999997</v>
      </c>
      <c r="E136" s="23">
        <f>ROUND(D136*E132,4)</f>
        <v>20.144400000000001</v>
      </c>
      <c r="F136" s="31">
        <v>2.83</v>
      </c>
      <c r="G136" s="36">
        <f t="shared" si="11"/>
        <v>57.008652000000005</v>
      </c>
    </row>
    <row r="137" spans="1:7" x14ac:dyDescent="0.25">
      <c r="A137" s="2">
        <v>331532</v>
      </c>
      <c r="B137" s="35" t="s">
        <v>26</v>
      </c>
      <c r="C137" s="8" t="s">
        <v>19</v>
      </c>
      <c r="D137" s="6">
        <v>1.6</v>
      </c>
      <c r="E137" s="23">
        <f>ROUND(D137*E132,4)</f>
        <v>0.79979999999999996</v>
      </c>
      <c r="F137" s="31">
        <v>1.63</v>
      </c>
      <c r="G137" s="36">
        <f t="shared" si="11"/>
        <v>1.3036739999999998</v>
      </c>
    </row>
    <row r="138" spans="1:7" x14ac:dyDescent="0.25">
      <c r="A138" s="2" t="s">
        <v>69</v>
      </c>
      <c r="B138" s="35" t="s">
        <v>70</v>
      </c>
      <c r="C138" s="8" t="s">
        <v>12</v>
      </c>
      <c r="D138" s="6">
        <v>1.61E-2</v>
      </c>
      <c r="E138" s="23">
        <f>ROUND(D138*E132,4)</f>
        <v>8.0000000000000002E-3</v>
      </c>
      <c r="F138" s="31">
        <v>5423.7330000000002</v>
      </c>
      <c r="G138" s="36">
        <f t="shared" si="11"/>
        <v>43.389864000000003</v>
      </c>
    </row>
    <row r="139" spans="1:7" x14ac:dyDescent="0.25">
      <c r="A139" s="2" t="s">
        <v>15</v>
      </c>
      <c r="B139" s="1" t="s">
        <v>13</v>
      </c>
      <c r="C139" s="8" t="s">
        <v>12</v>
      </c>
      <c r="D139" s="6">
        <v>1.2999999999999999E-2</v>
      </c>
      <c r="E139" s="23">
        <f>ROUND(D139*E132,4)</f>
        <v>6.4999999999999997E-3</v>
      </c>
      <c r="F139" s="31">
        <v>8500</v>
      </c>
      <c r="G139" s="36">
        <f t="shared" si="11"/>
        <v>55.25</v>
      </c>
    </row>
    <row r="140" spans="1:7" x14ac:dyDescent="0.25">
      <c r="A140" s="2" t="s">
        <v>85</v>
      </c>
      <c r="B140" s="35" t="s">
        <v>86</v>
      </c>
      <c r="C140" s="8" t="s">
        <v>14</v>
      </c>
      <c r="D140" s="6">
        <v>55.56</v>
      </c>
      <c r="E140" s="23">
        <f>ROUND(D140*E132,4)</f>
        <v>27.772200000000002</v>
      </c>
      <c r="F140" s="31"/>
      <c r="G140" s="36">
        <f t="shared" si="11"/>
        <v>0</v>
      </c>
    </row>
    <row r="141" spans="1:7" x14ac:dyDescent="0.25">
      <c r="A141" s="2" t="s">
        <v>21</v>
      </c>
      <c r="B141" s="19" t="s">
        <v>82</v>
      </c>
      <c r="C141" s="8" t="s">
        <v>11</v>
      </c>
      <c r="D141" s="6">
        <v>1.92</v>
      </c>
      <c r="E141" s="23">
        <f>ROUND(D141*E132,4)</f>
        <v>0.9597</v>
      </c>
      <c r="F141" s="31">
        <v>2563.75</v>
      </c>
      <c r="G141" s="36">
        <f t="shared" si="11"/>
        <v>2460.430875</v>
      </c>
    </row>
    <row r="142" spans="1:7" x14ac:dyDescent="0.25">
      <c r="A142" s="20" t="s">
        <v>16</v>
      </c>
      <c r="B142" s="19" t="s">
        <v>83</v>
      </c>
      <c r="C142" s="22" t="s">
        <v>12</v>
      </c>
      <c r="D142" s="18" t="s">
        <v>17</v>
      </c>
      <c r="E142" s="23">
        <f>757/1000</f>
        <v>0.75700000000000001</v>
      </c>
      <c r="F142" s="31">
        <v>6500</v>
      </c>
      <c r="G142" s="36">
        <f>F142*E142</f>
        <v>4920.5</v>
      </c>
    </row>
    <row r="143" spans="1:7" x14ac:dyDescent="0.25">
      <c r="A143" s="20" t="s">
        <v>16</v>
      </c>
      <c r="B143" s="19" t="s">
        <v>44</v>
      </c>
      <c r="C143" s="22" t="s">
        <v>12</v>
      </c>
      <c r="D143" s="18" t="s">
        <v>17</v>
      </c>
      <c r="E143" s="23">
        <f>234/1000</f>
        <v>0.23400000000000001</v>
      </c>
      <c r="F143" s="31">
        <v>6500</v>
      </c>
      <c r="G143" s="36">
        <f>F143*E143</f>
        <v>1521</v>
      </c>
    </row>
    <row r="144" spans="1:7" x14ac:dyDescent="0.25">
      <c r="A144" s="20" t="s">
        <v>16</v>
      </c>
      <c r="B144" s="19" t="s">
        <v>87</v>
      </c>
      <c r="C144" s="22" t="s">
        <v>12</v>
      </c>
      <c r="D144" s="18" t="s">
        <v>17</v>
      </c>
      <c r="E144" s="23">
        <f>3876/1000</f>
        <v>3.8759999999999999</v>
      </c>
      <c r="F144" s="31">
        <v>6500</v>
      </c>
      <c r="G144" s="36">
        <f>F144*E144</f>
        <v>25194</v>
      </c>
    </row>
    <row r="145" spans="1:7" x14ac:dyDescent="0.25">
      <c r="A145" s="20" t="s">
        <v>16</v>
      </c>
      <c r="B145" s="19" t="s">
        <v>65</v>
      </c>
      <c r="C145" s="22" t="s">
        <v>12</v>
      </c>
      <c r="D145" s="18" t="s">
        <v>17</v>
      </c>
      <c r="E145" s="23">
        <f>298/1000</f>
        <v>0.29799999999999999</v>
      </c>
      <c r="F145" s="31">
        <v>6500</v>
      </c>
      <c r="G145" s="31">
        <f t="shared" ref="G145" si="12">F145*E145</f>
        <v>1937</v>
      </c>
    </row>
    <row r="146" spans="1:7" x14ac:dyDescent="0.25">
      <c r="A146" s="2" t="s">
        <v>88</v>
      </c>
      <c r="B146" s="19" t="s">
        <v>76</v>
      </c>
      <c r="C146" s="22" t="s">
        <v>11</v>
      </c>
      <c r="D146" s="18">
        <v>100</v>
      </c>
      <c r="E146" s="23">
        <f>ROUND(D146*E132,4)</f>
        <v>49.985999999999997</v>
      </c>
      <c r="F146" s="31"/>
      <c r="G146" s="36"/>
    </row>
    <row r="147" spans="1:7" x14ac:dyDescent="0.25">
      <c r="A147" s="20"/>
      <c r="B147" s="32" t="s">
        <v>72</v>
      </c>
      <c r="C147" s="22" t="s">
        <v>12</v>
      </c>
      <c r="D147" s="18">
        <v>0.38200000000000001</v>
      </c>
      <c r="E147" s="23">
        <f>ROUND(D147*E146,4)</f>
        <v>19.0947</v>
      </c>
      <c r="F147" s="31">
        <v>630</v>
      </c>
      <c r="G147" s="36">
        <f>F147*E147</f>
        <v>12029.661</v>
      </c>
    </row>
    <row r="148" spans="1:7" x14ac:dyDescent="0.25">
      <c r="A148" s="20"/>
      <c r="B148" s="32" t="s">
        <v>29</v>
      </c>
      <c r="C148" s="22" t="s">
        <v>12</v>
      </c>
      <c r="D148" s="18">
        <f>47/100*1.52</f>
        <v>0.71439999999999992</v>
      </c>
      <c r="E148" s="23">
        <f>ROUND(D148*E146,4)</f>
        <v>35.71</v>
      </c>
      <c r="F148" s="31">
        <f>2449.06/159.17</f>
        <v>15.386442168750394</v>
      </c>
      <c r="G148" s="36">
        <f>F148*E148</f>
        <v>549.44984984607663</v>
      </c>
    </row>
    <row r="149" spans="1:7" x14ac:dyDescent="0.25">
      <c r="A149" s="20"/>
      <c r="B149" s="32" t="s">
        <v>28</v>
      </c>
      <c r="C149" s="22" t="s">
        <v>12</v>
      </c>
      <c r="D149" s="18">
        <f>80/100*1.6</f>
        <v>1.2800000000000002</v>
      </c>
      <c r="E149" s="23">
        <f>ROUND(D149*E146,4)</f>
        <v>63.982100000000003</v>
      </c>
      <c r="F149" s="31">
        <f>4991.72/392.53</f>
        <v>12.7167859781418</v>
      </c>
      <c r="G149" s="36">
        <f>F149*E149</f>
        <v>813.64667213206656</v>
      </c>
    </row>
    <row r="150" spans="1:7" ht="13.5" x14ac:dyDescent="0.25">
      <c r="A150" s="15"/>
      <c r="B150" s="25" t="s">
        <v>8</v>
      </c>
      <c r="C150" s="17"/>
      <c r="D150" s="26"/>
      <c r="E150" s="27"/>
      <c r="F150" s="31"/>
      <c r="G150" s="29">
        <f>SUM(G133:G149)</f>
        <v>55983.529107978145</v>
      </c>
    </row>
    <row r="151" spans="1:7" ht="27" x14ac:dyDescent="0.25">
      <c r="A151" s="15" t="s">
        <v>68</v>
      </c>
      <c r="B151" s="16" t="s">
        <v>180</v>
      </c>
      <c r="C151" s="17" t="s">
        <v>20</v>
      </c>
      <c r="D151" s="18"/>
      <c r="E151" s="30">
        <f>(6.63*0.15+17.97*0.15)/100</f>
        <v>3.6899999999999995E-2</v>
      </c>
      <c r="F151" s="31"/>
      <c r="G151" s="24"/>
    </row>
    <row r="152" spans="1:7" x14ac:dyDescent="0.25">
      <c r="A152" s="20">
        <v>1</v>
      </c>
      <c r="B152" s="21" t="s">
        <v>60</v>
      </c>
      <c r="C152" s="22" t="s">
        <v>7</v>
      </c>
      <c r="D152" s="18">
        <v>2412.6</v>
      </c>
      <c r="E152" s="23">
        <f>ROUND(D152*E151,4)</f>
        <v>89.024900000000002</v>
      </c>
      <c r="F152" s="31">
        <v>10.31</v>
      </c>
      <c r="G152" s="24">
        <f t="shared" ref="G152:G167" si="13">F152*E152</f>
        <v>917.84671900000012</v>
      </c>
    </row>
    <row r="153" spans="1:7" x14ac:dyDescent="0.25">
      <c r="A153" s="20">
        <v>2</v>
      </c>
      <c r="B153" s="21" t="s">
        <v>18</v>
      </c>
      <c r="C153" s="22" t="s">
        <v>7</v>
      </c>
      <c r="D153" s="18">
        <v>51.7</v>
      </c>
      <c r="E153" s="23">
        <f>ROUND(D153*E151,4)</f>
        <v>1.9077</v>
      </c>
      <c r="F153" s="31">
        <v>15.44</v>
      </c>
      <c r="G153" s="24">
        <f t="shared" si="13"/>
        <v>29.454887999999997</v>
      </c>
    </row>
    <row r="154" spans="1:7" ht="25.5" x14ac:dyDescent="0.25">
      <c r="A154" s="20" t="s">
        <v>40</v>
      </c>
      <c r="B154" s="19" t="s">
        <v>47</v>
      </c>
      <c r="C154" s="22" t="s">
        <v>19</v>
      </c>
      <c r="D154" s="18">
        <v>51.7</v>
      </c>
      <c r="E154" s="23">
        <f>ROUND(D154*E151,4)</f>
        <v>1.9077</v>
      </c>
      <c r="F154" s="31">
        <f>152.37-15.44</f>
        <v>136.93</v>
      </c>
      <c r="G154" s="24">
        <f t="shared" si="13"/>
        <v>261.221361</v>
      </c>
    </row>
    <row r="155" spans="1:7" x14ac:dyDescent="0.25">
      <c r="A155" s="20" t="s">
        <v>41</v>
      </c>
      <c r="B155" s="21" t="s">
        <v>38</v>
      </c>
      <c r="C155" s="22" t="s">
        <v>19</v>
      </c>
      <c r="D155" s="18">
        <v>13.2</v>
      </c>
      <c r="E155" s="23">
        <f>ROUND(D155*E151,4)</f>
        <v>0.48709999999999998</v>
      </c>
      <c r="F155" s="31">
        <v>8.4600000000000009</v>
      </c>
      <c r="G155" s="24">
        <f t="shared" si="13"/>
        <v>4.1208660000000004</v>
      </c>
    </row>
    <row r="156" spans="1:7" x14ac:dyDescent="0.25">
      <c r="A156" s="20">
        <v>111301</v>
      </c>
      <c r="B156" s="19" t="s">
        <v>66</v>
      </c>
      <c r="C156" s="22" t="s">
        <v>19</v>
      </c>
      <c r="D156" s="18">
        <v>78</v>
      </c>
      <c r="E156" s="23">
        <f>ROUND(D156*E151,4)</f>
        <v>2.8782000000000001</v>
      </c>
      <c r="F156" s="31">
        <v>1.62</v>
      </c>
      <c r="G156" s="24">
        <f t="shared" si="13"/>
        <v>4.6626840000000005</v>
      </c>
    </row>
    <row r="157" spans="1:7" x14ac:dyDescent="0.25">
      <c r="A157" s="20">
        <v>331532</v>
      </c>
      <c r="B157" s="19" t="s">
        <v>26</v>
      </c>
      <c r="C157" s="22" t="s">
        <v>19</v>
      </c>
      <c r="D157" s="18">
        <v>1.21</v>
      </c>
      <c r="E157" s="23">
        <f>ROUND(D157*E151,4)</f>
        <v>4.4600000000000001E-2</v>
      </c>
      <c r="F157" s="31">
        <v>1.63</v>
      </c>
      <c r="G157" s="24">
        <f t="shared" si="13"/>
        <v>7.2697999999999999E-2</v>
      </c>
    </row>
    <row r="158" spans="1:7" x14ac:dyDescent="0.25">
      <c r="A158" s="20" t="s">
        <v>69</v>
      </c>
      <c r="B158" s="19" t="s">
        <v>70</v>
      </c>
      <c r="C158" s="22" t="s">
        <v>12</v>
      </c>
      <c r="D158" s="18">
        <v>2.3599999999999999E-2</v>
      </c>
      <c r="E158" s="23">
        <f>ROUND(D158*E151,4)</f>
        <v>8.9999999999999998E-4</v>
      </c>
      <c r="F158" s="31">
        <v>5423.7330000000002</v>
      </c>
      <c r="G158" s="24">
        <f t="shared" si="13"/>
        <v>4.8813597</v>
      </c>
    </row>
    <row r="159" spans="1:7" x14ac:dyDescent="0.25">
      <c r="A159" s="20" t="s">
        <v>48</v>
      </c>
      <c r="B159" s="19" t="s">
        <v>39</v>
      </c>
      <c r="C159" s="22" t="s">
        <v>12</v>
      </c>
      <c r="D159" s="18">
        <v>1.2999999999999999E-2</v>
      </c>
      <c r="E159" s="23">
        <f>ROUND(D159*E151,4)</f>
        <v>5.0000000000000001E-4</v>
      </c>
      <c r="F159" s="31">
        <v>9500</v>
      </c>
      <c r="G159" s="24">
        <f t="shared" si="13"/>
        <v>4.75</v>
      </c>
    </row>
    <row r="160" spans="1:7" x14ac:dyDescent="0.25">
      <c r="A160" s="20" t="s">
        <v>15</v>
      </c>
      <c r="B160" s="21" t="s">
        <v>13</v>
      </c>
      <c r="C160" s="22" t="s">
        <v>12</v>
      </c>
      <c r="D160" s="18">
        <v>1.4999999999999999E-2</v>
      </c>
      <c r="E160" s="23">
        <f>ROUND(D160*E151,4)</f>
        <v>5.9999999999999995E-4</v>
      </c>
      <c r="F160" s="31">
        <v>8500</v>
      </c>
      <c r="G160" s="24">
        <f t="shared" si="13"/>
        <v>5.0999999999999996</v>
      </c>
    </row>
    <row r="161" spans="1:7" x14ac:dyDescent="0.25">
      <c r="A161" s="20" t="s">
        <v>21</v>
      </c>
      <c r="B161" s="19" t="s">
        <v>82</v>
      </c>
      <c r="C161" s="22" t="s">
        <v>11</v>
      </c>
      <c r="D161" s="18">
        <v>2.1</v>
      </c>
      <c r="E161" s="23">
        <f>ROUND(D161*E151,4)</f>
        <v>7.7499999999999999E-2</v>
      </c>
      <c r="F161" s="31">
        <v>2563.75</v>
      </c>
      <c r="G161" s="24">
        <f t="shared" si="13"/>
        <v>198.69062500000001</v>
      </c>
    </row>
    <row r="162" spans="1:7" x14ac:dyDescent="0.25">
      <c r="A162" s="20" t="s">
        <v>16</v>
      </c>
      <c r="B162" s="19" t="s">
        <v>44</v>
      </c>
      <c r="C162" s="22" t="s">
        <v>12</v>
      </c>
      <c r="D162" s="18" t="s">
        <v>17</v>
      </c>
      <c r="E162" s="23">
        <f>(144+338)/1000</f>
        <v>0.48199999999999998</v>
      </c>
      <c r="F162" s="31">
        <v>6500</v>
      </c>
      <c r="G162" s="24">
        <f t="shared" si="13"/>
        <v>3133</v>
      </c>
    </row>
    <row r="163" spans="1:7" x14ac:dyDescent="0.25">
      <c r="A163" s="20" t="s">
        <v>16</v>
      </c>
      <c r="B163" s="19" t="s">
        <v>65</v>
      </c>
      <c r="C163" s="22" t="s">
        <v>12</v>
      </c>
      <c r="D163" s="18" t="s">
        <v>17</v>
      </c>
      <c r="E163" s="23">
        <f>(10+10)/1000</f>
        <v>0.02</v>
      </c>
      <c r="F163" s="31">
        <v>6500</v>
      </c>
      <c r="G163" s="31">
        <f t="shared" si="13"/>
        <v>130</v>
      </c>
    </row>
    <row r="164" spans="1:7" x14ac:dyDescent="0.25">
      <c r="A164" s="20" t="s">
        <v>23</v>
      </c>
      <c r="B164" s="19" t="s">
        <v>76</v>
      </c>
      <c r="C164" s="22" t="s">
        <v>11</v>
      </c>
      <c r="D164" s="18">
        <v>100</v>
      </c>
      <c r="E164" s="23">
        <f>ROUND(D164*E151,4)</f>
        <v>3.69</v>
      </c>
      <c r="F164" s="31"/>
      <c r="G164" s="24"/>
    </row>
    <row r="165" spans="1:7" x14ac:dyDescent="0.25">
      <c r="A165" s="20"/>
      <c r="B165" s="32" t="s">
        <v>72</v>
      </c>
      <c r="C165" s="22" t="s">
        <v>12</v>
      </c>
      <c r="D165" s="18">
        <v>0.38200000000000001</v>
      </c>
      <c r="E165" s="23">
        <f>ROUND(D165*E164,4)</f>
        <v>1.4096</v>
      </c>
      <c r="F165" s="31">
        <v>630</v>
      </c>
      <c r="G165" s="24">
        <f t="shared" si="13"/>
        <v>888.048</v>
      </c>
    </row>
    <row r="166" spans="1:7" x14ac:dyDescent="0.25">
      <c r="A166" s="20"/>
      <c r="B166" s="32" t="s">
        <v>29</v>
      </c>
      <c r="C166" s="22" t="s">
        <v>12</v>
      </c>
      <c r="D166" s="18">
        <f>47/100*1.52</f>
        <v>0.71439999999999992</v>
      </c>
      <c r="E166" s="23">
        <f>ROUND(D166*E164,4)</f>
        <v>2.6360999999999999</v>
      </c>
      <c r="F166" s="31">
        <f>2449.06/159.17</f>
        <v>15.386442168750394</v>
      </c>
      <c r="G166" s="24">
        <f t="shared" si="13"/>
        <v>40.56020020104291</v>
      </c>
    </row>
    <row r="167" spans="1:7" x14ac:dyDescent="0.25">
      <c r="A167" s="20"/>
      <c r="B167" s="32" t="s">
        <v>28</v>
      </c>
      <c r="C167" s="22" t="s">
        <v>12</v>
      </c>
      <c r="D167" s="18">
        <f>80/100*1.6</f>
        <v>1.2800000000000002</v>
      </c>
      <c r="E167" s="23">
        <f>ROUND(D167*E164,4)</f>
        <v>4.7232000000000003</v>
      </c>
      <c r="F167" s="31">
        <f>4991.72/392.53</f>
        <v>12.7167859781418</v>
      </c>
      <c r="G167" s="24">
        <f t="shared" si="13"/>
        <v>60.063923531959354</v>
      </c>
    </row>
    <row r="168" spans="1:7" ht="13.5" x14ac:dyDescent="0.25">
      <c r="A168" s="15"/>
      <c r="B168" s="25" t="s">
        <v>8</v>
      </c>
      <c r="C168" s="17"/>
      <c r="D168" s="26"/>
      <c r="E168" s="27"/>
      <c r="F168" s="28"/>
      <c r="G168" s="29">
        <f>SUM(G152:G167)</f>
        <v>5682.4733244330018</v>
      </c>
    </row>
    <row r="169" spans="1:7" ht="13.5" x14ac:dyDescent="0.25">
      <c r="A169" s="15" t="s">
        <v>94</v>
      </c>
      <c r="B169" s="16" t="s">
        <v>95</v>
      </c>
      <c r="C169" s="17" t="s">
        <v>11</v>
      </c>
      <c r="D169" s="18"/>
      <c r="E169" s="30">
        <f>25737/394</f>
        <v>65.32233502538071</v>
      </c>
      <c r="F169" s="31"/>
      <c r="G169" s="24"/>
    </row>
    <row r="170" spans="1:7" x14ac:dyDescent="0.25">
      <c r="A170" s="20">
        <v>1</v>
      </c>
      <c r="B170" s="21" t="s">
        <v>96</v>
      </c>
      <c r="C170" s="22" t="s">
        <v>7</v>
      </c>
      <c r="D170" s="18">
        <v>6.03</v>
      </c>
      <c r="E170" s="23">
        <f>ROUND(D170*E169,4)</f>
        <v>393.89370000000002</v>
      </c>
      <c r="F170" s="31">
        <v>10.210000000000001</v>
      </c>
      <c r="G170" s="24">
        <f t="shared" ref="G170:G178" si="14">F170*E170</f>
        <v>4021.6546770000004</v>
      </c>
    </row>
    <row r="171" spans="1:7" x14ac:dyDescent="0.25">
      <c r="A171" s="20">
        <v>2</v>
      </c>
      <c r="B171" s="21" t="s">
        <v>18</v>
      </c>
      <c r="C171" s="22" t="s">
        <v>7</v>
      </c>
      <c r="D171" s="18">
        <v>0.4</v>
      </c>
      <c r="E171" s="23">
        <f>ROUND(D171*E169,4)</f>
        <v>26.128900000000002</v>
      </c>
      <c r="F171" s="31">
        <v>15.44</v>
      </c>
      <c r="G171" s="24">
        <f t="shared" si="14"/>
        <v>403.43021600000003</v>
      </c>
    </row>
    <row r="172" spans="1:7" ht="25.5" x14ac:dyDescent="0.25">
      <c r="A172" s="20" t="s">
        <v>40</v>
      </c>
      <c r="B172" s="19" t="s">
        <v>47</v>
      </c>
      <c r="C172" s="22" t="s">
        <v>19</v>
      </c>
      <c r="D172" s="18">
        <v>0.4</v>
      </c>
      <c r="E172" s="23">
        <f>ROUND(D172*E169,4)</f>
        <v>26.128900000000002</v>
      </c>
      <c r="F172" s="31">
        <f>136.52-15.44</f>
        <v>121.08000000000001</v>
      </c>
      <c r="G172" s="24">
        <f t="shared" si="14"/>
        <v>3163.6872120000007</v>
      </c>
    </row>
    <row r="173" spans="1:7" x14ac:dyDescent="0.25">
      <c r="A173" s="20" t="s">
        <v>21</v>
      </c>
      <c r="B173" s="19" t="s">
        <v>82</v>
      </c>
      <c r="C173" s="22" t="s">
        <v>11</v>
      </c>
      <c r="D173" s="18">
        <v>5.0000000000000001E-4</v>
      </c>
      <c r="E173" s="23">
        <f>ROUND(D173*E169,4)</f>
        <v>3.27E-2</v>
      </c>
      <c r="F173" s="31">
        <v>2563.75</v>
      </c>
      <c r="G173" s="10">
        <f t="shared" si="14"/>
        <v>83.834625000000003</v>
      </c>
    </row>
    <row r="174" spans="1:7" x14ac:dyDescent="0.25">
      <c r="A174" s="20" t="s">
        <v>97</v>
      </c>
      <c r="B174" s="19" t="s">
        <v>98</v>
      </c>
      <c r="C174" s="22" t="s">
        <v>11</v>
      </c>
      <c r="D174" s="18">
        <v>0.24</v>
      </c>
      <c r="E174" s="23">
        <f>ROUND(D174*E169,4)</f>
        <v>15.6774</v>
      </c>
      <c r="F174" s="31"/>
      <c r="G174" s="24"/>
    </row>
    <row r="175" spans="1:7" x14ac:dyDescent="0.25">
      <c r="A175" s="20"/>
      <c r="B175" s="32" t="s">
        <v>99</v>
      </c>
      <c r="C175" s="22" t="s">
        <v>12</v>
      </c>
      <c r="D175" s="18">
        <v>0.17799999999999999</v>
      </c>
      <c r="E175" s="23">
        <f>ROUND(D175*E174,4)</f>
        <v>2.7906</v>
      </c>
      <c r="F175" s="24">
        <v>580</v>
      </c>
      <c r="G175" s="24">
        <f t="shared" si="14"/>
        <v>1618.548</v>
      </c>
    </row>
    <row r="176" spans="1:7" x14ac:dyDescent="0.25">
      <c r="A176" s="20"/>
      <c r="B176" s="32" t="s">
        <v>100</v>
      </c>
      <c r="C176" s="22" t="s">
        <v>12</v>
      </c>
      <c r="D176" s="18">
        <f>0.13*1.6</f>
        <v>0.20800000000000002</v>
      </c>
      <c r="E176" s="23">
        <f>ROUND(D176*E174,3)</f>
        <v>3.2610000000000001</v>
      </c>
      <c r="F176" s="31"/>
      <c r="G176" s="24">
        <f t="shared" si="14"/>
        <v>0</v>
      </c>
    </row>
    <row r="177" spans="1:7" x14ac:dyDescent="0.25">
      <c r="A177" s="20"/>
      <c r="B177" s="32" t="s">
        <v>101</v>
      </c>
      <c r="C177" s="22" t="s">
        <v>12</v>
      </c>
      <c r="D177" s="18">
        <f>1.28*1.52</f>
        <v>1.9456</v>
      </c>
      <c r="E177" s="23">
        <f>ROUND(D177*E174,4)</f>
        <v>30.501899999999999</v>
      </c>
      <c r="F177" s="31">
        <v>36</v>
      </c>
      <c r="G177" s="24">
        <f t="shared" si="14"/>
        <v>1098.0683999999999</v>
      </c>
    </row>
    <row r="178" spans="1:7" x14ac:dyDescent="0.25">
      <c r="A178" s="20" t="s">
        <v>102</v>
      </c>
      <c r="B178" s="19" t="s">
        <v>103</v>
      </c>
      <c r="C178" s="22" t="s">
        <v>104</v>
      </c>
      <c r="D178" s="18">
        <v>0.39400000000000002</v>
      </c>
      <c r="E178" s="23">
        <f>ROUND(D178*E169,3)</f>
        <v>25.736999999999998</v>
      </c>
      <c r="F178" s="31">
        <v>593.79999999999995</v>
      </c>
      <c r="G178" s="24">
        <f t="shared" si="14"/>
        <v>15282.630599999999</v>
      </c>
    </row>
    <row r="179" spans="1:7" ht="13.5" x14ac:dyDescent="0.25">
      <c r="A179" s="15"/>
      <c r="B179" s="25" t="s">
        <v>8</v>
      </c>
      <c r="C179" s="17"/>
      <c r="D179" s="26"/>
      <c r="E179" s="27"/>
      <c r="F179" s="31"/>
      <c r="G179" s="29">
        <f>SUM(G170:G178)</f>
        <v>25671.853730000003</v>
      </c>
    </row>
    <row r="180" spans="1:7" ht="13.5" x14ac:dyDescent="0.25">
      <c r="A180" s="15" t="s">
        <v>45</v>
      </c>
      <c r="B180" s="16" t="s">
        <v>107</v>
      </c>
      <c r="C180" s="17" t="s">
        <v>20</v>
      </c>
      <c r="D180" s="18"/>
      <c r="E180" s="30">
        <f>(40.6*0.38*0.12+40.7*0.25*0.12)/100</f>
        <v>3.0723600000000004E-2</v>
      </c>
      <c r="F180" s="31"/>
      <c r="G180" s="24"/>
    </row>
    <row r="181" spans="1:7" x14ac:dyDescent="0.25">
      <c r="A181" s="20">
        <v>1</v>
      </c>
      <c r="B181" s="21" t="s">
        <v>46</v>
      </c>
      <c r="C181" s="22" t="s">
        <v>7</v>
      </c>
      <c r="D181" s="18">
        <v>1569.4</v>
      </c>
      <c r="E181" s="23">
        <f>ROUND(D181*E180,4)</f>
        <v>48.217599999999997</v>
      </c>
      <c r="F181" s="31">
        <v>10.46</v>
      </c>
      <c r="G181" s="31">
        <f t="shared" ref="G181:G197" si="15">F181*E181</f>
        <v>504.35609600000004</v>
      </c>
    </row>
    <row r="182" spans="1:7" x14ac:dyDescent="0.25">
      <c r="A182" s="20">
        <v>2</v>
      </c>
      <c r="B182" s="21" t="s">
        <v>18</v>
      </c>
      <c r="C182" s="22" t="s">
        <v>7</v>
      </c>
      <c r="D182" s="18">
        <v>93.3</v>
      </c>
      <c r="E182" s="23">
        <f>ROUND(D182*E180,4)</f>
        <v>2.8664999999999998</v>
      </c>
      <c r="F182" s="31">
        <v>15.44</v>
      </c>
      <c r="G182" s="31">
        <f t="shared" si="15"/>
        <v>44.258759999999995</v>
      </c>
    </row>
    <row r="183" spans="1:7" ht="25.5" x14ac:dyDescent="0.25">
      <c r="A183" s="20" t="s">
        <v>40</v>
      </c>
      <c r="B183" s="19" t="s">
        <v>47</v>
      </c>
      <c r="C183" s="22" t="s">
        <v>19</v>
      </c>
      <c r="D183" s="18">
        <v>93.3</v>
      </c>
      <c r="E183" s="23">
        <f>ROUND(D183*E180,4)</f>
        <v>2.8664999999999998</v>
      </c>
      <c r="F183" s="31">
        <f>136.52-15.44</f>
        <v>121.08000000000001</v>
      </c>
      <c r="G183" s="31">
        <f t="shared" si="15"/>
        <v>347.07582000000002</v>
      </c>
    </row>
    <row r="184" spans="1:7" x14ac:dyDescent="0.25">
      <c r="A184" s="20" t="s">
        <v>41</v>
      </c>
      <c r="B184" s="21" t="s">
        <v>38</v>
      </c>
      <c r="C184" s="22" t="s">
        <v>19</v>
      </c>
      <c r="D184" s="18">
        <v>124.95</v>
      </c>
      <c r="E184" s="23">
        <f>ROUND(D184*E180,4)</f>
        <v>3.8389000000000002</v>
      </c>
      <c r="F184" s="31">
        <v>8.4600000000000009</v>
      </c>
      <c r="G184" s="31">
        <f t="shared" si="15"/>
        <v>32.477094000000008</v>
      </c>
    </row>
    <row r="185" spans="1:7" x14ac:dyDescent="0.25">
      <c r="A185" s="20">
        <v>111100</v>
      </c>
      <c r="B185" s="19" t="s">
        <v>27</v>
      </c>
      <c r="C185" s="22" t="s">
        <v>19</v>
      </c>
      <c r="D185" s="18">
        <v>61.88</v>
      </c>
      <c r="E185" s="23">
        <f>ROUND(D185*E180,4)</f>
        <v>1.9012</v>
      </c>
      <c r="F185" s="31">
        <v>2.83</v>
      </c>
      <c r="G185" s="31">
        <f t="shared" si="15"/>
        <v>5.3803960000000002</v>
      </c>
    </row>
    <row r="186" spans="1:7" x14ac:dyDescent="0.25">
      <c r="A186" s="20">
        <v>331532</v>
      </c>
      <c r="B186" s="19" t="s">
        <v>26</v>
      </c>
      <c r="C186" s="22" t="s">
        <v>19</v>
      </c>
      <c r="D186" s="18">
        <v>1.9</v>
      </c>
      <c r="E186" s="23">
        <f>ROUND(D186*E180,4)</f>
        <v>5.8400000000000001E-2</v>
      </c>
      <c r="F186" s="31">
        <v>1.82</v>
      </c>
      <c r="G186" s="31">
        <f t="shared" si="15"/>
        <v>0.10628800000000001</v>
      </c>
    </row>
    <row r="187" spans="1:7" x14ac:dyDescent="0.25">
      <c r="A187" s="20" t="s">
        <v>48</v>
      </c>
      <c r="B187" s="19" t="s">
        <v>39</v>
      </c>
      <c r="C187" s="22" t="s">
        <v>12</v>
      </c>
      <c r="D187" s="18">
        <v>0.15</v>
      </c>
      <c r="E187" s="23">
        <f>ROUND(D187*E180,4)</f>
        <v>4.5999999999999999E-3</v>
      </c>
      <c r="F187" s="31">
        <v>9500</v>
      </c>
      <c r="G187" s="31">
        <f t="shared" si="15"/>
        <v>43.699999999999996</v>
      </c>
    </row>
    <row r="188" spans="1:7" x14ac:dyDescent="0.25">
      <c r="A188" s="20" t="s">
        <v>15</v>
      </c>
      <c r="B188" s="21" t="s">
        <v>13</v>
      </c>
      <c r="C188" s="22" t="s">
        <v>12</v>
      </c>
      <c r="D188" s="18">
        <v>4.4999999999999998E-2</v>
      </c>
      <c r="E188" s="23">
        <f>ROUND(D188*E180,4)</f>
        <v>1.4E-3</v>
      </c>
      <c r="F188" s="31">
        <v>8500</v>
      </c>
      <c r="G188" s="31">
        <f t="shared" si="15"/>
        <v>11.9</v>
      </c>
    </row>
    <row r="189" spans="1:7" x14ac:dyDescent="0.25">
      <c r="A189" s="20" t="s">
        <v>21</v>
      </c>
      <c r="B189" s="19" t="s">
        <v>82</v>
      </c>
      <c r="C189" s="22" t="s">
        <v>11</v>
      </c>
      <c r="D189" s="18">
        <v>1.7</v>
      </c>
      <c r="E189" s="23">
        <f>ROUND(D189*E180,4)</f>
        <v>5.2200000000000003E-2</v>
      </c>
      <c r="F189" s="31">
        <v>2563.75</v>
      </c>
      <c r="G189" s="10">
        <f t="shared" si="15"/>
        <v>133.82775000000001</v>
      </c>
    </row>
    <row r="190" spans="1:7" x14ac:dyDescent="0.25">
      <c r="A190" s="20" t="s">
        <v>49</v>
      </c>
      <c r="B190" s="19" t="s">
        <v>50</v>
      </c>
      <c r="C190" s="22" t="s">
        <v>11</v>
      </c>
      <c r="D190" s="18">
        <v>0.25</v>
      </c>
      <c r="E190" s="23">
        <f>ROUND(D190*E180,4)</f>
        <v>7.7000000000000002E-3</v>
      </c>
      <c r="F190" s="31">
        <v>2000</v>
      </c>
      <c r="G190" s="31">
        <f t="shared" si="15"/>
        <v>15.4</v>
      </c>
    </row>
    <row r="191" spans="1:7" x14ac:dyDescent="0.25">
      <c r="A191" s="20" t="s">
        <v>22</v>
      </c>
      <c r="B191" s="19" t="s">
        <v>24</v>
      </c>
      <c r="C191" s="22" t="s">
        <v>14</v>
      </c>
      <c r="D191" s="18">
        <v>135</v>
      </c>
      <c r="E191" s="23">
        <f>ROUND(D191*E180,4)</f>
        <v>4.1477000000000004</v>
      </c>
      <c r="F191" s="31"/>
      <c r="G191" s="10">
        <f t="shared" si="15"/>
        <v>0</v>
      </c>
    </row>
    <row r="192" spans="1:7" x14ac:dyDescent="0.25">
      <c r="A192" s="20" t="s">
        <v>16</v>
      </c>
      <c r="B192" s="19" t="s">
        <v>44</v>
      </c>
      <c r="C192" s="22" t="s">
        <v>12</v>
      </c>
      <c r="D192" s="18" t="s">
        <v>17</v>
      </c>
      <c r="E192" s="23">
        <f>(82+82)/1000</f>
        <v>0.16400000000000001</v>
      </c>
      <c r="F192" s="31">
        <v>6500</v>
      </c>
      <c r="G192" s="31">
        <f t="shared" si="15"/>
        <v>1066</v>
      </c>
    </row>
    <row r="193" spans="1:7" x14ac:dyDescent="0.25">
      <c r="A193" s="20" t="s">
        <v>16</v>
      </c>
      <c r="B193" s="19" t="s">
        <v>65</v>
      </c>
      <c r="C193" s="22" t="s">
        <v>12</v>
      </c>
      <c r="D193" s="18" t="s">
        <v>17</v>
      </c>
      <c r="E193" s="23">
        <f>(25+25)/1000</f>
        <v>0.05</v>
      </c>
      <c r="F193" s="31">
        <v>6500</v>
      </c>
      <c r="G193" s="31">
        <f t="shared" si="15"/>
        <v>325</v>
      </c>
    </row>
    <row r="194" spans="1:7" x14ac:dyDescent="0.25">
      <c r="A194" s="20" t="s">
        <v>23</v>
      </c>
      <c r="B194" s="19" t="s">
        <v>76</v>
      </c>
      <c r="C194" s="22" t="s">
        <v>11</v>
      </c>
      <c r="D194" s="18">
        <v>100</v>
      </c>
      <c r="E194" s="23">
        <f>ROUND(D194*E180,4)</f>
        <v>3.0724</v>
      </c>
      <c r="F194" s="31"/>
      <c r="G194" s="31"/>
    </row>
    <row r="195" spans="1:7" x14ac:dyDescent="0.25">
      <c r="A195" s="20"/>
      <c r="B195" s="32" t="s">
        <v>99</v>
      </c>
      <c r="C195" s="22" t="s">
        <v>12</v>
      </c>
      <c r="D195" s="18">
        <v>0.47899999999999998</v>
      </c>
      <c r="E195" s="23">
        <f>ROUND(D195*E194,4)</f>
        <v>1.4717</v>
      </c>
      <c r="F195" s="24">
        <v>580</v>
      </c>
      <c r="G195" s="31">
        <f t="shared" si="15"/>
        <v>853.58600000000001</v>
      </c>
    </row>
    <row r="196" spans="1:7" x14ac:dyDescent="0.25">
      <c r="A196" s="20"/>
      <c r="B196" s="32" t="s">
        <v>29</v>
      </c>
      <c r="C196" s="22" t="s">
        <v>12</v>
      </c>
      <c r="D196" s="18">
        <v>0.40300000000000002</v>
      </c>
      <c r="E196" s="23">
        <f>ROUND(D196*E194,4)</f>
        <v>1.2382</v>
      </c>
      <c r="F196" s="31">
        <f>2449.06/159.17</f>
        <v>15.386442168750394</v>
      </c>
      <c r="G196" s="31">
        <f t="shared" si="15"/>
        <v>19.051492693346738</v>
      </c>
    </row>
    <row r="197" spans="1:7" x14ac:dyDescent="0.25">
      <c r="A197" s="20"/>
      <c r="B197" s="32" t="s">
        <v>28</v>
      </c>
      <c r="C197" s="22" t="s">
        <v>12</v>
      </c>
      <c r="D197" s="18">
        <v>1.881</v>
      </c>
      <c r="E197" s="23">
        <f>ROUND(D197*E194,4)</f>
        <v>5.7792000000000003</v>
      </c>
      <c r="F197" s="31">
        <f>4991.72/392.53</f>
        <v>12.7167859781418</v>
      </c>
      <c r="G197" s="31">
        <f t="shared" si="15"/>
        <v>73.492849524877101</v>
      </c>
    </row>
    <row r="198" spans="1:7" ht="13.5" x14ac:dyDescent="0.25">
      <c r="A198" s="15"/>
      <c r="B198" s="25" t="s">
        <v>8</v>
      </c>
      <c r="C198" s="17"/>
      <c r="D198" s="26"/>
      <c r="E198" s="27"/>
      <c r="F198" s="31"/>
      <c r="G198" s="71">
        <f>SUM(G181:G197)</f>
        <v>3475.6125462182235</v>
      </c>
    </row>
    <row r="199" spans="1:7" ht="13.5" x14ac:dyDescent="0.25">
      <c r="A199" s="64"/>
      <c r="B199" s="65"/>
      <c r="C199" s="66"/>
      <c r="D199" s="67"/>
      <c r="E199" s="67"/>
      <c r="F199" s="67"/>
      <c r="G199" s="68"/>
    </row>
    <row r="200" spans="1:7" ht="13.5" x14ac:dyDescent="0.25">
      <c r="A200" s="52"/>
      <c r="B200" s="53"/>
      <c r="C200" s="52"/>
      <c r="D200" s="53"/>
      <c r="E200" s="53"/>
      <c r="F200" s="61"/>
      <c r="G200" s="54"/>
    </row>
    <row r="201" spans="1:7" ht="13.5" x14ac:dyDescent="0.25">
      <c r="A201" s="52"/>
      <c r="B201" s="53"/>
      <c r="C201" s="52"/>
      <c r="D201" s="53"/>
      <c r="E201" s="53"/>
      <c r="F201" s="61"/>
      <c r="G201" s="54"/>
    </row>
    <row r="202" spans="1:7" ht="13.5" x14ac:dyDescent="0.25">
      <c r="A202" s="2"/>
      <c r="B202" s="55" t="s">
        <v>42</v>
      </c>
      <c r="C202" s="56"/>
      <c r="D202" s="10"/>
      <c r="E202" s="10"/>
      <c r="F202" s="40"/>
      <c r="G202" s="12">
        <f>SUMIFS(G17:G201,B17:B201,"Итого")</f>
        <v>170991.73551815763</v>
      </c>
    </row>
    <row r="203" spans="1:7" ht="13.5" x14ac:dyDescent="0.25">
      <c r="A203" s="2"/>
      <c r="B203" s="55" t="s">
        <v>30</v>
      </c>
      <c r="C203" s="56"/>
      <c r="D203" s="10"/>
      <c r="E203" s="10"/>
      <c r="F203" s="10"/>
      <c r="G203" s="12"/>
    </row>
    <row r="204" spans="1:7" ht="13.5" x14ac:dyDescent="0.25">
      <c r="A204" s="2"/>
      <c r="B204" s="57" t="s">
        <v>51</v>
      </c>
      <c r="C204" s="56"/>
      <c r="D204" s="10"/>
      <c r="E204" s="10"/>
      <c r="F204" s="72">
        <f>G24+G25+G26+G27+G28+G29+G30+G32+G33+G34+G43+G44+G45+G46+G47+G48+G49+G50+G51+G52+G54+G55+G56+G65+G66+G67+G68+G69+G70+G71+G72+G74+G75+G76+G85+G86+G87+G88+G89+G90+G92+G93+G94+G103+G104+G105+G106+G107+G108+G110+G111+G112+G121+G122+G123+G124+G125+G126+G128+G129+G130+G138+G139+G140+G141+G142+G143+G144+G145+G147+G148+G149+G158+G159+G160+G161+G162+G163+G165+G166+G167+G173+G175+G176+G177+G178+G187+G188+G189+G190+G192+G193+G195+G196+G197</f>
        <v>139700.05032715766</v>
      </c>
      <c r="G204" s="12">
        <f>G202-G205-G206-G207</f>
        <v>139700.05032715763</v>
      </c>
    </row>
    <row r="205" spans="1:7" ht="13.5" x14ac:dyDescent="0.25">
      <c r="A205" s="2"/>
      <c r="B205" s="57" t="s">
        <v>52</v>
      </c>
      <c r="C205" s="56"/>
      <c r="D205" s="10"/>
      <c r="E205" s="10"/>
      <c r="F205" s="10"/>
      <c r="G205" s="12">
        <f>SUMIFS(G17:G201,C17:C201,"маш/час")</f>
        <v>13039.767154000003</v>
      </c>
    </row>
    <row r="206" spans="1:7" ht="13.5" x14ac:dyDescent="0.25">
      <c r="A206" s="2"/>
      <c r="B206" s="57" t="s">
        <v>53</v>
      </c>
      <c r="C206" s="56"/>
      <c r="D206" s="10"/>
      <c r="E206" s="10"/>
      <c r="F206" s="10"/>
      <c r="G206" s="12">
        <f>SUMIFS(G17:G201,A17:A201,1)</f>
        <v>16806.840573000005</v>
      </c>
    </row>
    <row r="207" spans="1:7" ht="13.5" x14ac:dyDescent="0.25">
      <c r="A207" s="2"/>
      <c r="B207" s="57" t="s">
        <v>54</v>
      </c>
      <c r="C207" s="56"/>
      <c r="D207" s="10"/>
      <c r="E207" s="10"/>
      <c r="F207" s="10"/>
      <c r="G207" s="12">
        <f>SUMIFS(G17:G201,A17:A201,2)</f>
        <v>1445.077464</v>
      </c>
    </row>
    <row r="208" spans="1:7" ht="13.5" x14ac:dyDescent="0.25">
      <c r="A208" s="2"/>
      <c r="B208" s="12" t="s">
        <v>37</v>
      </c>
      <c r="C208" s="56"/>
      <c r="D208" s="10"/>
      <c r="E208" s="10"/>
      <c r="F208" s="10"/>
      <c r="G208" s="12">
        <f>(G206+G207)*25%</f>
        <v>4562.9795092500008</v>
      </c>
    </row>
    <row r="209" spans="1:7" ht="13.5" x14ac:dyDescent="0.25">
      <c r="A209" s="15"/>
      <c r="B209" s="25" t="s">
        <v>8</v>
      </c>
      <c r="C209" s="17"/>
      <c r="D209" s="26"/>
      <c r="E209" s="27"/>
      <c r="F209" s="28"/>
      <c r="G209" s="12">
        <f>SUM(G204:G208)</f>
        <v>175554.71502740763</v>
      </c>
    </row>
    <row r="210" spans="1:7" ht="13.5" x14ac:dyDescent="0.25">
      <c r="A210" s="2"/>
      <c r="B210" s="4" t="s">
        <v>61</v>
      </c>
      <c r="C210" s="8"/>
      <c r="D210" s="9"/>
      <c r="E210" s="9"/>
      <c r="F210" s="10"/>
      <c r="G210" s="12">
        <f>G209*10%</f>
        <v>17555.471502740762</v>
      </c>
    </row>
    <row r="211" spans="1:7" ht="13.5" x14ac:dyDescent="0.25">
      <c r="A211" s="2"/>
      <c r="B211" s="4" t="s">
        <v>55</v>
      </c>
      <c r="C211" s="7" t="s">
        <v>11</v>
      </c>
      <c r="D211" s="11"/>
      <c r="E211" s="5">
        <f>SUMIFS(E200:E207,B200:B207,"Бетон марки БМ-350")</f>
        <v>0</v>
      </c>
      <c r="F211" s="63"/>
      <c r="G211" s="12">
        <f>+F211*E211</f>
        <v>0</v>
      </c>
    </row>
    <row r="212" spans="1:7" ht="13.5" x14ac:dyDescent="0.25">
      <c r="A212" s="2"/>
      <c r="B212" s="4" t="s">
        <v>56</v>
      </c>
      <c r="C212" s="7" t="s">
        <v>11</v>
      </c>
      <c r="D212" s="11"/>
      <c r="E212" s="5">
        <f>E211</f>
        <v>0</v>
      </c>
      <c r="F212" s="63"/>
      <c r="G212" s="12">
        <f>+F212*E212</f>
        <v>0</v>
      </c>
    </row>
    <row r="213" spans="1:7" ht="13.5" x14ac:dyDescent="0.25">
      <c r="A213" s="2"/>
      <c r="B213" s="55" t="s">
        <v>8</v>
      </c>
      <c r="C213" s="56"/>
      <c r="D213" s="10"/>
      <c r="E213" s="10"/>
      <c r="F213" s="10"/>
      <c r="G213" s="12">
        <f>SUM(G209:G212)</f>
        <v>193110.18653014838</v>
      </c>
    </row>
    <row r="214" spans="1:7" ht="13.5" x14ac:dyDescent="0.25">
      <c r="A214" s="2"/>
      <c r="B214" s="55" t="s">
        <v>63</v>
      </c>
      <c r="C214" s="56"/>
      <c r="D214" s="10"/>
      <c r="E214" s="10"/>
      <c r="F214" s="10"/>
      <c r="G214" s="12">
        <f>G213*7%</f>
        <v>13517.713057110388</v>
      </c>
    </row>
    <row r="215" spans="1:7" ht="13.5" x14ac:dyDescent="0.25">
      <c r="A215" s="2"/>
      <c r="B215" s="55" t="s">
        <v>31</v>
      </c>
      <c r="C215" s="56"/>
      <c r="D215" s="10"/>
      <c r="E215" s="10"/>
      <c r="F215" s="10"/>
      <c r="G215" s="12">
        <f>SUM(G213:G214)</f>
        <v>206627.89958725875</v>
      </c>
    </row>
    <row r="216" spans="1:7" x14ac:dyDescent="0.25">
      <c r="F216" s="40"/>
    </row>
    <row r="217" spans="1:7" x14ac:dyDescent="0.25">
      <c r="F217" s="40"/>
    </row>
    <row r="218" spans="1:7" x14ac:dyDescent="0.25">
      <c r="F218" s="40"/>
    </row>
    <row r="219" spans="1:7" ht="13.5" x14ac:dyDescent="0.25">
      <c r="A219" s="13"/>
      <c r="B219" s="129" t="s">
        <v>33</v>
      </c>
      <c r="C219" s="144" t="s">
        <v>35</v>
      </c>
      <c r="D219" s="144"/>
      <c r="E219" s="144"/>
      <c r="F219" s="144"/>
      <c r="G219" s="14"/>
    </row>
    <row r="220" spans="1:7" ht="13.5" x14ac:dyDescent="0.25">
      <c r="A220" s="13"/>
      <c r="B220" s="129"/>
      <c r="C220" s="129"/>
      <c r="D220" s="129"/>
      <c r="E220" s="129"/>
      <c r="F220" s="129"/>
      <c r="G220" s="14"/>
    </row>
    <row r="221" spans="1:7" ht="13.5" x14ac:dyDescent="0.25">
      <c r="A221" s="13"/>
      <c r="B221" s="129" t="s">
        <v>34</v>
      </c>
      <c r="C221" s="144" t="s">
        <v>36</v>
      </c>
      <c r="D221" s="144"/>
      <c r="E221" s="144"/>
      <c r="F221" s="144"/>
      <c r="G221" s="14"/>
    </row>
    <row r="222" spans="1:7" x14ac:dyDescent="0.25">
      <c r="F222" s="40"/>
    </row>
    <row r="223" spans="1:7" x14ac:dyDescent="0.25">
      <c r="F223" s="40"/>
    </row>
    <row r="224" spans="1:7" x14ac:dyDescent="0.25">
      <c r="F224" s="40"/>
    </row>
    <row r="232" spans="2:9" x14ac:dyDescent="0.25">
      <c r="B232" s="19" t="s">
        <v>93</v>
      </c>
      <c r="C232" s="22" t="s">
        <v>12</v>
      </c>
      <c r="D232" s="69"/>
      <c r="E232" s="23">
        <f t="shared" ref="E232:E260" si="16">SUMIFS($E$17:$E$200,$B$17:$B$200,B232)</f>
        <v>0</v>
      </c>
      <c r="F232" s="31">
        <v>6500</v>
      </c>
      <c r="G232" s="36">
        <f>E232*F232</f>
        <v>0</v>
      </c>
      <c r="H232" s="74">
        <f t="shared" ref="H232:H260" si="17">SUMIFS($G$17:$G$200,$B$17:$B$200,B232)</f>
        <v>0</v>
      </c>
      <c r="I232" s="40">
        <f t="shared" ref="I232:I257" si="18">G232-H232</f>
        <v>0</v>
      </c>
    </row>
    <row r="233" spans="2:9" x14ac:dyDescent="0.25">
      <c r="B233" s="19" t="s">
        <v>65</v>
      </c>
      <c r="C233" s="22" t="s">
        <v>12</v>
      </c>
      <c r="D233" s="69"/>
      <c r="E233" s="23">
        <f t="shared" si="16"/>
        <v>1.2400000000000002</v>
      </c>
      <c r="F233" s="31">
        <v>6500</v>
      </c>
      <c r="G233" s="36">
        <f t="shared" ref="G233:G260" si="19">E233*F233</f>
        <v>8060.0000000000018</v>
      </c>
      <c r="H233" s="74">
        <f t="shared" si="17"/>
        <v>8060</v>
      </c>
      <c r="I233" s="40">
        <f t="shared" si="18"/>
        <v>0</v>
      </c>
    </row>
    <row r="234" spans="2:9" x14ac:dyDescent="0.25">
      <c r="B234" s="19" t="s">
        <v>87</v>
      </c>
      <c r="C234" s="22" t="s">
        <v>12</v>
      </c>
      <c r="D234" s="69"/>
      <c r="E234" s="23">
        <f t="shared" si="16"/>
        <v>4.6150000000000002</v>
      </c>
      <c r="F234" s="31">
        <v>6500</v>
      </c>
      <c r="G234" s="36">
        <f t="shared" si="19"/>
        <v>29997.5</v>
      </c>
      <c r="H234" s="74">
        <f t="shared" si="17"/>
        <v>29997.5</v>
      </c>
      <c r="I234" s="40">
        <f t="shared" si="18"/>
        <v>0</v>
      </c>
    </row>
    <row r="235" spans="2:9" x14ac:dyDescent="0.25">
      <c r="B235" s="19" t="s">
        <v>44</v>
      </c>
      <c r="C235" s="22" t="s">
        <v>12</v>
      </c>
      <c r="D235" s="6"/>
      <c r="E235" s="23">
        <f t="shared" si="16"/>
        <v>0.88</v>
      </c>
      <c r="F235" s="31">
        <v>6500</v>
      </c>
      <c r="G235" s="36">
        <f t="shared" si="19"/>
        <v>5720</v>
      </c>
      <c r="H235" s="74">
        <f t="shared" si="17"/>
        <v>5720</v>
      </c>
      <c r="I235" s="40">
        <f t="shared" si="18"/>
        <v>0</v>
      </c>
    </row>
    <row r="236" spans="2:9" x14ac:dyDescent="0.25">
      <c r="B236" s="19" t="s">
        <v>71</v>
      </c>
      <c r="C236" s="22" t="s">
        <v>12</v>
      </c>
      <c r="D236" s="6"/>
      <c r="E236" s="23">
        <f t="shared" si="16"/>
        <v>1.2549999999999999</v>
      </c>
      <c r="F236" s="31">
        <v>6500</v>
      </c>
      <c r="G236" s="36">
        <f t="shared" si="19"/>
        <v>8157.4999999999991</v>
      </c>
      <c r="H236" s="74">
        <f t="shared" si="17"/>
        <v>8157.4999999999991</v>
      </c>
      <c r="I236" s="40">
        <f t="shared" si="18"/>
        <v>0</v>
      </c>
    </row>
    <row r="237" spans="2:9" x14ac:dyDescent="0.25">
      <c r="B237" s="19" t="s">
        <v>83</v>
      </c>
      <c r="C237" s="22" t="s">
        <v>12</v>
      </c>
      <c r="D237" s="69"/>
      <c r="E237" s="23">
        <f t="shared" si="16"/>
        <v>1.0310000000000001</v>
      </c>
      <c r="F237" s="31">
        <v>6500</v>
      </c>
      <c r="G237" s="36">
        <f t="shared" si="19"/>
        <v>6701.5000000000009</v>
      </c>
      <c r="H237" s="74">
        <f t="shared" si="17"/>
        <v>6701.5</v>
      </c>
      <c r="I237" s="40">
        <f t="shared" si="18"/>
        <v>0</v>
      </c>
    </row>
    <row r="238" spans="2:9" x14ac:dyDescent="0.25">
      <c r="B238" s="19" t="s">
        <v>43</v>
      </c>
      <c r="C238" s="22" t="s">
        <v>12</v>
      </c>
      <c r="D238" s="69"/>
      <c r="E238" s="23">
        <f t="shared" si="16"/>
        <v>0.441</v>
      </c>
      <c r="F238" s="31">
        <v>6500</v>
      </c>
      <c r="G238" s="36">
        <f t="shared" si="19"/>
        <v>2866.5</v>
      </c>
      <c r="H238" s="74">
        <f t="shared" si="17"/>
        <v>2866.5</v>
      </c>
      <c r="I238" s="40">
        <f t="shared" si="18"/>
        <v>0</v>
      </c>
    </row>
    <row r="239" spans="2:9" x14ac:dyDescent="0.25">
      <c r="B239" s="19" t="s">
        <v>80</v>
      </c>
      <c r="C239" s="22" t="s">
        <v>12</v>
      </c>
      <c r="D239" s="69"/>
      <c r="E239" s="23">
        <f t="shared" si="16"/>
        <v>1.698</v>
      </c>
      <c r="F239" s="31">
        <v>6500</v>
      </c>
      <c r="G239" s="36">
        <f t="shared" si="19"/>
        <v>11037</v>
      </c>
      <c r="H239" s="74">
        <f t="shared" si="17"/>
        <v>11037</v>
      </c>
      <c r="I239" s="40">
        <f t="shared" si="18"/>
        <v>0</v>
      </c>
    </row>
    <row r="240" spans="2:9" x14ac:dyDescent="0.25">
      <c r="B240" s="19" t="s">
        <v>75</v>
      </c>
      <c r="C240" s="22" t="s">
        <v>12</v>
      </c>
      <c r="D240" s="69"/>
      <c r="E240" s="23">
        <f t="shared" si="16"/>
        <v>1.4370000000000001</v>
      </c>
      <c r="F240" s="31">
        <v>6500</v>
      </c>
      <c r="G240" s="36">
        <f t="shared" si="19"/>
        <v>9340.5</v>
      </c>
      <c r="H240" s="74">
        <f t="shared" si="17"/>
        <v>9340.5</v>
      </c>
      <c r="I240" s="40">
        <f t="shared" si="18"/>
        <v>0</v>
      </c>
    </row>
    <row r="241" spans="2:9" x14ac:dyDescent="0.25">
      <c r="B241" s="19" t="s">
        <v>77</v>
      </c>
      <c r="C241" s="22" t="s">
        <v>12</v>
      </c>
      <c r="D241" s="69"/>
      <c r="E241" s="23">
        <f t="shared" si="16"/>
        <v>0.56699999999999995</v>
      </c>
      <c r="F241" s="31">
        <v>6500</v>
      </c>
      <c r="G241" s="36">
        <f t="shared" si="19"/>
        <v>3685.4999999999995</v>
      </c>
      <c r="H241" s="74">
        <f t="shared" si="17"/>
        <v>3685.4999999999995</v>
      </c>
      <c r="I241" s="40">
        <f t="shared" si="18"/>
        <v>0</v>
      </c>
    </row>
    <row r="242" spans="2:9" x14ac:dyDescent="0.25">
      <c r="B242" s="19" t="s">
        <v>79</v>
      </c>
      <c r="C242" s="22" t="s">
        <v>12</v>
      </c>
      <c r="D242" s="69"/>
      <c r="E242" s="23">
        <f t="shared" si="16"/>
        <v>0</v>
      </c>
      <c r="F242" s="31">
        <v>6500</v>
      </c>
      <c r="G242" s="36">
        <f t="shared" si="19"/>
        <v>0</v>
      </c>
      <c r="H242" s="74">
        <f t="shared" si="17"/>
        <v>0</v>
      </c>
      <c r="I242" s="40">
        <f t="shared" si="18"/>
        <v>0</v>
      </c>
    </row>
    <row r="243" spans="2:9" x14ac:dyDescent="0.25">
      <c r="B243" s="19" t="s">
        <v>78</v>
      </c>
      <c r="C243" s="22" t="s">
        <v>12</v>
      </c>
      <c r="D243" s="69"/>
      <c r="E243" s="23">
        <f t="shared" si="16"/>
        <v>0</v>
      </c>
      <c r="F243" s="31">
        <v>6500</v>
      </c>
      <c r="G243" s="36">
        <f>E243*F243</f>
        <v>0</v>
      </c>
      <c r="H243" s="74">
        <f t="shared" si="17"/>
        <v>0</v>
      </c>
      <c r="I243" s="40">
        <f t="shared" si="18"/>
        <v>0</v>
      </c>
    </row>
    <row r="244" spans="2:9" x14ac:dyDescent="0.25">
      <c r="B244" s="19" t="s">
        <v>76</v>
      </c>
      <c r="C244" s="22" t="s">
        <v>11</v>
      </c>
      <c r="D244" s="69"/>
      <c r="E244" s="23">
        <f t="shared" si="16"/>
        <v>114.75519999999999</v>
      </c>
      <c r="F244" s="31"/>
      <c r="G244" s="36">
        <f t="shared" si="19"/>
        <v>0</v>
      </c>
      <c r="H244" s="74">
        <f t="shared" si="17"/>
        <v>0</v>
      </c>
      <c r="I244" s="40">
        <f t="shared" si="18"/>
        <v>0</v>
      </c>
    </row>
    <row r="245" spans="2:9" x14ac:dyDescent="0.25">
      <c r="B245" s="19" t="s">
        <v>50</v>
      </c>
      <c r="C245" s="22" t="s">
        <v>11</v>
      </c>
      <c r="D245" s="69"/>
      <c r="E245" s="23">
        <f t="shared" si="16"/>
        <v>1.1900000000000001E-2</v>
      </c>
      <c r="F245" s="31">
        <v>2000</v>
      </c>
      <c r="G245" s="36">
        <f t="shared" si="19"/>
        <v>23.8</v>
      </c>
      <c r="H245" s="74">
        <f t="shared" si="17"/>
        <v>23.8</v>
      </c>
      <c r="I245" s="40">
        <f t="shared" si="18"/>
        <v>0</v>
      </c>
    </row>
    <row r="246" spans="2:9" x14ac:dyDescent="0.25">
      <c r="B246" s="21" t="s">
        <v>13</v>
      </c>
      <c r="C246" s="22" t="s">
        <v>12</v>
      </c>
      <c r="D246" s="69"/>
      <c r="E246" s="23">
        <f t="shared" si="16"/>
        <v>2.9499999999999998E-2</v>
      </c>
      <c r="F246" s="31">
        <v>8500</v>
      </c>
      <c r="G246" s="36">
        <f t="shared" si="19"/>
        <v>250.75</v>
      </c>
      <c r="H246" s="74">
        <f t="shared" si="17"/>
        <v>250.75000000000003</v>
      </c>
      <c r="I246" s="40">
        <f t="shared" si="18"/>
        <v>0</v>
      </c>
    </row>
    <row r="247" spans="2:9" x14ac:dyDescent="0.25">
      <c r="B247" s="19" t="s">
        <v>82</v>
      </c>
      <c r="C247" s="22" t="s">
        <v>11</v>
      </c>
      <c r="D247" s="69"/>
      <c r="E247" s="23">
        <f t="shared" si="16"/>
        <v>1.1626999999999998</v>
      </c>
      <c r="F247" s="31">
        <v>2563.75</v>
      </c>
      <c r="G247" s="36">
        <f t="shared" si="19"/>
        <v>2980.8721249999994</v>
      </c>
      <c r="H247" s="74">
        <f t="shared" si="17"/>
        <v>2980.8721249999999</v>
      </c>
      <c r="I247" s="40">
        <f t="shared" si="18"/>
        <v>0</v>
      </c>
    </row>
    <row r="248" spans="2:9" x14ac:dyDescent="0.25">
      <c r="B248" s="19" t="s">
        <v>103</v>
      </c>
      <c r="C248" s="22" t="s">
        <v>104</v>
      </c>
      <c r="D248" s="69"/>
      <c r="E248" s="23">
        <f t="shared" si="16"/>
        <v>25.736999999999998</v>
      </c>
      <c r="F248" s="31">
        <v>593.79999999999995</v>
      </c>
      <c r="G248" s="36">
        <f t="shared" si="19"/>
        <v>15282.630599999999</v>
      </c>
      <c r="H248" s="74">
        <f t="shared" si="17"/>
        <v>15282.630599999999</v>
      </c>
      <c r="I248" s="40">
        <f t="shared" si="18"/>
        <v>0</v>
      </c>
    </row>
    <row r="249" spans="2:9" x14ac:dyDescent="0.25">
      <c r="B249" s="19" t="s">
        <v>90</v>
      </c>
      <c r="C249" s="22" t="s">
        <v>64</v>
      </c>
      <c r="D249" s="69"/>
      <c r="E249" s="23">
        <f t="shared" si="16"/>
        <v>0</v>
      </c>
      <c r="F249" s="31">
        <v>50</v>
      </c>
      <c r="G249" s="36">
        <f t="shared" si="19"/>
        <v>0</v>
      </c>
      <c r="H249" s="74">
        <f t="shared" si="17"/>
        <v>0</v>
      </c>
      <c r="I249" s="40">
        <f t="shared" si="18"/>
        <v>0</v>
      </c>
    </row>
    <row r="250" spans="2:9" x14ac:dyDescent="0.25">
      <c r="B250" s="19" t="s">
        <v>91</v>
      </c>
      <c r="C250" s="22" t="s">
        <v>64</v>
      </c>
      <c r="D250" s="69"/>
      <c r="E250" s="23">
        <f t="shared" si="16"/>
        <v>0</v>
      </c>
      <c r="F250" s="31">
        <v>50</v>
      </c>
      <c r="G250" s="36">
        <f t="shared" si="19"/>
        <v>0</v>
      </c>
      <c r="H250" s="74">
        <f t="shared" si="17"/>
        <v>0</v>
      </c>
      <c r="I250" s="40">
        <f t="shared" si="18"/>
        <v>0</v>
      </c>
    </row>
    <row r="251" spans="2:9" x14ac:dyDescent="0.25">
      <c r="B251" s="19" t="s">
        <v>92</v>
      </c>
      <c r="C251" s="22" t="s">
        <v>64</v>
      </c>
      <c r="D251" s="69"/>
      <c r="E251" s="23">
        <f t="shared" si="16"/>
        <v>0</v>
      </c>
      <c r="F251" s="31">
        <v>50</v>
      </c>
      <c r="G251" s="36">
        <f t="shared" si="19"/>
        <v>0</v>
      </c>
      <c r="H251" s="74">
        <f t="shared" si="17"/>
        <v>0</v>
      </c>
      <c r="I251" s="40">
        <f t="shared" si="18"/>
        <v>0</v>
      </c>
    </row>
    <row r="252" spans="2:9" x14ac:dyDescent="0.25">
      <c r="B252" s="21" t="s">
        <v>29</v>
      </c>
      <c r="C252" s="22" t="s">
        <v>12</v>
      </c>
      <c r="D252" s="69"/>
      <c r="E252" s="23">
        <f t="shared" si="16"/>
        <v>81.024299999999997</v>
      </c>
      <c r="F252" s="31">
        <f>2449.06/159.17</f>
        <v>15.386442168750394</v>
      </c>
      <c r="G252" s="36">
        <f t="shared" si="19"/>
        <v>1246.6757062134825</v>
      </c>
      <c r="H252" s="74">
        <f t="shared" si="17"/>
        <v>1246.6757062134825</v>
      </c>
      <c r="I252" s="40">
        <f t="shared" si="18"/>
        <v>0</v>
      </c>
    </row>
    <row r="253" spans="2:9" x14ac:dyDescent="0.25">
      <c r="B253" s="21" t="s">
        <v>101</v>
      </c>
      <c r="C253" s="22" t="s">
        <v>12</v>
      </c>
      <c r="D253" s="69"/>
      <c r="E253" s="23">
        <f t="shared" si="16"/>
        <v>30.501899999999999</v>
      </c>
      <c r="F253" s="31">
        <v>36</v>
      </c>
      <c r="G253" s="36">
        <f t="shared" si="19"/>
        <v>1098.0683999999999</v>
      </c>
      <c r="H253" s="74">
        <f t="shared" si="17"/>
        <v>1098.0683999999999</v>
      </c>
      <c r="I253" s="40">
        <f t="shared" si="18"/>
        <v>0</v>
      </c>
    </row>
    <row r="254" spans="2:9" x14ac:dyDescent="0.25">
      <c r="B254" s="19" t="s">
        <v>25</v>
      </c>
      <c r="C254" s="22" t="s">
        <v>11</v>
      </c>
      <c r="D254" s="69"/>
      <c r="E254" s="23">
        <f t="shared" si="16"/>
        <v>0.26979999999999998</v>
      </c>
      <c r="F254" s="31">
        <v>2500</v>
      </c>
      <c r="G254" s="36">
        <f t="shared" si="19"/>
        <v>674.5</v>
      </c>
      <c r="H254" s="74">
        <f t="shared" si="17"/>
        <v>674.5</v>
      </c>
      <c r="I254" s="40">
        <f t="shared" si="18"/>
        <v>0</v>
      </c>
    </row>
    <row r="255" spans="2:9" x14ac:dyDescent="0.25">
      <c r="B255" s="19" t="s">
        <v>70</v>
      </c>
      <c r="C255" s="22" t="s">
        <v>12</v>
      </c>
      <c r="D255" s="69"/>
      <c r="E255" s="23">
        <f t="shared" si="16"/>
        <v>8.8999999999999999E-3</v>
      </c>
      <c r="F255" s="31">
        <v>5423.7330000000002</v>
      </c>
      <c r="G255" s="36">
        <f t="shared" si="19"/>
        <v>48.2712237</v>
      </c>
      <c r="H255" s="74">
        <f t="shared" si="17"/>
        <v>48.2712237</v>
      </c>
      <c r="I255" s="40">
        <f t="shared" si="18"/>
        <v>0</v>
      </c>
    </row>
    <row r="256" spans="2:9" x14ac:dyDescent="0.25">
      <c r="B256" s="21" t="s">
        <v>99</v>
      </c>
      <c r="C256" s="22" t="s">
        <v>12</v>
      </c>
      <c r="D256" s="69"/>
      <c r="E256" s="23">
        <f t="shared" si="16"/>
        <v>4.2622999999999998</v>
      </c>
      <c r="F256" s="31">
        <v>580</v>
      </c>
      <c r="G256" s="36">
        <f t="shared" si="19"/>
        <v>2472.134</v>
      </c>
      <c r="H256" s="74">
        <f t="shared" si="17"/>
        <v>2472.134</v>
      </c>
      <c r="I256" s="40">
        <f t="shared" si="18"/>
        <v>0</v>
      </c>
    </row>
    <row r="257" spans="2:9" x14ac:dyDescent="0.25">
      <c r="B257" s="21" t="s">
        <v>72</v>
      </c>
      <c r="C257" s="22" t="s">
        <v>12</v>
      </c>
      <c r="D257" s="69"/>
      <c r="E257" s="23">
        <f t="shared" si="16"/>
        <v>42.662999999999997</v>
      </c>
      <c r="F257" s="73">
        <v>630</v>
      </c>
      <c r="G257" s="36">
        <f t="shared" si="19"/>
        <v>26877.69</v>
      </c>
      <c r="H257" s="74">
        <f t="shared" si="17"/>
        <v>26877.69</v>
      </c>
      <c r="I257" s="40">
        <f t="shared" si="18"/>
        <v>0</v>
      </c>
    </row>
    <row r="258" spans="2:9" x14ac:dyDescent="0.25">
      <c r="B258" s="21" t="s">
        <v>28</v>
      </c>
      <c r="C258" s="22" t="s">
        <v>12</v>
      </c>
      <c r="D258" s="69"/>
      <c r="E258" s="23">
        <f t="shared" si="16"/>
        <v>148.73319999999998</v>
      </c>
      <c r="F258" s="31">
        <f>4991.72/392.53</f>
        <v>12.7167859781418</v>
      </c>
      <c r="G258" s="36">
        <f t="shared" si="19"/>
        <v>1891.4082722441599</v>
      </c>
      <c r="H258" s="74">
        <f t="shared" si="17"/>
        <v>1891.4082722441599</v>
      </c>
      <c r="I258" s="40">
        <f>G258-H258</f>
        <v>0</v>
      </c>
    </row>
    <row r="259" spans="2:9" x14ac:dyDescent="0.25">
      <c r="B259" s="19" t="s">
        <v>24</v>
      </c>
      <c r="C259" s="22" t="s">
        <v>14</v>
      </c>
      <c r="D259" s="69"/>
      <c r="E259" s="23">
        <f t="shared" si="16"/>
        <v>60.213299999999997</v>
      </c>
      <c r="F259" s="73"/>
      <c r="G259" s="36">
        <f t="shared" si="19"/>
        <v>0</v>
      </c>
      <c r="H259" s="74">
        <f t="shared" si="17"/>
        <v>0</v>
      </c>
      <c r="I259" s="40">
        <f>G259-H259</f>
        <v>0</v>
      </c>
    </row>
    <row r="260" spans="2:9" x14ac:dyDescent="0.25">
      <c r="B260" s="19" t="s">
        <v>39</v>
      </c>
      <c r="C260" s="22" t="s">
        <v>12</v>
      </c>
      <c r="D260" s="69"/>
      <c r="E260" s="23">
        <f t="shared" si="16"/>
        <v>0.13550000000000001</v>
      </c>
      <c r="F260" s="31">
        <v>9500</v>
      </c>
      <c r="G260" s="36">
        <f t="shared" si="19"/>
        <v>1287.25</v>
      </c>
      <c r="H260" s="74">
        <f t="shared" si="17"/>
        <v>1287.25</v>
      </c>
      <c r="I260" s="40">
        <f>G260-H260</f>
        <v>0</v>
      </c>
    </row>
    <row r="261" spans="2:9" x14ac:dyDescent="0.25">
      <c r="G261" s="58">
        <f>SUM(G232:G260)</f>
        <v>139700.05032715763</v>
      </c>
    </row>
  </sheetData>
  <autoFilter ref="A15:G198">
    <filterColumn colId="3" showButton="0"/>
  </autoFilter>
  <mergeCells count="17">
    <mergeCell ref="A10:G10"/>
    <mergeCell ref="E1:G1"/>
    <mergeCell ref="E3:G3"/>
    <mergeCell ref="E5:G5"/>
    <mergeCell ref="A6:E6"/>
    <mergeCell ref="A8:G8"/>
    <mergeCell ref="C219:F219"/>
    <mergeCell ref="C221:F221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96"/>
  <sheetViews>
    <sheetView view="pageBreakPreview" topLeftCell="A124" zoomScale="115" zoomScaleNormal="130" zoomScaleSheetLayoutView="115" workbookViewId="0">
      <selection activeCell="E88" sqref="E88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3.5" x14ac:dyDescent="0.25">
      <c r="A1" s="109" t="s">
        <v>9</v>
      </c>
      <c r="B1" s="109"/>
      <c r="C1" s="110"/>
      <c r="D1" s="59"/>
      <c r="E1" s="149" t="s">
        <v>57</v>
      </c>
      <c r="F1" s="149"/>
      <c r="G1" s="149"/>
    </row>
    <row r="2" spans="1:7" ht="13.5" x14ac:dyDescent="0.25">
      <c r="A2" s="111"/>
      <c r="B2" s="110"/>
      <c r="C2" s="110"/>
      <c r="D2" s="59"/>
      <c r="E2" s="59"/>
      <c r="F2" s="112"/>
      <c r="G2" s="112"/>
    </row>
    <row r="3" spans="1:7" ht="15" customHeight="1" x14ac:dyDescent="0.25">
      <c r="A3" s="111"/>
      <c r="B3" s="110"/>
      <c r="C3" s="110"/>
      <c r="D3" s="59"/>
      <c r="E3" s="154" t="s">
        <v>62</v>
      </c>
      <c r="F3" s="154"/>
      <c r="G3" s="154"/>
    </row>
    <row r="4" spans="1:7" ht="13.9" customHeight="1" x14ac:dyDescent="0.25">
      <c r="A4" s="111"/>
      <c r="B4" s="110"/>
      <c r="C4" s="110"/>
      <c r="D4" s="59"/>
      <c r="E4" s="59"/>
      <c r="F4" s="112"/>
      <c r="G4" s="112"/>
    </row>
    <row r="5" spans="1:7" ht="13.5" x14ac:dyDescent="0.25">
      <c r="A5" s="111"/>
      <c r="B5" s="110"/>
      <c r="C5" s="110"/>
      <c r="D5" s="59"/>
      <c r="E5" s="149" t="s">
        <v>58</v>
      </c>
      <c r="F5" s="149"/>
      <c r="G5" s="149"/>
    </row>
    <row r="6" spans="1:7" ht="13.5" x14ac:dyDescent="0.25">
      <c r="A6" s="155" t="s">
        <v>32</v>
      </c>
      <c r="B6" s="155"/>
      <c r="C6" s="155"/>
      <c r="D6" s="155"/>
      <c r="E6" s="155"/>
      <c r="F6" s="113"/>
      <c r="G6" s="114"/>
    </row>
    <row r="7" spans="1:7" ht="13.5" x14ac:dyDescent="0.25">
      <c r="A7" s="115"/>
      <c r="B7" s="116"/>
      <c r="C7" s="116"/>
      <c r="D7" s="117"/>
      <c r="E7" s="117"/>
      <c r="F7" s="112"/>
      <c r="G7" s="118"/>
    </row>
    <row r="8" spans="1:7" ht="13.5" x14ac:dyDescent="0.25">
      <c r="A8" s="155" t="s">
        <v>59</v>
      </c>
      <c r="B8" s="155"/>
      <c r="C8" s="155"/>
      <c r="D8" s="155"/>
      <c r="E8" s="155"/>
      <c r="F8" s="153"/>
      <c r="G8" s="155"/>
    </row>
    <row r="9" spans="1:7" ht="13.5" x14ac:dyDescent="0.25">
      <c r="A9" s="107"/>
      <c r="B9" s="48"/>
      <c r="C9" s="107"/>
      <c r="D9" s="48"/>
      <c r="E9" s="48"/>
      <c r="F9" s="59"/>
      <c r="G9" s="49"/>
    </row>
    <row r="10" spans="1:7" ht="13.5" x14ac:dyDescent="0.25">
      <c r="A10" s="152" t="s">
        <v>67</v>
      </c>
      <c r="B10" s="152"/>
      <c r="C10" s="152"/>
      <c r="D10" s="152"/>
      <c r="E10" s="152"/>
      <c r="F10" s="153"/>
      <c r="G10" s="152"/>
    </row>
    <row r="11" spans="1:7" ht="13.5" x14ac:dyDescent="0.25">
      <c r="A11" s="107"/>
      <c r="B11" s="156" t="s">
        <v>148</v>
      </c>
      <c r="C11" s="156"/>
      <c r="D11" s="156"/>
      <c r="E11" s="156"/>
      <c r="F11" s="156"/>
      <c r="G11" s="156"/>
    </row>
    <row r="12" spans="1:7" ht="20.25" x14ac:dyDescent="0.25">
      <c r="A12" s="146" t="s">
        <v>149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136</v>
      </c>
      <c r="B13" s="148"/>
      <c r="C13" s="148"/>
      <c r="D13" s="148"/>
      <c r="E13" s="148"/>
      <c r="F13" s="149"/>
      <c r="G13" s="148"/>
    </row>
    <row r="14" spans="1:7" ht="13.5" x14ac:dyDescent="0.25">
      <c r="A14" s="107"/>
      <c r="B14" s="107"/>
      <c r="C14" s="107"/>
      <c r="D14" s="107"/>
      <c r="E14" s="107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08" t="s">
        <v>5</v>
      </c>
      <c r="E16" s="108" t="s">
        <v>6</v>
      </c>
      <c r="F16" s="150"/>
      <c r="G16" s="150"/>
    </row>
    <row r="17" spans="1:9" s="51" customFormat="1" ht="27" x14ac:dyDescent="0.25">
      <c r="A17" s="3" t="s">
        <v>138</v>
      </c>
      <c r="B17" s="33" t="s">
        <v>139</v>
      </c>
      <c r="C17" s="7" t="s">
        <v>20</v>
      </c>
      <c r="D17" s="34"/>
      <c r="E17" s="81">
        <f>8.47/100</f>
        <v>8.4700000000000011E-2</v>
      </c>
      <c r="F17" s="82"/>
      <c r="G17" s="33"/>
      <c r="H17" s="40"/>
      <c r="I17" s="40"/>
    </row>
    <row r="18" spans="1:9" s="51" customFormat="1" x14ac:dyDescent="0.25">
      <c r="A18" s="2">
        <v>1</v>
      </c>
      <c r="B18" s="1" t="s">
        <v>46</v>
      </c>
      <c r="C18" s="8" t="s">
        <v>7</v>
      </c>
      <c r="D18" s="6">
        <v>1051.83</v>
      </c>
      <c r="E18" s="9">
        <f>D18*E17</f>
        <v>89.090001000000001</v>
      </c>
      <c r="F18" s="83">
        <v>10.46</v>
      </c>
      <c r="G18" s="36">
        <f t="shared" ref="G18:G27" si="0">F18*E18</f>
        <v>931.8814104600001</v>
      </c>
      <c r="H18" s="40"/>
      <c r="I18" s="40"/>
    </row>
    <row r="19" spans="1:9" x14ac:dyDescent="0.25">
      <c r="A19" s="2">
        <v>2</v>
      </c>
      <c r="B19" s="1" t="s">
        <v>18</v>
      </c>
      <c r="C19" s="8" t="s">
        <v>7</v>
      </c>
      <c r="D19" s="6">
        <v>41.58</v>
      </c>
      <c r="E19" s="9">
        <f>D19*E17</f>
        <v>3.5218260000000003</v>
      </c>
      <c r="F19" s="31">
        <v>15.44</v>
      </c>
      <c r="G19" s="36">
        <f t="shared" si="0"/>
        <v>54.376993440000007</v>
      </c>
    </row>
    <row r="20" spans="1:9" ht="25.5" x14ac:dyDescent="0.25">
      <c r="A20" s="2" t="s">
        <v>40</v>
      </c>
      <c r="B20" s="35" t="s">
        <v>47</v>
      </c>
      <c r="C20" s="8" t="s">
        <v>19</v>
      </c>
      <c r="D20" s="6">
        <v>34.99</v>
      </c>
      <c r="E20" s="9">
        <f>D20*E17</f>
        <v>2.9636530000000008</v>
      </c>
      <c r="F20" s="31">
        <f>124.64-14.84</f>
        <v>109.8</v>
      </c>
      <c r="G20" s="36">
        <f t="shared" si="0"/>
        <v>325.40909940000006</v>
      </c>
    </row>
    <row r="21" spans="1:9" x14ac:dyDescent="0.25">
      <c r="A21" s="2" t="s">
        <v>41</v>
      </c>
      <c r="B21" s="1" t="s">
        <v>38</v>
      </c>
      <c r="C21" s="8" t="s">
        <v>19</v>
      </c>
      <c r="D21" s="6">
        <v>83.3</v>
      </c>
      <c r="E21" s="9">
        <f>D21*E17</f>
        <v>7.0555100000000008</v>
      </c>
      <c r="F21" s="31">
        <v>7.47</v>
      </c>
      <c r="G21" s="36">
        <f t="shared" si="0"/>
        <v>52.704659700000008</v>
      </c>
    </row>
    <row r="22" spans="1:9" x14ac:dyDescent="0.25">
      <c r="A22" s="2">
        <v>111100</v>
      </c>
      <c r="B22" s="35" t="s">
        <v>27</v>
      </c>
      <c r="C22" s="8" t="s">
        <v>19</v>
      </c>
      <c r="D22" s="6">
        <v>53.55</v>
      </c>
      <c r="E22" s="9">
        <f>D22*E17</f>
        <v>4.535685</v>
      </c>
      <c r="F22" s="31">
        <v>2.5</v>
      </c>
      <c r="G22" s="36">
        <f t="shared" si="0"/>
        <v>11.3392125</v>
      </c>
    </row>
    <row r="23" spans="1:9" x14ac:dyDescent="0.25">
      <c r="A23" s="2">
        <v>331532</v>
      </c>
      <c r="B23" s="35" t="s">
        <v>26</v>
      </c>
      <c r="C23" s="8" t="s">
        <v>19</v>
      </c>
      <c r="D23" s="6">
        <v>1.84</v>
      </c>
      <c r="E23" s="9">
        <f>D23*E17</f>
        <v>0.15584800000000001</v>
      </c>
      <c r="F23" s="31">
        <v>1.63</v>
      </c>
      <c r="G23" s="36">
        <f t="shared" si="0"/>
        <v>0.25403224000000002</v>
      </c>
    </row>
    <row r="24" spans="1:9" x14ac:dyDescent="0.25">
      <c r="A24" s="2" t="s">
        <v>15</v>
      </c>
      <c r="B24" s="1" t="s">
        <v>13</v>
      </c>
      <c r="C24" s="8" t="s">
        <v>12</v>
      </c>
      <c r="D24" s="6">
        <v>8.5999999999999993E-2</v>
      </c>
      <c r="E24" s="9">
        <f>D24*E17</f>
        <v>7.2842000000000002E-3</v>
      </c>
      <c r="F24" s="31">
        <v>8500</v>
      </c>
      <c r="G24" s="36">
        <f t="shared" si="0"/>
        <v>61.915700000000001</v>
      </c>
    </row>
    <row r="25" spans="1:9" x14ac:dyDescent="0.25">
      <c r="A25" s="2" t="s">
        <v>21</v>
      </c>
      <c r="B25" s="1" t="s">
        <v>25</v>
      </c>
      <c r="C25" s="8" t="s">
        <v>11</v>
      </c>
      <c r="D25" s="6">
        <v>2.39</v>
      </c>
      <c r="E25" s="9">
        <f>D25*E17</f>
        <v>0.20243300000000003</v>
      </c>
      <c r="F25" s="31">
        <v>2500</v>
      </c>
      <c r="G25" s="36">
        <f t="shared" si="0"/>
        <v>506.0825000000001</v>
      </c>
    </row>
    <row r="26" spans="1:9" x14ac:dyDescent="0.25">
      <c r="A26" s="2" t="s">
        <v>22</v>
      </c>
      <c r="B26" s="35" t="s">
        <v>24</v>
      </c>
      <c r="C26" s="8" t="s">
        <v>14</v>
      </c>
      <c r="D26" s="6">
        <v>103</v>
      </c>
      <c r="E26" s="9">
        <f>D26*E17</f>
        <v>8.7241000000000017</v>
      </c>
      <c r="F26" s="83"/>
      <c r="G26" s="36">
        <f t="shared" si="0"/>
        <v>0</v>
      </c>
    </row>
    <row r="27" spans="1:9" x14ac:dyDescent="0.25">
      <c r="A27" s="2" t="s">
        <v>16</v>
      </c>
      <c r="B27" s="35" t="s">
        <v>44</v>
      </c>
      <c r="C27" s="8" t="s">
        <v>12</v>
      </c>
      <c r="D27" s="6" t="s">
        <v>17</v>
      </c>
      <c r="E27" s="9">
        <f>208/1000</f>
        <v>0.20799999999999999</v>
      </c>
      <c r="F27" s="31">
        <v>6500</v>
      </c>
      <c r="G27" s="36">
        <f t="shared" si="0"/>
        <v>1352</v>
      </c>
    </row>
    <row r="28" spans="1:9" x14ac:dyDescent="0.25">
      <c r="A28" s="2" t="s">
        <v>16</v>
      </c>
      <c r="B28" s="35" t="s">
        <v>87</v>
      </c>
      <c r="C28" s="8" t="s">
        <v>12</v>
      </c>
      <c r="D28" s="6" t="s">
        <v>17</v>
      </c>
      <c r="E28" s="9">
        <f>128/1000</f>
        <v>0.128</v>
      </c>
      <c r="F28" s="31">
        <v>6500</v>
      </c>
      <c r="G28" s="36">
        <f t="shared" ref="G28" si="1">F28*E28</f>
        <v>832</v>
      </c>
    </row>
    <row r="29" spans="1:9" x14ac:dyDescent="0.25">
      <c r="A29" s="20" t="s">
        <v>23</v>
      </c>
      <c r="B29" s="19" t="s">
        <v>76</v>
      </c>
      <c r="C29" s="22" t="s">
        <v>11</v>
      </c>
      <c r="D29" s="18">
        <v>100</v>
      </c>
      <c r="E29" s="23">
        <f>ROUND(D29*E17,4)</f>
        <v>8.4700000000000006</v>
      </c>
      <c r="F29" s="31"/>
      <c r="G29" s="24"/>
    </row>
    <row r="30" spans="1:9" x14ac:dyDescent="0.25">
      <c r="A30" s="20"/>
      <c r="B30" s="32" t="s">
        <v>72</v>
      </c>
      <c r="C30" s="22" t="s">
        <v>12</v>
      </c>
      <c r="D30" s="18">
        <v>0.28599999999999998</v>
      </c>
      <c r="E30" s="23">
        <f>ROUND(D30*E29,4)</f>
        <v>2.4224000000000001</v>
      </c>
      <c r="F30" s="31">
        <v>630</v>
      </c>
      <c r="G30" s="24">
        <f t="shared" ref="G30:G32" si="2">F30*E30</f>
        <v>1526.1120000000001</v>
      </c>
    </row>
    <row r="31" spans="1:9" x14ac:dyDescent="0.25">
      <c r="A31" s="20"/>
      <c r="B31" s="32" t="s">
        <v>29</v>
      </c>
      <c r="C31" s="22" t="s">
        <v>12</v>
      </c>
      <c r="D31" s="18">
        <f>53/100*1.52</f>
        <v>0.80560000000000009</v>
      </c>
      <c r="E31" s="23">
        <f>ROUND(D31*E29,4)</f>
        <v>6.8234000000000004</v>
      </c>
      <c r="F31" s="31">
        <f>2449.06/159.17</f>
        <v>15.386442168750394</v>
      </c>
      <c r="G31" s="24">
        <f t="shared" si="2"/>
        <v>104.98784949425145</v>
      </c>
    </row>
    <row r="32" spans="1:9" x14ac:dyDescent="0.25">
      <c r="A32" s="20"/>
      <c r="B32" s="32" t="s">
        <v>28</v>
      </c>
      <c r="C32" s="22" t="s">
        <v>12</v>
      </c>
      <c r="D32" s="18">
        <f>80/100*1.6</f>
        <v>1.2800000000000002</v>
      </c>
      <c r="E32" s="23">
        <f>ROUND(D32*E29,4)</f>
        <v>10.8416</v>
      </c>
      <c r="F32" s="31">
        <f>4991.72/392.53</f>
        <v>12.7167859781418</v>
      </c>
      <c r="G32" s="24">
        <f t="shared" si="2"/>
        <v>137.87030686062215</v>
      </c>
    </row>
    <row r="33" spans="1:7" ht="13.5" x14ac:dyDescent="0.25">
      <c r="A33" s="15"/>
      <c r="B33" s="25" t="s">
        <v>8</v>
      </c>
      <c r="C33" s="17"/>
      <c r="D33" s="26"/>
      <c r="E33" s="27"/>
      <c r="F33" s="28"/>
      <c r="G33" s="29">
        <f>SUM(G18:G32)</f>
        <v>5896.9337640948743</v>
      </c>
    </row>
    <row r="34" spans="1:7" ht="13.5" x14ac:dyDescent="0.25">
      <c r="A34" s="15" t="s">
        <v>81</v>
      </c>
      <c r="B34" s="16" t="s">
        <v>187</v>
      </c>
      <c r="C34" s="17" t="s">
        <v>20</v>
      </c>
      <c r="D34" s="18"/>
      <c r="E34" s="30">
        <f>0.4*0.25*28.08/100</f>
        <v>2.8079999999999997E-2</v>
      </c>
      <c r="F34" s="31"/>
      <c r="G34" s="31"/>
    </row>
    <row r="35" spans="1:7" x14ac:dyDescent="0.25">
      <c r="A35" s="20">
        <v>1</v>
      </c>
      <c r="B35" s="21" t="s">
        <v>60</v>
      </c>
      <c r="C35" s="22" t="s">
        <v>7</v>
      </c>
      <c r="D35" s="18">
        <v>1749.3</v>
      </c>
      <c r="E35" s="23">
        <f>ROUND(D35*E34,4)</f>
        <v>49.1203</v>
      </c>
      <c r="F35" s="31">
        <v>10.31</v>
      </c>
      <c r="G35" s="31">
        <f t="shared" ref="G35:G46" si="3">F35*E35</f>
        <v>506.43029300000001</v>
      </c>
    </row>
    <row r="36" spans="1:7" x14ac:dyDescent="0.25">
      <c r="A36" s="20">
        <v>2</v>
      </c>
      <c r="B36" s="21" t="s">
        <v>18</v>
      </c>
      <c r="C36" s="22" t="s">
        <v>7</v>
      </c>
      <c r="D36" s="18">
        <v>91.51</v>
      </c>
      <c r="E36" s="23">
        <f>ROUND(D36*E34,4)</f>
        <v>2.5695999999999999</v>
      </c>
      <c r="F36" s="31">
        <v>15.44</v>
      </c>
      <c r="G36" s="31">
        <f t="shared" si="3"/>
        <v>39.674623999999994</v>
      </c>
    </row>
    <row r="37" spans="1:7" ht="25.5" x14ac:dyDescent="0.25">
      <c r="A37" s="20" t="s">
        <v>40</v>
      </c>
      <c r="B37" s="19" t="s">
        <v>47</v>
      </c>
      <c r="C37" s="22" t="s">
        <v>19</v>
      </c>
      <c r="D37" s="18">
        <v>91.51</v>
      </c>
      <c r="E37" s="23">
        <f>ROUND(D37*E34,4)</f>
        <v>2.5695999999999999</v>
      </c>
      <c r="F37" s="31">
        <f>152.37-15.44</f>
        <v>136.93</v>
      </c>
      <c r="G37" s="31">
        <f t="shared" si="3"/>
        <v>351.85532799999999</v>
      </c>
    </row>
    <row r="38" spans="1:7" x14ac:dyDescent="0.25">
      <c r="A38" s="20" t="s">
        <v>41</v>
      </c>
      <c r="B38" s="21" t="s">
        <v>38</v>
      </c>
      <c r="C38" s="22" t="s">
        <v>19</v>
      </c>
      <c r="D38" s="18">
        <v>283.22000000000003</v>
      </c>
      <c r="E38" s="23">
        <f>ROUND(D38*E34,4)</f>
        <v>7.9527999999999999</v>
      </c>
      <c r="F38" s="31">
        <v>8.4600000000000009</v>
      </c>
      <c r="G38" s="31">
        <f t="shared" si="3"/>
        <v>67.280688000000012</v>
      </c>
    </row>
    <row r="39" spans="1:7" x14ac:dyDescent="0.25">
      <c r="A39" s="20">
        <v>111100</v>
      </c>
      <c r="B39" s="19" t="s">
        <v>27</v>
      </c>
      <c r="C39" s="22" t="s">
        <v>19</v>
      </c>
      <c r="D39" s="18">
        <v>85.68</v>
      </c>
      <c r="E39" s="23">
        <f>ROUND(D39*E34,4)</f>
        <v>2.4058999999999999</v>
      </c>
      <c r="F39" s="31">
        <v>2.83</v>
      </c>
      <c r="G39" s="31">
        <f t="shared" si="3"/>
        <v>6.8086969999999996</v>
      </c>
    </row>
    <row r="40" spans="1:7" x14ac:dyDescent="0.25">
      <c r="A40" s="20">
        <v>331532</v>
      </c>
      <c r="B40" s="19" t="s">
        <v>26</v>
      </c>
      <c r="C40" s="22" t="s">
        <v>19</v>
      </c>
      <c r="D40" s="18">
        <v>6.28</v>
      </c>
      <c r="E40" s="23">
        <f>ROUND(D40*E34,4)</f>
        <v>0.17630000000000001</v>
      </c>
      <c r="F40" s="31">
        <v>1.63</v>
      </c>
      <c r="G40" s="31">
        <f t="shared" si="3"/>
        <v>0.28736899999999999</v>
      </c>
    </row>
    <row r="41" spans="1:7" x14ac:dyDescent="0.25">
      <c r="A41" s="20" t="s">
        <v>48</v>
      </c>
      <c r="B41" s="19" t="s">
        <v>39</v>
      </c>
      <c r="C41" s="22" t="s">
        <v>12</v>
      </c>
      <c r="D41" s="18">
        <v>0.34</v>
      </c>
      <c r="E41" s="23">
        <f>ROUND(D41*E34,4)</f>
        <v>9.4999999999999998E-3</v>
      </c>
      <c r="F41" s="31">
        <v>9500</v>
      </c>
      <c r="G41" s="31">
        <f t="shared" si="3"/>
        <v>90.25</v>
      </c>
    </row>
    <row r="42" spans="1:7" x14ac:dyDescent="0.25">
      <c r="A42" s="20" t="s">
        <v>15</v>
      </c>
      <c r="B42" s="21" t="s">
        <v>13</v>
      </c>
      <c r="C42" s="22" t="s">
        <v>12</v>
      </c>
      <c r="D42" s="18">
        <v>6.7000000000000004E-2</v>
      </c>
      <c r="E42" s="23">
        <f>ROUND(D42*E34,4)</f>
        <v>1.9E-3</v>
      </c>
      <c r="F42" s="31">
        <v>8500</v>
      </c>
      <c r="G42" s="31">
        <f t="shared" si="3"/>
        <v>16.149999999999999</v>
      </c>
    </row>
    <row r="43" spans="1:7" x14ac:dyDescent="0.25">
      <c r="A43" s="20" t="s">
        <v>21</v>
      </c>
      <c r="B43" s="19" t="s">
        <v>82</v>
      </c>
      <c r="C43" s="22" t="s">
        <v>11</v>
      </c>
      <c r="D43" s="18">
        <v>0.17799999999999999</v>
      </c>
      <c r="E43" s="23">
        <f>ROUND(D43*E34,4)</f>
        <v>5.0000000000000001E-3</v>
      </c>
      <c r="F43" s="31">
        <v>2563.75</v>
      </c>
      <c r="G43" s="31">
        <f t="shared" si="3"/>
        <v>12.81875</v>
      </c>
    </row>
    <row r="44" spans="1:7" x14ac:dyDescent="0.25">
      <c r="A44" s="20" t="s">
        <v>22</v>
      </c>
      <c r="B44" s="19" t="s">
        <v>24</v>
      </c>
      <c r="C44" s="22" t="s">
        <v>14</v>
      </c>
      <c r="D44" s="18">
        <v>155</v>
      </c>
      <c r="E44" s="23">
        <f>ROUND(D44*E34,4)</f>
        <v>4.3524000000000003</v>
      </c>
      <c r="F44" s="31"/>
      <c r="G44" s="31">
        <f t="shared" si="3"/>
        <v>0</v>
      </c>
    </row>
    <row r="45" spans="1:7" x14ac:dyDescent="0.25">
      <c r="A45" s="20" t="s">
        <v>16</v>
      </c>
      <c r="B45" s="19" t="s">
        <v>43</v>
      </c>
      <c r="C45" s="22" t="s">
        <v>12</v>
      </c>
      <c r="D45" s="18" t="s">
        <v>17</v>
      </c>
      <c r="E45" s="23">
        <f>193/1000</f>
        <v>0.193</v>
      </c>
      <c r="F45" s="31">
        <v>6500</v>
      </c>
      <c r="G45" s="31">
        <f t="shared" si="3"/>
        <v>1254.5</v>
      </c>
    </row>
    <row r="46" spans="1:7" x14ac:dyDescent="0.25">
      <c r="A46" s="20" t="s">
        <v>16</v>
      </c>
      <c r="B46" s="19" t="s">
        <v>65</v>
      </c>
      <c r="C46" s="22" t="s">
        <v>12</v>
      </c>
      <c r="D46" s="18" t="s">
        <v>17</v>
      </c>
      <c r="E46" s="23">
        <f>63/1000</f>
        <v>6.3E-2</v>
      </c>
      <c r="F46" s="31">
        <v>6500</v>
      </c>
      <c r="G46" s="31">
        <f t="shared" si="3"/>
        <v>409.5</v>
      </c>
    </row>
    <row r="47" spans="1:7" x14ac:dyDescent="0.25">
      <c r="A47" s="20" t="s">
        <v>23</v>
      </c>
      <c r="B47" s="19" t="s">
        <v>76</v>
      </c>
      <c r="C47" s="22" t="s">
        <v>11</v>
      </c>
      <c r="D47" s="18">
        <v>100</v>
      </c>
      <c r="E47" s="23">
        <f>ROUND(D47*E34,4)</f>
        <v>2.8079999999999998</v>
      </c>
      <c r="F47" s="31"/>
      <c r="G47" s="31"/>
    </row>
    <row r="48" spans="1:7" x14ac:dyDescent="0.25">
      <c r="A48" s="20"/>
      <c r="B48" s="32" t="s">
        <v>72</v>
      </c>
      <c r="C48" s="22" t="s">
        <v>12</v>
      </c>
      <c r="D48" s="18">
        <v>0.38200000000000001</v>
      </c>
      <c r="E48" s="23">
        <f>ROUND(D48*E47,4)</f>
        <v>1.0727</v>
      </c>
      <c r="F48" s="31">
        <v>630</v>
      </c>
      <c r="G48" s="31">
        <f t="shared" ref="G48:G50" si="4">F48*E48</f>
        <v>675.80100000000004</v>
      </c>
    </row>
    <row r="49" spans="1:7" x14ac:dyDescent="0.25">
      <c r="A49" s="20"/>
      <c r="B49" s="32" t="s">
        <v>29</v>
      </c>
      <c r="C49" s="22" t="s">
        <v>12</v>
      </c>
      <c r="D49" s="18">
        <f>47/100*1.52</f>
        <v>0.71439999999999992</v>
      </c>
      <c r="E49" s="23">
        <f>ROUND(D49*E47,4)</f>
        <v>2.0059999999999998</v>
      </c>
      <c r="F49" s="31">
        <f>2449.06/159.17</f>
        <v>15.386442168750394</v>
      </c>
      <c r="G49" s="31">
        <f t="shared" si="4"/>
        <v>30.865202990513286</v>
      </c>
    </row>
    <row r="50" spans="1:7" x14ac:dyDescent="0.25">
      <c r="A50" s="20"/>
      <c r="B50" s="32" t="s">
        <v>28</v>
      </c>
      <c r="C50" s="22" t="s">
        <v>12</v>
      </c>
      <c r="D50" s="18">
        <f>80/100*1.6</f>
        <v>1.2800000000000002</v>
      </c>
      <c r="E50" s="23">
        <f>ROUND(D50*E47,4)</f>
        <v>3.5941999999999998</v>
      </c>
      <c r="F50" s="31">
        <f>4991.72/392.53</f>
        <v>12.7167859781418</v>
      </c>
      <c r="G50" s="31">
        <f t="shared" si="4"/>
        <v>45.706672162637254</v>
      </c>
    </row>
    <row r="51" spans="1:7" ht="13.5" x14ac:dyDescent="0.25">
      <c r="A51" s="15"/>
      <c r="B51" s="25" t="s">
        <v>8</v>
      </c>
      <c r="C51" s="17"/>
      <c r="D51" s="26"/>
      <c r="E51" s="27"/>
      <c r="F51" s="31"/>
      <c r="G51" s="71">
        <f>SUM(G35:G50)</f>
        <v>3507.9286241531508</v>
      </c>
    </row>
    <row r="52" spans="1:7" ht="13.5" x14ac:dyDescent="0.25">
      <c r="A52" s="15" t="s">
        <v>81</v>
      </c>
      <c r="B52" s="16" t="s">
        <v>188</v>
      </c>
      <c r="C52" s="17" t="s">
        <v>20</v>
      </c>
      <c r="D52" s="18"/>
      <c r="E52" s="30">
        <f>2*2.7*0.4*0.4/100</f>
        <v>8.6400000000000018E-3</v>
      </c>
      <c r="F52" s="31"/>
      <c r="G52" s="31"/>
    </row>
    <row r="53" spans="1:7" x14ac:dyDescent="0.25">
      <c r="A53" s="20">
        <v>1</v>
      </c>
      <c r="B53" s="21" t="s">
        <v>60</v>
      </c>
      <c r="C53" s="22" t="s">
        <v>7</v>
      </c>
      <c r="D53" s="18">
        <v>1749.3</v>
      </c>
      <c r="E53" s="23">
        <f>ROUND(D53*E52,4)</f>
        <v>15.114000000000001</v>
      </c>
      <c r="F53" s="31">
        <v>10.31</v>
      </c>
      <c r="G53" s="31">
        <f t="shared" ref="G53:G64" si="5">F53*E53</f>
        <v>155.82534000000001</v>
      </c>
    </row>
    <row r="54" spans="1:7" x14ac:dyDescent="0.25">
      <c r="A54" s="20">
        <v>2</v>
      </c>
      <c r="B54" s="21" t="s">
        <v>18</v>
      </c>
      <c r="C54" s="22" t="s">
        <v>7</v>
      </c>
      <c r="D54" s="18">
        <v>91.51</v>
      </c>
      <c r="E54" s="23">
        <f>ROUND(D54*E52,4)</f>
        <v>0.79059999999999997</v>
      </c>
      <c r="F54" s="31">
        <v>15.44</v>
      </c>
      <c r="G54" s="31">
        <f t="shared" si="5"/>
        <v>12.206863999999999</v>
      </c>
    </row>
    <row r="55" spans="1:7" ht="25.5" x14ac:dyDescent="0.25">
      <c r="A55" s="20" t="s">
        <v>40</v>
      </c>
      <c r="B55" s="19" t="s">
        <v>47</v>
      </c>
      <c r="C55" s="22" t="s">
        <v>19</v>
      </c>
      <c r="D55" s="18">
        <v>91.51</v>
      </c>
      <c r="E55" s="23">
        <f>ROUND(D55*E52,4)</f>
        <v>0.79059999999999997</v>
      </c>
      <c r="F55" s="31">
        <f>152.37-15.44</f>
        <v>136.93</v>
      </c>
      <c r="G55" s="31">
        <f t="shared" si="5"/>
        <v>108.25685800000001</v>
      </c>
    </row>
    <row r="56" spans="1:7" x14ac:dyDescent="0.25">
      <c r="A56" s="20" t="s">
        <v>41</v>
      </c>
      <c r="B56" s="21" t="s">
        <v>38</v>
      </c>
      <c r="C56" s="22" t="s">
        <v>19</v>
      </c>
      <c r="D56" s="18">
        <v>283.22000000000003</v>
      </c>
      <c r="E56" s="23">
        <f>ROUND(D56*E52,4)</f>
        <v>2.4470000000000001</v>
      </c>
      <c r="F56" s="31">
        <v>8.4600000000000009</v>
      </c>
      <c r="G56" s="31">
        <f t="shared" si="5"/>
        <v>20.701620000000002</v>
      </c>
    </row>
    <row r="57" spans="1:7" x14ac:dyDescent="0.25">
      <c r="A57" s="20">
        <v>111100</v>
      </c>
      <c r="B57" s="19" t="s">
        <v>27</v>
      </c>
      <c r="C57" s="22" t="s">
        <v>19</v>
      </c>
      <c r="D57" s="18">
        <v>85.68</v>
      </c>
      <c r="E57" s="23">
        <f>ROUND(D57*E52,4)</f>
        <v>0.74029999999999996</v>
      </c>
      <c r="F57" s="31">
        <v>2.83</v>
      </c>
      <c r="G57" s="31">
        <f t="shared" si="5"/>
        <v>2.0950489999999999</v>
      </c>
    </row>
    <row r="58" spans="1:7" x14ac:dyDescent="0.25">
      <c r="A58" s="20">
        <v>331532</v>
      </c>
      <c r="B58" s="19" t="s">
        <v>26</v>
      </c>
      <c r="C58" s="22" t="s">
        <v>19</v>
      </c>
      <c r="D58" s="18">
        <v>6.28</v>
      </c>
      <c r="E58" s="23">
        <f>ROUND(D58*E52,4)</f>
        <v>5.4300000000000001E-2</v>
      </c>
      <c r="F58" s="31">
        <v>1.63</v>
      </c>
      <c r="G58" s="31">
        <f t="shared" si="5"/>
        <v>8.850899999999999E-2</v>
      </c>
    </row>
    <row r="59" spans="1:7" x14ac:dyDescent="0.25">
      <c r="A59" s="20" t="s">
        <v>48</v>
      </c>
      <c r="B59" s="19" t="s">
        <v>39</v>
      </c>
      <c r="C59" s="22" t="s">
        <v>12</v>
      </c>
      <c r="D59" s="18">
        <v>0.34</v>
      </c>
      <c r="E59" s="23">
        <f>ROUND(D59*E52,4)</f>
        <v>2.8999999999999998E-3</v>
      </c>
      <c r="F59" s="31">
        <v>9500</v>
      </c>
      <c r="G59" s="31">
        <f t="shared" si="5"/>
        <v>27.549999999999997</v>
      </c>
    </row>
    <row r="60" spans="1:7" x14ac:dyDescent="0.25">
      <c r="A60" s="20" t="s">
        <v>15</v>
      </c>
      <c r="B60" s="21" t="s">
        <v>13</v>
      </c>
      <c r="C60" s="22" t="s">
        <v>12</v>
      </c>
      <c r="D60" s="18">
        <v>6.7000000000000004E-2</v>
      </c>
      <c r="E60" s="23">
        <f>ROUND(D60*E52,4)</f>
        <v>5.9999999999999995E-4</v>
      </c>
      <c r="F60" s="31">
        <v>8500</v>
      </c>
      <c r="G60" s="31">
        <f t="shared" si="5"/>
        <v>5.0999999999999996</v>
      </c>
    </row>
    <row r="61" spans="1:7" x14ac:dyDescent="0.25">
      <c r="A61" s="20" t="s">
        <v>21</v>
      </c>
      <c r="B61" s="19" t="s">
        <v>82</v>
      </c>
      <c r="C61" s="22" t="s">
        <v>11</v>
      </c>
      <c r="D61" s="18">
        <v>0.17799999999999999</v>
      </c>
      <c r="E61" s="23">
        <f>ROUND(D61*E52,4)</f>
        <v>1.5E-3</v>
      </c>
      <c r="F61" s="31">
        <v>2563.75</v>
      </c>
      <c r="G61" s="31">
        <f t="shared" si="5"/>
        <v>3.8456250000000001</v>
      </c>
    </row>
    <row r="62" spans="1:7" x14ac:dyDescent="0.25">
      <c r="A62" s="20" t="s">
        <v>22</v>
      </c>
      <c r="B62" s="19" t="s">
        <v>24</v>
      </c>
      <c r="C62" s="22" t="s">
        <v>14</v>
      </c>
      <c r="D62" s="18">
        <v>155</v>
      </c>
      <c r="E62" s="23">
        <f>ROUND(D62*E52,4)</f>
        <v>1.3391999999999999</v>
      </c>
      <c r="F62" s="31"/>
      <c r="G62" s="31">
        <f t="shared" si="5"/>
        <v>0</v>
      </c>
    </row>
    <row r="63" spans="1:7" x14ac:dyDescent="0.25">
      <c r="A63" s="20" t="s">
        <v>16</v>
      </c>
      <c r="B63" s="19" t="s">
        <v>83</v>
      </c>
      <c r="C63" s="22" t="s">
        <v>12</v>
      </c>
      <c r="D63" s="18" t="s">
        <v>17</v>
      </c>
      <c r="E63" s="23">
        <f>53/1000</f>
        <v>5.2999999999999999E-2</v>
      </c>
      <c r="F63" s="31">
        <v>6500</v>
      </c>
      <c r="G63" s="31">
        <f t="shared" si="5"/>
        <v>344.5</v>
      </c>
    </row>
    <row r="64" spans="1:7" x14ac:dyDescent="0.25">
      <c r="A64" s="20" t="s">
        <v>16</v>
      </c>
      <c r="B64" s="19" t="s">
        <v>65</v>
      </c>
      <c r="C64" s="22" t="s">
        <v>12</v>
      </c>
      <c r="D64" s="18" t="s">
        <v>17</v>
      </c>
      <c r="E64" s="23">
        <f>11/1000</f>
        <v>1.0999999999999999E-2</v>
      </c>
      <c r="F64" s="31">
        <v>6500</v>
      </c>
      <c r="G64" s="31">
        <f t="shared" si="5"/>
        <v>71.5</v>
      </c>
    </row>
    <row r="65" spans="1:7" x14ac:dyDescent="0.25">
      <c r="A65" s="20" t="s">
        <v>23</v>
      </c>
      <c r="B65" s="19" t="s">
        <v>76</v>
      </c>
      <c r="C65" s="22" t="s">
        <v>11</v>
      </c>
      <c r="D65" s="18">
        <v>100</v>
      </c>
      <c r="E65" s="23">
        <f>ROUND(D65*E52,4)</f>
        <v>0.86399999999999999</v>
      </c>
      <c r="F65" s="31"/>
      <c r="G65" s="31"/>
    </row>
    <row r="66" spans="1:7" x14ac:dyDescent="0.25">
      <c r="A66" s="20"/>
      <c r="B66" s="32" t="s">
        <v>72</v>
      </c>
      <c r="C66" s="22" t="s">
        <v>12</v>
      </c>
      <c r="D66" s="18">
        <v>0.38200000000000001</v>
      </c>
      <c r="E66" s="23">
        <f>ROUND(D66*E65,4)</f>
        <v>0.33</v>
      </c>
      <c r="F66" s="31">
        <v>630</v>
      </c>
      <c r="G66" s="31">
        <f t="shared" ref="G66:G68" si="6">F66*E66</f>
        <v>207.9</v>
      </c>
    </row>
    <row r="67" spans="1:7" x14ac:dyDescent="0.25">
      <c r="A67" s="20"/>
      <c r="B67" s="32" t="s">
        <v>29</v>
      </c>
      <c r="C67" s="22" t="s">
        <v>12</v>
      </c>
      <c r="D67" s="18">
        <f>47/100*1.52</f>
        <v>0.71439999999999992</v>
      </c>
      <c r="E67" s="23">
        <f>ROUND(D67*E65,4)</f>
        <v>0.61719999999999997</v>
      </c>
      <c r="F67" s="31">
        <f>2449.06/159.17</f>
        <v>15.386442168750394</v>
      </c>
      <c r="G67" s="31">
        <f t="shared" si="6"/>
        <v>9.4965121065527427</v>
      </c>
    </row>
    <row r="68" spans="1:7" x14ac:dyDescent="0.25">
      <c r="A68" s="20"/>
      <c r="B68" s="32" t="s">
        <v>28</v>
      </c>
      <c r="C68" s="22" t="s">
        <v>12</v>
      </c>
      <c r="D68" s="18">
        <f>80/100*1.6</f>
        <v>1.2800000000000002</v>
      </c>
      <c r="E68" s="23">
        <f>ROUND(D68*E65,4)</f>
        <v>1.1059000000000001</v>
      </c>
      <c r="F68" s="31">
        <f>4991.72/392.53</f>
        <v>12.7167859781418</v>
      </c>
      <c r="G68" s="31">
        <f t="shared" si="6"/>
        <v>14.063493613227019</v>
      </c>
    </row>
    <row r="69" spans="1:7" ht="13.5" x14ac:dyDescent="0.25">
      <c r="A69" s="15"/>
      <c r="B69" s="25" t="s">
        <v>8</v>
      </c>
      <c r="C69" s="17"/>
      <c r="D69" s="26"/>
      <c r="E69" s="27"/>
      <c r="F69" s="31"/>
      <c r="G69" s="71">
        <f>SUM(G53:G68)</f>
        <v>983.12987071977977</v>
      </c>
    </row>
    <row r="70" spans="1:7" ht="13.5" x14ac:dyDescent="0.25">
      <c r="A70" s="15" t="s">
        <v>81</v>
      </c>
      <c r="B70" s="16" t="s">
        <v>189</v>
      </c>
      <c r="C70" s="17" t="s">
        <v>20</v>
      </c>
      <c r="D70" s="18"/>
      <c r="E70" s="30">
        <f>0.25*0.25*21.9/100</f>
        <v>1.3687499999999998E-2</v>
      </c>
      <c r="F70" s="31"/>
      <c r="G70" s="31"/>
    </row>
    <row r="71" spans="1:7" x14ac:dyDescent="0.25">
      <c r="A71" s="20">
        <v>1</v>
      </c>
      <c r="B71" s="21" t="s">
        <v>60</v>
      </c>
      <c r="C71" s="22" t="s">
        <v>7</v>
      </c>
      <c r="D71" s="18">
        <v>1749.3</v>
      </c>
      <c r="E71" s="23">
        <f>ROUND(D71*E70,4)</f>
        <v>23.9435</v>
      </c>
      <c r="F71" s="31">
        <v>10.31</v>
      </c>
      <c r="G71" s="31">
        <f t="shared" ref="G71:G82" si="7">F71*E71</f>
        <v>246.85748500000003</v>
      </c>
    </row>
    <row r="72" spans="1:7" x14ac:dyDescent="0.25">
      <c r="A72" s="20">
        <v>2</v>
      </c>
      <c r="B72" s="21" t="s">
        <v>18</v>
      </c>
      <c r="C72" s="22" t="s">
        <v>7</v>
      </c>
      <c r="D72" s="18">
        <v>91.51</v>
      </c>
      <c r="E72" s="23">
        <f>ROUND(D72*E70,4)</f>
        <v>1.2524999999999999</v>
      </c>
      <c r="F72" s="31">
        <v>15.44</v>
      </c>
      <c r="G72" s="31">
        <f t="shared" si="7"/>
        <v>19.3386</v>
      </c>
    </row>
    <row r="73" spans="1:7" ht="25.5" x14ac:dyDescent="0.25">
      <c r="A73" s="20" t="s">
        <v>40</v>
      </c>
      <c r="B73" s="19" t="s">
        <v>47</v>
      </c>
      <c r="C73" s="22" t="s">
        <v>19</v>
      </c>
      <c r="D73" s="18">
        <v>91.51</v>
      </c>
      <c r="E73" s="23">
        <f>ROUND(D73*E70,4)</f>
        <v>1.2524999999999999</v>
      </c>
      <c r="F73" s="31">
        <f>152.37-15.44</f>
        <v>136.93</v>
      </c>
      <c r="G73" s="31">
        <f t="shared" si="7"/>
        <v>171.50482500000001</v>
      </c>
    </row>
    <row r="74" spans="1:7" x14ac:dyDescent="0.25">
      <c r="A74" s="20" t="s">
        <v>41</v>
      </c>
      <c r="B74" s="21" t="s">
        <v>38</v>
      </c>
      <c r="C74" s="22" t="s">
        <v>19</v>
      </c>
      <c r="D74" s="18">
        <v>283.22000000000003</v>
      </c>
      <c r="E74" s="23">
        <f>ROUND(D74*E70,4)</f>
        <v>3.8765999999999998</v>
      </c>
      <c r="F74" s="31">
        <v>8.4600000000000009</v>
      </c>
      <c r="G74" s="31">
        <f t="shared" si="7"/>
        <v>32.796036000000001</v>
      </c>
    </row>
    <row r="75" spans="1:7" x14ac:dyDescent="0.25">
      <c r="A75" s="20">
        <v>111100</v>
      </c>
      <c r="B75" s="19" t="s">
        <v>27</v>
      </c>
      <c r="C75" s="22" t="s">
        <v>19</v>
      </c>
      <c r="D75" s="18">
        <v>85.68</v>
      </c>
      <c r="E75" s="23">
        <f>ROUND(D75*E70,4)</f>
        <v>1.1727000000000001</v>
      </c>
      <c r="F75" s="31">
        <v>2.83</v>
      </c>
      <c r="G75" s="31">
        <f t="shared" si="7"/>
        <v>3.3187410000000002</v>
      </c>
    </row>
    <row r="76" spans="1:7" x14ac:dyDescent="0.25">
      <c r="A76" s="20">
        <v>331532</v>
      </c>
      <c r="B76" s="19" t="s">
        <v>26</v>
      </c>
      <c r="C76" s="22" t="s">
        <v>19</v>
      </c>
      <c r="D76" s="18">
        <v>6.28</v>
      </c>
      <c r="E76" s="23">
        <f>ROUND(D76*E70,4)</f>
        <v>8.5999999999999993E-2</v>
      </c>
      <c r="F76" s="31">
        <v>1.63</v>
      </c>
      <c r="G76" s="31">
        <f t="shared" si="7"/>
        <v>0.14017999999999997</v>
      </c>
    </row>
    <row r="77" spans="1:7" x14ac:dyDescent="0.25">
      <c r="A77" s="20" t="s">
        <v>48</v>
      </c>
      <c r="B77" s="19" t="s">
        <v>39</v>
      </c>
      <c r="C77" s="22" t="s">
        <v>12</v>
      </c>
      <c r="D77" s="18">
        <v>0.34</v>
      </c>
      <c r="E77" s="23">
        <f>ROUND(D77*E70,4)</f>
        <v>4.7000000000000002E-3</v>
      </c>
      <c r="F77" s="31">
        <v>9500</v>
      </c>
      <c r="G77" s="31">
        <f t="shared" si="7"/>
        <v>44.65</v>
      </c>
    </row>
    <row r="78" spans="1:7" x14ac:dyDescent="0.25">
      <c r="A78" s="20" t="s">
        <v>15</v>
      </c>
      <c r="B78" s="21" t="s">
        <v>13</v>
      </c>
      <c r="C78" s="22" t="s">
        <v>12</v>
      </c>
      <c r="D78" s="18">
        <v>6.7000000000000004E-2</v>
      </c>
      <c r="E78" s="23">
        <f>ROUND(D78*E70,4)</f>
        <v>8.9999999999999998E-4</v>
      </c>
      <c r="F78" s="31">
        <v>8500</v>
      </c>
      <c r="G78" s="31">
        <f t="shared" si="7"/>
        <v>7.6499999999999995</v>
      </c>
    </row>
    <row r="79" spans="1:7" x14ac:dyDescent="0.25">
      <c r="A79" s="20" t="s">
        <v>21</v>
      </c>
      <c r="B79" s="19" t="s">
        <v>82</v>
      </c>
      <c r="C79" s="22" t="s">
        <v>11</v>
      </c>
      <c r="D79" s="18">
        <v>0.17799999999999999</v>
      </c>
      <c r="E79" s="23">
        <f>ROUND(D79*E70,4)</f>
        <v>2.3999999999999998E-3</v>
      </c>
      <c r="F79" s="31">
        <v>2563.75</v>
      </c>
      <c r="G79" s="31">
        <f t="shared" si="7"/>
        <v>6.1529999999999996</v>
      </c>
    </row>
    <row r="80" spans="1:7" x14ac:dyDescent="0.25">
      <c r="A80" s="20" t="s">
        <v>22</v>
      </c>
      <c r="B80" s="19" t="s">
        <v>24</v>
      </c>
      <c r="C80" s="22" t="s">
        <v>14</v>
      </c>
      <c r="D80" s="18">
        <v>155</v>
      </c>
      <c r="E80" s="23">
        <f>ROUND(D80*E70,4)</f>
        <v>2.1215999999999999</v>
      </c>
      <c r="F80" s="31"/>
      <c r="G80" s="31">
        <f t="shared" si="7"/>
        <v>0</v>
      </c>
    </row>
    <row r="81" spans="1:7" x14ac:dyDescent="0.25">
      <c r="A81" s="20" t="s">
        <v>16</v>
      </c>
      <c r="B81" s="19" t="s">
        <v>43</v>
      </c>
      <c r="C81" s="22" t="s">
        <v>12</v>
      </c>
      <c r="D81" s="18" t="s">
        <v>17</v>
      </c>
      <c r="E81" s="23">
        <f>118/1000</f>
        <v>0.11799999999999999</v>
      </c>
      <c r="F81" s="31">
        <v>6500</v>
      </c>
      <c r="G81" s="31">
        <f t="shared" si="7"/>
        <v>767</v>
      </c>
    </row>
    <row r="82" spans="1:7" x14ac:dyDescent="0.25">
      <c r="A82" s="20" t="s">
        <v>16</v>
      </c>
      <c r="B82" s="19" t="s">
        <v>65</v>
      </c>
      <c r="C82" s="22" t="s">
        <v>12</v>
      </c>
      <c r="D82" s="18" t="s">
        <v>17</v>
      </c>
      <c r="E82" s="23">
        <f>15/1000</f>
        <v>1.4999999999999999E-2</v>
      </c>
      <c r="F82" s="31">
        <v>6500</v>
      </c>
      <c r="G82" s="31">
        <f t="shared" si="7"/>
        <v>97.5</v>
      </c>
    </row>
    <row r="83" spans="1:7" x14ac:dyDescent="0.25">
      <c r="A83" s="20" t="s">
        <v>23</v>
      </c>
      <c r="B83" s="19" t="s">
        <v>76</v>
      </c>
      <c r="C83" s="22" t="s">
        <v>11</v>
      </c>
      <c r="D83" s="18">
        <v>100</v>
      </c>
      <c r="E83" s="23">
        <f>ROUND(D83*E70,4)</f>
        <v>1.3688</v>
      </c>
      <c r="F83" s="31"/>
      <c r="G83" s="31"/>
    </row>
    <row r="84" spans="1:7" x14ac:dyDescent="0.25">
      <c r="A84" s="20"/>
      <c r="B84" s="32" t="s">
        <v>72</v>
      </c>
      <c r="C84" s="22" t="s">
        <v>12</v>
      </c>
      <c r="D84" s="18">
        <v>0.38200000000000001</v>
      </c>
      <c r="E84" s="23">
        <f>ROUND(D84*E83,4)</f>
        <v>0.52290000000000003</v>
      </c>
      <c r="F84" s="31">
        <v>630</v>
      </c>
      <c r="G84" s="31">
        <f t="shared" ref="G84:G86" si="8">F84*E84</f>
        <v>329.42700000000002</v>
      </c>
    </row>
    <row r="85" spans="1:7" x14ac:dyDescent="0.25">
      <c r="A85" s="20"/>
      <c r="B85" s="32" t="s">
        <v>29</v>
      </c>
      <c r="C85" s="22" t="s">
        <v>12</v>
      </c>
      <c r="D85" s="18">
        <f>47/100*1.52</f>
        <v>0.71439999999999992</v>
      </c>
      <c r="E85" s="23">
        <f>ROUND(D85*E83,4)</f>
        <v>0.97789999999999999</v>
      </c>
      <c r="F85" s="31">
        <f>2449.06/159.17</f>
        <v>15.386442168750394</v>
      </c>
      <c r="G85" s="31">
        <f t="shared" si="8"/>
        <v>15.04640179682101</v>
      </c>
    </row>
    <row r="86" spans="1:7" x14ac:dyDescent="0.25">
      <c r="A86" s="20"/>
      <c r="B86" s="32" t="s">
        <v>28</v>
      </c>
      <c r="C86" s="22" t="s">
        <v>12</v>
      </c>
      <c r="D86" s="18">
        <f>80/100*1.6</f>
        <v>1.2800000000000002</v>
      </c>
      <c r="E86" s="23">
        <f>ROUND(D86*E83,4)</f>
        <v>1.7521</v>
      </c>
      <c r="F86" s="31">
        <f>4991.72/392.53</f>
        <v>12.7167859781418</v>
      </c>
      <c r="G86" s="31">
        <f t="shared" si="8"/>
        <v>22.281080712302249</v>
      </c>
    </row>
    <row r="87" spans="1:7" ht="13.5" x14ac:dyDescent="0.25">
      <c r="A87" s="15"/>
      <c r="B87" s="25" t="s">
        <v>8</v>
      </c>
      <c r="C87" s="17"/>
      <c r="D87" s="26"/>
      <c r="E87" s="27"/>
      <c r="F87" s="31"/>
      <c r="G87" s="71">
        <f>SUM(G71:G86)</f>
        <v>1763.6633495091237</v>
      </c>
    </row>
    <row r="88" spans="1:7" ht="27" x14ac:dyDescent="0.25">
      <c r="A88" s="3" t="s">
        <v>84</v>
      </c>
      <c r="B88" s="33" t="s">
        <v>190</v>
      </c>
      <c r="C88" s="7" t="s">
        <v>20</v>
      </c>
      <c r="D88" s="34"/>
      <c r="E88" s="30">
        <f>320.8*0.15/100</f>
        <v>0.48119999999999996</v>
      </c>
      <c r="F88" s="31"/>
      <c r="G88" s="33"/>
    </row>
    <row r="89" spans="1:7" x14ac:dyDescent="0.25">
      <c r="A89" s="2">
        <v>1</v>
      </c>
      <c r="B89" s="1" t="s">
        <v>60</v>
      </c>
      <c r="C89" s="8" t="s">
        <v>7</v>
      </c>
      <c r="D89" s="6">
        <v>833.6</v>
      </c>
      <c r="E89" s="23">
        <f>ROUND(D89*E88,4)</f>
        <v>401.12830000000002</v>
      </c>
      <c r="F89" s="31">
        <v>10.31</v>
      </c>
      <c r="G89" s="36">
        <f t="shared" ref="G89:G97" si="9">F89*E89</f>
        <v>4135.6327730000003</v>
      </c>
    </row>
    <row r="90" spans="1:7" x14ac:dyDescent="0.25">
      <c r="A90" s="2">
        <v>2</v>
      </c>
      <c r="B90" s="1" t="s">
        <v>18</v>
      </c>
      <c r="C90" s="8" t="s">
        <v>7</v>
      </c>
      <c r="D90" s="6">
        <v>33.28</v>
      </c>
      <c r="E90" s="23">
        <f>ROUND(D90*E88,4)</f>
        <v>16.014299999999999</v>
      </c>
      <c r="F90" s="31">
        <v>15.44</v>
      </c>
      <c r="G90" s="36">
        <f t="shared" si="9"/>
        <v>247.26079199999998</v>
      </c>
    </row>
    <row r="91" spans="1:7" ht="25.5" x14ac:dyDescent="0.25">
      <c r="A91" s="2" t="s">
        <v>40</v>
      </c>
      <c r="B91" s="35" t="s">
        <v>47</v>
      </c>
      <c r="C91" s="8" t="s">
        <v>19</v>
      </c>
      <c r="D91" s="6">
        <v>27</v>
      </c>
      <c r="E91" s="23">
        <f>ROUND(D91*E88,4)</f>
        <v>12.9924</v>
      </c>
      <c r="F91" s="31">
        <f>152.37-15.44</f>
        <v>136.93</v>
      </c>
      <c r="G91" s="36">
        <f t="shared" si="9"/>
        <v>1779.049332</v>
      </c>
    </row>
    <row r="92" spans="1:7" x14ac:dyDescent="0.25">
      <c r="A92" s="2">
        <v>111100</v>
      </c>
      <c r="B92" s="35" t="s">
        <v>27</v>
      </c>
      <c r="C92" s="8" t="s">
        <v>19</v>
      </c>
      <c r="D92" s="6">
        <v>40.299999999999997</v>
      </c>
      <c r="E92" s="23">
        <f>ROUND(D92*E88,4)</f>
        <v>19.392399999999999</v>
      </c>
      <c r="F92" s="31">
        <v>2.83</v>
      </c>
      <c r="G92" s="36">
        <f t="shared" si="9"/>
        <v>54.880491999999997</v>
      </c>
    </row>
    <row r="93" spans="1:7" x14ac:dyDescent="0.25">
      <c r="A93" s="2">
        <v>331532</v>
      </c>
      <c r="B93" s="35" t="s">
        <v>26</v>
      </c>
      <c r="C93" s="8" t="s">
        <v>19</v>
      </c>
      <c r="D93" s="6">
        <v>1.6</v>
      </c>
      <c r="E93" s="23">
        <f>ROUND(D93*E88,4)</f>
        <v>0.76990000000000003</v>
      </c>
      <c r="F93" s="31">
        <v>1.63</v>
      </c>
      <c r="G93" s="36">
        <f t="shared" si="9"/>
        <v>1.254937</v>
      </c>
    </row>
    <row r="94" spans="1:7" x14ac:dyDescent="0.25">
      <c r="A94" s="2" t="s">
        <v>69</v>
      </c>
      <c r="B94" s="35" t="s">
        <v>70</v>
      </c>
      <c r="C94" s="8" t="s">
        <v>12</v>
      </c>
      <c r="D94" s="6">
        <v>1.61E-2</v>
      </c>
      <c r="E94" s="23">
        <f>ROUND(D94*E88,4)</f>
        <v>7.7000000000000002E-3</v>
      </c>
      <c r="F94" s="31">
        <v>5423.7330000000002</v>
      </c>
      <c r="G94" s="36">
        <f t="shared" si="9"/>
        <v>41.762744100000006</v>
      </c>
    </row>
    <row r="95" spans="1:7" x14ac:dyDescent="0.25">
      <c r="A95" s="2" t="s">
        <v>15</v>
      </c>
      <c r="B95" s="1" t="s">
        <v>13</v>
      </c>
      <c r="C95" s="8" t="s">
        <v>12</v>
      </c>
      <c r="D95" s="6">
        <v>1.2999999999999999E-2</v>
      </c>
      <c r="E95" s="23">
        <f>ROUND(D95*E88,4)</f>
        <v>6.3E-3</v>
      </c>
      <c r="F95" s="31">
        <v>8500</v>
      </c>
      <c r="G95" s="36">
        <f t="shared" si="9"/>
        <v>53.55</v>
      </c>
    </row>
    <row r="96" spans="1:7" x14ac:dyDescent="0.25">
      <c r="A96" s="2" t="s">
        <v>85</v>
      </c>
      <c r="B96" s="35" t="s">
        <v>86</v>
      </c>
      <c r="C96" s="8" t="s">
        <v>14</v>
      </c>
      <c r="D96" s="6">
        <v>55.56</v>
      </c>
      <c r="E96" s="23">
        <f>ROUND(D96*E88,4)</f>
        <v>26.735499999999998</v>
      </c>
      <c r="F96" s="31"/>
      <c r="G96" s="36">
        <f t="shared" si="9"/>
        <v>0</v>
      </c>
    </row>
    <row r="97" spans="1:7" x14ac:dyDescent="0.25">
      <c r="A97" s="2" t="s">
        <v>21</v>
      </c>
      <c r="B97" s="19" t="s">
        <v>82</v>
      </c>
      <c r="C97" s="8" t="s">
        <v>11</v>
      </c>
      <c r="D97" s="6">
        <v>1.92</v>
      </c>
      <c r="E97" s="23">
        <f>ROUND(D97*E88,4)</f>
        <v>0.92390000000000005</v>
      </c>
      <c r="F97" s="31">
        <v>2563.75</v>
      </c>
      <c r="G97" s="36">
        <f t="shared" si="9"/>
        <v>2368.6486250000003</v>
      </c>
    </row>
    <row r="98" spans="1:7" x14ac:dyDescent="0.25">
      <c r="A98" s="20" t="s">
        <v>16</v>
      </c>
      <c r="B98" s="19" t="s">
        <v>83</v>
      </c>
      <c r="C98" s="22" t="s">
        <v>12</v>
      </c>
      <c r="D98" s="18" t="s">
        <v>17</v>
      </c>
      <c r="E98" s="23">
        <f>757/1000</f>
        <v>0.75700000000000001</v>
      </c>
      <c r="F98" s="31">
        <v>6500</v>
      </c>
      <c r="G98" s="36">
        <f>F98*E98</f>
        <v>4920.5</v>
      </c>
    </row>
    <row r="99" spans="1:7" x14ac:dyDescent="0.25">
      <c r="A99" s="20" t="s">
        <v>16</v>
      </c>
      <c r="B99" s="19" t="s">
        <v>44</v>
      </c>
      <c r="C99" s="22" t="s">
        <v>12</v>
      </c>
      <c r="D99" s="18" t="s">
        <v>17</v>
      </c>
      <c r="E99" s="23">
        <f>234/1000</f>
        <v>0.23400000000000001</v>
      </c>
      <c r="F99" s="31">
        <v>6500</v>
      </c>
      <c r="G99" s="36">
        <f>F99*E99</f>
        <v>1521</v>
      </c>
    </row>
    <row r="100" spans="1:7" x14ac:dyDescent="0.25">
      <c r="A100" s="20" t="s">
        <v>16</v>
      </c>
      <c r="B100" s="19" t="s">
        <v>87</v>
      </c>
      <c r="C100" s="22" t="s">
        <v>12</v>
      </c>
      <c r="D100" s="18" t="s">
        <v>17</v>
      </c>
      <c r="E100" s="23">
        <f>3876/1000</f>
        <v>3.8759999999999999</v>
      </c>
      <c r="F100" s="31">
        <v>6500</v>
      </c>
      <c r="G100" s="36">
        <f>F100*E100</f>
        <v>25194</v>
      </c>
    </row>
    <row r="101" spans="1:7" x14ac:dyDescent="0.25">
      <c r="A101" s="20" t="s">
        <v>16</v>
      </c>
      <c r="B101" s="19" t="s">
        <v>65</v>
      </c>
      <c r="C101" s="22" t="s">
        <v>12</v>
      </c>
      <c r="D101" s="18" t="s">
        <v>17</v>
      </c>
      <c r="E101" s="23">
        <f>298/1000</f>
        <v>0.29799999999999999</v>
      </c>
      <c r="F101" s="31">
        <v>6500</v>
      </c>
      <c r="G101" s="31">
        <f t="shared" ref="G101" si="10">F101*E101</f>
        <v>1937</v>
      </c>
    </row>
    <row r="102" spans="1:7" x14ac:dyDescent="0.25">
      <c r="A102" s="2" t="s">
        <v>88</v>
      </c>
      <c r="B102" s="19" t="s">
        <v>76</v>
      </c>
      <c r="C102" s="22" t="s">
        <v>11</v>
      </c>
      <c r="D102" s="18">
        <v>100</v>
      </c>
      <c r="E102" s="23">
        <f>ROUND(D102*E88,4)</f>
        <v>48.12</v>
      </c>
      <c r="F102" s="31"/>
      <c r="G102" s="36"/>
    </row>
    <row r="103" spans="1:7" x14ac:dyDescent="0.25">
      <c r="A103" s="20"/>
      <c r="B103" s="32" t="s">
        <v>72</v>
      </c>
      <c r="C103" s="22" t="s">
        <v>12</v>
      </c>
      <c r="D103" s="18">
        <v>0.38200000000000001</v>
      </c>
      <c r="E103" s="23">
        <f>ROUND(D103*E102,4)</f>
        <v>18.381799999999998</v>
      </c>
      <c r="F103" s="31">
        <v>630</v>
      </c>
      <c r="G103" s="36">
        <f>F103*E103</f>
        <v>11580.534</v>
      </c>
    </row>
    <row r="104" spans="1:7" x14ac:dyDescent="0.25">
      <c r="A104" s="20"/>
      <c r="B104" s="32" t="s">
        <v>29</v>
      </c>
      <c r="C104" s="22" t="s">
        <v>12</v>
      </c>
      <c r="D104" s="18">
        <f>47/100*1.52</f>
        <v>0.71439999999999992</v>
      </c>
      <c r="E104" s="23">
        <f>ROUND(D104*E102,4)</f>
        <v>34.376899999999999</v>
      </c>
      <c r="F104" s="31">
        <f>2449.06/159.17</f>
        <v>15.386442168750394</v>
      </c>
      <c r="G104" s="36">
        <f>F104*E104</f>
        <v>528.93818379091545</v>
      </c>
    </row>
    <row r="105" spans="1:7" x14ac:dyDescent="0.25">
      <c r="A105" s="20"/>
      <c r="B105" s="32" t="s">
        <v>28</v>
      </c>
      <c r="C105" s="22" t="s">
        <v>12</v>
      </c>
      <c r="D105" s="18">
        <f>80/100*1.6</f>
        <v>1.2800000000000002</v>
      </c>
      <c r="E105" s="23">
        <f>ROUND(D105*E102,4)</f>
        <v>61.593600000000002</v>
      </c>
      <c r="F105" s="31">
        <f>4991.72/392.53</f>
        <v>12.7167859781418</v>
      </c>
      <c r="G105" s="36">
        <f>F105*E105</f>
        <v>783.27262882327477</v>
      </c>
    </row>
    <row r="106" spans="1:7" ht="13.5" x14ac:dyDescent="0.25">
      <c r="A106" s="15"/>
      <c r="B106" s="25" t="s">
        <v>8</v>
      </c>
      <c r="C106" s="17"/>
      <c r="D106" s="26"/>
      <c r="E106" s="27"/>
      <c r="F106" s="31"/>
      <c r="G106" s="29">
        <f>SUM(G89:G105)</f>
        <v>55147.28450771419</v>
      </c>
    </row>
    <row r="107" spans="1:7" ht="27" x14ac:dyDescent="0.25">
      <c r="A107" s="15" t="s">
        <v>68</v>
      </c>
      <c r="B107" s="16" t="s">
        <v>191</v>
      </c>
      <c r="C107" s="17" t="s">
        <v>20</v>
      </c>
      <c r="D107" s="18"/>
      <c r="E107" s="30">
        <f>(12.88*0.15)/100</f>
        <v>1.932E-2</v>
      </c>
      <c r="F107" s="31"/>
      <c r="G107" s="24"/>
    </row>
    <row r="108" spans="1:7" x14ac:dyDescent="0.25">
      <c r="A108" s="20">
        <v>1</v>
      </c>
      <c r="B108" s="21" t="s">
        <v>60</v>
      </c>
      <c r="C108" s="22" t="s">
        <v>7</v>
      </c>
      <c r="D108" s="18">
        <v>2412.6</v>
      </c>
      <c r="E108" s="23">
        <f>ROUND(D108*E107,4)</f>
        <v>46.611400000000003</v>
      </c>
      <c r="F108" s="31">
        <v>10.31</v>
      </c>
      <c r="G108" s="24">
        <f t="shared" ref="G108:G123" si="11">F108*E108</f>
        <v>480.56353400000006</v>
      </c>
    </row>
    <row r="109" spans="1:7" x14ac:dyDescent="0.25">
      <c r="A109" s="20">
        <v>2</v>
      </c>
      <c r="B109" s="21" t="s">
        <v>18</v>
      </c>
      <c r="C109" s="22" t="s">
        <v>7</v>
      </c>
      <c r="D109" s="18">
        <v>51.7</v>
      </c>
      <c r="E109" s="23">
        <f>ROUND(D109*E107,4)</f>
        <v>0.99880000000000002</v>
      </c>
      <c r="F109" s="31">
        <v>15.44</v>
      </c>
      <c r="G109" s="24">
        <f t="shared" si="11"/>
        <v>15.421472</v>
      </c>
    </row>
    <row r="110" spans="1:7" ht="25.5" x14ac:dyDescent="0.25">
      <c r="A110" s="20" t="s">
        <v>40</v>
      </c>
      <c r="B110" s="19" t="s">
        <v>47</v>
      </c>
      <c r="C110" s="22" t="s">
        <v>19</v>
      </c>
      <c r="D110" s="18">
        <v>51.7</v>
      </c>
      <c r="E110" s="23">
        <f>ROUND(D110*E107,4)</f>
        <v>0.99880000000000002</v>
      </c>
      <c r="F110" s="31">
        <f>152.37-15.44</f>
        <v>136.93</v>
      </c>
      <c r="G110" s="24">
        <f t="shared" si="11"/>
        <v>136.76568400000002</v>
      </c>
    </row>
    <row r="111" spans="1:7" x14ac:dyDescent="0.25">
      <c r="A111" s="20" t="s">
        <v>41</v>
      </c>
      <c r="B111" s="21" t="s">
        <v>38</v>
      </c>
      <c r="C111" s="22" t="s">
        <v>19</v>
      </c>
      <c r="D111" s="18">
        <v>13.2</v>
      </c>
      <c r="E111" s="23">
        <f>ROUND(D111*E107,4)</f>
        <v>0.255</v>
      </c>
      <c r="F111" s="31">
        <v>8.4600000000000009</v>
      </c>
      <c r="G111" s="24">
        <f t="shared" si="11"/>
        <v>2.1573000000000002</v>
      </c>
    </row>
    <row r="112" spans="1:7" x14ac:dyDescent="0.25">
      <c r="A112" s="20">
        <v>111301</v>
      </c>
      <c r="B112" s="19" t="s">
        <v>66</v>
      </c>
      <c r="C112" s="22" t="s">
        <v>19</v>
      </c>
      <c r="D112" s="18">
        <v>78</v>
      </c>
      <c r="E112" s="23">
        <f>ROUND(D112*E107,4)</f>
        <v>1.5069999999999999</v>
      </c>
      <c r="F112" s="31">
        <v>1.62</v>
      </c>
      <c r="G112" s="24">
        <f t="shared" si="11"/>
        <v>2.4413399999999998</v>
      </c>
    </row>
    <row r="113" spans="1:7" x14ac:dyDescent="0.25">
      <c r="A113" s="20">
        <v>331532</v>
      </c>
      <c r="B113" s="19" t="s">
        <v>26</v>
      </c>
      <c r="C113" s="22" t="s">
        <v>19</v>
      </c>
      <c r="D113" s="18">
        <v>1.21</v>
      </c>
      <c r="E113" s="23">
        <f>ROUND(D113*E107,4)</f>
        <v>2.3400000000000001E-2</v>
      </c>
      <c r="F113" s="31">
        <v>1.63</v>
      </c>
      <c r="G113" s="24">
        <f t="shared" si="11"/>
        <v>3.8141999999999995E-2</v>
      </c>
    </row>
    <row r="114" spans="1:7" x14ac:dyDescent="0.25">
      <c r="A114" s="20" t="s">
        <v>69</v>
      </c>
      <c r="B114" s="19" t="s">
        <v>70</v>
      </c>
      <c r="C114" s="22" t="s">
        <v>12</v>
      </c>
      <c r="D114" s="18">
        <v>2.3599999999999999E-2</v>
      </c>
      <c r="E114" s="23">
        <f>ROUND(D114*E107,4)</f>
        <v>5.0000000000000001E-4</v>
      </c>
      <c r="F114" s="31">
        <v>5423.7330000000002</v>
      </c>
      <c r="G114" s="24">
        <f t="shared" si="11"/>
        <v>2.7118665000000002</v>
      </c>
    </row>
    <row r="115" spans="1:7" x14ac:dyDescent="0.25">
      <c r="A115" s="20" t="s">
        <v>48</v>
      </c>
      <c r="B115" s="19" t="s">
        <v>39</v>
      </c>
      <c r="C115" s="22" t="s">
        <v>12</v>
      </c>
      <c r="D115" s="18">
        <v>1.2999999999999999E-2</v>
      </c>
      <c r="E115" s="23">
        <f>ROUND(D115*E107,4)</f>
        <v>2.9999999999999997E-4</v>
      </c>
      <c r="F115" s="31">
        <v>9500</v>
      </c>
      <c r="G115" s="24">
        <f t="shared" si="11"/>
        <v>2.8499999999999996</v>
      </c>
    </row>
    <row r="116" spans="1:7" x14ac:dyDescent="0.25">
      <c r="A116" s="20" t="s">
        <v>15</v>
      </c>
      <c r="B116" s="21" t="s">
        <v>13</v>
      </c>
      <c r="C116" s="22" t="s">
        <v>12</v>
      </c>
      <c r="D116" s="18">
        <v>1.4999999999999999E-2</v>
      </c>
      <c r="E116" s="23">
        <f>ROUND(D116*E107,4)</f>
        <v>2.9999999999999997E-4</v>
      </c>
      <c r="F116" s="31">
        <v>8500</v>
      </c>
      <c r="G116" s="24">
        <f t="shared" si="11"/>
        <v>2.5499999999999998</v>
      </c>
    </row>
    <row r="117" spans="1:7" x14ac:dyDescent="0.25">
      <c r="A117" s="20" t="s">
        <v>21</v>
      </c>
      <c r="B117" s="19" t="s">
        <v>82</v>
      </c>
      <c r="C117" s="22" t="s">
        <v>11</v>
      </c>
      <c r="D117" s="18">
        <v>2.1</v>
      </c>
      <c r="E117" s="23">
        <f>ROUND(D117*E107,4)</f>
        <v>4.0599999999999997E-2</v>
      </c>
      <c r="F117" s="31">
        <v>2563.75</v>
      </c>
      <c r="G117" s="24">
        <f t="shared" si="11"/>
        <v>104.08824999999999</v>
      </c>
    </row>
    <row r="118" spans="1:7" x14ac:dyDescent="0.25">
      <c r="A118" s="20" t="s">
        <v>16</v>
      </c>
      <c r="B118" s="19" t="s">
        <v>44</v>
      </c>
      <c r="C118" s="22" t="s">
        <v>12</v>
      </c>
      <c r="D118" s="18" t="s">
        <v>17</v>
      </c>
      <c r="E118" s="23">
        <f>(144+338)/1000</f>
        <v>0.48199999999999998</v>
      </c>
      <c r="F118" s="31">
        <v>6500</v>
      </c>
      <c r="G118" s="24">
        <f t="shared" si="11"/>
        <v>3133</v>
      </c>
    </row>
    <row r="119" spans="1:7" x14ac:dyDescent="0.25">
      <c r="A119" s="20" t="s">
        <v>16</v>
      </c>
      <c r="B119" s="19" t="s">
        <v>65</v>
      </c>
      <c r="C119" s="22" t="s">
        <v>12</v>
      </c>
      <c r="D119" s="18" t="s">
        <v>17</v>
      </c>
      <c r="E119" s="23">
        <f>(10+10)/1000</f>
        <v>0.02</v>
      </c>
      <c r="F119" s="31">
        <v>6500</v>
      </c>
      <c r="G119" s="31">
        <f t="shared" si="11"/>
        <v>130</v>
      </c>
    </row>
    <row r="120" spans="1:7" x14ac:dyDescent="0.25">
      <c r="A120" s="20" t="s">
        <v>23</v>
      </c>
      <c r="B120" s="19" t="s">
        <v>76</v>
      </c>
      <c r="C120" s="22" t="s">
        <v>11</v>
      </c>
      <c r="D120" s="18">
        <v>100</v>
      </c>
      <c r="E120" s="23">
        <f>ROUND(D120*E107,4)</f>
        <v>1.9319999999999999</v>
      </c>
      <c r="F120" s="31"/>
      <c r="G120" s="24"/>
    </row>
    <row r="121" spans="1:7" x14ac:dyDescent="0.25">
      <c r="A121" s="20"/>
      <c r="B121" s="32" t="s">
        <v>72</v>
      </c>
      <c r="C121" s="22" t="s">
        <v>12</v>
      </c>
      <c r="D121" s="18">
        <v>0.38200000000000001</v>
      </c>
      <c r="E121" s="23">
        <f>ROUND(D121*E120,4)</f>
        <v>0.73799999999999999</v>
      </c>
      <c r="F121" s="31">
        <v>630</v>
      </c>
      <c r="G121" s="24">
        <f t="shared" si="11"/>
        <v>464.94</v>
      </c>
    </row>
    <row r="122" spans="1:7" x14ac:dyDescent="0.25">
      <c r="A122" s="20"/>
      <c r="B122" s="32" t="s">
        <v>29</v>
      </c>
      <c r="C122" s="22" t="s">
        <v>12</v>
      </c>
      <c r="D122" s="18">
        <f>47/100*1.52</f>
        <v>0.71439999999999992</v>
      </c>
      <c r="E122" s="23">
        <f>ROUND(D122*E120,4)</f>
        <v>1.3802000000000001</v>
      </c>
      <c r="F122" s="31">
        <f>2449.06/159.17</f>
        <v>15.386442168750394</v>
      </c>
      <c r="G122" s="24">
        <f t="shared" si="11"/>
        <v>21.236367481309294</v>
      </c>
    </row>
    <row r="123" spans="1:7" x14ac:dyDescent="0.25">
      <c r="A123" s="20"/>
      <c r="B123" s="32" t="s">
        <v>28</v>
      </c>
      <c r="C123" s="22" t="s">
        <v>12</v>
      </c>
      <c r="D123" s="18">
        <f>80/100*1.6</f>
        <v>1.2800000000000002</v>
      </c>
      <c r="E123" s="23">
        <f>ROUND(D123*E120,4)</f>
        <v>2.4729999999999999</v>
      </c>
      <c r="F123" s="31">
        <f>4991.72/392.53</f>
        <v>12.7167859781418</v>
      </c>
      <c r="G123" s="24">
        <f t="shared" si="11"/>
        <v>31.448611723944669</v>
      </c>
    </row>
    <row r="124" spans="1:7" ht="13.5" x14ac:dyDescent="0.25">
      <c r="A124" s="15"/>
      <c r="B124" s="25" t="s">
        <v>8</v>
      </c>
      <c r="C124" s="17"/>
      <c r="D124" s="26"/>
      <c r="E124" s="27"/>
      <c r="F124" s="28"/>
      <c r="G124" s="29">
        <f>SUM(G108:G123)</f>
        <v>4530.2125677052545</v>
      </c>
    </row>
    <row r="125" spans="1:7" ht="13.5" x14ac:dyDescent="0.25">
      <c r="A125" s="3" t="s">
        <v>142</v>
      </c>
      <c r="B125" s="33" t="s">
        <v>143</v>
      </c>
      <c r="C125" s="7" t="s">
        <v>105</v>
      </c>
      <c r="D125" s="34"/>
      <c r="E125" s="81">
        <f>20.4/100</f>
        <v>0.20399999999999999</v>
      </c>
      <c r="F125" s="82"/>
      <c r="G125" s="33"/>
    </row>
    <row r="126" spans="1:7" x14ac:dyDescent="0.25">
      <c r="A126" s="2">
        <v>1</v>
      </c>
      <c r="B126" s="1" t="s">
        <v>144</v>
      </c>
      <c r="C126" s="8" t="s">
        <v>7</v>
      </c>
      <c r="D126" s="6">
        <v>26.97</v>
      </c>
      <c r="E126" s="9">
        <f>D126*E125</f>
        <v>5.501879999999999</v>
      </c>
      <c r="F126" s="83">
        <v>13.09</v>
      </c>
      <c r="G126" s="36">
        <f t="shared" ref="G126:G131" si="12">F126*E126</f>
        <v>72.019609199999991</v>
      </c>
    </row>
    <row r="127" spans="1:7" x14ac:dyDescent="0.25">
      <c r="A127" s="2">
        <v>2</v>
      </c>
      <c r="B127" s="1" t="s">
        <v>18</v>
      </c>
      <c r="C127" s="8" t="s">
        <v>7</v>
      </c>
      <c r="D127" s="6">
        <v>0.43</v>
      </c>
      <c r="E127" s="9">
        <f>D127*E125</f>
        <v>8.7719999999999992E-2</v>
      </c>
      <c r="F127" s="31">
        <v>15.44</v>
      </c>
      <c r="G127" s="36">
        <f t="shared" si="12"/>
        <v>1.3543967999999997</v>
      </c>
    </row>
    <row r="128" spans="1:7" x14ac:dyDescent="0.25">
      <c r="A128" s="2">
        <v>121011</v>
      </c>
      <c r="B128" s="1" t="s">
        <v>117</v>
      </c>
      <c r="C128" s="8" t="s">
        <v>19</v>
      </c>
      <c r="D128" s="6">
        <v>4.37</v>
      </c>
      <c r="E128" s="9">
        <f>D128*E125</f>
        <v>0.89147999999999994</v>
      </c>
      <c r="F128" s="83">
        <v>22.66</v>
      </c>
      <c r="G128" s="36">
        <f t="shared" si="12"/>
        <v>20.200936799999997</v>
      </c>
    </row>
    <row r="129" spans="1:7" x14ac:dyDescent="0.25">
      <c r="A129" s="2">
        <v>361101</v>
      </c>
      <c r="B129" s="35" t="s">
        <v>145</v>
      </c>
      <c r="C129" s="8" t="s">
        <v>19</v>
      </c>
      <c r="D129" s="6">
        <v>1.5</v>
      </c>
      <c r="E129" s="9">
        <f>D129*E125</f>
        <v>0.30599999999999999</v>
      </c>
      <c r="F129" s="83">
        <v>2.6</v>
      </c>
      <c r="G129" s="36">
        <f t="shared" si="12"/>
        <v>0.79559999999999997</v>
      </c>
    </row>
    <row r="130" spans="1:7" x14ac:dyDescent="0.25">
      <c r="A130" s="2" t="s">
        <v>146</v>
      </c>
      <c r="B130" s="35" t="s">
        <v>147</v>
      </c>
      <c r="C130" s="8" t="s">
        <v>12</v>
      </c>
      <c r="D130" s="6">
        <v>5.7000000000000002E-2</v>
      </c>
      <c r="E130" s="9">
        <f>D130*E125</f>
        <v>1.1627999999999999E-2</v>
      </c>
      <c r="F130" s="83"/>
      <c r="G130" s="36">
        <f t="shared" si="12"/>
        <v>0</v>
      </c>
    </row>
    <row r="131" spans="1:7" x14ac:dyDescent="0.25">
      <c r="A131" s="2" t="s">
        <v>118</v>
      </c>
      <c r="B131" s="35" t="s">
        <v>119</v>
      </c>
      <c r="C131" s="8" t="s">
        <v>12</v>
      </c>
      <c r="D131" s="6">
        <v>0.17599999999999999</v>
      </c>
      <c r="E131" s="9">
        <f>D131*E125</f>
        <v>3.5903999999999998E-2</v>
      </c>
      <c r="F131" s="83"/>
      <c r="G131" s="36">
        <f t="shared" si="12"/>
        <v>0</v>
      </c>
    </row>
    <row r="132" spans="1:7" ht="13.5" x14ac:dyDescent="0.25">
      <c r="A132" s="64"/>
      <c r="B132" s="65" t="s">
        <v>8</v>
      </c>
      <c r="C132" s="66"/>
      <c r="D132" s="67"/>
      <c r="E132" s="67"/>
      <c r="F132" s="67"/>
      <c r="G132" s="68">
        <f>SUM(G126:G131)</f>
        <v>94.370542799999981</v>
      </c>
    </row>
    <row r="133" spans="1:7" ht="13.5" x14ac:dyDescent="0.25">
      <c r="A133" s="64"/>
      <c r="B133" s="65"/>
      <c r="C133" s="66"/>
      <c r="D133" s="67"/>
      <c r="E133" s="67"/>
      <c r="F133" s="67"/>
      <c r="G133" s="68"/>
    </row>
    <row r="134" spans="1:7" ht="13.5" x14ac:dyDescent="0.25">
      <c r="A134" s="52"/>
      <c r="B134" s="53"/>
      <c r="C134" s="52"/>
      <c r="D134" s="53"/>
      <c r="E134" s="53"/>
      <c r="F134" s="61"/>
      <c r="G134" s="54"/>
    </row>
    <row r="135" spans="1:7" ht="13.5" x14ac:dyDescent="0.25">
      <c r="A135" s="52"/>
      <c r="B135" s="53"/>
      <c r="C135" s="52"/>
      <c r="D135" s="53"/>
      <c r="E135" s="53"/>
      <c r="F135" s="61"/>
      <c r="G135" s="54"/>
    </row>
    <row r="136" spans="1:7" ht="13.5" x14ac:dyDescent="0.25">
      <c r="A136" s="2"/>
      <c r="B136" s="55" t="s">
        <v>42</v>
      </c>
      <c r="C136" s="56"/>
      <c r="D136" s="10"/>
      <c r="E136" s="10"/>
      <c r="G136" s="12">
        <f>SUMIFS(G17:G135,B17:B135,"Итого")</f>
        <v>71923.523226696372</v>
      </c>
    </row>
    <row r="137" spans="1:7" ht="13.5" x14ac:dyDescent="0.25">
      <c r="A137" s="2"/>
      <c r="B137" s="55" t="s">
        <v>30</v>
      </c>
      <c r="C137" s="56"/>
      <c r="D137" s="10"/>
      <c r="E137" s="10"/>
      <c r="F137" s="10"/>
      <c r="G137" s="12"/>
    </row>
    <row r="138" spans="1:7" ht="13.5" x14ac:dyDescent="0.25">
      <c r="A138" s="2"/>
      <c r="B138" s="57" t="s">
        <v>51</v>
      </c>
      <c r="C138" s="56"/>
      <c r="D138" s="10"/>
      <c r="E138" s="10"/>
      <c r="F138" s="10">
        <f>G24+G25+G27+G28+G30+G31+G32+G41+G42+G43+G45+G46+G48+G49+G50+G59+G60+G61+G63+G64+G66+G67+G68+G77+G78+G79+G81+G82+G84+G85+G86+G94+G95+G97+G98+G99+G100+G101+G103+G104+G105+G114+G115+G116+G117+G118+G119+G121+G122+G123+G130+G131</f>
        <v>61852.254372156371</v>
      </c>
      <c r="G138" s="12">
        <f>G136-G139-G140-G141</f>
        <v>61852.254372156378</v>
      </c>
    </row>
    <row r="139" spans="1:7" ht="13.5" x14ac:dyDescent="0.25">
      <c r="A139" s="2"/>
      <c r="B139" s="57" t="s">
        <v>52</v>
      </c>
      <c r="C139" s="56"/>
      <c r="D139" s="10"/>
      <c r="E139" s="10"/>
      <c r="F139" s="10"/>
      <c r="G139" s="12">
        <f>SUMIFS(G17:G135,C17:C135,"маш/час")</f>
        <v>3152.4246676399998</v>
      </c>
    </row>
    <row r="140" spans="1:7" ht="13.5" x14ac:dyDescent="0.25">
      <c r="A140" s="2"/>
      <c r="B140" s="57" t="s">
        <v>53</v>
      </c>
      <c r="C140" s="56"/>
      <c r="D140" s="10"/>
      <c r="E140" s="10"/>
      <c r="F140" s="10"/>
      <c r="G140" s="12">
        <f>SUMIFS(G17:G135,A17:A135,1)</f>
        <v>6529.2104446599997</v>
      </c>
    </row>
    <row r="141" spans="1:7" ht="13.5" x14ac:dyDescent="0.25">
      <c r="A141" s="2"/>
      <c r="B141" s="57" t="s">
        <v>54</v>
      </c>
      <c r="C141" s="56"/>
      <c r="D141" s="10"/>
      <c r="E141" s="10"/>
      <c r="F141" s="10"/>
      <c r="G141" s="12">
        <f>SUMIFS(G17:G135,A17:A135,2)</f>
        <v>389.63374224</v>
      </c>
    </row>
    <row r="142" spans="1:7" ht="13.5" x14ac:dyDescent="0.25">
      <c r="A142" s="2"/>
      <c r="B142" s="12" t="s">
        <v>37</v>
      </c>
      <c r="C142" s="56"/>
      <c r="D142" s="10"/>
      <c r="E142" s="10"/>
      <c r="F142" s="10"/>
      <c r="G142" s="12">
        <f>(G140+G141)*25%</f>
        <v>1729.711046725</v>
      </c>
    </row>
    <row r="143" spans="1:7" ht="13.5" x14ac:dyDescent="0.25">
      <c r="A143" s="15"/>
      <c r="B143" s="25" t="s">
        <v>8</v>
      </c>
      <c r="C143" s="17"/>
      <c r="D143" s="26"/>
      <c r="E143" s="27"/>
      <c r="F143" s="28"/>
      <c r="G143" s="12">
        <f>SUM(G138:G142)</f>
        <v>73653.234273421374</v>
      </c>
    </row>
    <row r="144" spans="1:7" ht="13.5" x14ac:dyDescent="0.25">
      <c r="A144" s="2"/>
      <c r="B144" s="4" t="s">
        <v>61</v>
      </c>
      <c r="C144" s="8"/>
      <c r="D144" s="9"/>
      <c r="E144" s="9"/>
      <c r="F144" s="10"/>
      <c r="G144" s="12">
        <f>G143*10%</f>
        <v>7365.3234273421376</v>
      </c>
    </row>
    <row r="145" spans="1:7" ht="13.5" x14ac:dyDescent="0.25">
      <c r="A145" s="2"/>
      <c r="B145" s="4" t="s">
        <v>55</v>
      </c>
      <c r="C145" s="7" t="s">
        <v>11</v>
      </c>
      <c r="D145" s="11"/>
      <c r="E145" s="5">
        <f>SUMIFS(E134:E141,B134:B141,"Бетон марки БМ-350")</f>
        <v>0</v>
      </c>
      <c r="F145" s="63"/>
      <c r="G145" s="12">
        <f>+F145*E145</f>
        <v>0</v>
      </c>
    </row>
    <row r="146" spans="1:7" ht="13.5" x14ac:dyDescent="0.25">
      <c r="A146" s="2"/>
      <c r="B146" s="4" t="s">
        <v>56</v>
      </c>
      <c r="C146" s="7" t="s">
        <v>11</v>
      </c>
      <c r="D146" s="11"/>
      <c r="E146" s="5">
        <f>E145</f>
        <v>0</v>
      </c>
      <c r="F146" s="63"/>
      <c r="G146" s="12">
        <f>+F146*E146</f>
        <v>0</v>
      </c>
    </row>
    <row r="147" spans="1:7" ht="13.5" x14ac:dyDescent="0.25">
      <c r="A147" s="2"/>
      <c r="B147" s="55" t="s">
        <v>8</v>
      </c>
      <c r="C147" s="56"/>
      <c r="D147" s="10"/>
      <c r="E147" s="10"/>
      <c r="F147" s="10"/>
      <c r="G147" s="12">
        <f>SUM(G143:G146)</f>
        <v>81018.557700763515</v>
      </c>
    </row>
    <row r="148" spans="1:7" ht="13.5" x14ac:dyDescent="0.25">
      <c r="A148" s="2"/>
      <c r="B148" s="55" t="s">
        <v>63</v>
      </c>
      <c r="C148" s="56"/>
      <c r="D148" s="10"/>
      <c r="E148" s="10"/>
      <c r="F148" s="10"/>
      <c r="G148" s="12">
        <f>G147*7%</f>
        <v>5671.2990390534469</v>
      </c>
    </row>
    <row r="149" spans="1:7" ht="13.5" x14ac:dyDescent="0.25">
      <c r="A149" s="2"/>
      <c r="B149" s="55" t="s">
        <v>31</v>
      </c>
      <c r="C149" s="56"/>
      <c r="D149" s="10"/>
      <c r="E149" s="10"/>
      <c r="F149" s="10"/>
      <c r="G149" s="12">
        <f>SUM(G147:G148)</f>
        <v>86689.856739816954</v>
      </c>
    </row>
    <row r="150" spans="1:7" x14ac:dyDescent="0.25">
      <c r="F150" s="40"/>
    </row>
    <row r="151" spans="1:7" x14ac:dyDescent="0.25">
      <c r="F151" s="40"/>
    </row>
    <row r="152" spans="1:7" x14ac:dyDescent="0.25">
      <c r="F152" s="40"/>
    </row>
    <row r="153" spans="1:7" ht="13.5" x14ac:dyDescent="0.25">
      <c r="A153" s="13"/>
      <c r="B153" s="106" t="s">
        <v>33</v>
      </c>
      <c r="C153" s="144" t="s">
        <v>35</v>
      </c>
      <c r="D153" s="144"/>
      <c r="E153" s="144"/>
      <c r="F153" s="144"/>
      <c r="G153" s="14"/>
    </row>
    <row r="154" spans="1:7" ht="13.5" x14ac:dyDescent="0.25">
      <c r="A154" s="13"/>
      <c r="B154" s="106"/>
      <c r="C154" s="106"/>
      <c r="D154" s="106"/>
      <c r="E154" s="106"/>
      <c r="F154" s="106"/>
      <c r="G154" s="14"/>
    </row>
    <row r="155" spans="1:7" ht="13.5" x14ac:dyDescent="0.25">
      <c r="A155" s="13"/>
      <c r="B155" s="106" t="s">
        <v>34</v>
      </c>
      <c r="C155" s="144" t="s">
        <v>36</v>
      </c>
      <c r="D155" s="144"/>
      <c r="E155" s="144"/>
      <c r="F155" s="144"/>
      <c r="G155" s="14"/>
    </row>
    <row r="156" spans="1:7" x14ac:dyDescent="0.25">
      <c r="F156" s="40"/>
    </row>
    <row r="157" spans="1:7" x14ac:dyDescent="0.25">
      <c r="F157" s="40"/>
    </row>
    <row r="158" spans="1:7" x14ac:dyDescent="0.25">
      <c r="F158" s="40"/>
    </row>
    <row r="166" spans="1:9" x14ac:dyDescent="0.25">
      <c r="A166" s="105"/>
      <c r="B166" s="19" t="s">
        <v>93</v>
      </c>
      <c r="C166" s="22" t="s">
        <v>12</v>
      </c>
      <c r="D166" s="69"/>
      <c r="E166" s="23">
        <f>SUMIFS($E$17:$E$134,$B$17:$B$134,B166)</f>
        <v>0</v>
      </c>
      <c r="F166" s="31">
        <v>6500</v>
      </c>
      <c r="G166" s="36">
        <f>E166*F166</f>
        <v>0</v>
      </c>
      <c r="H166" s="40">
        <f>SUMIFS($G$17:$G$134,$B$17:$B$134,B166)</f>
        <v>0</v>
      </c>
      <c r="I166" s="40">
        <f>G166-H166</f>
        <v>0</v>
      </c>
    </row>
    <row r="167" spans="1:9" x14ac:dyDescent="0.25">
      <c r="A167" s="105"/>
      <c r="B167" s="19" t="s">
        <v>65</v>
      </c>
      <c r="C167" s="22" t="s">
        <v>12</v>
      </c>
      <c r="D167" s="69"/>
      <c r="E167" s="23">
        <f t="shared" ref="E167:E195" si="13">SUMIFS($E$17:$E$134,$B$17:$B$134,B167)</f>
        <v>0.40700000000000003</v>
      </c>
      <c r="F167" s="31">
        <v>6500</v>
      </c>
      <c r="G167" s="36">
        <f t="shared" ref="G167:G195" si="14">E167*F167</f>
        <v>2645.5</v>
      </c>
      <c r="H167" s="40">
        <f t="shared" ref="H167:H195" si="15">SUMIFS($G$17:$G$134,$B$17:$B$134,B167)</f>
        <v>2645.5</v>
      </c>
      <c r="I167" s="40">
        <f t="shared" ref="I167:I195" si="16">G167-H167</f>
        <v>0</v>
      </c>
    </row>
    <row r="168" spans="1:9" x14ac:dyDescent="0.25">
      <c r="A168" s="105"/>
      <c r="B168" s="19" t="s">
        <v>87</v>
      </c>
      <c r="C168" s="22" t="s">
        <v>12</v>
      </c>
      <c r="D168" s="69"/>
      <c r="E168" s="23">
        <f t="shared" si="13"/>
        <v>4.0039999999999996</v>
      </c>
      <c r="F168" s="31">
        <v>6500</v>
      </c>
      <c r="G168" s="36">
        <f t="shared" si="14"/>
        <v>26025.999999999996</v>
      </c>
      <c r="H168" s="40">
        <f t="shared" si="15"/>
        <v>26026</v>
      </c>
      <c r="I168" s="40">
        <f t="shared" si="16"/>
        <v>0</v>
      </c>
    </row>
    <row r="169" spans="1:9" x14ac:dyDescent="0.25">
      <c r="A169" s="20"/>
      <c r="B169" s="19" t="s">
        <v>44</v>
      </c>
      <c r="C169" s="22" t="s">
        <v>12</v>
      </c>
      <c r="D169" s="69"/>
      <c r="E169" s="23">
        <f t="shared" si="13"/>
        <v>0.92399999999999993</v>
      </c>
      <c r="F169" s="31">
        <v>6500</v>
      </c>
      <c r="G169" s="36">
        <f t="shared" si="14"/>
        <v>6006</v>
      </c>
      <c r="H169" s="40">
        <f t="shared" si="15"/>
        <v>6006</v>
      </c>
      <c r="I169" s="40">
        <f t="shared" si="16"/>
        <v>0</v>
      </c>
    </row>
    <row r="170" spans="1:9" x14ac:dyDescent="0.25">
      <c r="A170" s="20"/>
      <c r="B170" s="19" t="s">
        <v>71</v>
      </c>
      <c r="C170" s="22" t="s">
        <v>12</v>
      </c>
      <c r="D170" s="69"/>
      <c r="E170" s="23">
        <f t="shared" si="13"/>
        <v>0</v>
      </c>
      <c r="F170" s="31">
        <v>6500</v>
      </c>
      <c r="G170" s="36">
        <f t="shared" si="14"/>
        <v>0</v>
      </c>
      <c r="H170" s="40">
        <f t="shared" si="15"/>
        <v>0</v>
      </c>
      <c r="I170" s="40">
        <f t="shared" si="16"/>
        <v>0</v>
      </c>
    </row>
    <row r="171" spans="1:9" x14ac:dyDescent="0.25">
      <c r="A171" s="2"/>
      <c r="B171" s="19" t="s">
        <v>83</v>
      </c>
      <c r="C171" s="22" t="s">
        <v>12</v>
      </c>
      <c r="D171" s="69"/>
      <c r="E171" s="23">
        <f t="shared" si="13"/>
        <v>0.81</v>
      </c>
      <c r="F171" s="31">
        <v>6500</v>
      </c>
      <c r="G171" s="36">
        <f t="shared" si="14"/>
        <v>5265</v>
      </c>
      <c r="H171" s="40">
        <f t="shared" si="15"/>
        <v>5265</v>
      </c>
      <c r="I171" s="40">
        <f t="shared" si="16"/>
        <v>0</v>
      </c>
    </row>
    <row r="172" spans="1:9" x14ac:dyDescent="0.25">
      <c r="A172" s="20"/>
      <c r="B172" s="19" t="s">
        <v>43</v>
      </c>
      <c r="C172" s="22" t="s">
        <v>12</v>
      </c>
      <c r="D172" s="69"/>
      <c r="E172" s="23">
        <f t="shared" si="13"/>
        <v>0.311</v>
      </c>
      <c r="F172" s="31">
        <v>6500</v>
      </c>
      <c r="G172" s="36">
        <f t="shared" si="14"/>
        <v>2021.5</v>
      </c>
      <c r="H172" s="40">
        <f t="shared" si="15"/>
        <v>2021.5</v>
      </c>
      <c r="I172" s="40">
        <f t="shared" si="16"/>
        <v>0</v>
      </c>
    </row>
    <row r="173" spans="1:9" x14ac:dyDescent="0.25">
      <c r="B173" s="19" t="s">
        <v>80</v>
      </c>
      <c r="C173" s="22" t="s">
        <v>12</v>
      </c>
      <c r="D173" s="69"/>
      <c r="E173" s="23">
        <f t="shared" si="13"/>
        <v>0</v>
      </c>
      <c r="F173" s="31">
        <v>6500</v>
      </c>
      <c r="G173" s="36">
        <f t="shared" si="14"/>
        <v>0</v>
      </c>
      <c r="H173" s="40">
        <f t="shared" si="15"/>
        <v>0</v>
      </c>
      <c r="I173" s="40">
        <f t="shared" si="16"/>
        <v>0</v>
      </c>
    </row>
    <row r="174" spans="1:9" x14ac:dyDescent="0.25">
      <c r="B174" s="19" t="s">
        <v>75</v>
      </c>
      <c r="C174" s="22" t="s">
        <v>12</v>
      </c>
      <c r="D174" s="69"/>
      <c r="E174" s="23">
        <f t="shared" si="13"/>
        <v>0</v>
      </c>
      <c r="F174" s="31">
        <v>6500</v>
      </c>
      <c r="G174" s="36">
        <f t="shared" si="14"/>
        <v>0</v>
      </c>
      <c r="H174" s="40">
        <f t="shared" si="15"/>
        <v>0</v>
      </c>
      <c r="I174" s="40">
        <f t="shared" si="16"/>
        <v>0</v>
      </c>
    </row>
    <row r="175" spans="1:9" x14ac:dyDescent="0.25">
      <c r="B175" s="19" t="s">
        <v>77</v>
      </c>
      <c r="C175" s="22" t="s">
        <v>12</v>
      </c>
      <c r="D175" s="69"/>
      <c r="E175" s="23">
        <f t="shared" si="13"/>
        <v>0</v>
      </c>
      <c r="F175" s="31">
        <v>6500</v>
      </c>
      <c r="G175" s="36">
        <f t="shared" si="14"/>
        <v>0</v>
      </c>
      <c r="H175" s="40">
        <f t="shared" si="15"/>
        <v>0</v>
      </c>
      <c r="I175" s="40">
        <f t="shared" si="16"/>
        <v>0</v>
      </c>
    </row>
    <row r="176" spans="1:9" x14ac:dyDescent="0.25">
      <c r="B176" s="19" t="s">
        <v>79</v>
      </c>
      <c r="C176" s="22" t="s">
        <v>12</v>
      </c>
      <c r="D176" s="69"/>
      <c r="E176" s="23">
        <f t="shared" si="13"/>
        <v>0</v>
      </c>
      <c r="F176" s="31">
        <v>6500</v>
      </c>
      <c r="G176" s="36">
        <f t="shared" si="14"/>
        <v>0</v>
      </c>
      <c r="H176" s="40">
        <f t="shared" si="15"/>
        <v>0</v>
      </c>
      <c r="I176" s="40">
        <f t="shared" si="16"/>
        <v>0</v>
      </c>
    </row>
    <row r="177" spans="2:9" x14ac:dyDescent="0.25">
      <c r="B177" s="19" t="s">
        <v>78</v>
      </c>
      <c r="C177" s="22" t="s">
        <v>12</v>
      </c>
      <c r="D177" s="69"/>
      <c r="E177" s="23">
        <f t="shared" si="13"/>
        <v>0</v>
      </c>
      <c r="F177" s="31">
        <v>6500</v>
      </c>
      <c r="G177" s="36">
        <f t="shared" ref="G177:G181" si="17">E177*F177</f>
        <v>0</v>
      </c>
      <c r="H177" s="40">
        <f t="shared" ref="H177:H181" si="18">SUMIFS($G$17:$G$134,$B$17:$B$134,B177)</f>
        <v>0</v>
      </c>
      <c r="I177" s="40">
        <f t="shared" ref="I177:I181" si="19">G177-H177</f>
        <v>0</v>
      </c>
    </row>
    <row r="178" spans="2:9" x14ac:dyDescent="0.25">
      <c r="B178" s="35" t="s">
        <v>119</v>
      </c>
      <c r="C178" s="8" t="s">
        <v>12</v>
      </c>
      <c r="D178" s="69"/>
      <c r="E178" s="23">
        <f t="shared" si="13"/>
        <v>3.5903999999999998E-2</v>
      </c>
      <c r="F178" s="31">
        <f>F131</f>
        <v>0</v>
      </c>
      <c r="G178" s="36">
        <f t="shared" si="17"/>
        <v>0</v>
      </c>
      <c r="H178" s="40">
        <f t="shared" si="18"/>
        <v>0</v>
      </c>
      <c r="I178" s="40">
        <f t="shared" si="19"/>
        <v>0</v>
      </c>
    </row>
    <row r="179" spans="2:9" x14ac:dyDescent="0.25">
      <c r="B179" s="19" t="s">
        <v>76</v>
      </c>
      <c r="C179" s="22" t="s">
        <v>11</v>
      </c>
      <c r="D179" s="69"/>
      <c r="E179" s="23">
        <f t="shared" si="13"/>
        <v>63.562800000000003</v>
      </c>
      <c r="F179" s="31"/>
      <c r="G179" s="36">
        <f t="shared" si="17"/>
        <v>0</v>
      </c>
      <c r="H179" s="40">
        <f t="shared" si="18"/>
        <v>0</v>
      </c>
      <c r="I179" s="40">
        <f t="shared" si="19"/>
        <v>0</v>
      </c>
    </row>
    <row r="180" spans="2:9" x14ac:dyDescent="0.25">
      <c r="B180" s="19" t="s">
        <v>50</v>
      </c>
      <c r="C180" s="22" t="s">
        <v>11</v>
      </c>
      <c r="D180" s="69"/>
      <c r="E180" s="23">
        <f t="shared" si="13"/>
        <v>0</v>
      </c>
      <c r="F180" s="31"/>
      <c r="G180" s="36">
        <f t="shared" si="17"/>
        <v>0</v>
      </c>
      <c r="H180" s="40">
        <f t="shared" si="18"/>
        <v>0</v>
      </c>
      <c r="I180" s="40">
        <f t="shared" si="19"/>
        <v>0</v>
      </c>
    </row>
    <row r="181" spans="2:9" x14ac:dyDescent="0.25">
      <c r="B181" s="21" t="s">
        <v>13</v>
      </c>
      <c r="C181" s="22" t="s">
        <v>12</v>
      </c>
      <c r="D181" s="69"/>
      <c r="E181" s="23">
        <f t="shared" si="13"/>
        <v>1.72842E-2</v>
      </c>
      <c r="F181" s="31">
        <v>8500</v>
      </c>
      <c r="G181" s="36">
        <f t="shared" si="17"/>
        <v>146.91569999999999</v>
      </c>
      <c r="H181" s="40">
        <f t="shared" si="18"/>
        <v>146.91570000000002</v>
      </c>
      <c r="I181" s="40">
        <f t="shared" si="19"/>
        <v>0</v>
      </c>
    </row>
    <row r="182" spans="2:9" x14ac:dyDescent="0.25">
      <c r="B182" s="19" t="s">
        <v>82</v>
      </c>
      <c r="C182" s="22" t="s">
        <v>11</v>
      </c>
      <c r="D182" s="69"/>
      <c r="E182" s="23">
        <f t="shared" si="13"/>
        <v>0.97340000000000004</v>
      </c>
      <c r="F182" s="31">
        <v>2563.75</v>
      </c>
      <c r="G182" s="36">
        <f t="shared" si="14"/>
        <v>2495.5542500000001</v>
      </c>
      <c r="H182" s="40">
        <f t="shared" si="15"/>
        <v>2495.5542500000001</v>
      </c>
      <c r="I182" s="40">
        <f t="shared" si="16"/>
        <v>0</v>
      </c>
    </row>
    <row r="183" spans="2:9" x14ac:dyDescent="0.25">
      <c r="B183" s="19" t="s">
        <v>103</v>
      </c>
      <c r="C183" s="22" t="s">
        <v>104</v>
      </c>
      <c r="D183" s="69"/>
      <c r="E183" s="23">
        <f t="shared" si="13"/>
        <v>0</v>
      </c>
      <c r="F183" s="31"/>
      <c r="G183" s="36">
        <f t="shared" si="14"/>
        <v>0</v>
      </c>
      <c r="H183" s="40">
        <f t="shared" si="15"/>
        <v>0</v>
      </c>
      <c r="I183" s="40">
        <f t="shared" si="16"/>
        <v>0</v>
      </c>
    </row>
    <row r="184" spans="2:9" x14ac:dyDescent="0.25">
      <c r="B184" s="19" t="s">
        <v>90</v>
      </c>
      <c r="C184" s="22" t="s">
        <v>64</v>
      </c>
      <c r="D184" s="69"/>
      <c r="E184" s="23">
        <f t="shared" si="13"/>
        <v>0</v>
      </c>
      <c r="F184" s="31"/>
      <c r="G184" s="36">
        <f t="shared" si="14"/>
        <v>0</v>
      </c>
      <c r="H184" s="40">
        <f t="shared" si="15"/>
        <v>0</v>
      </c>
      <c r="I184" s="40">
        <f t="shared" si="16"/>
        <v>0</v>
      </c>
    </row>
    <row r="185" spans="2:9" x14ac:dyDescent="0.25">
      <c r="B185" s="19" t="s">
        <v>91</v>
      </c>
      <c r="C185" s="22" t="s">
        <v>64</v>
      </c>
      <c r="D185" s="69"/>
      <c r="E185" s="23">
        <f t="shared" si="13"/>
        <v>0</v>
      </c>
      <c r="F185" s="31"/>
      <c r="G185" s="36">
        <f t="shared" si="14"/>
        <v>0</v>
      </c>
      <c r="H185" s="40">
        <f t="shared" si="15"/>
        <v>0</v>
      </c>
      <c r="I185" s="40">
        <f t="shared" si="16"/>
        <v>0</v>
      </c>
    </row>
    <row r="186" spans="2:9" x14ac:dyDescent="0.25">
      <c r="B186" s="19" t="s">
        <v>92</v>
      </c>
      <c r="C186" s="22" t="s">
        <v>64</v>
      </c>
      <c r="D186" s="69"/>
      <c r="E186" s="23">
        <f t="shared" si="13"/>
        <v>0</v>
      </c>
      <c r="F186" s="31"/>
      <c r="G186" s="36">
        <f t="shared" si="14"/>
        <v>0</v>
      </c>
      <c r="H186" s="40">
        <f t="shared" si="15"/>
        <v>0</v>
      </c>
      <c r="I186" s="40">
        <f t="shared" si="16"/>
        <v>0</v>
      </c>
    </row>
    <row r="187" spans="2:9" x14ac:dyDescent="0.25">
      <c r="B187" s="21" t="s">
        <v>29</v>
      </c>
      <c r="C187" s="22" t="s">
        <v>12</v>
      </c>
      <c r="D187" s="69"/>
      <c r="E187" s="23">
        <f t="shared" si="13"/>
        <v>46.181600000000003</v>
      </c>
      <c r="F187" s="31">
        <f>2449.06/159.17</f>
        <v>15.386442168750394</v>
      </c>
      <c r="G187" s="36">
        <f t="shared" si="14"/>
        <v>710.57051766036318</v>
      </c>
      <c r="H187" s="40">
        <f t="shared" si="15"/>
        <v>710.57051766036329</v>
      </c>
      <c r="I187" s="40">
        <f t="shared" si="16"/>
        <v>0</v>
      </c>
    </row>
    <row r="188" spans="2:9" x14ac:dyDescent="0.25">
      <c r="B188" s="21" t="s">
        <v>101</v>
      </c>
      <c r="C188" s="22" t="s">
        <v>12</v>
      </c>
      <c r="D188" s="69"/>
      <c r="E188" s="23">
        <f t="shared" si="13"/>
        <v>0</v>
      </c>
      <c r="F188" s="31"/>
      <c r="G188" s="36">
        <f t="shared" si="14"/>
        <v>0</v>
      </c>
      <c r="H188" s="40">
        <f t="shared" si="15"/>
        <v>0</v>
      </c>
      <c r="I188" s="40">
        <f t="shared" si="16"/>
        <v>0</v>
      </c>
    </row>
    <row r="189" spans="2:9" x14ac:dyDescent="0.25">
      <c r="B189" s="19" t="s">
        <v>25</v>
      </c>
      <c r="C189" s="22" t="s">
        <v>11</v>
      </c>
      <c r="D189" s="69"/>
      <c r="E189" s="23">
        <f t="shared" si="13"/>
        <v>0.20243300000000003</v>
      </c>
      <c r="F189" s="31">
        <v>2500</v>
      </c>
      <c r="G189" s="36">
        <f t="shared" si="14"/>
        <v>506.0825000000001</v>
      </c>
      <c r="H189" s="40">
        <f t="shared" si="15"/>
        <v>506.0825000000001</v>
      </c>
      <c r="I189" s="40">
        <f t="shared" si="16"/>
        <v>0</v>
      </c>
    </row>
    <row r="190" spans="2:9" x14ac:dyDescent="0.25">
      <c r="B190" s="19" t="s">
        <v>70</v>
      </c>
      <c r="C190" s="22" t="s">
        <v>12</v>
      </c>
      <c r="D190" s="69"/>
      <c r="E190" s="23">
        <f t="shared" si="13"/>
        <v>8.2000000000000007E-3</v>
      </c>
      <c r="F190" s="31">
        <v>5423.7330000000002</v>
      </c>
      <c r="G190" s="36">
        <f t="shared" si="14"/>
        <v>44.474610600000005</v>
      </c>
      <c r="H190" s="40">
        <f t="shared" si="15"/>
        <v>44.474610600000005</v>
      </c>
      <c r="I190" s="40">
        <f t="shared" si="16"/>
        <v>0</v>
      </c>
    </row>
    <row r="191" spans="2:9" x14ac:dyDescent="0.25">
      <c r="B191" s="21" t="s">
        <v>99</v>
      </c>
      <c r="C191" s="22" t="s">
        <v>12</v>
      </c>
      <c r="D191" s="69"/>
      <c r="E191" s="23">
        <f t="shared" si="13"/>
        <v>0</v>
      </c>
      <c r="F191" s="31"/>
      <c r="G191" s="36">
        <f t="shared" si="14"/>
        <v>0</v>
      </c>
      <c r="H191" s="40">
        <f t="shared" si="15"/>
        <v>0</v>
      </c>
      <c r="I191" s="40">
        <f t="shared" si="16"/>
        <v>0</v>
      </c>
    </row>
    <row r="192" spans="2:9" x14ac:dyDescent="0.25">
      <c r="B192" s="21" t="s">
        <v>72</v>
      </c>
      <c r="C192" s="22" t="s">
        <v>12</v>
      </c>
      <c r="D192" s="69"/>
      <c r="E192" s="23">
        <f t="shared" si="13"/>
        <v>23.467799999999997</v>
      </c>
      <c r="F192" s="31">
        <v>630</v>
      </c>
      <c r="G192" s="36">
        <f t="shared" si="14"/>
        <v>14784.713999999998</v>
      </c>
      <c r="H192" s="40">
        <f t="shared" si="15"/>
        <v>14784.714</v>
      </c>
      <c r="I192" s="40">
        <f t="shared" si="16"/>
        <v>0</v>
      </c>
    </row>
    <row r="193" spans="2:9" x14ac:dyDescent="0.25">
      <c r="B193" s="21" t="s">
        <v>28</v>
      </c>
      <c r="C193" s="22" t="s">
        <v>12</v>
      </c>
      <c r="D193" s="69"/>
      <c r="E193" s="23">
        <f t="shared" si="13"/>
        <v>81.360399999999998</v>
      </c>
      <c r="F193" s="31">
        <f>4991.72/392.53</f>
        <v>12.7167859781418</v>
      </c>
      <c r="G193" s="36">
        <f t="shared" si="14"/>
        <v>1034.642793896008</v>
      </c>
      <c r="H193" s="40">
        <f t="shared" si="15"/>
        <v>1034.642793896008</v>
      </c>
      <c r="I193" s="40">
        <f t="shared" si="16"/>
        <v>0</v>
      </c>
    </row>
    <row r="194" spans="2:9" x14ac:dyDescent="0.25">
      <c r="B194" s="19" t="s">
        <v>24</v>
      </c>
      <c r="C194" s="22" t="s">
        <v>14</v>
      </c>
      <c r="D194" s="69"/>
      <c r="E194" s="23">
        <f t="shared" si="13"/>
        <v>16.537300000000002</v>
      </c>
      <c r="F194" s="31"/>
      <c r="G194" s="36">
        <f t="shared" si="14"/>
        <v>0</v>
      </c>
      <c r="H194" s="40">
        <f t="shared" si="15"/>
        <v>0</v>
      </c>
      <c r="I194" s="40">
        <f t="shared" si="16"/>
        <v>0</v>
      </c>
    </row>
    <row r="195" spans="2:9" x14ac:dyDescent="0.25">
      <c r="B195" s="19" t="s">
        <v>39</v>
      </c>
      <c r="C195" s="22" t="s">
        <v>12</v>
      </c>
      <c r="D195" s="69"/>
      <c r="E195" s="23">
        <f t="shared" si="13"/>
        <v>1.7400000000000002E-2</v>
      </c>
      <c r="F195" s="31">
        <v>9500</v>
      </c>
      <c r="G195" s="36">
        <f t="shared" si="14"/>
        <v>165.3</v>
      </c>
      <c r="H195" s="40">
        <f t="shared" si="15"/>
        <v>165.29999999999998</v>
      </c>
      <c r="I195" s="40">
        <f t="shared" si="16"/>
        <v>0</v>
      </c>
    </row>
    <row r="196" spans="2:9" x14ac:dyDescent="0.25">
      <c r="G196" s="58">
        <f>SUM(G166:G195)</f>
        <v>61852.254372156378</v>
      </c>
    </row>
  </sheetData>
  <autoFilter ref="A15:G132">
    <filterColumn colId="3" showButton="0"/>
  </autoFilter>
  <mergeCells count="17">
    <mergeCell ref="C153:F153"/>
    <mergeCell ref="C155:F155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  <mergeCell ref="A10:G10"/>
    <mergeCell ref="E1:G1"/>
    <mergeCell ref="E3:G3"/>
    <mergeCell ref="E5:G5"/>
    <mergeCell ref="A6:E6"/>
    <mergeCell ref="A8:G8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54"/>
  <sheetViews>
    <sheetView view="pageBreakPreview" topLeftCell="A85" zoomScale="115" zoomScaleNormal="130" zoomScaleSheetLayoutView="115" workbookViewId="0">
      <selection activeCell="E36" sqref="E36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133"/>
      <c r="C7" s="133"/>
      <c r="D7" s="132"/>
      <c r="E7" s="132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130"/>
      <c r="B9" s="48"/>
      <c r="C9" s="130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130"/>
      <c r="B11" s="145" t="s">
        <v>181</v>
      </c>
      <c r="C11" s="145"/>
      <c r="D11" s="145"/>
      <c r="E11" s="145"/>
      <c r="F11" s="145"/>
      <c r="G11" s="145"/>
    </row>
    <row r="12" spans="1:7" ht="20.25" x14ac:dyDescent="0.25">
      <c r="A12" s="146" t="s">
        <v>182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183</v>
      </c>
      <c r="B13" s="148"/>
      <c r="C13" s="148"/>
      <c r="D13" s="148"/>
      <c r="E13" s="148"/>
      <c r="F13" s="149"/>
      <c r="G13" s="148"/>
    </row>
    <row r="14" spans="1:7" ht="13.5" x14ac:dyDescent="0.25">
      <c r="A14" s="130"/>
      <c r="B14" s="130"/>
      <c r="C14" s="130"/>
      <c r="D14" s="130"/>
      <c r="E14" s="130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131" t="s">
        <v>5</v>
      </c>
      <c r="E16" s="131" t="s">
        <v>6</v>
      </c>
      <c r="F16" s="150"/>
      <c r="G16" s="150"/>
    </row>
    <row r="17" spans="1:7" s="51" customFormat="1" ht="27" x14ac:dyDescent="0.25">
      <c r="A17" s="15" t="s">
        <v>45</v>
      </c>
      <c r="B17" s="16" t="s">
        <v>186</v>
      </c>
      <c r="C17" s="17" t="s">
        <v>20</v>
      </c>
      <c r="D17" s="18"/>
      <c r="E17" s="30">
        <f>5.4*0.4*0.4/100</f>
        <v>8.6400000000000018E-3</v>
      </c>
      <c r="F17" s="30"/>
      <c r="G17" s="19"/>
    </row>
    <row r="18" spans="1:7" s="51" customFormat="1" x14ac:dyDescent="0.25">
      <c r="A18" s="20">
        <v>1</v>
      </c>
      <c r="B18" s="21" t="s">
        <v>46</v>
      </c>
      <c r="C18" s="22" t="s">
        <v>7</v>
      </c>
      <c r="D18" s="18">
        <v>1569.4</v>
      </c>
      <c r="E18" s="23">
        <f>ROUND(D18*E17,4)</f>
        <v>13.5596</v>
      </c>
      <c r="F18" s="31">
        <v>10.46</v>
      </c>
      <c r="G18" s="24">
        <f t="shared" ref="G18:G30" si="0">F18*E18</f>
        <v>141.833416</v>
      </c>
    </row>
    <row r="19" spans="1:7" s="51" customFormat="1" x14ac:dyDescent="0.25">
      <c r="A19" s="20">
        <v>2</v>
      </c>
      <c r="B19" s="21" t="s">
        <v>18</v>
      </c>
      <c r="C19" s="22" t="s">
        <v>7</v>
      </c>
      <c r="D19" s="18">
        <v>93.3</v>
      </c>
      <c r="E19" s="23">
        <f>ROUND(D19*E17,4)</f>
        <v>0.80610000000000004</v>
      </c>
      <c r="F19" s="31">
        <v>15.44</v>
      </c>
      <c r="G19" s="24">
        <f t="shared" si="0"/>
        <v>12.446184000000001</v>
      </c>
    </row>
    <row r="20" spans="1:7" s="51" customFormat="1" ht="25.5" x14ac:dyDescent="0.25">
      <c r="A20" s="20" t="s">
        <v>40</v>
      </c>
      <c r="B20" s="19" t="s">
        <v>47</v>
      </c>
      <c r="C20" s="22" t="s">
        <v>19</v>
      </c>
      <c r="D20" s="18">
        <v>93.3</v>
      </c>
      <c r="E20" s="23">
        <f>ROUND(D20*E17,4)</f>
        <v>0.80610000000000004</v>
      </c>
      <c r="F20" s="31">
        <f>152.37-15.44</f>
        <v>136.93</v>
      </c>
      <c r="G20" s="24">
        <f t="shared" si="0"/>
        <v>110.37927300000001</v>
      </c>
    </row>
    <row r="21" spans="1:7" s="51" customFormat="1" x14ac:dyDescent="0.25">
      <c r="A21" s="20" t="s">
        <v>41</v>
      </c>
      <c r="B21" s="21" t="s">
        <v>38</v>
      </c>
      <c r="C21" s="22" t="s">
        <v>19</v>
      </c>
      <c r="D21" s="18">
        <v>124.95</v>
      </c>
      <c r="E21" s="23">
        <f>ROUND(D21*E17,4)</f>
        <v>1.0795999999999999</v>
      </c>
      <c r="F21" s="31">
        <v>8.4600000000000009</v>
      </c>
      <c r="G21" s="24">
        <f t="shared" si="0"/>
        <v>9.1334160000000004</v>
      </c>
    </row>
    <row r="22" spans="1:7" s="51" customFormat="1" x14ac:dyDescent="0.25">
      <c r="A22" s="20">
        <v>111100</v>
      </c>
      <c r="B22" s="19" t="s">
        <v>27</v>
      </c>
      <c r="C22" s="22" t="s">
        <v>19</v>
      </c>
      <c r="D22" s="18">
        <v>61.88</v>
      </c>
      <c r="E22" s="23">
        <f>ROUND(D22*E17,4)</f>
        <v>0.53459999999999996</v>
      </c>
      <c r="F22" s="31">
        <v>2.83</v>
      </c>
      <c r="G22" s="24">
        <f t="shared" si="0"/>
        <v>1.512918</v>
      </c>
    </row>
    <row r="23" spans="1:7" s="51" customFormat="1" x14ac:dyDescent="0.25">
      <c r="A23" s="20">
        <v>331532</v>
      </c>
      <c r="B23" s="19" t="s">
        <v>26</v>
      </c>
      <c r="C23" s="22" t="s">
        <v>19</v>
      </c>
      <c r="D23" s="18">
        <v>1.9</v>
      </c>
      <c r="E23" s="23">
        <f>ROUND(D23*E17,4)</f>
        <v>1.6400000000000001E-2</v>
      </c>
      <c r="F23" s="31">
        <v>1.63</v>
      </c>
      <c r="G23" s="24">
        <f t="shared" si="0"/>
        <v>2.6731999999999999E-2</v>
      </c>
    </row>
    <row r="24" spans="1:7" s="51" customFormat="1" x14ac:dyDescent="0.25">
      <c r="A24" s="20" t="s">
        <v>48</v>
      </c>
      <c r="B24" s="19" t="s">
        <v>39</v>
      </c>
      <c r="C24" s="22" t="s">
        <v>12</v>
      </c>
      <c r="D24" s="18">
        <v>0.15</v>
      </c>
      <c r="E24" s="23">
        <f>ROUND(D24*E17,4)</f>
        <v>1.2999999999999999E-3</v>
      </c>
      <c r="F24" s="31">
        <v>9500</v>
      </c>
      <c r="G24" s="24">
        <f t="shared" si="0"/>
        <v>12.35</v>
      </c>
    </row>
    <row r="25" spans="1:7" s="51" customFormat="1" x14ac:dyDescent="0.25">
      <c r="A25" s="20" t="s">
        <v>74</v>
      </c>
      <c r="B25" s="19" t="s">
        <v>25</v>
      </c>
      <c r="C25" s="22" t="s">
        <v>11</v>
      </c>
      <c r="D25" s="18">
        <v>1.7</v>
      </c>
      <c r="E25" s="23">
        <f>ROUND(D25*E17,4)</f>
        <v>1.47E-2</v>
      </c>
      <c r="F25" s="31">
        <v>2500</v>
      </c>
      <c r="G25" s="24">
        <f t="shared" si="0"/>
        <v>36.75</v>
      </c>
    </row>
    <row r="26" spans="1:7" s="51" customFormat="1" x14ac:dyDescent="0.25">
      <c r="A26" s="20" t="s">
        <v>49</v>
      </c>
      <c r="B26" s="19" t="s">
        <v>50</v>
      </c>
      <c r="C26" s="22" t="s">
        <v>11</v>
      </c>
      <c r="D26" s="18">
        <v>0.25</v>
      </c>
      <c r="E26" s="23">
        <f>ROUND(D26*E17,4)</f>
        <v>2.2000000000000001E-3</v>
      </c>
      <c r="F26" s="31">
        <v>2000</v>
      </c>
      <c r="G26" s="24">
        <f t="shared" si="0"/>
        <v>4.4000000000000004</v>
      </c>
    </row>
    <row r="27" spans="1:7" s="51" customFormat="1" x14ac:dyDescent="0.25">
      <c r="A27" s="20" t="s">
        <v>22</v>
      </c>
      <c r="B27" s="19" t="s">
        <v>24</v>
      </c>
      <c r="C27" s="22" t="s">
        <v>14</v>
      </c>
      <c r="D27" s="18">
        <v>135</v>
      </c>
      <c r="E27" s="23">
        <f>ROUND(D27*E17,4)</f>
        <v>1.1664000000000001</v>
      </c>
      <c r="F27" s="24"/>
      <c r="G27" s="24">
        <f t="shared" si="0"/>
        <v>0</v>
      </c>
    </row>
    <row r="28" spans="1:7" s="51" customFormat="1" x14ac:dyDescent="0.25">
      <c r="A28" s="20" t="s">
        <v>16</v>
      </c>
      <c r="B28" s="19" t="s">
        <v>77</v>
      </c>
      <c r="C28" s="22" t="s">
        <v>12</v>
      </c>
      <c r="D28" s="18" t="s">
        <v>17</v>
      </c>
      <c r="E28" s="23">
        <f>553/1000</f>
        <v>0.55300000000000005</v>
      </c>
      <c r="F28" s="31">
        <v>6500</v>
      </c>
      <c r="G28" s="24">
        <f t="shared" si="0"/>
        <v>3594.5000000000005</v>
      </c>
    </row>
    <row r="29" spans="1:7" s="51" customFormat="1" x14ac:dyDescent="0.25">
      <c r="A29" s="20" t="s">
        <v>16</v>
      </c>
      <c r="B29" s="19" t="s">
        <v>75</v>
      </c>
      <c r="C29" s="22" t="s">
        <v>12</v>
      </c>
      <c r="D29" s="18" t="s">
        <v>17</v>
      </c>
      <c r="E29" s="23">
        <f>602/1000</f>
        <v>0.60199999999999998</v>
      </c>
      <c r="F29" s="31">
        <v>6500</v>
      </c>
      <c r="G29" s="24">
        <f t="shared" si="0"/>
        <v>3913</v>
      </c>
    </row>
    <row r="30" spans="1:7" s="51" customFormat="1" x14ac:dyDescent="0.25">
      <c r="A30" s="20" t="s">
        <v>16</v>
      </c>
      <c r="B30" s="19" t="s">
        <v>65</v>
      </c>
      <c r="C30" s="22" t="s">
        <v>12</v>
      </c>
      <c r="D30" s="18" t="s">
        <v>17</v>
      </c>
      <c r="E30" s="23">
        <f>228/1000</f>
        <v>0.22800000000000001</v>
      </c>
      <c r="F30" s="31">
        <v>6500</v>
      </c>
      <c r="G30" s="24">
        <f t="shared" si="0"/>
        <v>1482</v>
      </c>
    </row>
    <row r="31" spans="1:7" s="51" customFormat="1" x14ac:dyDescent="0.25">
      <c r="A31" s="20" t="s">
        <v>23</v>
      </c>
      <c r="B31" s="19" t="s">
        <v>76</v>
      </c>
      <c r="C31" s="22" t="s">
        <v>11</v>
      </c>
      <c r="D31" s="18">
        <v>100</v>
      </c>
      <c r="E31" s="23">
        <f>ROUND(D31*E17,4)</f>
        <v>0.86399999999999999</v>
      </c>
      <c r="F31" s="24"/>
      <c r="G31" s="24"/>
    </row>
    <row r="32" spans="1:7" s="51" customFormat="1" x14ac:dyDescent="0.25">
      <c r="A32" s="20"/>
      <c r="B32" s="32" t="s">
        <v>72</v>
      </c>
      <c r="C32" s="22" t="s">
        <v>12</v>
      </c>
      <c r="D32" s="18">
        <v>0.38200000000000001</v>
      </c>
      <c r="E32" s="23">
        <f>ROUND(D32*E31,4)</f>
        <v>0.33</v>
      </c>
      <c r="F32" s="31">
        <v>630</v>
      </c>
      <c r="G32" s="24">
        <f t="shared" ref="G32:G34" si="1">F32*E32</f>
        <v>207.9</v>
      </c>
    </row>
    <row r="33" spans="1:8" s="51" customFormat="1" x14ac:dyDescent="0.25">
      <c r="A33" s="20"/>
      <c r="B33" s="32" t="s">
        <v>29</v>
      </c>
      <c r="C33" s="22" t="s">
        <v>12</v>
      </c>
      <c r="D33" s="18">
        <f>47/100*1.52</f>
        <v>0.71439999999999992</v>
      </c>
      <c r="E33" s="23">
        <f>ROUND(D33*E31,4)</f>
        <v>0.61719999999999997</v>
      </c>
      <c r="F33" s="31">
        <f>2449.06/159.17</f>
        <v>15.386442168750394</v>
      </c>
      <c r="G33" s="24">
        <f t="shared" si="1"/>
        <v>9.4965121065527427</v>
      </c>
    </row>
    <row r="34" spans="1:8" s="51" customFormat="1" x14ac:dyDescent="0.25">
      <c r="A34" s="20"/>
      <c r="B34" s="32" t="s">
        <v>28</v>
      </c>
      <c r="C34" s="22" t="s">
        <v>12</v>
      </c>
      <c r="D34" s="18">
        <f>80/100*1.6</f>
        <v>1.2800000000000002</v>
      </c>
      <c r="E34" s="23">
        <f>ROUND(D34*E31,4)</f>
        <v>1.1059000000000001</v>
      </c>
      <c r="F34" s="31">
        <f>4991.72/392.53</f>
        <v>12.7167859781418</v>
      </c>
      <c r="G34" s="24">
        <f t="shared" si="1"/>
        <v>14.063493613227019</v>
      </c>
    </row>
    <row r="35" spans="1:8" s="51" customFormat="1" ht="13.5" x14ac:dyDescent="0.25">
      <c r="A35" s="15"/>
      <c r="B35" s="25" t="s">
        <v>8</v>
      </c>
      <c r="C35" s="17"/>
      <c r="D35" s="26"/>
      <c r="E35" s="27"/>
      <c r="F35" s="28"/>
      <c r="G35" s="29">
        <f>SUM(G18:G34)</f>
        <v>9549.7919447197783</v>
      </c>
    </row>
    <row r="36" spans="1:8" s="51" customFormat="1" ht="27" x14ac:dyDescent="0.25">
      <c r="A36" s="3" t="s">
        <v>138</v>
      </c>
      <c r="B36" s="33" t="s">
        <v>139</v>
      </c>
      <c r="C36" s="7" t="s">
        <v>20</v>
      </c>
      <c r="D36" s="34"/>
      <c r="E36" s="81">
        <f>52.4/100</f>
        <v>0.52400000000000002</v>
      </c>
      <c r="F36" s="82"/>
      <c r="G36" s="33"/>
    </row>
    <row r="37" spans="1:8" s="51" customFormat="1" x14ac:dyDescent="0.25">
      <c r="A37" s="2">
        <v>1</v>
      </c>
      <c r="B37" s="1" t="s">
        <v>46</v>
      </c>
      <c r="C37" s="8" t="s">
        <v>7</v>
      </c>
      <c r="D37" s="6">
        <v>1051.83</v>
      </c>
      <c r="E37" s="9">
        <f>D37*E36</f>
        <v>551.15891999999997</v>
      </c>
      <c r="F37" s="83">
        <v>10.46</v>
      </c>
      <c r="G37" s="36">
        <f t="shared" ref="G37:G48" si="2">F37*E37</f>
        <v>5765.1223031999998</v>
      </c>
    </row>
    <row r="38" spans="1:8" s="51" customFormat="1" x14ac:dyDescent="0.25">
      <c r="A38" s="2">
        <v>2</v>
      </c>
      <c r="B38" s="1" t="s">
        <v>18</v>
      </c>
      <c r="C38" s="8" t="s">
        <v>7</v>
      </c>
      <c r="D38" s="6">
        <v>41.58</v>
      </c>
      <c r="E38" s="9">
        <f>D38*E36</f>
        <v>21.78792</v>
      </c>
      <c r="F38" s="31">
        <v>15.44</v>
      </c>
      <c r="G38" s="36">
        <f t="shared" si="2"/>
        <v>336.40548480000001</v>
      </c>
    </row>
    <row r="39" spans="1:8" s="51" customFormat="1" ht="25.5" x14ac:dyDescent="0.25">
      <c r="A39" s="2" t="s">
        <v>40</v>
      </c>
      <c r="B39" s="35" t="s">
        <v>47</v>
      </c>
      <c r="C39" s="8" t="s">
        <v>19</v>
      </c>
      <c r="D39" s="6">
        <v>34.99</v>
      </c>
      <c r="E39" s="9">
        <f>D39*E36</f>
        <v>18.334760000000003</v>
      </c>
      <c r="F39" s="31">
        <f>124.64-14.84</f>
        <v>109.8</v>
      </c>
      <c r="G39" s="36">
        <f t="shared" si="2"/>
        <v>2013.1566480000004</v>
      </c>
    </row>
    <row r="40" spans="1:8" s="51" customFormat="1" x14ac:dyDescent="0.25">
      <c r="A40" s="2" t="s">
        <v>41</v>
      </c>
      <c r="B40" s="1" t="s">
        <v>38</v>
      </c>
      <c r="C40" s="8" t="s">
        <v>19</v>
      </c>
      <c r="D40" s="6">
        <v>83.3</v>
      </c>
      <c r="E40" s="9">
        <f>D40*E36</f>
        <v>43.6492</v>
      </c>
      <c r="F40" s="31">
        <v>7.47</v>
      </c>
      <c r="G40" s="36">
        <f t="shared" si="2"/>
        <v>326.05952400000001</v>
      </c>
    </row>
    <row r="41" spans="1:8" s="51" customFormat="1" x14ac:dyDescent="0.25">
      <c r="A41" s="2">
        <v>111100</v>
      </c>
      <c r="B41" s="35" t="s">
        <v>27</v>
      </c>
      <c r="C41" s="8" t="s">
        <v>19</v>
      </c>
      <c r="D41" s="6">
        <v>53.55</v>
      </c>
      <c r="E41" s="9">
        <f>D41*E36</f>
        <v>28.060199999999998</v>
      </c>
      <c r="F41" s="31">
        <v>2.5</v>
      </c>
      <c r="G41" s="36">
        <f t="shared" si="2"/>
        <v>70.150499999999994</v>
      </c>
    </row>
    <row r="42" spans="1:8" s="51" customFormat="1" x14ac:dyDescent="0.25">
      <c r="A42" s="2">
        <v>331532</v>
      </c>
      <c r="B42" s="35" t="s">
        <v>26</v>
      </c>
      <c r="C42" s="8" t="s">
        <v>19</v>
      </c>
      <c r="D42" s="6">
        <v>1.84</v>
      </c>
      <c r="E42" s="9">
        <f>D42*E36</f>
        <v>0.96416000000000013</v>
      </c>
      <c r="F42" s="31">
        <v>1.63</v>
      </c>
      <c r="G42" s="36">
        <f t="shared" si="2"/>
        <v>1.5715808</v>
      </c>
    </row>
    <row r="43" spans="1:8" s="51" customFormat="1" x14ac:dyDescent="0.25">
      <c r="A43" s="2" t="s">
        <v>15</v>
      </c>
      <c r="B43" s="1" t="s">
        <v>13</v>
      </c>
      <c r="C43" s="8" t="s">
        <v>12</v>
      </c>
      <c r="D43" s="6">
        <v>8.5999999999999993E-2</v>
      </c>
      <c r="E43" s="9">
        <f>D43*E36</f>
        <v>4.5064E-2</v>
      </c>
      <c r="F43" s="31">
        <v>8500</v>
      </c>
      <c r="G43" s="36">
        <f t="shared" si="2"/>
        <v>383.04399999999998</v>
      </c>
    </row>
    <row r="44" spans="1:8" s="51" customFormat="1" x14ac:dyDescent="0.25">
      <c r="A44" s="2" t="s">
        <v>21</v>
      </c>
      <c r="B44" s="1" t="s">
        <v>25</v>
      </c>
      <c r="C44" s="8" t="s">
        <v>11</v>
      </c>
      <c r="D44" s="6">
        <v>2.39</v>
      </c>
      <c r="E44" s="9">
        <f>D44*E36</f>
        <v>1.2523600000000001</v>
      </c>
      <c r="F44" s="31">
        <v>2500</v>
      </c>
      <c r="G44" s="36">
        <f t="shared" si="2"/>
        <v>3130.9000000000005</v>
      </c>
    </row>
    <row r="45" spans="1:8" s="51" customFormat="1" x14ac:dyDescent="0.25">
      <c r="A45" s="2" t="s">
        <v>22</v>
      </c>
      <c r="B45" s="35" t="s">
        <v>24</v>
      </c>
      <c r="C45" s="8" t="s">
        <v>14</v>
      </c>
      <c r="D45" s="6">
        <v>103</v>
      </c>
      <c r="E45" s="9">
        <f>D45*E36</f>
        <v>53.972000000000001</v>
      </c>
      <c r="F45" s="83"/>
      <c r="G45" s="36">
        <f t="shared" si="2"/>
        <v>0</v>
      </c>
    </row>
    <row r="46" spans="1:8" s="51" customFormat="1" x14ac:dyDescent="0.25">
      <c r="A46" s="2" t="s">
        <v>16</v>
      </c>
      <c r="B46" s="35" t="s">
        <v>71</v>
      </c>
      <c r="C46" s="8" t="s">
        <v>12</v>
      </c>
      <c r="D46" s="6" t="s">
        <v>17</v>
      </c>
      <c r="E46" s="9">
        <f>311/1000</f>
        <v>0.311</v>
      </c>
      <c r="F46" s="31">
        <v>6500</v>
      </c>
      <c r="G46" s="36">
        <f t="shared" si="2"/>
        <v>2021.5</v>
      </c>
    </row>
    <row r="47" spans="1:8" s="51" customFormat="1" x14ac:dyDescent="0.25">
      <c r="A47" s="2" t="s">
        <v>16</v>
      </c>
      <c r="B47" s="35" t="s">
        <v>44</v>
      </c>
      <c r="C47" s="8" t="s">
        <v>12</v>
      </c>
      <c r="D47" s="6" t="s">
        <v>17</v>
      </c>
      <c r="E47" s="9">
        <f>1081/1000</f>
        <v>1.081</v>
      </c>
      <c r="F47" s="31">
        <v>6500</v>
      </c>
      <c r="G47" s="36">
        <f t="shared" ref="G47" si="3">F47*E47</f>
        <v>7026.5</v>
      </c>
    </row>
    <row r="48" spans="1:8" s="51" customFormat="1" x14ac:dyDescent="0.25">
      <c r="A48" s="2" t="s">
        <v>16</v>
      </c>
      <c r="B48" s="35" t="s">
        <v>87</v>
      </c>
      <c r="C48" s="8" t="s">
        <v>12</v>
      </c>
      <c r="D48" s="6" t="s">
        <v>17</v>
      </c>
      <c r="E48" s="9">
        <f>900/1000</f>
        <v>0.9</v>
      </c>
      <c r="F48" s="31">
        <v>6500</v>
      </c>
      <c r="G48" s="36">
        <f t="shared" si="2"/>
        <v>5850</v>
      </c>
      <c r="H48" s="75"/>
    </row>
    <row r="49" spans="1:8" s="51" customFormat="1" x14ac:dyDescent="0.25">
      <c r="A49" s="20" t="s">
        <v>23</v>
      </c>
      <c r="B49" s="19" t="s">
        <v>137</v>
      </c>
      <c r="C49" s="22" t="s">
        <v>11</v>
      </c>
      <c r="D49" s="18">
        <v>100</v>
      </c>
      <c r="E49" s="23">
        <f>ROUND(D49*E36,4)</f>
        <v>52.4</v>
      </c>
      <c r="F49" s="31"/>
      <c r="G49" s="24"/>
      <c r="H49" s="75"/>
    </row>
    <row r="50" spans="1:8" s="51" customFormat="1" x14ac:dyDescent="0.25">
      <c r="A50" s="20"/>
      <c r="B50" s="32" t="s">
        <v>72</v>
      </c>
      <c r="C50" s="22" t="s">
        <v>12</v>
      </c>
      <c r="D50" s="18">
        <v>0.28599999999999998</v>
      </c>
      <c r="E50" s="23">
        <f>ROUND(D50*E49,4)</f>
        <v>14.9864</v>
      </c>
      <c r="F50" s="31">
        <v>630</v>
      </c>
      <c r="G50" s="24">
        <f t="shared" ref="G50:G52" si="4">F50*E50</f>
        <v>9441.4320000000007</v>
      </c>
      <c r="H50" s="75"/>
    </row>
    <row r="51" spans="1:8" s="51" customFormat="1" x14ac:dyDescent="0.25">
      <c r="A51" s="20"/>
      <c r="B51" s="32" t="s">
        <v>29</v>
      </c>
      <c r="C51" s="22" t="s">
        <v>12</v>
      </c>
      <c r="D51" s="18">
        <f>53/100*1.52</f>
        <v>0.80560000000000009</v>
      </c>
      <c r="E51" s="23">
        <f>ROUND(D51*E49,4)</f>
        <v>42.2134</v>
      </c>
      <c r="F51" s="31">
        <f>2449.06/159.17</f>
        <v>15.386442168750394</v>
      </c>
      <c r="G51" s="24">
        <f t="shared" si="4"/>
        <v>649.51403784632782</v>
      </c>
      <c r="H51" s="75"/>
    </row>
    <row r="52" spans="1:8" s="51" customFormat="1" x14ac:dyDescent="0.25">
      <c r="A52" s="20"/>
      <c r="B52" s="32" t="s">
        <v>28</v>
      </c>
      <c r="C52" s="22" t="s">
        <v>12</v>
      </c>
      <c r="D52" s="18">
        <f>80/100*1.6</f>
        <v>1.2800000000000002</v>
      </c>
      <c r="E52" s="23">
        <f>ROUND(D52*E49,4)</f>
        <v>67.072000000000003</v>
      </c>
      <c r="F52" s="31">
        <f>4991.72/392.53</f>
        <v>12.7167859781418</v>
      </c>
      <c r="G52" s="24">
        <f t="shared" si="4"/>
        <v>852.94026912592687</v>
      </c>
      <c r="H52" s="75"/>
    </row>
    <row r="53" spans="1:8" s="51" customFormat="1" ht="13.5" x14ac:dyDescent="0.25">
      <c r="A53" s="15"/>
      <c r="B53" s="25" t="s">
        <v>8</v>
      </c>
      <c r="C53" s="17"/>
      <c r="D53" s="26"/>
      <c r="E53" s="27"/>
      <c r="F53" s="28"/>
      <c r="G53" s="29">
        <f>SUM(G37:G52)</f>
        <v>37868.296347772251</v>
      </c>
    </row>
    <row r="54" spans="1:8" s="51" customFormat="1" ht="27" x14ac:dyDescent="0.25">
      <c r="A54" s="15" t="s">
        <v>73</v>
      </c>
      <c r="B54" s="16" t="s">
        <v>184</v>
      </c>
      <c r="C54" s="17" t="s">
        <v>20</v>
      </c>
      <c r="D54" s="18"/>
      <c r="E54" s="17">
        <f>9.7/100</f>
        <v>9.6999999999999989E-2</v>
      </c>
      <c r="F54" s="24"/>
      <c r="G54" s="24"/>
    </row>
    <row r="55" spans="1:8" s="51" customFormat="1" x14ac:dyDescent="0.25">
      <c r="A55" s="20">
        <v>1</v>
      </c>
      <c r="B55" s="21" t="s">
        <v>46</v>
      </c>
      <c r="C55" s="22" t="s">
        <v>7</v>
      </c>
      <c r="D55" s="18">
        <v>763.46</v>
      </c>
      <c r="E55" s="23">
        <f>ROUND(D55*E54,4)</f>
        <v>74.055599999999998</v>
      </c>
      <c r="F55" s="31">
        <v>10.46</v>
      </c>
      <c r="G55" s="24">
        <f t="shared" ref="G55:G66" si="5">F55*E55</f>
        <v>774.621576</v>
      </c>
    </row>
    <row r="56" spans="1:8" s="51" customFormat="1" x14ac:dyDescent="0.25">
      <c r="A56" s="20">
        <v>2</v>
      </c>
      <c r="B56" s="21" t="s">
        <v>18</v>
      </c>
      <c r="C56" s="22" t="s">
        <v>7</v>
      </c>
      <c r="D56" s="18">
        <v>70.45</v>
      </c>
      <c r="E56" s="23">
        <f>ROUND(D56*E54,4)</f>
        <v>6.8337000000000003</v>
      </c>
      <c r="F56" s="31">
        <v>15.44</v>
      </c>
      <c r="G56" s="24">
        <f t="shared" si="5"/>
        <v>105.512328</v>
      </c>
    </row>
    <row r="57" spans="1:8" s="51" customFormat="1" ht="25.5" x14ac:dyDescent="0.25">
      <c r="A57" s="20" t="s">
        <v>40</v>
      </c>
      <c r="B57" s="19" t="s">
        <v>47</v>
      </c>
      <c r="C57" s="22" t="s">
        <v>19</v>
      </c>
      <c r="D57" s="18">
        <v>70.45</v>
      </c>
      <c r="E57" s="23">
        <f>ROUND(D57*E54,4)</f>
        <v>6.8337000000000003</v>
      </c>
      <c r="F57" s="31">
        <f>152.37-15.44</f>
        <v>136.93</v>
      </c>
      <c r="G57" s="24">
        <f t="shared" si="5"/>
        <v>935.73854100000005</v>
      </c>
    </row>
    <row r="58" spans="1:8" x14ac:dyDescent="0.25">
      <c r="A58" s="20" t="s">
        <v>41</v>
      </c>
      <c r="B58" s="21" t="s">
        <v>38</v>
      </c>
      <c r="C58" s="22" t="s">
        <v>19</v>
      </c>
      <c r="D58" s="18">
        <v>124.95</v>
      </c>
      <c r="E58" s="23">
        <f>ROUND(D58*E54,4)</f>
        <v>12.120200000000001</v>
      </c>
      <c r="F58" s="31">
        <v>8.4600000000000009</v>
      </c>
      <c r="G58" s="24">
        <f t="shared" si="5"/>
        <v>102.53689200000001</v>
      </c>
    </row>
    <row r="59" spans="1:8" x14ac:dyDescent="0.25">
      <c r="A59" s="20">
        <v>111100</v>
      </c>
      <c r="B59" s="19" t="s">
        <v>27</v>
      </c>
      <c r="C59" s="22" t="s">
        <v>19</v>
      </c>
      <c r="D59" s="18">
        <v>30.11</v>
      </c>
      <c r="E59" s="23">
        <f>ROUND(D59*E54,4)</f>
        <v>2.9207000000000001</v>
      </c>
      <c r="F59" s="31">
        <v>2.83</v>
      </c>
      <c r="G59" s="24">
        <f t="shared" si="5"/>
        <v>8.265581000000001</v>
      </c>
    </row>
    <row r="60" spans="1:8" x14ac:dyDescent="0.25">
      <c r="A60" s="20">
        <v>331532</v>
      </c>
      <c r="B60" s="19" t="s">
        <v>26</v>
      </c>
      <c r="C60" s="22" t="s">
        <v>19</v>
      </c>
      <c r="D60" s="18">
        <v>0.7</v>
      </c>
      <c r="E60" s="23">
        <f>ROUND(D60*E54,4)</f>
        <v>6.7900000000000002E-2</v>
      </c>
      <c r="F60" s="31">
        <v>1.63</v>
      </c>
      <c r="G60" s="24">
        <f t="shared" si="5"/>
        <v>0.110677</v>
      </c>
    </row>
    <row r="61" spans="1:8" x14ac:dyDescent="0.25">
      <c r="A61" s="20" t="s">
        <v>48</v>
      </c>
      <c r="B61" s="19" t="s">
        <v>39</v>
      </c>
      <c r="C61" s="22" t="s">
        <v>12</v>
      </c>
      <c r="D61" s="18">
        <v>0.15</v>
      </c>
      <c r="E61" s="23">
        <f>ROUND(D61*E54,4)</f>
        <v>1.46E-2</v>
      </c>
      <c r="F61" s="31">
        <v>9500</v>
      </c>
      <c r="G61" s="24">
        <f t="shared" si="5"/>
        <v>138.69999999999999</v>
      </c>
    </row>
    <row r="62" spans="1:8" x14ac:dyDescent="0.25">
      <c r="A62" s="20" t="s">
        <v>15</v>
      </c>
      <c r="B62" s="21" t="s">
        <v>13</v>
      </c>
      <c r="C62" s="22" t="s">
        <v>12</v>
      </c>
      <c r="D62" s="18">
        <v>1.7000000000000001E-2</v>
      </c>
      <c r="E62" s="23">
        <f>ROUND(D62*E54,4)</f>
        <v>1.6000000000000001E-3</v>
      </c>
      <c r="F62" s="31">
        <v>8500</v>
      </c>
      <c r="G62" s="24">
        <f t="shared" si="5"/>
        <v>13.600000000000001</v>
      </c>
    </row>
    <row r="63" spans="1:8" x14ac:dyDescent="0.25">
      <c r="A63" s="20" t="s">
        <v>74</v>
      </c>
      <c r="B63" s="19" t="s">
        <v>25</v>
      </c>
      <c r="C63" s="22" t="s">
        <v>11</v>
      </c>
      <c r="D63" s="18">
        <v>0.72</v>
      </c>
      <c r="E63" s="23">
        <f>ROUND(D63*E54,4)</f>
        <v>6.9800000000000001E-2</v>
      </c>
      <c r="F63" s="31">
        <v>2500</v>
      </c>
      <c r="G63" s="24">
        <f t="shared" si="5"/>
        <v>174.5</v>
      </c>
    </row>
    <row r="64" spans="1:8" x14ac:dyDescent="0.25">
      <c r="A64" s="20" t="s">
        <v>22</v>
      </c>
      <c r="B64" s="19" t="s">
        <v>24</v>
      </c>
      <c r="C64" s="22" t="s">
        <v>14</v>
      </c>
      <c r="D64" s="18">
        <v>55</v>
      </c>
      <c r="E64" s="23">
        <f>ROUND(D64*E54,4)</f>
        <v>5.335</v>
      </c>
      <c r="F64" s="24"/>
      <c r="G64" s="24">
        <f t="shared" si="5"/>
        <v>0</v>
      </c>
    </row>
    <row r="65" spans="1:7" x14ac:dyDescent="0.25">
      <c r="A65" s="20" t="s">
        <v>16</v>
      </c>
      <c r="B65" s="19" t="s">
        <v>71</v>
      </c>
      <c r="C65" s="22" t="s">
        <v>12</v>
      </c>
      <c r="D65" s="18" t="s">
        <v>17</v>
      </c>
      <c r="E65" s="23">
        <f>368/1000</f>
        <v>0.36799999999999999</v>
      </c>
      <c r="F65" s="31">
        <v>6500</v>
      </c>
      <c r="G65" s="24">
        <f t="shared" si="5"/>
        <v>2392</v>
      </c>
    </row>
    <row r="66" spans="1:7" x14ac:dyDescent="0.25">
      <c r="A66" s="20" t="s">
        <v>16</v>
      </c>
      <c r="B66" s="19" t="s">
        <v>87</v>
      </c>
      <c r="C66" s="22" t="s">
        <v>12</v>
      </c>
      <c r="D66" s="18" t="s">
        <v>17</v>
      </c>
      <c r="E66" s="23">
        <f>275/1000</f>
        <v>0.27500000000000002</v>
      </c>
      <c r="F66" s="31">
        <v>6500</v>
      </c>
      <c r="G66" s="24">
        <f t="shared" si="5"/>
        <v>1787.5000000000002</v>
      </c>
    </row>
    <row r="67" spans="1:7" x14ac:dyDescent="0.25">
      <c r="A67" s="20" t="s">
        <v>23</v>
      </c>
      <c r="B67" s="19" t="s">
        <v>76</v>
      </c>
      <c r="C67" s="22" t="s">
        <v>11</v>
      </c>
      <c r="D67" s="18">
        <v>100</v>
      </c>
      <c r="E67" s="23">
        <f>ROUND(D67*E54,4)</f>
        <v>9.6999999999999993</v>
      </c>
      <c r="F67" s="24"/>
      <c r="G67" s="24"/>
    </row>
    <row r="68" spans="1:7" x14ac:dyDescent="0.25">
      <c r="A68" s="20"/>
      <c r="B68" s="32" t="s">
        <v>72</v>
      </c>
      <c r="C68" s="22" t="s">
        <v>12</v>
      </c>
      <c r="D68" s="18">
        <v>0.38200000000000001</v>
      </c>
      <c r="E68" s="23">
        <f>ROUND(D68*E67,4)</f>
        <v>3.7054</v>
      </c>
      <c r="F68" s="31">
        <v>630</v>
      </c>
      <c r="G68" s="24">
        <f t="shared" ref="G68:G70" si="6">F68*E68</f>
        <v>2334.402</v>
      </c>
    </row>
    <row r="69" spans="1:7" x14ac:dyDescent="0.25">
      <c r="A69" s="20"/>
      <c r="B69" s="32" t="s">
        <v>29</v>
      </c>
      <c r="C69" s="22" t="s">
        <v>12</v>
      </c>
      <c r="D69" s="18">
        <f>47/100*1.52</f>
        <v>0.71439999999999992</v>
      </c>
      <c r="E69" s="23">
        <f>ROUND(D69*E67,4)</f>
        <v>6.9297000000000004</v>
      </c>
      <c r="F69" s="31">
        <f>2449.06/159.17</f>
        <v>15.386442168750394</v>
      </c>
      <c r="G69" s="24">
        <f t="shared" si="6"/>
        <v>106.62342829678961</v>
      </c>
    </row>
    <row r="70" spans="1:7" x14ac:dyDescent="0.25">
      <c r="A70" s="20"/>
      <c r="B70" s="32" t="s">
        <v>28</v>
      </c>
      <c r="C70" s="22" t="s">
        <v>12</v>
      </c>
      <c r="D70" s="18">
        <f>80/100*1.6</f>
        <v>1.2800000000000002</v>
      </c>
      <c r="E70" s="23">
        <f>ROUND(D70*E67,4)</f>
        <v>12.416</v>
      </c>
      <c r="F70" s="31">
        <f>4991.72/392.53</f>
        <v>12.7167859781418</v>
      </c>
      <c r="G70" s="24">
        <f t="shared" si="6"/>
        <v>157.8916147046086</v>
      </c>
    </row>
    <row r="71" spans="1:7" ht="13.5" x14ac:dyDescent="0.25">
      <c r="A71" s="15"/>
      <c r="B71" s="25" t="s">
        <v>8</v>
      </c>
      <c r="C71" s="17"/>
      <c r="D71" s="26"/>
      <c r="E71" s="27"/>
      <c r="F71" s="28"/>
      <c r="G71" s="29">
        <f>SUM(G55:G70)</f>
        <v>9032.0026380013987</v>
      </c>
    </row>
    <row r="72" spans="1:7" ht="27" x14ac:dyDescent="0.25">
      <c r="A72" s="15" t="s">
        <v>73</v>
      </c>
      <c r="B72" s="16" t="s">
        <v>185</v>
      </c>
      <c r="C72" s="17" t="s">
        <v>20</v>
      </c>
      <c r="D72" s="18"/>
      <c r="E72" s="17">
        <f>20.9/100</f>
        <v>0.20899999999999999</v>
      </c>
      <c r="F72" s="24"/>
      <c r="G72" s="24"/>
    </row>
    <row r="73" spans="1:7" x14ac:dyDescent="0.25">
      <c r="A73" s="20">
        <v>1</v>
      </c>
      <c r="B73" s="21" t="s">
        <v>46</v>
      </c>
      <c r="C73" s="22" t="s">
        <v>7</v>
      </c>
      <c r="D73" s="18">
        <v>763.46</v>
      </c>
      <c r="E73" s="23">
        <f>ROUND(D73*E72,4)</f>
        <v>159.56309999999999</v>
      </c>
      <c r="F73" s="31">
        <v>10.46</v>
      </c>
      <c r="G73" s="24">
        <f t="shared" ref="G73:G86" si="7">F73*E73</f>
        <v>1669.0300260000001</v>
      </c>
    </row>
    <row r="74" spans="1:7" x14ac:dyDescent="0.25">
      <c r="A74" s="20">
        <v>2</v>
      </c>
      <c r="B74" s="21" t="s">
        <v>18</v>
      </c>
      <c r="C74" s="22" t="s">
        <v>7</v>
      </c>
      <c r="D74" s="18">
        <v>70.45</v>
      </c>
      <c r="E74" s="23">
        <f>ROUND(D74*E72,4)</f>
        <v>14.7241</v>
      </c>
      <c r="F74" s="31">
        <v>15.44</v>
      </c>
      <c r="G74" s="24">
        <f t="shared" si="7"/>
        <v>227.340104</v>
      </c>
    </row>
    <row r="75" spans="1:7" ht="25.5" x14ac:dyDescent="0.25">
      <c r="A75" s="20" t="s">
        <v>40</v>
      </c>
      <c r="B75" s="19" t="s">
        <v>47</v>
      </c>
      <c r="C75" s="22" t="s">
        <v>19</v>
      </c>
      <c r="D75" s="18">
        <v>70.45</v>
      </c>
      <c r="E75" s="23">
        <f>ROUND(D75*E72,4)</f>
        <v>14.7241</v>
      </c>
      <c r="F75" s="31">
        <f>152.37-15.44</f>
        <v>136.93</v>
      </c>
      <c r="G75" s="24">
        <f t="shared" si="7"/>
        <v>2016.1710130000001</v>
      </c>
    </row>
    <row r="76" spans="1:7" x14ac:dyDescent="0.25">
      <c r="A76" s="20" t="s">
        <v>41</v>
      </c>
      <c r="B76" s="21" t="s">
        <v>38</v>
      </c>
      <c r="C76" s="22" t="s">
        <v>19</v>
      </c>
      <c r="D76" s="18">
        <v>124.95</v>
      </c>
      <c r="E76" s="23">
        <f>ROUND(D76*E72,4)</f>
        <v>26.114599999999999</v>
      </c>
      <c r="F76" s="31">
        <v>8.4600000000000009</v>
      </c>
      <c r="G76" s="24">
        <f t="shared" si="7"/>
        <v>220.92951600000001</v>
      </c>
    </row>
    <row r="77" spans="1:7" x14ac:dyDescent="0.25">
      <c r="A77" s="20">
        <v>111100</v>
      </c>
      <c r="B77" s="19" t="s">
        <v>27</v>
      </c>
      <c r="C77" s="22" t="s">
        <v>19</v>
      </c>
      <c r="D77" s="18">
        <v>30.11</v>
      </c>
      <c r="E77" s="23">
        <f>ROUND(D77*E72,4)</f>
        <v>6.2930000000000001</v>
      </c>
      <c r="F77" s="31">
        <v>2.83</v>
      </c>
      <c r="G77" s="24">
        <f t="shared" si="7"/>
        <v>17.809190000000001</v>
      </c>
    </row>
    <row r="78" spans="1:7" x14ac:dyDescent="0.25">
      <c r="A78" s="20">
        <v>331532</v>
      </c>
      <c r="B78" s="19" t="s">
        <v>26</v>
      </c>
      <c r="C78" s="22" t="s">
        <v>19</v>
      </c>
      <c r="D78" s="18">
        <v>0.7</v>
      </c>
      <c r="E78" s="23">
        <f>ROUND(D78*E72,4)</f>
        <v>0.14630000000000001</v>
      </c>
      <c r="F78" s="31">
        <v>1.63</v>
      </c>
      <c r="G78" s="24">
        <f t="shared" si="7"/>
        <v>0.23846900000000001</v>
      </c>
    </row>
    <row r="79" spans="1:7" x14ac:dyDescent="0.25">
      <c r="A79" s="20" t="s">
        <v>48</v>
      </c>
      <c r="B79" s="19" t="s">
        <v>39</v>
      </c>
      <c r="C79" s="22" t="s">
        <v>12</v>
      </c>
      <c r="D79" s="18">
        <v>0.15</v>
      </c>
      <c r="E79" s="23">
        <f>ROUND(D79*E72,4)</f>
        <v>3.1399999999999997E-2</v>
      </c>
      <c r="F79" s="31">
        <v>9500</v>
      </c>
      <c r="G79" s="24">
        <f t="shared" si="7"/>
        <v>298.29999999999995</v>
      </c>
    </row>
    <row r="80" spans="1:7" x14ac:dyDescent="0.25">
      <c r="A80" s="20" t="s">
        <v>15</v>
      </c>
      <c r="B80" s="21" t="s">
        <v>13</v>
      </c>
      <c r="C80" s="22" t="s">
        <v>12</v>
      </c>
      <c r="D80" s="18">
        <v>1.7000000000000001E-2</v>
      </c>
      <c r="E80" s="23">
        <f>ROUND(D80*E72,4)</f>
        <v>3.5999999999999999E-3</v>
      </c>
      <c r="F80" s="31">
        <v>8500</v>
      </c>
      <c r="G80" s="24">
        <f t="shared" si="7"/>
        <v>30.599999999999998</v>
      </c>
    </row>
    <row r="81" spans="1:7" x14ac:dyDescent="0.25">
      <c r="A81" s="20" t="s">
        <v>74</v>
      </c>
      <c r="B81" s="19" t="s">
        <v>25</v>
      </c>
      <c r="C81" s="22" t="s">
        <v>11</v>
      </c>
      <c r="D81" s="18">
        <v>0.72</v>
      </c>
      <c r="E81" s="23">
        <f>ROUND(D81*E72,4)</f>
        <v>0.15049999999999999</v>
      </c>
      <c r="F81" s="31">
        <v>2500</v>
      </c>
      <c r="G81" s="24">
        <f t="shared" si="7"/>
        <v>376.25</v>
      </c>
    </row>
    <row r="82" spans="1:7" x14ac:dyDescent="0.25">
      <c r="A82" s="20" t="s">
        <v>22</v>
      </c>
      <c r="B82" s="19" t="s">
        <v>24</v>
      </c>
      <c r="C82" s="22" t="s">
        <v>14</v>
      </c>
      <c r="D82" s="18">
        <v>55</v>
      </c>
      <c r="E82" s="23">
        <f>ROUND(D82*E72,4)</f>
        <v>11.494999999999999</v>
      </c>
      <c r="F82" s="24"/>
      <c r="G82" s="24">
        <f t="shared" si="7"/>
        <v>0</v>
      </c>
    </row>
    <row r="83" spans="1:7" x14ac:dyDescent="0.25">
      <c r="A83" s="20" t="s">
        <v>16</v>
      </c>
      <c r="B83" s="19" t="s">
        <v>43</v>
      </c>
      <c r="C83" s="22" t="s">
        <v>12</v>
      </c>
      <c r="D83" s="18" t="s">
        <v>17</v>
      </c>
      <c r="E83" s="23">
        <f>148/1000</f>
        <v>0.14799999999999999</v>
      </c>
      <c r="F83" s="31">
        <v>6500</v>
      </c>
      <c r="G83" s="24">
        <f t="shared" ref="G83:G84" si="8">F83*E83</f>
        <v>962</v>
      </c>
    </row>
    <row r="84" spans="1:7" x14ac:dyDescent="0.25">
      <c r="A84" s="20" t="s">
        <v>16</v>
      </c>
      <c r="B84" s="19" t="s">
        <v>71</v>
      </c>
      <c r="C84" s="22" t="s">
        <v>12</v>
      </c>
      <c r="D84" s="18" t="s">
        <v>17</v>
      </c>
      <c r="E84" s="23">
        <f>552/1000</f>
        <v>0.55200000000000005</v>
      </c>
      <c r="F84" s="31">
        <v>6500</v>
      </c>
      <c r="G84" s="24">
        <f t="shared" si="8"/>
        <v>3588.0000000000005</v>
      </c>
    </row>
    <row r="85" spans="1:7" x14ac:dyDescent="0.25">
      <c r="A85" s="20" t="s">
        <v>16</v>
      </c>
      <c r="B85" s="19" t="s">
        <v>44</v>
      </c>
      <c r="C85" s="22" t="s">
        <v>12</v>
      </c>
      <c r="D85" s="18" t="s">
        <v>17</v>
      </c>
      <c r="E85" s="23">
        <f>258/1000</f>
        <v>0.25800000000000001</v>
      </c>
      <c r="F85" s="31">
        <v>6500</v>
      </c>
      <c r="G85" s="24">
        <f t="shared" si="7"/>
        <v>1677</v>
      </c>
    </row>
    <row r="86" spans="1:7" x14ac:dyDescent="0.25">
      <c r="A86" s="20" t="s">
        <v>16</v>
      </c>
      <c r="B86" s="19" t="s">
        <v>87</v>
      </c>
      <c r="C86" s="22" t="s">
        <v>12</v>
      </c>
      <c r="D86" s="18" t="s">
        <v>17</v>
      </c>
      <c r="E86" s="23">
        <f>500/1000</f>
        <v>0.5</v>
      </c>
      <c r="F86" s="31">
        <v>6500</v>
      </c>
      <c r="G86" s="24">
        <f t="shared" si="7"/>
        <v>3250</v>
      </c>
    </row>
    <row r="87" spans="1:7" x14ac:dyDescent="0.25">
      <c r="A87" s="20" t="s">
        <v>23</v>
      </c>
      <c r="B87" s="19" t="s">
        <v>76</v>
      </c>
      <c r="C87" s="22" t="s">
        <v>11</v>
      </c>
      <c r="D87" s="18">
        <v>100</v>
      </c>
      <c r="E87" s="23">
        <f>ROUND(D87*E72,4)</f>
        <v>20.9</v>
      </c>
      <c r="F87" s="24"/>
      <c r="G87" s="24"/>
    </row>
    <row r="88" spans="1:7" x14ac:dyDescent="0.25">
      <c r="A88" s="20"/>
      <c r="B88" s="32" t="s">
        <v>72</v>
      </c>
      <c r="C88" s="22" t="s">
        <v>12</v>
      </c>
      <c r="D88" s="18">
        <v>0.38200000000000001</v>
      </c>
      <c r="E88" s="23">
        <f>ROUND(D88*E87,4)</f>
        <v>7.9837999999999996</v>
      </c>
      <c r="F88" s="31">
        <v>630</v>
      </c>
      <c r="G88" s="24">
        <f t="shared" ref="G88:G90" si="9">F88*E88</f>
        <v>5029.7939999999999</v>
      </c>
    </row>
    <row r="89" spans="1:7" x14ac:dyDescent="0.25">
      <c r="A89" s="20"/>
      <c r="B89" s="32" t="s">
        <v>29</v>
      </c>
      <c r="C89" s="22" t="s">
        <v>12</v>
      </c>
      <c r="D89" s="18">
        <f>47/100*1.52</f>
        <v>0.71439999999999992</v>
      </c>
      <c r="E89" s="23">
        <f>ROUND(D89*E87,4)</f>
        <v>14.930999999999999</v>
      </c>
      <c r="F89" s="31">
        <f>2449.06/159.17</f>
        <v>15.386442168750394</v>
      </c>
      <c r="G89" s="24">
        <f t="shared" si="9"/>
        <v>229.7349680216121</v>
      </c>
    </row>
    <row r="90" spans="1:7" x14ac:dyDescent="0.25">
      <c r="A90" s="20"/>
      <c r="B90" s="32" t="s">
        <v>28</v>
      </c>
      <c r="C90" s="22" t="s">
        <v>12</v>
      </c>
      <c r="D90" s="18">
        <f>80/100*1.6</f>
        <v>1.2800000000000002</v>
      </c>
      <c r="E90" s="23">
        <f>ROUND(D90*E87,4)</f>
        <v>26.751999999999999</v>
      </c>
      <c r="F90" s="31">
        <f>4991.72/392.53</f>
        <v>12.7167859781418</v>
      </c>
      <c r="G90" s="24">
        <f t="shared" si="9"/>
        <v>340.19945848724944</v>
      </c>
    </row>
    <row r="91" spans="1:7" ht="13.5" x14ac:dyDescent="0.25">
      <c r="A91" s="15"/>
      <c r="B91" s="25" t="s">
        <v>8</v>
      </c>
      <c r="C91" s="17"/>
      <c r="D91" s="26"/>
      <c r="E91" s="27"/>
      <c r="F91" s="28"/>
      <c r="G91" s="29">
        <f>SUM(G73:G90)</f>
        <v>19933.396744508864</v>
      </c>
    </row>
    <row r="92" spans="1:7" ht="13.5" x14ac:dyDescent="0.25">
      <c r="A92" s="64"/>
      <c r="B92" s="65"/>
      <c r="C92" s="66"/>
      <c r="D92" s="67"/>
      <c r="E92" s="67"/>
      <c r="F92" s="67"/>
      <c r="G92" s="68"/>
    </row>
    <row r="93" spans="1:7" ht="13.5" x14ac:dyDescent="0.25">
      <c r="A93" s="52"/>
      <c r="B93" s="53"/>
      <c r="C93" s="52"/>
      <c r="D93" s="53"/>
      <c r="E93" s="53"/>
      <c r="F93" s="61"/>
      <c r="G93" s="54"/>
    </row>
    <row r="94" spans="1:7" ht="13.5" x14ac:dyDescent="0.25">
      <c r="A94" s="52"/>
      <c r="B94" s="53"/>
      <c r="C94" s="52"/>
      <c r="D94" s="53"/>
      <c r="E94" s="53"/>
      <c r="F94" s="61"/>
      <c r="G94" s="54"/>
    </row>
    <row r="95" spans="1:7" ht="13.5" x14ac:dyDescent="0.25">
      <c r="A95" s="2"/>
      <c r="B95" s="55" t="s">
        <v>42</v>
      </c>
      <c r="C95" s="56"/>
      <c r="D95" s="10"/>
      <c r="E95" s="10"/>
      <c r="F95" s="40"/>
      <c r="G95" s="12">
        <f>SUMIFS(G17:G94,B17:B94,"Итого")</f>
        <v>76383.487675002296</v>
      </c>
    </row>
    <row r="96" spans="1:7" ht="13.5" x14ac:dyDescent="0.25">
      <c r="A96" s="2"/>
      <c r="B96" s="55" t="s">
        <v>30</v>
      </c>
      <c r="C96" s="56"/>
      <c r="D96" s="10"/>
      <c r="E96" s="10"/>
      <c r="F96" s="10"/>
      <c r="G96" s="12"/>
    </row>
    <row r="97" spans="1:7" ht="13.5" x14ac:dyDescent="0.25">
      <c r="A97" s="2"/>
      <c r="B97" s="57" t="s">
        <v>51</v>
      </c>
      <c r="C97" s="56"/>
      <c r="D97" s="10"/>
      <c r="E97" s="10"/>
      <c r="F97" s="72">
        <f>G24+G25+G26+G27+G28+G29+G30+G32+G33+G34+G43+G44+G45+G46+G47+G48+G50+G51+G52+G61+G62+G63+G64+G65+G66+G68+G69+G70+G79+G80+G81+G82+G83+G84+G85+G86+G88+G89+G90</f>
        <v>61517.385782202298</v>
      </c>
      <c r="G97" s="12">
        <f>G95-G98-G99-G100</f>
        <v>61517.385782202291</v>
      </c>
    </row>
    <row r="98" spans="1:7" ht="13.5" x14ac:dyDescent="0.25">
      <c r="A98" s="2"/>
      <c r="B98" s="57" t="s">
        <v>52</v>
      </c>
      <c r="C98" s="56"/>
      <c r="D98" s="10"/>
      <c r="E98" s="10"/>
      <c r="F98" s="10"/>
      <c r="G98" s="12">
        <f>SUMIFS(G17:G94,C17:C94,"маш/час")</f>
        <v>5833.7904708000005</v>
      </c>
    </row>
    <row r="99" spans="1:7" ht="13.5" x14ac:dyDescent="0.25">
      <c r="A99" s="2"/>
      <c r="B99" s="57" t="s">
        <v>53</v>
      </c>
      <c r="C99" s="56"/>
      <c r="D99" s="10"/>
      <c r="E99" s="10"/>
      <c r="F99" s="10"/>
      <c r="G99" s="12">
        <f>SUMIFS(G17:G94,A17:A94,1)</f>
        <v>8350.607321200001</v>
      </c>
    </row>
    <row r="100" spans="1:7" ht="13.5" x14ac:dyDescent="0.25">
      <c r="A100" s="2"/>
      <c r="B100" s="57" t="s">
        <v>54</v>
      </c>
      <c r="C100" s="56"/>
      <c r="D100" s="10"/>
      <c r="E100" s="10"/>
      <c r="F100" s="10"/>
      <c r="G100" s="12">
        <f>SUMIFS(G17:G94,A17:A94,2)</f>
        <v>681.70410079999999</v>
      </c>
    </row>
    <row r="101" spans="1:7" ht="13.5" x14ac:dyDescent="0.25">
      <c r="A101" s="2"/>
      <c r="B101" s="12" t="s">
        <v>37</v>
      </c>
      <c r="C101" s="56"/>
      <c r="D101" s="10"/>
      <c r="E101" s="10"/>
      <c r="F101" s="10"/>
      <c r="G101" s="12">
        <f>(G99+G100)*25%</f>
        <v>2258.0778555000002</v>
      </c>
    </row>
    <row r="102" spans="1:7" ht="13.5" x14ac:dyDescent="0.25">
      <c r="A102" s="15"/>
      <c r="B102" s="25" t="s">
        <v>8</v>
      </c>
      <c r="C102" s="17"/>
      <c r="D102" s="26"/>
      <c r="E102" s="27"/>
      <c r="F102" s="28"/>
      <c r="G102" s="12">
        <f>SUM(G97:G101)</f>
        <v>78641.565530502296</v>
      </c>
    </row>
    <row r="103" spans="1:7" ht="13.5" x14ac:dyDescent="0.25">
      <c r="A103" s="2"/>
      <c r="B103" s="4" t="s">
        <v>61</v>
      </c>
      <c r="C103" s="8"/>
      <c r="D103" s="9"/>
      <c r="E103" s="9"/>
      <c r="F103" s="10"/>
      <c r="G103" s="12">
        <f>G102*10%</f>
        <v>7864.1565530502303</v>
      </c>
    </row>
    <row r="104" spans="1:7" ht="13.5" x14ac:dyDescent="0.25">
      <c r="A104" s="2"/>
      <c r="B104" s="4" t="s">
        <v>55</v>
      </c>
      <c r="C104" s="7" t="s">
        <v>11</v>
      </c>
      <c r="D104" s="11"/>
      <c r="E104" s="5">
        <f>SUMIFS(E93:E100,B93:B100,"Бетон марки БМ-350")</f>
        <v>0</v>
      </c>
      <c r="F104" s="63"/>
      <c r="G104" s="12">
        <f>+F104*E104</f>
        <v>0</v>
      </c>
    </row>
    <row r="105" spans="1:7" ht="13.5" x14ac:dyDescent="0.25">
      <c r="A105" s="2"/>
      <c r="B105" s="4" t="s">
        <v>56</v>
      </c>
      <c r="C105" s="7" t="s">
        <v>11</v>
      </c>
      <c r="D105" s="11"/>
      <c r="E105" s="5">
        <f>E104</f>
        <v>0</v>
      </c>
      <c r="F105" s="63"/>
      <c r="G105" s="12">
        <f>+F105*E105</f>
        <v>0</v>
      </c>
    </row>
    <row r="106" spans="1:7" ht="13.5" x14ac:dyDescent="0.25">
      <c r="A106" s="2"/>
      <c r="B106" s="55" t="s">
        <v>8</v>
      </c>
      <c r="C106" s="56"/>
      <c r="D106" s="10"/>
      <c r="E106" s="10"/>
      <c r="F106" s="10"/>
      <c r="G106" s="12">
        <f>SUM(G102:G105)</f>
        <v>86505.722083552522</v>
      </c>
    </row>
    <row r="107" spans="1:7" ht="13.5" x14ac:dyDescent="0.25">
      <c r="A107" s="2"/>
      <c r="B107" s="55" t="s">
        <v>63</v>
      </c>
      <c r="C107" s="56"/>
      <c r="D107" s="10"/>
      <c r="E107" s="10"/>
      <c r="F107" s="10"/>
      <c r="G107" s="12">
        <f>G106*7%</f>
        <v>6055.4005458486772</v>
      </c>
    </row>
    <row r="108" spans="1:7" ht="13.5" x14ac:dyDescent="0.25">
      <c r="A108" s="2"/>
      <c r="B108" s="55" t="s">
        <v>31</v>
      </c>
      <c r="C108" s="56"/>
      <c r="D108" s="10"/>
      <c r="E108" s="10"/>
      <c r="F108" s="10"/>
      <c r="G108" s="12">
        <f>SUM(G106:G107)</f>
        <v>92561.122629401201</v>
      </c>
    </row>
    <row r="109" spans="1:7" x14ac:dyDescent="0.25">
      <c r="F109" s="40"/>
    </row>
    <row r="110" spans="1:7" x14ac:dyDescent="0.25">
      <c r="F110" s="40"/>
    </row>
    <row r="111" spans="1:7" x14ac:dyDescent="0.25">
      <c r="F111" s="40"/>
    </row>
    <row r="112" spans="1:7" ht="13.5" x14ac:dyDescent="0.25">
      <c r="A112" s="13"/>
      <c r="B112" s="129" t="s">
        <v>33</v>
      </c>
      <c r="C112" s="144" t="s">
        <v>35</v>
      </c>
      <c r="D112" s="144"/>
      <c r="E112" s="144"/>
      <c r="F112" s="144"/>
      <c r="G112" s="14"/>
    </row>
    <row r="113" spans="1:9" ht="13.5" x14ac:dyDescent="0.25">
      <c r="A113" s="13"/>
      <c r="B113" s="129"/>
      <c r="C113" s="129"/>
      <c r="D113" s="129"/>
      <c r="E113" s="129"/>
      <c r="F113" s="129"/>
      <c r="G113" s="14"/>
    </row>
    <row r="114" spans="1:9" ht="13.5" x14ac:dyDescent="0.25">
      <c r="A114" s="13"/>
      <c r="B114" s="129" t="s">
        <v>34</v>
      </c>
      <c r="C114" s="144" t="s">
        <v>36</v>
      </c>
      <c r="D114" s="144"/>
      <c r="E114" s="144"/>
      <c r="F114" s="144"/>
      <c r="G114" s="14"/>
    </row>
    <row r="115" spans="1:9" x14ac:dyDescent="0.25">
      <c r="F115" s="40"/>
    </row>
    <row r="116" spans="1:9" x14ac:dyDescent="0.25">
      <c r="F116" s="40"/>
    </row>
    <row r="117" spans="1:9" x14ac:dyDescent="0.25">
      <c r="F117" s="40"/>
    </row>
    <row r="125" spans="1:9" x14ac:dyDescent="0.25">
      <c r="B125" s="19" t="s">
        <v>93</v>
      </c>
      <c r="C125" s="22" t="s">
        <v>12</v>
      </c>
      <c r="D125" s="69"/>
      <c r="E125" s="23">
        <f t="shared" ref="E125:E153" si="10">SUMIFS($E$17:$E$93,$B$17:$B$93,B125)</f>
        <v>0</v>
      </c>
      <c r="F125" s="31">
        <v>6500</v>
      </c>
      <c r="G125" s="36">
        <f>E125*F125</f>
        <v>0</v>
      </c>
      <c r="H125" s="74">
        <f>SUMIFS($G$17:$G$93,$B$17:$B$93,B125)</f>
        <v>0</v>
      </c>
      <c r="I125" s="40">
        <f>G125-H125</f>
        <v>0</v>
      </c>
    </row>
    <row r="126" spans="1:9" x14ac:dyDescent="0.25">
      <c r="B126" s="19" t="s">
        <v>65</v>
      </c>
      <c r="C126" s="22" t="s">
        <v>12</v>
      </c>
      <c r="D126" s="69"/>
      <c r="E126" s="23">
        <f t="shared" si="10"/>
        <v>0.22800000000000001</v>
      </c>
      <c r="F126" s="31">
        <v>6500</v>
      </c>
      <c r="G126" s="36">
        <f t="shared" ref="G126:G153" si="11">E126*F126</f>
        <v>1482</v>
      </c>
      <c r="H126" s="74">
        <f t="shared" ref="H126:H153" si="12">SUMIFS($G$17:$G$93,$B$17:$B$93,B126)</f>
        <v>1482</v>
      </c>
      <c r="I126" s="40">
        <f t="shared" ref="I126:I153" si="13">G126-H126</f>
        <v>0</v>
      </c>
    </row>
    <row r="127" spans="1:9" x14ac:dyDescent="0.25">
      <c r="B127" s="19" t="s">
        <v>87</v>
      </c>
      <c r="C127" s="22" t="s">
        <v>12</v>
      </c>
      <c r="D127" s="69"/>
      <c r="E127" s="23">
        <f t="shared" si="10"/>
        <v>1.675</v>
      </c>
      <c r="F127" s="31">
        <v>6500</v>
      </c>
      <c r="G127" s="36">
        <f t="shared" si="11"/>
        <v>10887.5</v>
      </c>
      <c r="H127" s="74">
        <f t="shared" si="12"/>
        <v>10887.5</v>
      </c>
      <c r="I127" s="40">
        <f t="shared" si="13"/>
        <v>0</v>
      </c>
    </row>
    <row r="128" spans="1:9" x14ac:dyDescent="0.25">
      <c r="B128" s="19" t="s">
        <v>44</v>
      </c>
      <c r="C128" s="22" t="s">
        <v>12</v>
      </c>
      <c r="D128" s="6"/>
      <c r="E128" s="23">
        <f t="shared" si="10"/>
        <v>1.339</v>
      </c>
      <c r="F128" s="31">
        <v>6500</v>
      </c>
      <c r="G128" s="36">
        <f t="shared" si="11"/>
        <v>8703.5</v>
      </c>
      <c r="H128" s="74">
        <f t="shared" si="12"/>
        <v>8703.5</v>
      </c>
      <c r="I128" s="40">
        <f t="shared" si="13"/>
        <v>0</v>
      </c>
    </row>
    <row r="129" spans="2:9" x14ac:dyDescent="0.25">
      <c r="B129" s="19" t="s">
        <v>71</v>
      </c>
      <c r="C129" s="22" t="s">
        <v>12</v>
      </c>
      <c r="D129" s="6"/>
      <c r="E129" s="23">
        <f t="shared" si="10"/>
        <v>1.2310000000000001</v>
      </c>
      <c r="F129" s="31">
        <v>6500</v>
      </c>
      <c r="G129" s="36">
        <f t="shared" si="11"/>
        <v>8001.5000000000009</v>
      </c>
      <c r="H129" s="74">
        <f t="shared" si="12"/>
        <v>8001.5</v>
      </c>
      <c r="I129" s="40">
        <f t="shared" si="13"/>
        <v>0</v>
      </c>
    </row>
    <row r="130" spans="2:9" x14ac:dyDescent="0.25">
      <c r="B130" s="19" t="s">
        <v>83</v>
      </c>
      <c r="C130" s="22" t="s">
        <v>12</v>
      </c>
      <c r="D130" s="69"/>
      <c r="E130" s="23">
        <f t="shared" si="10"/>
        <v>0</v>
      </c>
      <c r="F130" s="31">
        <v>6500</v>
      </c>
      <c r="G130" s="36">
        <f t="shared" si="11"/>
        <v>0</v>
      </c>
      <c r="H130" s="74">
        <f t="shared" si="12"/>
        <v>0</v>
      </c>
      <c r="I130" s="40">
        <f t="shared" si="13"/>
        <v>0</v>
      </c>
    </row>
    <row r="131" spans="2:9" x14ac:dyDescent="0.25">
      <c r="B131" s="19" t="s">
        <v>43</v>
      </c>
      <c r="C131" s="22" t="s">
        <v>12</v>
      </c>
      <c r="D131" s="69"/>
      <c r="E131" s="23">
        <f t="shared" si="10"/>
        <v>0.14799999999999999</v>
      </c>
      <c r="F131" s="31">
        <v>6500</v>
      </c>
      <c r="G131" s="36">
        <f t="shared" si="11"/>
        <v>962</v>
      </c>
      <c r="H131" s="74">
        <f t="shared" si="12"/>
        <v>962</v>
      </c>
      <c r="I131" s="40">
        <f t="shared" si="13"/>
        <v>0</v>
      </c>
    </row>
    <row r="132" spans="2:9" x14ac:dyDescent="0.25">
      <c r="B132" s="19" t="s">
        <v>80</v>
      </c>
      <c r="C132" s="22" t="s">
        <v>12</v>
      </c>
      <c r="D132" s="69"/>
      <c r="E132" s="23">
        <f t="shared" si="10"/>
        <v>0</v>
      </c>
      <c r="F132" s="31">
        <v>6500</v>
      </c>
      <c r="G132" s="36">
        <f t="shared" si="11"/>
        <v>0</v>
      </c>
      <c r="H132" s="74">
        <f t="shared" si="12"/>
        <v>0</v>
      </c>
      <c r="I132" s="40">
        <f t="shared" si="13"/>
        <v>0</v>
      </c>
    </row>
    <row r="133" spans="2:9" x14ac:dyDescent="0.25">
      <c r="B133" s="19" t="s">
        <v>75</v>
      </c>
      <c r="C133" s="22" t="s">
        <v>12</v>
      </c>
      <c r="D133" s="69"/>
      <c r="E133" s="23">
        <f t="shared" si="10"/>
        <v>0.60199999999999998</v>
      </c>
      <c r="F133" s="31">
        <v>6500</v>
      </c>
      <c r="G133" s="36">
        <f t="shared" si="11"/>
        <v>3913</v>
      </c>
      <c r="H133" s="74">
        <f t="shared" si="12"/>
        <v>3913</v>
      </c>
      <c r="I133" s="40">
        <f t="shared" si="13"/>
        <v>0</v>
      </c>
    </row>
    <row r="134" spans="2:9" x14ac:dyDescent="0.25">
      <c r="B134" s="19" t="s">
        <v>77</v>
      </c>
      <c r="C134" s="22" t="s">
        <v>12</v>
      </c>
      <c r="D134" s="69"/>
      <c r="E134" s="23">
        <f t="shared" si="10"/>
        <v>0.55300000000000005</v>
      </c>
      <c r="F134" s="31">
        <v>6500</v>
      </c>
      <c r="G134" s="36">
        <f t="shared" si="11"/>
        <v>3594.5000000000005</v>
      </c>
      <c r="H134" s="74">
        <f t="shared" si="12"/>
        <v>3594.5000000000005</v>
      </c>
      <c r="I134" s="40">
        <f t="shared" si="13"/>
        <v>0</v>
      </c>
    </row>
    <row r="135" spans="2:9" x14ac:dyDescent="0.25">
      <c r="B135" s="19" t="s">
        <v>79</v>
      </c>
      <c r="C135" s="22" t="s">
        <v>12</v>
      </c>
      <c r="D135" s="69"/>
      <c r="E135" s="23">
        <f t="shared" si="10"/>
        <v>0</v>
      </c>
      <c r="F135" s="31">
        <v>6500</v>
      </c>
      <c r="G135" s="36">
        <f t="shared" si="11"/>
        <v>0</v>
      </c>
      <c r="H135" s="74">
        <f t="shared" si="12"/>
        <v>0</v>
      </c>
      <c r="I135" s="40">
        <f t="shared" si="13"/>
        <v>0</v>
      </c>
    </row>
    <row r="136" spans="2:9" x14ac:dyDescent="0.25">
      <c r="B136" s="19" t="s">
        <v>78</v>
      </c>
      <c r="C136" s="22" t="s">
        <v>12</v>
      </c>
      <c r="D136" s="69"/>
      <c r="E136" s="23">
        <f t="shared" si="10"/>
        <v>0</v>
      </c>
      <c r="F136" s="31">
        <v>6500</v>
      </c>
      <c r="G136" s="36">
        <f>E136*F136</f>
        <v>0</v>
      </c>
      <c r="H136" s="74">
        <f t="shared" si="12"/>
        <v>0</v>
      </c>
      <c r="I136" s="40">
        <f t="shared" si="13"/>
        <v>0</v>
      </c>
    </row>
    <row r="137" spans="2:9" x14ac:dyDescent="0.25">
      <c r="B137" s="19" t="s">
        <v>76</v>
      </c>
      <c r="C137" s="22" t="s">
        <v>11</v>
      </c>
      <c r="D137" s="69"/>
      <c r="E137" s="23">
        <f t="shared" si="10"/>
        <v>31.463999999999999</v>
      </c>
      <c r="F137" s="31"/>
      <c r="G137" s="36">
        <f t="shared" si="11"/>
        <v>0</v>
      </c>
      <c r="H137" s="74">
        <f t="shared" si="12"/>
        <v>0</v>
      </c>
      <c r="I137" s="40">
        <f t="shared" si="13"/>
        <v>0</v>
      </c>
    </row>
    <row r="138" spans="2:9" x14ac:dyDescent="0.25">
      <c r="B138" s="19" t="s">
        <v>50</v>
      </c>
      <c r="C138" s="22" t="s">
        <v>11</v>
      </c>
      <c r="D138" s="69"/>
      <c r="E138" s="23">
        <f t="shared" si="10"/>
        <v>2.2000000000000001E-3</v>
      </c>
      <c r="F138" s="31">
        <v>2000</v>
      </c>
      <c r="G138" s="36">
        <f t="shared" si="11"/>
        <v>4.4000000000000004</v>
      </c>
      <c r="H138" s="74">
        <f t="shared" si="12"/>
        <v>4.4000000000000004</v>
      </c>
      <c r="I138" s="40">
        <f t="shared" si="13"/>
        <v>0</v>
      </c>
    </row>
    <row r="139" spans="2:9" x14ac:dyDescent="0.25">
      <c r="B139" s="21" t="s">
        <v>13</v>
      </c>
      <c r="C139" s="22" t="s">
        <v>12</v>
      </c>
      <c r="D139" s="69"/>
      <c r="E139" s="23">
        <f t="shared" si="10"/>
        <v>5.0263999999999996E-2</v>
      </c>
      <c r="F139" s="31">
        <v>8500</v>
      </c>
      <c r="G139" s="36">
        <f t="shared" si="11"/>
        <v>427.24399999999997</v>
      </c>
      <c r="H139" s="74">
        <f t="shared" si="12"/>
        <v>427.24400000000003</v>
      </c>
      <c r="I139" s="40">
        <f t="shared" si="13"/>
        <v>0</v>
      </c>
    </row>
    <row r="140" spans="2:9" x14ac:dyDescent="0.25">
      <c r="B140" s="19" t="s">
        <v>82</v>
      </c>
      <c r="C140" s="22" t="s">
        <v>11</v>
      </c>
      <c r="D140" s="69"/>
      <c r="E140" s="23">
        <f t="shared" si="10"/>
        <v>0</v>
      </c>
      <c r="F140" s="31">
        <v>2563.75</v>
      </c>
      <c r="G140" s="36">
        <f t="shared" si="11"/>
        <v>0</v>
      </c>
      <c r="H140" s="74">
        <f t="shared" si="12"/>
        <v>0</v>
      </c>
      <c r="I140" s="40">
        <f t="shared" si="13"/>
        <v>0</v>
      </c>
    </row>
    <row r="141" spans="2:9" x14ac:dyDescent="0.25">
      <c r="B141" s="19" t="s">
        <v>103</v>
      </c>
      <c r="C141" s="22" t="s">
        <v>104</v>
      </c>
      <c r="D141" s="69"/>
      <c r="E141" s="23">
        <f t="shared" si="10"/>
        <v>0</v>
      </c>
      <c r="F141" s="31">
        <v>593.79999999999995</v>
      </c>
      <c r="G141" s="36">
        <f t="shared" si="11"/>
        <v>0</v>
      </c>
      <c r="H141" s="74">
        <f t="shared" si="12"/>
        <v>0</v>
      </c>
      <c r="I141" s="40">
        <f t="shared" si="13"/>
        <v>0</v>
      </c>
    </row>
    <row r="142" spans="2:9" x14ac:dyDescent="0.25">
      <c r="B142" s="19" t="s">
        <v>90</v>
      </c>
      <c r="C142" s="22" t="s">
        <v>64</v>
      </c>
      <c r="D142" s="69"/>
      <c r="E142" s="23">
        <f t="shared" si="10"/>
        <v>0</v>
      </c>
      <c r="F142" s="31">
        <v>50</v>
      </c>
      <c r="G142" s="36">
        <f t="shared" si="11"/>
        <v>0</v>
      </c>
      <c r="H142" s="74">
        <f t="shared" si="12"/>
        <v>0</v>
      </c>
      <c r="I142" s="40">
        <f t="shared" si="13"/>
        <v>0</v>
      </c>
    </row>
    <row r="143" spans="2:9" x14ac:dyDescent="0.25">
      <c r="B143" s="19" t="s">
        <v>91</v>
      </c>
      <c r="C143" s="22" t="s">
        <v>64</v>
      </c>
      <c r="D143" s="69"/>
      <c r="E143" s="23">
        <f t="shared" si="10"/>
        <v>0</v>
      </c>
      <c r="F143" s="31">
        <v>50</v>
      </c>
      <c r="G143" s="36">
        <f t="shared" si="11"/>
        <v>0</v>
      </c>
      <c r="H143" s="74">
        <f t="shared" si="12"/>
        <v>0</v>
      </c>
      <c r="I143" s="40">
        <f t="shared" si="13"/>
        <v>0</v>
      </c>
    </row>
    <row r="144" spans="2:9" x14ac:dyDescent="0.25">
      <c r="B144" s="19" t="s">
        <v>92</v>
      </c>
      <c r="C144" s="22" t="s">
        <v>64</v>
      </c>
      <c r="D144" s="69"/>
      <c r="E144" s="23">
        <f t="shared" si="10"/>
        <v>0</v>
      </c>
      <c r="F144" s="31">
        <v>50</v>
      </c>
      <c r="G144" s="36">
        <f t="shared" si="11"/>
        <v>0</v>
      </c>
      <c r="H144" s="74">
        <f t="shared" si="12"/>
        <v>0</v>
      </c>
      <c r="I144" s="40">
        <f t="shared" si="13"/>
        <v>0</v>
      </c>
    </row>
    <row r="145" spans="2:9" x14ac:dyDescent="0.25">
      <c r="B145" s="21" t="s">
        <v>29</v>
      </c>
      <c r="C145" s="22" t="s">
        <v>12</v>
      </c>
      <c r="D145" s="69"/>
      <c r="E145" s="23">
        <f t="shared" si="10"/>
        <v>64.691299999999998</v>
      </c>
      <c r="F145" s="31">
        <f>2449.06/159.17</f>
        <v>15.386442168750394</v>
      </c>
      <c r="G145" s="36">
        <f t="shared" si="11"/>
        <v>995.36894627128231</v>
      </c>
      <c r="H145" s="74">
        <f t="shared" si="12"/>
        <v>995.3689462712822</v>
      </c>
      <c r="I145" s="40">
        <f t="shared" si="13"/>
        <v>0</v>
      </c>
    </row>
    <row r="146" spans="2:9" x14ac:dyDescent="0.25">
      <c r="B146" s="21" t="s">
        <v>101</v>
      </c>
      <c r="C146" s="22" t="s">
        <v>12</v>
      </c>
      <c r="D146" s="69"/>
      <c r="E146" s="23">
        <f t="shared" si="10"/>
        <v>0</v>
      </c>
      <c r="F146" s="31">
        <v>36</v>
      </c>
      <c r="G146" s="36">
        <f t="shared" si="11"/>
        <v>0</v>
      </c>
      <c r="H146" s="74">
        <f t="shared" si="12"/>
        <v>0</v>
      </c>
      <c r="I146" s="40">
        <f t="shared" si="13"/>
        <v>0</v>
      </c>
    </row>
    <row r="147" spans="2:9" x14ac:dyDescent="0.25">
      <c r="B147" s="19" t="s">
        <v>25</v>
      </c>
      <c r="C147" s="22" t="s">
        <v>11</v>
      </c>
      <c r="D147" s="69"/>
      <c r="E147" s="23">
        <f t="shared" si="10"/>
        <v>1.4873600000000002</v>
      </c>
      <c r="F147" s="31">
        <v>2500</v>
      </c>
      <c r="G147" s="36">
        <f t="shared" si="11"/>
        <v>3718.4000000000005</v>
      </c>
      <c r="H147" s="74">
        <f t="shared" si="12"/>
        <v>3718.4000000000005</v>
      </c>
      <c r="I147" s="40">
        <f t="shared" si="13"/>
        <v>0</v>
      </c>
    </row>
    <row r="148" spans="2:9" x14ac:dyDescent="0.25">
      <c r="B148" s="19" t="s">
        <v>70</v>
      </c>
      <c r="C148" s="22" t="s">
        <v>12</v>
      </c>
      <c r="D148" s="69"/>
      <c r="E148" s="23">
        <f t="shared" si="10"/>
        <v>0</v>
      </c>
      <c r="F148" s="31">
        <v>5423.7330000000002</v>
      </c>
      <c r="G148" s="36">
        <f t="shared" si="11"/>
        <v>0</v>
      </c>
      <c r="H148" s="74">
        <f t="shared" si="12"/>
        <v>0</v>
      </c>
      <c r="I148" s="40">
        <f t="shared" si="13"/>
        <v>0</v>
      </c>
    </row>
    <row r="149" spans="2:9" x14ac:dyDescent="0.25">
      <c r="B149" s="21" t="s">
        <v>99</v>
      </c>
      <c r="C149" s="22" t="s">
        <v>12</v>
      </c>
      <c r="D149" s="69"/>
      <c r="E149" s="23">
        <f t="shared" si="10"/>
        <v>0</v>
      </c>
      <c r="F149" s="31">
        <v>580</v>
      </c>
      <c r="G149" s="36">
        <f t="shared" si="11"/>
        <v>0</v>
      </c>
      <c r="H149" s="74">
        <f t="shared" si="12"/>
        <v>0</v>
      </c>
      <c r="I149" s="40">
        <f t="shared" si="13"/>
        <v>0</v>
      </c>
    </row>
    <row r="150" spans="2:9" x14ac:dyDescent="0.25">
      <c r="B150" s="21" t="s">
        <v>72</v>
      </c>
      <c r="C150" s="22" t="s">
        <v>12</v>
      </c>
      <c r="D150" s="69"/>
      <c r="E150" s="23">
        <f t="shared" si="10"/>
        <v>27.005599999999998</v>
      </c>
      <c r="F150" s="73">
        <v>630</v>
      </c>
      <c r="G150" s="36">
        <f t="shared" si="11"/>
        <v>17013.527999999998</v>
      </c>
      <c r="H150" s="74">
        <f t="shared" si="12"/>
        <v>17013.527999999998</v>
      </c>
      <c r="I150" s="40">
        <f t="shared" si="13"/>
        <v>0</v>
      </c>
    </row>
    <row r="151" spans="2:9" x14ac:dyDescent="0.25">
      <c r="B151" s="21" t="s">
        <v>28</v>
      </c>
      <c r="C151" s="22" t="s">
        <v>12</v>
      </c>
      <c r="D151" s="69"/>
      <c r="E151" s="23">
        <f t="shared" si="10"/>
        <v>107.3459</v>
      </c>
      <c r="F151" s="31">
        <f>4991.72/392.53</f>
        <v>12.7167859781418</v>
      </c>
      <c r="G151" s="36">
        <f t="shared" si="11"/>
        <v>1365.0948359310119</v>
      </c>
      <c r="H151" s="74">
        <f t="shared" si="12"/>
        <v>1365.0948359310119</v>
      </c>
      <c r="I151" s="40">
        <f t="shared" si="13"/>
        <v>0</v>
      </c>
    </row>
    <row r="152" spans="2:9" x14ac:dyDescent="0.25">
      <c r="B152" s="19" t="s">
        <v>24</v>
      </c>
      <c r="C152" s="22" t="s">
        <v>14</v>
      </c>
      <c r="D152" s="69"/>
      <c r="E152" s="23">
        <f t="shared" si="10"/>
        <v>71.968400000000003</v>
      </c>
      <c r="F152" s="73"/>
      <c r="G152" s="36">
        <f t="shared" si="11"/>
        <v>0</v>
      </c>
      <c r="H152" s="74">
        <f t="shared" si="12"/>
        <v>0</v>
      </c>
      <c r="I152" s="40">
        <f t="shared" si="13"/>
        <v>0</v>
      </c>
    </row>
    <row r="153" spans="2:9" x14ac:dyDescent="0.25">
      <c r="B153" s="19" t="s">
        <v>39</v>
      </c>
      <c r="C153" s="22" t="s">
        <v>12</v>
      </c>
      <c r="D153" s="69"/>
      <c r="E153" s="23">
        <f t="shared" si="10"/>
        <v>4.7299999999999995E-2</v>
      </c>
      <c r="F153" s="31">
        <v>9500</v>
      </c>
      <c r="G153" s="36">
        <f t="shared" si="11"/>
        <v>449.34999999999997</v>
      </c>
      <c r="H153" s="74">
        <f t="shared" si="12"/>
        <v>449.34999999999991</v>
      </c>
      <c r="I153" s="40">
        <f t="shared" si="13"/>
        <v>0</v>
      </c>
    </row>
    <row r="154" spans="2:9" x14ac:dyDescent="0.25">
      <c r="G154" s="58">
        <f>SUM(G125:G153)</f>
        <v>61517.385782202291</v>
      </c>
    </row>
  </sheetData>
  <autoFilter ref="A15:G91">
    <filterColumn colId="3" showButton="0"/>
  </autoFilter>
  <mergeCells count="17">
    <mergeCell ref="A10:G10"/>
    <mergeCell ref="E1:G1"/>
    <mergeCell ref="E3:G3"/>
    <mergeCell ref="E5:G5"/>
    <mergeCell ref="A6:E6"/>
    <mergeCell ref="A8:G8"/>
    <mergeCell ref="C112:F112"/>
    <mergeCell ref="C114:F114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36"/>
  <sheetViews>
    <sheetView view="pageBreakPreview" zoomScale="115" zoomScaleNormal="130" zoomScaleSheetLayoutView="115" workbookViewId="0">
      <selection activeCell="E17" sqref="E17"/>
    </sheetView>
  </sheetViews>
  <sheetFormatPr defaultColWidth="9.140625" defaultRowHeight="12.75" x14ac:dyDescent="0.25"/>
  <cols>
    <col min="1" max="1" width="9.85546875" style="51" customWidth="1"/>
    <col min="2" max="2" width="70.28515625" style="40" customWidth="1"/>
    <col min="3" max="3" width="10.7109375" style="51" customWidth="1"/>
    <col min="4" max="5" width="10.7109375" style="40" customWidth="1"/>
    <col min="6" max="6" width="11.85546875" style="62" customWidth="1"/>
    <col min="7" max="7" width="12.5703125" style="58" customWidth="1"/>
    <col min="8" max="8" width="10.42578125" style="40" bestFit="1" customWidth="1"/>
    <col min="9" max="9" width="12.42578125" style="40" customWidth="1"/>
    <col min="10" max="16384" width="9.140625" style="40"/>
  </cols>
  <sheetData>
    <row r="1" spans="1:7" ht="15" x14ac:dyDescent="0.25">
      <c r="A1" s="37" t="s">
        <v>9</v>
      </c>
      <c r="B1" s="37"/>
      <c r="C1" s="38"/>
      <c r="D1" s="39"/>
      <c r="E1" s="141" t="s">
        <v>57</v>
      </c>
      <c r="F1" s="141"/>
      <c r="G1" s="141"/>
    </row>
    <row r="2" spans="1:7" ht="15" x14ac:dyDescent="0.25">
      <c r="A2" s="41"/>
      <c r="B2" s="38"/>
      <c r="C2" s="38"/>
      <c r="D2" s="39"/>
      <c r="E2" s="39"/>
      <c r="F2" s="42"/>
      <c r="G2" s="42"/>
    </row>
    <row r="3" spans="1:7" ht="15" customHeight="1" x14ac:dyDescent="0.25">
      <c r="A3" s="41"/>
      <c r="B3" s="38"/>
      <c r="C3" s="38"/>
      <c r="D3" s="39"/>
      <c r="E3" s="142" t="s">
        <v>62</v>
      </c>
      <c r="F3" s="142"/>
      <c r="G3" s="142"/>
    </row>
    <row r="4" spans="1:7" ht="13.9" customHeight="1" x14ac:dyDescent="0.25">
      <c r="A4" s="41"/>
      <c r="B4" s="38"/>
      <c r="C4" s="38"/>
      <c r="D4" s="39"/>
      <c r="E4" s="39"/>
      <c r="F4" s="42"/>
      <c r="G4" s="42"/>
    </row>
    <row r="5" spans="1:7" ht="15" x14ac:dyDescent="0.25">
      <c r="A5" s="41"/>
      <c r="B5" s="38"/>
      <c r="C5" s="38"/>
      <c r="D5" s="39"/>
      <c r="E5" s="141" t="s">
        <v>58</v>
      </c>
      <c r="F5" s="141"/>
      <c r="G5" s="141"/>
    </row>
    <row r="6" spans="1:7" ht="15.75" x14ac:dyDescent="0.25">
      <c r="A6" s="143" t="s">
        <v>32</v>
      </c>
      <c r="B6" s="143"/>
      <c r="C6" s="143"/>
      <c r="D6" s="143"/>
      <c r="E6" s="143"/>
      <c r="F6" s="43"/>
      <c r="G6" s="44"/>
    </row>
    <row r="7" spans="1:7" ht="15.75" x14ac:dyDescent="0.25">
      <c r="A7" s="45"/>
      <c r="B7" s="77"/>
      <c r="C7" s="77"/>
      <c r="D7" s="76"/>
      <c r="E7" s="76"/>
      <c r="F7" s="46"/>
      <c r="G7" s="47"/>
    </row>
    <row r="8" spans="1:7" ht="15.75" x14ac:dyDescent="0.25">
      <c r="A8" s="143" t="s">
        <v>59</v>
      </c>
      <c r="B8" s="143"/>
      <c r="C8" s="143"/>
      <c r="D8" s="143"/>
      <c r="E8" s="143"/>
      <c r="F8" s="140"/>
      <c r="G8" s="143"/>
    </row>
    <row r="9" spans="1:7" ht="13.5" x14ac:dyDescent="0.25">
      <c r="A9" s="79"/>
      <c r="B9" s="48"/>
      <c r="C9" s="79"/>
      <c r="D9" s="48"/>
      <c r="E9" s="48"/>
      <c r="F9" s="59"/>
      <c r="G9" s="49"/>
    </row>
    <row r="10" spans="1:7" ht="15.75" x14ac:dyDescent="0.25">
      <c r="A10" s="139" t="s">
        <v>67</v>
      </c>
      <c r="B10" s="139"/>
      <c r="C10" s="139"/>
      <c r="D10" s="139"/>
      <c r="E10" s="139"/>
      <c r="F10" s="140"/>
      <c r="G10" s="139"/>
    </row>
    <row r="11" spans="1:7" ht="15" x14ac:dyDescent="0.25">
      <c r="A11" s="79"/>
      <c r="B11" s="145" t="s">
        <v>109</v>
      </c>
      <c r="C11" s="145"/>
      <c r="D11" s="145"/>
      <c r="E11" s="145"/>
      <c r="F11" s="145"/>
      <c r="G11" s="145"/>
    </row>
    <row r="12" spans="1:7" ht="20.25" x14ac:dyDescent="0.25">
      <c r="A12" s="146" t="s">
        <v>167</v>
      </c>
      <c r="B12" s="146"/>
      <c r="C12" s="146"/>
      <c r="D12" s="146"/>
      <c r="E12" s="146"/>
      <c r="F12" s="147"/>
      <c r="G12" s="146"/>
    </row>
    <row r="13" spans="1:7" ht="13.5" x14ac:dyDescent="0.25">
      <c r="A13" s="148" t="s">
        <v>108</v>
      </c>
      <c r="B13" s="148"/>
      <c r="C13" s="148"/>
      <c r="D13" s="148"/>
      <c r="E13" s="148"/>
      <c r="F13" s="149"/>
      <c r="G13" s="148"/>
    </row>
    <row r="14" spans="1:7" ht="13.5" x14ac:dyDescent="0.25">
      <c r="A14" s="79"/>
      <c r="B14" s="79"/>
      <c r="C14" s="79"/>
      <c r="D14" s="79"/>
      <c r="E14" s="79"/>
      <c r="F14" s="60"/>
      <c r="G14" s="50"/>
    </row>
    <row r="15" spans="1:7" s="51" customFormat="1" ht="13.5" customHeight="1" x14ac:dyDescent="0.25">
      <c r="A15" s="150" t="s">
        <v>0</v>
      </c>
      <c r="B15" s="150" t="s">
        <v>1</v>
      </c>
      <c r="C15" s="150" t="s">
        <v>2</v>
      </c>
      <c r="D15" s="150" t="s">
        <v>3</v>
      </c>
      <c r="E15" s="150"/>
      <c r="F15" s="151" t="s">
        <v>4</v>
      </c>
      <c r="G15" s="150" t="s">
        <v>10</v>
      </c>
    </row>
    <row r="16" spans="1:7" s="51" customFormat="1" ht="13.5" x14ac:dyDescent="0.25">
      <c r="A16" s="150"/>
      <c r="B16" s="150"/>
      <c r="C16" s="150"/>
      <c r="D16" s="80" t="s">
        <v>5</v>
      </c>
      <c r="E16" s="80" t="s">
        <v>6</v>
      </c>
      <c r="F16" s="150"/>
      <c r="G16" s="150"/>
    </row>
    <row r="17" spans="1:9" s="51" customFormat="1" ht="13.5" x14ac:dyDescent="0.25">
      <c r="A17" s="3" t="s">
        <v>130</v>
      </c>
      <c r="B17" s="33" t="s">
        <v>135</v>
      </c>
      <c r="C17" s="7" t="s">
        <v>11</v>
      </c>
      <c r="D17" s="34"/>
      <c r="E17" s="81">
        <f>370.68*0.08</f>
        <v>29.654400000000003</v>
      </c>
      <c r="F17" s="82"/>
      <c r="G17" s="33"/>
      <c r="H17" s="40"/>
      <c r="I17" s="40"/>
    </row>
    <row r="18" spans="1:9" s="51" customFormat="1" x14ac:dyDescent="0.25">
      <c r="A18" s="2">
        <v>1</v>
      </c>
      <c r="B18" s="87" t="s">
        <v>168</v>
      </c>
      <c r="C18" s="8" t="s">
        <v>7</v>
      </c>
      <c r="D18" s="6">
        <v>2.4</v>
      </c>
      <c r="E18" s="9">
        <f>D18*E17</f>
        <v>71.170560000000009</v>
      </c>
      <c r="F18" s="83">
        <v>9.9600000000000009</v>
      </c>
      <c r="G18" s="36">
        <f t="shared" ref="G18:G22" si="0">F18*E18</f>
        <v>708.85877760000017</v>
      </c>
      <c r="H18" s="40"/>
      <c r="I18" s="40"/>
    </row>
    <row r="19" spans="1:9" s="51" customFormat="1" x14ac:dyDescent="0.25">
      <c r="A19" s="2">
        <v>2</v>
      </c>
      <c r="B19" s="1" t="s">
        <v>18</v>
      </c>
      <c r="C19" s="8" t="s">
        <v>7</v>
      </c>
      <c r="D19" s="6">
        <v>0.54</v>
      </c>
      <c r="E19" s="9">
        <f>D19*E17</f>
        <v>16.013376000000001</v>
      </c>
      <c r="F19" s="83">
        <v>15.44</v>
      </c>
      <c r="G19" s="36">
        <f t="shared" si="0"/>
        <v>247.24652544</v>
      </c>
      <c r="H19" s="40"/>
      <c r="I19" s="40"/>
    </row>
    <row r="20" spans="1:9" s="51" customFormat="1" ht="25.5" x14ac:dyDescent="0.25">
      <c r="A20" s="2" t="s">
        <v>131</v>
      </c>
      <c r="B20" s="1" t="s">
        <v>132</v>
      </c>
      <c r="C20" s="8" t="s">
        <v>19</v>
      </c>
      <c r="D20" s="6">
        <v>0.46</v>
      </c>
      <c r="E20" s="9">
        <f>D20*E17</f>
        <v>13.641024000000002</v>
      </c>
      <c r="F20" s="83">
        <f>93.68-11.74</f>
        <v>81.940000000000012</v>
      </c>
      <c r="G20" s="36">
        <f t="shared" si="0"/>
        <v>1117.7455065600002</v>
      </c>
      <c r="H20" s="40"/>
      <c r="I20" s="40"/>
    </row>
    <row r="21" spans="1:9" s="51" customFormat="1" x14ac:dyDescent="0.25">
      <c r="A21" s="2">
        <v>331101</v>
      </c>
      <c r="B21" s="1" t="s">
        <v>133</v>
      </c>
      <c r="C21" s="8" t="s">
        <v>19</v>
      </c>
      <c r="D21" s="6">
        <v>0.92</v>
      </c>
      <c r="E21" s="9">
        <f>D21*E17</f>
        <v>27.282048000000003</v>
      </c>
      <c r="F21" s="83">
        <v>2.35</v>
      </c>
      <c r="G21" s="36">
        <f t="shared" si="0"/>
        <v>64.112812800000015</v>
      </c>
      <c r="H21" s="40"/>
      <c r="I21" s="40"/>
    </row>
    <row r="22" spans="1:9" s="51" customFormat="1" x14ac:dyDescent="0.25">
      <c r="A22" s="2" t="s">
        <v>134</v>
      </c>
      <c r="B22" s="35" t="s">
        <v>28</v>
      </c>
      <c r="C22" s="8" t="s">
        <v>11</v>
      </c>
      <c r="D22" s="6">
        <v>1.3</v>
      </c>
      <c r="E22" s="9">
        <f>D22*E17</f>
        <v>38.550720000000005</v>
      </c>
      <c r="F22" s="31">
        <f>4991.72/392.53</f>
        <v>12.7167859781418</v>
      </c>
      <c r="G22" s="36">
        <f t="shared" si="0"/>
        <v>490.24125554327071</v>
      </c>
      <c r="H22" s="40"/>
      <c r="I22" s="40"/>
    </row>
    <row r="23" spans="1:9" s="51" customFormat="1" ht="13.5" x14ac:dyDescent="0.25">
      <c r="A23" s="64"/>
      <c r="B23" s="65" t="s">
        <v>8</v>
      </c>
      <c r="C23" s="66"/>
      <c r="D23" s="67"/>
      <c r="E23" s="67"/>
      <c r="F23" s="67"/>
      <c r="G23" s="68">
        <f>SUM(G18:G22)</f>
        <v>2628.2048779432712</v>
      </c>
      <c r="H23" s="40"/>
      <c r="I23" s="40"/>
    </row>
    <row r="24" spans="1:9" s="51" customFormat="1" ht="13.5" x14ac:dyDescent="0.25">
      <c r="A24" s="88" t="s">
        <v>112</v>
      </c>
      <c r="B24" s="89" t="s">
        <v>129</v>
      </c>
      <c r="C24" s="90" t="s">
        <v>20</v>
      </c>
      <c r="D24" s="91"/>
      <c r="E24" s="92">
        <f>(370.68)/100*0.08</f>
        <v>0.29654399999999997</v>
      </c>
      <c r="F24" s="91"/>
      <c r="G24" s="93"/>
      <c r="H24" s="40"/>
      <c r="I24" s="40"/>
    </row>
    <row r="25" spans="1:9" s="51" customFormat="1" x14ac:dyDescent="0.25">
      <c r="A25" s="94" t="s">
        <v>140</v>
      </c>
      <c r="B25" s="87" t="s">
        <v>111</v>
      </c>
      <c r="C25" s="95" t="s">
        <v>7</v>
      </c>
      <c r="D25" s="96">
        <v>180</v>
      </c>
      <c r="E25" s="23">
        <f>ROUND(D25*E24,4)</f>
        <v>53.377899999999997</v>
      </c>
      <c r="F25" s="97">
        <v>10.41</v>
      </c>
      <c r="G25" s="84">
        <f>E25*F25</f>
        <v>555.66393900000003</v>
      </c>
      <c r="H25" s="40"/>
      <c r="I25" s="40"/>
    </row>
    <row r="26" spans="1:9" s="51" customFormat="1" x14ac:dyDescent="0.25">
      <c r="A26" s="94" t="s">
        <v>141</v>
      </c>
      <c r="B26" s="87" t="s">
        <v>113</v>
      </c>
      <c r="C26" s="95" t="s">
        <v>7</v>
      </c>
      <c r="D26" s="96">
        <v>18</v>
      </c>
      <c r="E26" s="23">
        <f>ROUND(D26*E24,4)</f>
        <v>5.3377999999999997</v>
      </c>
      <c r="F26" s="83">
        <v>15.44</v>
      </c>
      <c r="G26" s="84">
        <f t="shared" ref="G26:G28" si="1">E26*F26</f>
        <v>82.415631999999988</v>
      </c>
      <c r="H26" s="40"/>
      <c r="I26" s="40"/>
    </row>
    <row r="27" spans="1:9" s="51" customFormat="1" ht="25.5" x14ac:dyDescent="0.25">
      <c r="A27" s="20" t="s">
        <v>40</v>
      </c>
      <c r="B27" s="19" t="s">
        <v>47</v>
      </c>
      <c r="C27" s="22" t="s">
        <v>19</v>
      </c>
      <c r="D27" s="96">
        <v>18</v>
      </c>
      <c r="E27" s="23">
        <f>ROUND(D27*E24,4)</f>
        <v>5.3377999999999997</v>
      </c>
      <c r="F27" s="31">
        <f>136.52-15.44</f>
        <v>121.08000000000001</v>
      </c>
      <c r="G27" s="84">
        <f t="shared" si="1"/>
        <v>646.30082400000003</v>
      </c>
      <c r="H27" s="40"/>
      <c r="I27" s="40"/>
    </row>
    <row r="28" spans="1:9" s="51" customFormat="1" x14ac:dyDescent="0.25">
      <c r="A28" s="20">
        <v>111100</v>
      </c>
      <c r="B28" s="87" t="s">
        <v>66</v>
      </c>
      <c r="C28" s="95" t="s">
        <v>19</v>
      </c>
      <c r="D28" s="96">
        <v>48</v>
      </c>
      <c r="E28" s="23">
        <f>ROUND(D28*E24,4)</f>
        <v>14.2341</v>
      </c>
      <c r="F28" s="97">
        <v>1.62</v>
      </c>
      <c r="G28" s="84">
        <f t="shared" si="1"/>
        <v>23.059242000000001</v>
      </c>
      <c r="H28" s="40"/>
      <c r="I28" s="40"/>
    </row>
    <row r="29" spans="1:9" s="51" customFormat="1" x14ac:dyDescent="0.25">
      <c r="A29" s="2" t="s">
        <v>88</v>
      </c>
      <c r="B29" s="19" t="s">
        <v>170</v>
      </c>
      <c r="C29" s="22" t="s">
        <v>11</v>
      </c>
      <c r="D29" s="18">
        <v>100</v>
      </c>
      <c r="E29" s="23">
        <f>ROUND(D29*E24,4)</f>
        <v>29.654399999999999</v>
      </c>
      <c r="F29" s="31"/>
      <c r="G29" s="36"/>
      <c r="H29" s="40"/>
      <c r="I29" s="40"/>
    </row>
    <row r="30" spans="1:9" s="51" customFormat="1" x14ac:dyDescent="0.25">
      <c r="A30" s="20"/>
      <c r="B30" s="32" t="s">
        <v>99</v>
      </c>
      <c r="C30" s="22" t="s">
        <v>12</v>
      </c>
      <c r="D30" s="18">
        <v>0.214</v>
      </c>
      <c r="E30" s="23">
        <f>ROUND(D30*E29,4)</f>
        <v>6.3460000000000001</v>
      </c>
      <c r="F30" s="24">
        <v>580</v>
      </c>
      <c r="G30" s="36">
        <f>F30*E30</f>
        <v>3680.68</v>
      </c>
      <c r="H30" s="40"/>
      <c r="I30" s="40"/>
    </row>
    <row r="31" spans="1:9" s="51" customFormat="1" x14ac:dyDescent="0.25">
      <c r="A31" s="20"/>
      <c r="B31" s="32" t="s">
        <v>29</v>
      </c>
      <c r="C31" s="22" t="s">
        <v>12</v>
      </c>
      <c r="D31" s="18">
        <f>58/100*1.52</f>
        <v>0.88159999999999994</v>
      </c>
      <c r="E31" s="23">
        <f>ROUND(D31*E29,4)</f>
        <v>26.1433</v>
      </c>
      <c r="F31" s="31">
        <v>18</v>
      </c>
      <c r="G31" s="36">
        <f>F31*E31</f>
        <v>470.57940000000002</v>
      </c>
      <c r="H31" s="40"/>
      <c r="I31" s="40"/>
    </row>
    <row r="32" spans="1:9" s="51" customFormat="1" x14ac:dyDescent="0.25">
      <c r="A32" s="20"/>
      <c r="B32" s="32" t="s">
        <v>28</v>
      </c>
      <c r="C32" s="22" t="s">
        <v>12</v>
      </c>
      <c r="D32" s="18">
        <f>80/100*1.6</f>
        <v>1.2800000000000002</v>
      </c>
      <c r="E32" s="23">
        <f>ROUND(D32*E29,4)</f>
        <v>37.957599999999999</v>
      </c>
      <c r="F32" s="31">
        <f>4991.72/392.53</f>
        <v>12.7167859781418</v>
      </c>
      <c r="G32" s="36">
        <f>F32*E32</f>
        <v>482.69867544391519</v>
      </c>
      <c r="H32" s="40"/>
      <c r="I32" s="40"/>
    </row>
    <row r="33" spans="1:9" s="51" customFormat="1" ht="13.5" x14ac:dyDescent="0.25">
      <c r="A33" s="64"/>
      <c r="B33" s="65" t="s">
        <v>8</v>
      </c>
      <c r="C33" s="66"/>
      <c r="D33" s="67"/>
      <c r="E33" s="67"/>
      <c r="F33" s="67"/>
      <c r="G33" s="68">
        <f>SUM(G25:G32)</f>
        <v>5941.3977124439143</v>
      </c>
      <c r="H33" s="40"/>
      <c r="I33" s="40"/>
    </row>
    <row r="34" spans="1:9" s="51" customFormat="1" ht="27" x14ac:dyDescent="0.25">
      <c r="A34" s="88" t="s">
        <v>114</v>
      </c>
      <c r="B34" s="89" t="s">
        <v>115</v>
      </c>
      <c r="C34" s="90" t="s">
        <v>105</v>
      </c>
      <c r="D34" s="91"/>
      <c r="E34" s="92">
        <f>370.68/100</f>
        <v>3.7067999999999999</v>
      </c>
      <c r="F34" s="91"/>
      <c r="G34" s="93"/>
      <c r="H34" s="40"/>
      <c r="I34" s="40"/>
    </row>
    <row r="35" spans="1:9" s="51" customFormat="1" x14ac:dyDescent="0.25">
      <c r="A35" s="94">
        <v>1</v>
      </c>
      <c r="B35" s="87" t="s">
        <v>116</v>
      </c>
      <c r="C35" s="95" t="s">
        <v>7</v>
      </c>
      <c r="D35" s="96">
        <v>46.18</v>
      </c>
      <c r="E35" s="23">
        <f>ROUND(D35*E34,4)</f>
        <v>171.18</v>
      </c>
      <c r="F35" s="97">
        <v>13.75</v>
      </c>
      <c r="G35" s="84">
        <f t="shared" ref="G35:G39" si="2">E35*F35</f>
        <v>2353.7249999999999</v>
      </c>
      <c r="H35" s="40"/>
      <c r="I35" s="40"/>
    </row>
    <row r="36" spans="1:9" s="51" customFormat="1" x14ac:dyDescent="0.25">
      <c r="A36" s="94">
        <v>2</v>
      </c>
      <c r="B36" s="1" t="s">
        <v>18</v>
      </c>
      <c r="C36" s="95" t="s">
        <v>7</v>
      </c>
      <c r="D36" s="96">
        <v>0.98</v>
      </c>
      <c r="E36" s="23">
        <f>ROUND(D36*E34,4)</f>
        <v>3.6326999999999998</v>
      </c>
      <c r="F36" s="83">
        <v>15.44</v>
      </c>
      <c r="G36" s="84">
        <f t="shared" si="2"/>
        <v>56.088887999999997</v>
      </c>
      <c r="H36" s="40"/>
      <c r="I36" s="40"/>
    </row>
    <row r="37" spans="1:9" s="51" customFormat="1" x14ac:dyDescent="0.25">
      <c r="A37" s="94">
        <v>121011</v>
      </c>
      <c r="B37" s="87" t="s">
        <v>117</v>
      </c>
      <c r="C37" s="95" t="s">
        <v>19</v>
      </c>
      <c r="D37" s="96">
        <v>8.0500000000000007</v>
      </c>
      <c r="E37" s="23">
        <f>ROUND(D37*E34,4)</f>
        <v>29.839700000000001</v>
      </c>
      <c r="F37" s="97">
        <v>22.66</v>
      </c>
      <c r="G37" s="84">
        <f t="shared" si="2"/>
        <v>676.16760199999999</v>
      </c>
      <c r="H37" s="40"/>
      <c r="I37" s="40"/>
    </row>
    <row r="38" spans="1:9" s="51" customFormat="1" x14ac:dyDescent="0.25">
      <c r="A38" s="94" t="s">
        <v>118</v>
      </c>
      <c r="B38" s="87" t="s">
        <v>119</v>
      </c>
      <c r="C38" s="95" t="s">
        <v>12</v>
      </c>
      <c r="D38" s="96">
        <v>0.3</v>
      </c>
      <c r="E38" s="23">
        <f>ROUND(D38*E34,4)</f>
        <v>1.1120000000000001</v>
      </c>
      <c r="F38" s="97"/>
      <c r="G38" s="84">
        <f t="shared" si="2"/>
        <v>0</v>
      </c>
      <c r="H38" s="40"/>
      <c r="I38" s="40"/>
    </row>
    <row r="39" spans="1:9" s="51" customFormat="1" x14ac:dyDescent="0.25">
      <c r="A39" s="94" t="s">
        <v>120</v>
      </c>
      <c r="B39" s="87" t="s">
        <v>121</v>
      </c>
      <c r="C39" s="95" t="s">
        <v>14</v>
      </c>
      <c r="D39" s="96">
        <v>116</v>
      </c>
      <c r="E39" s="23">
        <f>ROUND(D39*E34,4)</f>
        <v>429.98880000000003</v>
      </c>
      <c r="F39" s="97"/>
      <c r="G39" s="84">
        <f t="shared" si="2"/>
        <v>0</v>
      </c>
      <c r="H39" s="40"/>
      <c r="I39" s="40"/>
    </row>
    <row r="40" spans="1:9" s="51" customFormat="1" ht="13.5" x14ac:dyDescent="0.25">
      <c r="A40" s="64"/>
      <c r="B40" s="65" t="s">
        <v>8</v>
      </c>
      <c r="C40" s="66"/>
      <c r="D40" s="67"/>
      <c r="E40" s="67"/>
      <c r="F40" s="67"/>
      <c r="G40" s="68">
        <f>SUM(G35:G39)</f>
        <v>3085.9814899999997</v>
      </c>
      <c r="H40" s="40"/>
      <c r="I40" s="40"/>
    </row>
    <row r="41" spans="1:9" s="51" customFormat="1" ht="13.5" x14ac:dyDescent="0.25">
      <c r="A41" s="88" t="s">
        <v>112</v>
      </c>
      <c r="B41" s="89" t="s">
        <v>128</v>
      </c>
      <c r="C41" s="90" t="s">
        <v>20</v>
      </c>
      <c r="D41" s="91"/>
      <c r="E41" s="92">
        <f>(370.68)/100*0.05</f>
        <v>0.18534</v>
      </c>
      <c r="F41" s="91"/>
      <c r="G41" s="93"/>
      <c r="H41" s="40"/>
      <c r="I41" s="40"/>
    </row>
    <row r="42" spans="1:9" s="51" customFormat="1" x14ac:dyDescent="0.25">
      <c r="A42" s="94" t="s">
        <v>140</v>
      </c>
      <c r="B42" s="87" t="s">
        <v>111</v>
      </c>
      <c r="C42" s="95" t="s">
        <v>7</v>
      </c>
      <c r="D42" s="96">
        <v>180</v>
      </c>
      <c r="E42" s="23">
        <f>ROUND(D42*E41,4)</f>
        <v>33.361199999999997</v>
      </c>
      <c r="F42" s="97">
        <v>10.41</v>
      </c>
      <c r="G42" s="84">
        <f>E42*F42</f>
        <v>347.29009199999996</v>
      </c>
      <c r="H42" s="40"/>
      <c r="I42" s="40"/>
    </row>
    <row r="43" spans="1:9" s="51" customFormat="1" x14ac:dyDescent="0.25">
      <c r="A43" s="94" t="s">
        <v>141</v>
      </c>
      <c r="B43" s="87" t="s">
        <v>113</v>
      </c>
      <c r="C43" s="95" t="s">
        <v>7</v>
      </c>
      <c r="D43" s="96">
        <v>18</v>
      </c>
      <c r="E43" s="23">
        <f>ROUND(D43*E41,4)</f>
        <v>3.3361000000000001</v>
      </c>
      <c r="F43" s="83">
        <v>15.44</v>
      </c>
      <c r="G43" s="84">
        <f t="shared" ref="G43:G45" si="3">E43*F43</f>
        <v>51.509383999999997</v>
      </c>
      <c r="H43" s="40"/>
      <c r="I43" s="40"/>
    </row>
    <row r="44" spans="1:9" s="51" customFormat="1" ht="25.5" x14ac:dyDescent="0.25">
      <c r="A44" s="20" t="s">
        <v>40</v>
      </c>
      <c r="B44" s="19" t="s">
        <v>47</v>
      </c>
      <c r="C44" s="22" t="s">
        <v>19</v>
      </c>
      <c r="D44" s="96">
        <v>18</v>
      </c>
      <c r="E44" s="23">
        <f>ROUND(D44*E41,4)</f>
        <v>3.3361000000000001</v>
      </c>
      <c r="F44" s="31">
        <f>136.52-15.44</f>
        <v>121.08000000000001</v>
      </c>
      <c r="G44" s="84">
        <f t="shared" si="3"/>
        <v>403.93498800000003</v>
      </c>
      <c r="H44" s="40"/>
      <c r="I44" s="40"/>
    </row>
    <row r="45" spans="1:9" s="51" customFormat="1" x14ac:dyDescent="0.25">
      <c r="A45" s="20">
        <v>111100</v>
      </c>
      <c r="B45" s="87" t="s">
        <v>66</v>
      </c>
      <c r="C45" s="95" t="s">
        <v>19</v>
      </c>
      <c r="D45" s="96">
        <v>48</v>
      </c>
      <c r="E45" s="23">
        <f>ROUND(D45*E41,4)</f>
        <v>8.8963000000000001</v>
      </c>
      <c r="F45" s="97">
        <v>1.62</v>
      </c>
      <c r="G45" s="84">
        <f t="shared" si="3"/>
        <v>14.412006000000002</v>
      </c>
      <c r="H45" s="40"/>
      <c r="I45" s="40"/>
    </row>
    <row r="46" spans="1:9" s="51" customFormat="1" x14ac:dyDescent="0.25">
      <c r="A46" s="2" t="s">
        <v>88</v>
      </c>
      <c r="B46" s="19" t="s">
        <v>170</v>
      </c>
      <c r="C46" s="22" t="s">
        <v>11</v>
      </c>
      <c r="D46" s="18">
        <v>100</v>
      </c>
      <c r="E46" s="23">
        <f>ROUND(D46*E41,4)</f>
        <v>18.533999999999999</v>
      </c>
      <c r="F46" s="31"/>
      <c r="G46" s="36"/>
      <c r="H46" s="40"/>
      <c r="I46" s="40"/>
    </row>
    <row r="47" spans="1:9" s="51" customFormat="1" x14ac:dyDescent="0.25">
      <c r="A47" s="20"/>
      <c r="B47" s="32" t="s">
        <v>99</v>
      </c>
      <c r="C47" s="22" t="s">
        <v>12</v>
      </c>
      <c r="D47" s="18">
        <v>0.214</v>
      </c>
      <c r="E47" s="23">
        <f>ROUND(D47*E46,4)</f>
        <v>3.9662999999999999</v>
      </c>
      <c r="G47" s="36">
        <f>F71*E47</f>
        <v>2300.4540000000002</v>
      </c>
      <c r="H47" s="40"/>
      <c r="I47" s="40"/>
    </row>
    <row r="48" spans="1:9" s="51" customFormat="1" x14ac:dyDescent="0.25">
      <c r="A48" s="20"/>
      <c r="B48" s="32" t="s">
        <v>29</v>
      </c>
      <c r="C48" s="22" t="s">
        <v>12</v>
      </c>
      <c r="D48" s="18">
        <f>58/100*1.52</f>
        <v>0.88159999999999994</v>
      </c>
      <c r="E48" s="23">
        <f>ROUND(D48*E46,4)</f>
        <v>16.339600000000001</v>
      </c>
      <c r="F48" s="31">
        <v>18</v>
      </c>
      <c r="G48" s="36">
        <f>F48*E48</f>
        <v>294.11279999999999</v>
      </c>
      <c r="H48" s="40"/>
      <c r="I48" s="40"/>
    </row>
    <row r="49" spans="1:9" s="51" customFormat="1" x14ac:dyDescent="0.25">
      <c r="A49" s="20"/>
      <c r="B49" s="32" t="s">
        <v>28</v>
      </c>
      <c r="C49" s="22" t="s">
        <v>12</v>
      </c>
      <c r="D49" s="18">
        <f>80/100*1.6</f>
        <v>1.2800000000000002</v>
      </c>
      <c r="E49" s="23">
        <f>ROUND(D49*E46,4)</f>
        <v>23.723500000000001</v>
      </c>
      <c r="F49" s="31">
        <f>4991.72/392.53</f>
        <v>12.7167859781418</v>
      </c>
      <c r="G49" s="36">
        <f>F49*E49</f>
        <v>301.68667215244699</v>
      </c>
      <c r="H49" s="40"/>
      <c r="I49" s="40"/>
    </row>
    <row r="50" spans="1:9" s="51" customFormat="1" ht="13.5" x14ac:dyDescent="0.25">
      <c r="A50" s="64"/>
      <c r="B50" s="65" t="s">
        <v>8</v>
      </c>
      <c r="C50" s="66"/>
      <c r="D50" s="67"/>
      <c r="E50" s="67"/>
      <c r="F50" s="67"/>
      <c r="G50" s="68">
        <f>SUM(G42:G49)</f>
        <v>3713.3999421524472</v>
      </c>
      <c r="H50" s="40"/>
      <c r="I50" s="40"/>
    </row>
    <row r="51" spans="1:9" s="51" customFormat="1" ht="13.5" x14ac:dyDescent="0.25">
      <c r="A51" s="86" t="s">
        <v>122</v>
      </c>
      <c r="B51" s="99" t="s">
        <v>123</v>
      </c>
      <c r="C51" s="100" t="s">
        <v>124</v>
      </c>
      <c r="D51" s="68"/>
      <c r="E51" s="101">
        <f>(289)/100</f>
        <v>2.89</v>
      </c>
      <c r="F51" s="87"/>
      <c r="G51" s="87"/>
      <c r="H51" s="40"/>
      <c r="I51" s="40"/>
    </row>
    <row r="52" spans="1:9" s="51" customFormat="1" x14ac:dyDescent="0.25">
      <c r="A52" s="85">
        <v>1</v>
      </c>
      <c r="B52" s="102" t="s">
        <v>111</v>
      </c>
      <c r="C52" s="85" t="s">
        <v>7</v>
      </c>
      <c r="D52" s="84">
        <v>220.66</v>
      </c>
      <c r="E52" s="23">
        <f>ROUND(D52*E51,4)</f>
        <v>637.70740000000001</v>
      </c>
      <c r="F52" s="83">
        <v>10.41</v>
      </c>
      <c r="G52" s="98">
        <f>E52*F52</f>
        <v>6638.5340340000002</v>
      </c>
      <c r="H52" s="40"/>
      <c r="I52" s="40"/>
    </row>
    <row r="53" spans="1:9" s="51" customFormat="1" x14ac:dyDescent="0.25">
      <c r="A53" s="85">
        <v>2</v>
      </c>
      <c r="B53" s="102" t="s">
        <v>113</v>
      </c>
      <c r="C53" s="85" t="s">
        <v>7</v>
      </c>
      <c r="D53" s="84">
        <v>28.78</v>
      </c>
      <c r="E53" s="23">
        <f>ROUND(D53*E51,4)</f>
        <v>83.174199999999999</v>
      </c>
      <c r="F53" s="83">
        <v>15.44</v>
      </c>
      <c r="G53" s="98">
        <f t="shared" ref="G53:G69" si="4">E53*F53</f>
        <v>1284.209648</v>
      </c>
      <c r="H53" s="40"/>
      <c r="I53" s="40"/>
    </row>
    <row r="54" spans="1:9" s="51" customFormat="1" ht="25.5" x14ac:dyDescent="0.25">
      <c r="A54" s="20" t="s">
        <v>40</v>
      </c>
      <c r="B54" s="19" t="s">
        <v>47</v>
      </c>
      <c r="C54" s="22" t="s">
        <v>19</v>
      </c>
      <c r="D54" s="84">
        <v>26.06</v>
      </c>
      <c r="E54" s="23">
        <f>ROUND(D54*E51,4)</f>
        <v>75.313400000000001</v>
      </c>
      <c r="F54" s="31">
        <f>136.52-15.44</f>
        <v>121.08000000000001</v>
      </c>
      <c r="G54" s="98">
        <f t="shared" si="4"/>
        <v>9118.9464720000014</v>
      </c>
      <c r="H54" s="40"/>
      <c r="I54" s="40"/>
    </row>
    <row r="55" spans="1:9" s="51" customFormat="1" x14ac:dyDescent="0.25">
      <c r="A55" s="20" t="s">
        <v>41</v>
      </c>
      <c r="B55" s="21" t="s">
        <v>38</v>
      </c>
      <c r="C55" s="22" t="s">
        <v>19</v>
      </c>
      <c r="D55" s="84">
        <v>4.3</v>
      </c>
      <c r="E55" s="23">
        <f>ROUND(D55*E51,4)</f>
        <v>12.427</v>
      </c>
      <c r="F55" s="83">
        <v>8.4600000000000009</v>
      </c>
      <c r="G55" s="98">
        <f t="shared" si="4"/>
        <v>105.13242000000001</v>
      </c>
      <c r="H55" s="40"/>
      <c r="I55" s="40"/>
    </row>
    <row r="56" spans="1:9" s="51" customFormat="1" x14ac:dyDescent="0.25">
      <c r="A56" s="20">
        <v>111100</v>
      </c>
      <c r="B56" s="19" t="s">
        <v>27</v>
      </c>
      <c r="C56" s="22" t="s">
        <v>19</v>
      </c>
      <c r="D56" s="84">
        <v>10.71</v>
      </c>
      <c r="E56" s="23">
        <f>ROUND(D56*E51,4)</f>
        <v>30.951899999999998</v>
      </c>
      <c r="F56" s="83">
        <v>2.83</v>
      </c>
      <c r="G56" s="98">
        <f t="shared" si="4"/>
        <v>87.593876999999992</v>
      </c>
      <c r="H56" s="40"/>
      <c r="I56" s="40"/>
    </row>
    <row r="57" spans="1:9" s="51" customFormat="1" x14ac:dyDescent="0.25">
      <c r="A57" s="20">
        <v>331532</v>
      </c>
      <c r="B57" s="19" t="s">
        <v>26</v>
      </c>
      <c r="C57" s="22" t="s">
        <v>19</v>
      </c>
      <c r="D57" s="84">
        <v>0.1</v>
      </c>
      <c r="E57" s="23">
        <f>ROUND(D57*E51,4)</f>
        <v>0.28899999999999998</v>
      </c>
      <c r="F57" s="83">
        <v>1.82</v>
      </c>
      <c r="G57" s="98">
        <f t="shared" si="4"/>
        <v>0.52598</v>
      </c>
      <c r="H57" s="40"/>
      <c r="I57" s="40"/>
    </row>
    <row r="58" spans="1:9" s="51" customFormat="1" x14ac:dyDescent="0.25">
      <c r="A58" s="85"/>
      <c r="B58" s="102" t="s">
        <v>125</v>
      </c>
      <c r="C58" s="85" t="s">
        <v>110</v>
      </c>
      <c r="D58" s="84">
        <v>10.199999999999999</v>
      </c>
      <c r="E58" s="23">
        <f>ROUND(D58*E51,4)</f>
        <v>29.478000000000002</v>
      </c>
      <c r="F58" s="83"/>
      <c r="G58" s="98">
        <f t="shared" si="4"/>
        <v>0</v>
      </c>
      <c r="H58" s="40"/>
      <c r="I58" s="40"/>
    </row>
    <row r="59" spans="1:9" s="51" customFormat="1" x14ac:dyDescent="0.25">
      <c r="A59" s="85"/>
      <c r="B59" s="102" t="s">
        <v>126</v>
      </c>
      <c r="C59" s="85" t="s">
        <v>110</v>
      </c>
      <c r="D59" s="84">
        <v>160</v>
      </c>
      <c r="E59" s="23">
        <f>ROUND(D59*E51,4)</f>
        <v>462.4</v>
      </c>
      <c r="F59" s="83"/>
      <c r="G59" s="98">
        <f t="shared" si="4"/>
        <v>0</v>
      </c>
      <c r="H59" s="40"/>
      <c r="I59" s="40"/>
    </row>
    <row r="60" spans="1:9" s="51" customFormat="1" x14ac:dyDescent="0.25">
      <c r="A60" s="85"/>
      <c r="B60" s="102" t="s">
        <v>13</v>
      </c>
      <c r="C60" s="85" t="s">
        <v>110</v>
      </c>
      <c r="D60" s="84">
        <v>2</v>
      </c>
      <c r="E60" s="23">
        <f>ROUND(D60*E51,4)</f>
        <v>5.78</v>
      </c>
      <c r="F60" s="31">
        <v>7.2</v>
      </c>
      <c r="G60" s="98">
        <f t="shared" si="4"/>
        <v>41.616</v>
      </c>
      <c r="H60" s="40"/>
      <c r="I60" s="40"/>
    </row>
    <row r="61" spans="1:9" s="51" customFormat="1" x14ac:dyDescent="0.25">
      <c r="A61" s="85"/>
      <c r="B61" s="102" t="s">
        <v>127</v>
      </c>
      <c r="C61" s="85" t="s">
        <v>11</v>
      </c>
      <c r="D61" s="84">
        <v>0.04</v>
      </c>
      <c r="E61" s="23">
        <f>ROUND(D61*E51,4)</f>
        <v>0.11559999999999999</v>
      </c>
      <c r="F61" s="83"/>
      <c r="G61" s="98">
        <f t="shared" si="4"/>
        <v>0</v>
      </c>
      <c r="H61" s="40"/>
      <c r="I61" s="40"/>
    </row>
    <row r="62" spans="1:9" s="51" customFormat="1" x14ac:dyDescent="0.25">
      <c r="A62" s="85"/>
      <c r="B62" s="102" t="s">
        <v>24</v>
      </c>
      <c r="C62" s="85" t="s">
        <v>14</v>
      </c>
      <c r="D62" s="84">
        <v>3.6</v>
      </c>
      <c r="E62" s="23">
        <f>ROUND(D62*E51,4)</f>
        <v>10.404</v>
      </c>
      <c r="F62" s="10"/>
      <c r="G62" s="98">
        <f t="shared" si="4"/>
        <v>0</v>
      </c>
      <c r="H62" s="40"/>
      <c r="I62" s="40"/>
    </row>
    <row r="63" spans="1:9" s="51" customFormat="1" x14ac:dyDescent="0.25">
      <c r="A63" s="85"/>
      <c r="B63" s="102" t="s">
        <v>77</v>
      </c>
      <c r="C63" s="85" t="s">
        <v>12</v>
      </c>
      <c r="D63" s="84" t="s">
        <v>17</v>
      </c>
      <c r="E63" s="104">
        <f>288/1000</f>
        <v>0.28799999999999998</v>
      </c>
      <c r="F63" s="31">
        <v>6500</v>
      </c>
      <c r="G63" s="98">
        <f t="shared" si="4"/>
        <v>1871.9999999999998</v>
      </c>
      <c r="H63" s="40"/>
      <c r="I63" s="40"/>
    </row>
    <row r="64" spans="1:9" s="51" customFormat="1" x14ac:dyDescent="0.25">
      <c r="A64" s="85"/>
      <c r="B64" s="102" t="s">
        <v>75</v>
      </c>
      <c r="C64" s="85" t="s">
        <v>12</v>
      </c>
      <c r="D64" s="84" t="s">
        <v>17</v>
      </c>
      <c r="E64" s="104">
        <f>280/1000</f>
        <v>0.28000000000000003</v>
      </c>
      <c r="F64" s="31">
        <v>6500</v>
      </c>
      <c r="G64" s="98">
        <f t="shared" si="4"/>
        <v>1820.0000000000002</v>
      </c>
      <c r="H64" s="40"/>
      <c r="I64" s="40"/>
    </row>
    <row r="65" spans="1:9" s="51" customFormat="1" x14ac:dyDescent="0.25">
      <c r="A65" s="85"/>
      <c r="B65" s="102" t="s">
        <v>43</v>
      </c>
      <c r="C65" s="85" t="s">
        <v>12</v>
      </c>
      <c r="D65" s="84" t="s">
        <v>17</v>
      </c>
      <c r="E65" s="104">
        <f>4000/1000</f>
        <v>4</v>
      </c>
      <c r="F65" s="31">
        <v>6500</v>
      </c>
      <c r="G65" s="98">
        <f t="shared" si="4"/>
        <v>26000</v>
      </c>
      <c r="H65" s="40"/>
      <c r="I65" s="40"/>
    </row>
    <row r="66" spans="1:9" s="51" customFormat="1" x14ac:dyDescent="0.25">
      <c r="A66" s="85"/>
      <c r="B66" s="102" t="s">
        <v>71</v>
      </c>
      <c r="C66" s="85" t="s">
        <v>12</v>
      </c>
      <c r="D66" s="84" t="s">
        <v>17</v>
      </c>
      <c r="E66" s="104">
        <f>2600/1000</f>
        <v>2.6</v>
      </c>
      <c r="F66" s="31">
        <v>6500</v>
      </c>
      <c r="G66" s="98">
        <f t="shared" si="4"/>
        <v>16900</v>
      </c>
      <c r="H66" s="40"/>
      <c r="I66" s="40"/>
    </row>
    <row r="67" spans="1:9" s="51" customFormat="1" x14ac:dyDescent="0.25">
      <c r="A67" s="85"/>
      <c r="B67" s="102" t="s">
        <v>44</v>
      </c>
      <c r="C67" s="85" t="s">
        <v>12</v>
      </c>
      <c r="D67" s="84" t="s">
        <v>17</v>
      </c>
      <c r="E67" s="104">
        <f>2078/1000</f>
        <v>2.0779999999999998</v>
      </c>
      <c r="F67" s="31">
        <v>6500</v>
      </c>
      <c r="G67" s="98">
        <f t="shared" si="4"/>
        <v>13506.999999999998</v>
      </c>
      <c r="H67" s="40"/>
      <c r="I67" s="40"/>
    </row>
    <row r="68" spans="1:9" s="51" customFormat="1" x14ac:dyDescent="0.25">
      <c r="A68" s="85"/>
      <c r="B68" s="102" t="s">
        <v>87</v>
      </c>
      <c r="C68" s="85" t="s">
        <v>12</v>
      </c>
      <c r="D68" s="84" t="s">
        <v>17</v>
      </c>
      <c r="E68" s="104">
        <f>1082/1000</f>
        <v>1.0820000000000001</v>
      </c>
      <c r="F68" s="31">
        <v>6500</v>
      </c>
      <c r="G68" s="98">
        <f t="shared" ref="G68" si="5">E68*F68</f>
        <v>7033.0000000000009</v>
      </c>
      <c r="H68" s="40"/>
      <c r="I68" s="40"/>
    </row>
    <row r="69" spans="1:9" s="51" customFormat="1" x14ac:dyDescent="0.25">
      <c r="A69" s="85"/>
      <c r="B69" s="102" t="s">
        <v>65</v>
      </c>
      <c r="C69" s="85" t="s">
        <v>12</v>
      </c>
      <c r="D69" s="84" t="s">
        <v>17</v>
      </c>
      <c r="E69" s="104">
        <f>200/1000</f>
        <v>0.2</v>
      </c>
      <c r="F69" s="31">
        <v>6500</v>
      </c>
      <c r="G69" s="98">
        <f t="shared" si="4"/>
        <v>1300</v>
      </c>
      <c r="H69" s="40"/>
      <c r="I69" s="40"/>
    </row>
    <row r="70" spans="1:9" s="51" customFormat="1" x14ac:dyDescent="0.25">
      <c r="A70" s="2" t="s">
        <v>88</v>
      </c>
      <c r="B70" s="19" t="s">
        <v>169</v>
      </c>
      <c r="C70" s="22" t="s">
        <v>11</v>
      </c>
      <c r="D70" s="18">
        <v>100</v>
      </c>
      <c r="E70" s="23">
        <f>ROUND(D70*E51,4)</f>
        <v>289</v>
      </c>
      <c r="F70" s="31"/>
      <c r="G70" s="36"/>
      <c r="H70" s="40"/>
      <c r="I70" s="40"/>
    </row>
    <row r="71" spans="1:9" s="51" customFormat="1" x14ac:dyDescent="0.25">
      <c r="A71" s="20"/>
      <c r="B71" s="32" t="s">
        <v>99</v>
      </c>
      <c r="C71" s="22" t="s">
        <v>12</v>
      </c>
      <c r="D71" s="18">
        <v>0.33200000000000002</v>
      </c>
      <c r="E71" s="23">
        <f>ROUND(D71*E70,4)</f>
        <v>95.947999999999993</v>
      </c>
      <c r="F71" s="24">
        <v>580</v>
      </c>
      <c r="G71" s="36">
        <f>F71*E71</f>
        <v>55649.84</v>
      </c>
      <c r="H71" s="40"/>
      <c r="I71" s="40"/>
    </row>
    <row r="72" spans="1:9" s="51" customFormat="1" x14ac:dyDescent="0.25">
      <c r="A72" s="20"/>
      <c r="B72" s="32" t="s">
        <v>29</v>
      </c>
      <c r="C72" s="22" t="s">
        <v>12</v>
      </c>
      <c r="D72" s="18">
        <f>50/100*1.52</f>
        <v>0.76</v>
      </c>
      <c r="E72" s="23">
        <f>ROUND(D72*E70,4)</f>
        <v>219.64</v>
      </c>
      <c r="F72" s="31">
        <v>18</v>
      </c>
      <c r="G72" s="36">
        <f>F72*E72</f>
        <v>3953.5199999999995</v>
      </c>
      <c r="H72" s="40"/>
      <c r="I72" s="40"/>
    </row>
    <row r="73" spans="1:9" s="51" customFormat="1" x14ac:dyDescent="0.25">
      <c r="A73" s="20"/>
      <c r="B73" s="32" t="s">
        <v>28</v>
      </c>
      <c r="C73" s="22" t="s">
        <v>12</v>
      </c>
      <c r="D73" s="18">
        <f>80/100*1.6</f>
        <v>1.2800000000000002</v>
      </c>
      <c r="E73" s="23">
        <f>ROUND(D73*E70,4)</f>
        <v>369.92</v>
      </c>
      <c r="F73" s="31">
        <f>4991.72/392.53</f>
        <v>12.7167859781418</v>
      </c>
      <c r="G73" s="36">
        <f>F73*E73</f>
        <v>4704.193469034215</v>
      </c>
      <c r="H73" s="40"/>
      <c r="I73" s="40"/>
    </row>
    <row r="74" spans="1:9" s="51" customFormat="1" ht="13.5" x14ac:dyDescent="0.25">
      <c r="A74" s="100"/>
      <c r="B74" s="65" t="s">
        <v>8</v>
      </c>
      <c r="C74" s="100"/>
      <c r="D74" s="68"/>
      <c r="E74" s="103"/>
      <c r="F74" s="82"/>
      <c r="G74" s="12">
        <f>SUM(G52:G73)</f>
        <v>150016.11190003422</v>
      </c>
      <c r="H74" s="40"/>
      <c r="I74" s="40"/>
    </row>
    <row r="75" spans="1:9" s="51" customFormat="1" ht="13.5" x14ac:dyDescent="0.25">
      <c r="A75" s="52"/>
      <c r="B75" s="53"/>
      <c r="C75" s="52"/>
      <c r="D75" s="53"/>
      <c r="E75" s="53"/>
      <c r="F75" s="61"/>
      <c r="G75" s="54"/>
      <c r="H75" s="40"/>
      <c r="I75" s="40"/>
    </row>
    <row r="76" spans="1:9" s="51" customFormat="1" ht="13.5" x14ac:dyDescent="0.25">
      <c r="A76" s="52"/>
      <c r="B76" s="53"/>
      <c r="C76" s="52"/>
      <c r="D76" s="53"/>
      <c r="E76" s="53"/>
      <c r="F76" s="61"/>
      <c r="G76" s="54"/>
      <c r="H76" s="40"/>
      <c r="I76" s="40"/>
    </row>
    <row r="77" spans="1:9" s="51" customFormat="1" ht="13.5" x14ac:dyDescent="0.25">
      <c r="A77" s="2"/>
      <c r="B77" s="55" t="s">
        <v>42</v>
      </c>
      <c r="C77" s="56"/>
      <c r="D77" s="10"/>
      <c r="E77" s="10"/>
      <c r="F77" s="40"/>
      <c r="G77" s="12">
        <f>SUMIFS(G17:G76,B17:B76,"Итого")</f>
        <v>165385.09592257385</v>
      </c>
      <c r="H77" s="40"/>
      <c r="I77" s="40"/>
    </row>
    <row r="78" spans="1:9" s="51" customFormat="1" ht="13.5" x14ac:dyDescent="0.25">
      <c r="A78" s="2"/>
      <c r="B78" s="55" t="s">
        <v>30</v>
      </c>
      <c r="C78" s="56"/>
      <c r="D78" s="10"/>
      <c r="E78" s="10"/>
      <c r="F78" s="10"/>
      <c r="G78" s="12"/>
      <c r="H78" s="40"/>
      <c r="I78" s="40"/>
    </row>
    <row r="79" spans="1:9" s="51" customFormat="1" ht="13.5" x14ac:dyDescent="0.25">
      <c r="A79" s="2"/>
      <c r="B79" s="57" t="s">
        <v>51</v>
      </c>
      <c r="C79" s="56"/>
      <c r="D79" s="10"/>
      <c r="E79" s="10"/>
      <c r="F79" s="72">
        <f>G22+G30+G31+G32+G38+G39+G47+G48+G49+G58+G59+G60+G61+G62+G63+G64+G65+G66+G67+G68+G69+G71+G72+G73</f>
        <v>140801.62227217384</v>
      </c>
      <c r="G79" s="12">
        <f>G77-G80-G81-G82</f>
        <v>140801.62227217384</v>
      </c>
      <c r="H79" s="40"/>
      <c r="I79" s="40"/>
    </row>
    <row r="80" spans="1:9" s="51" customFormat="1" ht="13.5" x14ac:dyDescent="0.25">
      <c r="A80" s="2"/>
      <c r="B80" s="57" t="s">
        <v>52</v>
      </c>
      <c r="C80" s="56"/>
      <c r="D80" s="10"/>
      <c r="E80" s="10"/>
      <c r="F80" s="10"/>
      <c r="G80" s="12">
        <f>SUMIFS(G17:G76,C17:C76,"маш/час")</f>
        <v>12257.931730360002</v>
      </c>
      <c r="H80" s="40"/>
      <c r="I80" s="40"/>
    </row>
    <row r="81" spans="1:9" s="51" customFormat="1" ht="13.5" x14ac:dyDescent="0.25">
      <c r="A81" s="2"/>
      <c r="B81" s="57" t="s">
        <v>53</v>
      </c>
      <c r="C81" s="56"/>
      <c r="D81" s="10"/>
      <c r="E81" s="10"/>
      <c r="F81" s="10"/>
      <c r="G81" s="12">
        <f>SUMIFS(G17:G76,A17:A76,1)</f>
        <v>10604.0718426</v>
      </c>
      <c r="H81" s="40"/>
      <c r="I81" s="40"/>
    </row>
    <row r="82" spans="1:9" ht="13.5" x14ac:dyDescent="0.25">
      <c r="A82" s="2"/>
      <c r="B82" s="57" t="s">
        <v>54</v>
      </c>
      <c r="C82" s="56"/>
      <c r="D82" s="10"/>
      <c r="E82" s="10"/>
      <c r="F82" s="10"/>
      <c r="G82" s="12">
        <f>SUMIFS(G17:G76,A17:A76,2)</f>
        <v>1721.4700774400001</v>
      </c>
    </row>
    <row r="83" spans="1:9" ht="13.5" x14ac:dyDescent="0.25">
      <c r="A83" s="2"/>
      <c r="B83" s="12" t="s">
        <v>37</v>
      </c>
      <c r="C83" s="56"/>
      <c r="D83" s="10"/>
      <c r="E83" s="10"/>
      <c r="F83" s="10"/>
      <c r="G83" s="12">
        <f>(G81+G82)*25%</f>
        <v>3081.3854800100003</v>
      </c>
    </row>
    <row r="84" spans="1:9" ht="13.5" x14ac:dyDescent="0.25">
      <c r="A84" s="15"/>
      <c r="B84" s="65" t="s">
        <v>8</v>
      </c>
      <c r="C84" s="17"/>
      <c r="D84" s="26"/>
      <c r="E84" s="27"/>
      <c r="F84" s="28"/>
      <c r="G84" s="12">
        <f>SUM(G79:G83)</f>
        <v>168466.48140258386</v>
      </c>
    </row>
    <row r="85" spans="1:9" ht="13.5" x14ac:dyDescent="0.25">
      <c r="A85" s="2"/>
      <c r="B85" s="4" t="s">
        <v>61</v>
      </c>
      <c r="C85" s="8"/>
      <c r="D85" s="9"/>
      <c r="E85" s="9"/>
      <c r="F85" s="10"/>
      <c r="G85" s="12">
        <f>G84*10%</f>
        <v>16846.648140258385</v>
      </c>
    </row>
    <row r="86" spans="1:9" ht="13.5" x14ac:dyDescent="0.25">
      <c r="A86" s="2"/>
      <c r="B86" s="4" t="s">
        <v>55</v>
      </c>
      <c r="C86" s="7" t="s">
        <v>11</v>
      </c>
      <c r="D86" s="11"/>
      <c r="E86" s="5">
        <f>SUMIFS(E75:E82,B75:B82,"Бетон марки БМ-350")</f>
        <v>0</v>
      </c>
      <c r="F86" s="63"/>
      <c r="G86" s="12">
        <f>+F86*E86</f>
        <v>0</v>
      </c>
    </row>
    <row r="87" spans="1:9" ht="13.5" x14ac:dyDescent="0.25">
      <c r="A87" s="2"/>
      <c r="B87" s="4" t="s">
        <v>56</v>
      </c>
      <c r="C87" s="7" t="s">
        <v>11</v>
      </c>
      <c r="D87" s="11"/>
      <c r="E87" s="5">
        <f>E86</f>
        <v>0</v>
      </c>
      <c r="F87" s="63"/>
      <c r="G87" s="12">
        <f>+F87*E87</f>
        <v>0</v>
      </c>
    </row>
    <row r="88" spans="1:9" ht="13.5" x14ac:dyDescent="0.25">
      <c r="A88" s="2"/>
      <c r="B88" s="65" t="s">
        <v>8</v>
      </c>
      <c r="C88" s="56"/>
      <c r="D88" s="10"/>
      <c r="E88" s="10"/>
      <c r="F88" s="10"/>
      <c r="G88" s="12">
        <f>SUM(G84:G87)</f>
        <v>185313.12954284225</v>
      </c>
    </row>
    <row r="89" spans="1:9" ht="13.5" x14ac:dyDescent="0.25">
      <c r="A89" s="2"/>
      <c r="B89" s="55" t="s">
        <v>63</v>
      </c>
      <c r="C89" s="56"/>
      <c r="D89" s="10"/>
      <c r="E89" s="10"/>
      <c r="F89" s="10"/>
      <c r="G89" s="12">
        <f>G88*7%</f>
        <v>12971.919067998959</v>
      </c>
    </row>
    <row r="90" spans="1:9" ht="13.5" x14ac:dyDescent="0.25">
      <c r="A90" s="2"/>
      <c r="B90" s="55" t="s">
        <v>31</v>
      </c>
      <c r="C90" s="56"/>
      <c r="D90" s="10"/>
      <c r="E90" s="10"/>
      <c r="F90" s="10"/>
      <c r="G90" s="12">
        <f>SUM(G88:G89)</f>
        <v>198285.04861084122</v>
      </c>
    </row>
    <row r="91" spans="1:9" x14ac:dyDescent="0.25">
      <c r="F91" s="40"/>
    </row>
    <row r="92" spans="1:9" x14ac:dyDescent="0.25">
      <c r="F92" s="40"/>
    </row>
    <row r="93" spans="1:9" ht="13.5" x14ac:dyDescent="0.25">
      <c r="A93" s="13"/>
      <c r="B93" s="78" t="s">
        <v>33</v>
      </c>
      <c r="C93" s="144" t="s">
        <v>35</v>
      </c>
      <c r="D93" s="144"/>
      <c r="E93" s="144"/>
      <c r="F93" s="144"/>
      <c r="G93" s="14"/>
    </row>
    <row r="94" spans="1:9" ht="13.5" x14ac:dyDescent="0.25">
      <c r="A94" s="13"/>
      <c r="B94" s="78"/>
      <c r="C94" s="78"/>
      <c r="D94" s="78"/>
      <c r="E94" s="78"/>
      <c r="F94" s="78"/>
      <c r="G94" s="14"/>
    </row>
    <row r="95" spans="1:9" ht="13.5" x14ac:dyDescent="0.25">
      <c r="A95" s="13"/>
      <c r="B95" s="78" t="s">
        <v>34</v>
      </c>
      <c r="C95" s="144" t="s">
        <v>36</v>
      </c>
      <c r="D95" s="144"/>
      <c r="E95" s="144"/>
      <c r="F95" s="144"/>
      <c r="G95" s="14"/>
    </row>
    <row r="96" spans="1:9" x14ac:dyDescent="0.25">
      <c r="F96" s="40"/>
    </row>
    <row r="97" spans="2:9" x14ac:dyDescent="0.25">
      <c r="F97" s="40"/>
    </row>
    <row r="98" spans="2:9" x14ac:dyDescent="0.25">
      <c r="F98" s="40"/>
    </row>
    <row r="106" spans="2:9" x14ac:dyDescent="0.25">
      <c r="B106" s="19" t="s">
        <v>93</v>
      </c>
      <c r="C106" s="22" t="s">
        <v>12</v>
      </c>
      <c r="D106" s="69"/>
      <c r="E106" s="23">
        <f t="shared" ref="E106:E135" si="6">SUMIFS($E$17:$E$75,$B$17:$B$75,B106)</f>
        <v>0</v>
      </c>
      <c r="F106" s="31">
        <v>6500</v>
      </c>
      <c r="G106" s="36">
        <f>E106*F106</f>
        <v>0</v>
      </c>
      <c r="H106" s="74">
        <f>SUMIFS($G$17:$G$75,$B$17:$B$75,B106)</f>
        <v>0</v>
      </c>
      <c r="I106" s="40">
        <f t="shared" ref="I106:I135" si="7">G106-H106</f>
        <v>0</v>
      </c>
    </row>
    <row r="107" spans="2:9" x14ac:dyDescent="0.25">
      <c r="B107" s="19" t="s">
        <v>65</v>
      </c>
      <c r="C107" s="22" t="s">
        <v>12</v>
      </c>
      <c r="D107" s="69"/>
      <c r="E107" s="23">
        <f t="shared" si="6"/>
        <v>0.2</v>
      </c>
      <c r="F107" s="31">
        <v>6500</v>
      </c>
      <c r="G107" s="36">
        <f t="shared" ref="G107:G135" si="8">E107*F107</f>
        <v>1300</v>
      </c>
      <c r="H107" s="74">
        <f t="shared" ref="H107:H117" si="9">SUMIFS($G$17:$G$75,$B$17:$B$75,B107)</f>
        <v>1300</v>
      </c>
      <c r="I107" s="40">
        <f t="shared" si="7"/>
        <v>0</v>
      </c>
    </row>
    <row r="108" spans="2:9" x14ac:dyDescent="0.25">
      <c r="B108" s="19" t="s">
        <v>87</v>
      </c>
      <c r="C108" s="22" t="s">
        <v>12</v>
      </c>
      <c r="D108" s="69"/>
      <c r="E108" s="23">
        <f t="shared" si="6"/>
        <v>1.0820000000000001</v>
      </c>
      <c r="F108" s="31">
        <v>6500</v>
      </c>
      <c r="G108" s="36">
        <f t="shared" si="8"/>
        <v>7033.0000000000009</v>
      </c>
      <c r="H108" s="74">
        <f t="shared" si="9"/>
        <v>7033.0000000000009</v>
      </c>
      <c r="I108" s="40">
        <f t="shared" si="7"/>
        <v>0</v>
      </c>
    </row>
    <row r="109" spans="2:9" x14ac:dyDescent="0.25">
      <c r="B109" s="19" t="s">
        <v>44</v>
      </c>
      <c r="C109" s="22" t="s">
        <v>12</v>
      </c>
      <c r="D109" s="6"/>
      <c r="E109" s="23">
        <f t="shared" si="6"/>
        <v>2.0779999999999998</v>
      </c>
      <c r="F109" s="31">
        <v>6500</v>
      </c>
      <c r="G109" s="36">
        <f t="shared" si="8"/>
        <v>13506.999999999998</v>
      </c>
      <c r="H109" s="74">
        <f t="shared" si="9"/>
        <v>13506.999999999998</v>
      </c>
      <c r="I109" s="40">
        <f t="shared" si="7"/>
        <v>0</v>
      </c>
    </row>
    <row r="110" spans="2:9" x14ac:dyDescent="0.25">
      <c r="B110" s="19" t="s">
        <v>71</v>
      </c>
      <c r="C110" s="22" t="s">
        <v>12</v>
      </c>
      <c r="D110" s="6"/>
      <c r="E110" s="23">
        <f t="shared" si="6"/>
        <v>2.6</v>
      </c>
      <c r="F110" s="31">
        <v>6500</v>
      </c>
      <c r="G110" s="36">
        <f t="shared" si="8"/>
        <v>16900</v>
      </c>
      <c r="H110" s="74">
        <f t="shared" si="9"/>
        <v>16900</v>
      </c>
      <c r="I110" s="40">
        <f t="shared" si="7"/>
        <v>0</v>
      </c>
    </row>
    <row r="111" spans="2:9" x14ac:dyDescent="0.25">
      <c r="B111" s="19" t="s">
        <v>83</v>
      </c>
      <c r="C111" s="22" t="s">
        <v>12</v>
      </c>
      <c r="D111" s="69"/>
      <c r="E111" s="23">
        <f t="shared" si="6"/>
        <v>0</v>
      </c>
      <c r="F111" s="31">
        <v>6500</v>
      </c>
      <c r="G111" s="36">
        <f t="shared" si="8"/>
        <v>0</v>
      </c>
      <c r="H111" s="74">
        <f t="shared" si="9"/>
        <v>0</v>
      </c>
      <c r="I111" s="40">
        <f t="shared" si="7"/>
        <v>0</v>
      </c>
    </row>
    <row r="112" spans="2:9" x14ac:dyDescent="0.25">
      <c r="B112" s="19" t="s">
        <v>43</v>
      </c>
      <c r="C112" s="22" t="s">
        <v>12</v>
      </c>
      <c r="D112" s="69"/>
      <c r="E112" s="23">
        <f t="shared" si="6"/>
        <v>4</v>
      </c>
      <c r="F112" s="31">
        <v>6500</v>
      </c>
      <c r="G112" s="36">
        <f t="shared" si="8"/>
        <v>26000</v>
      </c>
      <c r="H112" s="74">
        <f t="shared" si="9"/>
        <v>26000</v>
      </c>
      <c r="I112" s="40">
        <f t="shared" si="7"/>
        <v>0</v>
      </c>
    </row>
    <row r="113" spans="2:9" x14ac:dyDescent="0.25">
      <c r="B113" s="19" t="s">
        <v>80</v>
      </c>
      <c r="C113" s="22" t="s">
        <v>12</v>
      </c>
      <c r="D113" s="69"/>
      <c r="E113" s="23">
        <f t="shared" si="6"/>
        <v>0</v>
      </c>
      <c r="F113" s="31">
        <v>6500</v>
      </c>
      <c r="G113" s="36">
        <f t="shared" si="8"/>
        <v>0</v>
      </c>
      <c r="H113" s="74">
        <f t="shared" si="9"/>
        <v>0</v>
      </c>
      <c r="I113" s="40">
        <f t="shared" si="7"/>
        <v>0</v>
      </c>
    </row>
    <row r="114" spans="2:9" x14ac:dyDescent="0.25">
      <c r="B114" s="19" t="s">
        <v>75</v>
      </c>
      <c r="C114" s="22" t="s">
        <v>12</v>
      </c>
      <c r="D114" s="69"/>
      <c r="E114" s="23">
        <f t="shared" si="6"/>
        <v>0.28000000000000003</v>
      </c>
      <c r="F114" s="31">
        <v>6500</v>
      </c>
      <c r="G114" s="36">
        <f t="shared" si="8"/>
        <v>1820.0000000000002</v>
      </c>
      <c r="H114" s="74">
        <f t="shared" si="9"/>
        <v>1820.0000000000002</v>
      </c>
      <c r="I114" s="40">
        <f t="shared" si="7"/>
        <v>0</v>
      </c>
    </row>
    <row r="115" spans="2:9" x14ac:dyDescent="0.25">
      <c r="B115" s="19" t="s">
        <v>77</v>
      </c>
      <c r="C115" s="22" t="s">
        <v>12</v>
      </c>
      <c r="D115" s="69"/>
      <c r="E115" s="23">
        <f t="shared" si="6"/>
        <v>0.28799999999999998</v>
      </c>
      <c r="F115" s="31">
        <v>6500</v>
      </c>
      <c r="G115" s="36">
        <f t="shared" si="8"/>
        <v>1871.9999999999998</v>
      </c>
      <c r="H115" s="74">
        <f t="shared" si="9"/>
        <v>1871.9999999999998</v>
      </c>
      <c r="I115" s="40">
        <f t="shared" si="7"/>
        <v>0</v>
      </c>
    </row>
    <row r="116" spans="2:9" x14ac:dyDescent="0.25">
      <c r="B116" s="19" t="s">
        <v>79</v>
      </c>
      <c r="C116" s="22" t="s">
        <v>12</v>
      </c>
      <c r="D116" s="69"/>
      <c r="E116" s="23">
        <f t="shared" si="6"/>
        <v>0</v>
      </c>
      <c r="F116" s="31">
        <v>6500</v>
      </c>
      <c r="G116" s="36">
        <f t="shared" si="8"/>
        <v>0</v>
      </c>
      <c r="H116" s="74">
        <f t="shared" si="9"/>
        <v>0</v>
      </c>
      <c r="I116" s="40">
        <f t="shared" si="7"/>
        <v>0</v>
      </c>
    </row>
    <row r="117" spans="2:9" x14ac:dyDescent="0.25">
      <c r="B117" s="19" t="s">
        <v>78</v>
      </c>
      <c r="C117" s="22" t="s">
        <v>12</v>
      </c>
      <c r="D117" s="69"/>
      <c r="E117" s="23">
        <f t="shared" si="6"/>
        <v>0</v>
      </c>
      <c r="F117" s="31">
        <v>6500</v>
      </c>
      <c r="G117" s="36">
        <f t="shared" si="8"/>
        <v>0</v>
      </c>
      <c r="H117" s="74">
        <f t="shared" si="9"/>
        <v>0</v>
      </c>
      <c r="I117" s="40">
        <f t="shared" si="7"/>
        <v>0</v>
      </c>
    </row>
    <row r="118" spans="2:9" x14ac:dyDescent="0.25">
      <c r="B118" s="19" t="s">
        <v>170</v>
      </c>
      <c r="C118" s="22" t="s">
        <v>11</v>
      </c>
      <c r="D118" s="69"/>
      <c r="E118" s="23">
        <f t="shared" si="6"/>
        <v>48.188400000000001</v>
      </c>
      <c r="F118" s="31"/>
      <c r="G118" s="36">
        <f t="shared" si="8"/>
        <v>0</v>
      </c>
      <c r="H118" s="74">
        <f t="shared" ref="H118:H135" si="10">SUMIFS($G$17:$G$75,$B$17:$B$75,B118)</f>
        <v>0</v>
      </c>
      <c r="I118" s="40">
        <f t="shared" si="7"/>
        <v>0</v>
      </c>
    </row>
    <row r="119" spans="2:9" x14ac:dyDescent="0.25">
      <c r="B119" s="19" t="s">
        <v>169</v>
      </c>
      <c r="C119" s="22" t="s">
        <v>11</v>
      </c>
      <c r="D119" s="69"/>
      <c r="E119" s="23">
        <f t="shared" si="6"/>
        <v>289</v>
      </c>
      <c r="F119" s="31"/>
      <c r="G119" s="36">
        <f t="shared" ref="G119" si="11">E119*F119</f>
        <v>0</v>
      </c>
      <c r="H119" s="74">
        <f t="shared" si="10"/>
        <v>0</v>
      </c>
      <c r="I119" s="40">
        <f t="shared" si="7"/>
        <v>0</v>
      </c>
    </row>
    <row r="120" spans="2:9" x14ac:dyDescent="0.25">
      <c r="B120" s="19" t="s">
        <v>50</v>
      </c>
      <c r="C120" s="22" t="s">
        <v>11</v>
      </c>
      <c r="D120" s="69"/>
      <c r="E120" s="23">
        <f t="shared" si="6"/>
        <v>0</v>
      </c>
      <c r="F120" s="31">
        <v>1694.85</v>
      </c>
      <c r="G120" s="36">
        <f t="shared" si="8"/>
        <v>0</v>
      </c>
      <c r="H120" s="74">
        <f t="shared" si="10"/>
        <v>0</v>
      </c>
      <c r="I120" s="40">
        <f t="shared" si="7"/>
        <v>0</v>
      </c>
    </row>
    <row r="121" spans="2:9" x14ac:dyDescent="0.25">
      <c r="B121" s="21" t="s">
        <v>13</v>
      </c>
      <c r="C121" s="22" t="s">
        <v>12</v>
      </c>
      <c r="D121" s="69"/>
      <c r="E121" s="23">
        <f t="shared" si="6"/>
        <v>5.78</v>
      </c>
      <c r="F121" s="31">
        <v>7203.3059999999996</v>
      </c>
      <c r="G121" s="36">
        <f t="shared" si="8"/>
        <v>41635.108679999998</v>
      </c>
      <c r="H121" s="74">
        <f t="shared" si="10"/>
        <v>41.616</v>
      </c>
      <c r="I121" s="40">
        <f t="shared" si="7"/>
        <v>41593.492679999996</v>
      </c>
    </row>
    <row r="122" spans="2:9" x14ac:dyDescent="0.25">
      <c r="B122" s="19" t="s">
        <v>82</v>
      </c>
      <c r="C122" s="22" t="s">
        <v>11</v>
      </c>
      <c r="D122" s="69"/>
      <c r="E122" s="23">
        <f t="shared" si="6"/>
        <v>0</v>
      </c>
      <c r="F122" s="31">
        <v>2563.75</v>
      </c>
      <c r="G122" s="36">
        <f t="shared" si="8"/>
        <v>0</v>
      </c>
      <c r="H122" s="74">
        <f t="shared" si="10"/>
        <v>0</v>
      </c>
      <c r="I122" s="40">
        <f t="shared" si="7"/>
        <v>0</v>
      </c>
    </row>
    <row r="123" spans="2:9" x14ac:dyDescent="0.25">
      <c r="B123" s="35" t="s">
        <v>103</v>
      </c>
      <c r="C123" s="8" t="s">
        <v>106</v>
      </c>
      <c r="D123" s="69"/>
      <c r="E123" s="23">
        <f t="shared" si="6"/>
        <v>0</v>
      </c>
      <c r="F123" s="31">
        <v>593.79999999999995</v>
      </c>
      <c r="G123" s="36">
        <f t="shared" si="8"/>
        <v>0</v>
      </c>
      <c r="H123" s="74">
        <f t="shared" si="10"/>
        <v>0</v>
      </c>
      <c r="I123" s="40">
        <f t="shared" si="7"/>
        <v>0</v>
      </c>
    </row>
    <row r="124" spans="2:9" x14ac:dyDescent="0.25">
      <c r="B124" s="19" t="s">
        <v>89</v>
      </c>
      <c r="C124" s="22" t="s">
        <v>64</v>
      </c>
      <c r="D124" s="69"/>
      <c r="E124" s="23">
        <f t="shared" si="6"/>
        <v>0</v>
      </c>
      <c r="F124" s="31">
        <v>50</v>
      </c>
      <c r="G124" s="36">
        <f t="shared" si="8"/>
        <v>0</v>
      </c>
      <c r="H124" s="74">
        <f t="shared" si="10"/>
        <v>0</v>
      </c>
      <c r="I124" s="40">
        <f t="shared" si="7"/>
        <v>0</v>
      </c>
    </row>
    <row r="125" spans="2:9" x14ac:dyDescent="0.25">
      <c r="B125" s="19" t="s">
        <v>90</v>
      </c>
      <c r="C125" s="22" t="s">
        <v>64</v>
      </c>
      <c r="D125" s="69"/>
      <c r="E125" s="23">
        <f t="shared" si="6"/>
        <v>0</v>
      </c>
      <c r="F125" s="31">
        <v>50</v>
      </c>
      <c r="G125" s="36">
        <f t="shared" si="8"/>
        <v>0</v>
      </c>
      <c r="H125" s="74">
        <f t="shared" si="10"/>
        <v>0</v>
      </c>
      <c r="I125" s="40">
        <f t="shared" si="7"/>
        <v>0</v>
      </c>
    </row>
    <row r="126" spans="2:9" x14ac:dyDescent="0.25">
      <c r="B126" s="19" t="s">
        <v>91</v>
      </c>
      <c r="C126" s="22" t="s">
        <v>64</v>
      </c>
      <c r="D126" s="69"/>
      <c r="E126" s="23">
        <f t="shared" si="6"/>
        <v>0</v>
      </c>
      <c r="F126" s="31">
        <v>50</v>
      </c>
      <c r="G126" s="36">
        <f t="shared" si="8"/>
        <v>0</v>
      </c>
      <c r="H126" s="74">
        <f t="shared" si="10"/>
        <v>0</v>
      </c>
      <c r="I126" s="40">
        <f t="shared" si="7"/>
        <v>0</v>
      </c>
    </row>
    <row r="127" spans="2:9" x14ac:dyDescent="0.25">
      <c r="B127" s="19" t="s">
        <v>92</v>
      </c>
      <c r="C127" s="22" t="s">
        <v>64</v>
      </c>
      <c r="D127" s="69"/>
      <c r="E127" s="23">
        <f t="shared" si="6"/>
        <v>0</v>
      </c>
      <c r="F127" s="31">
        <v>50</v>
      </c>
      <c r="G127" s="36">
        <f t="shared" si="8"/>
        <v>0</v>
      </c>
      <c r="H127" s="74">
        <f t="shared" si="10"/>
        <v>0</v>
      </c>
      <c r="I127" s="40">
        <f t="shared" si="7"/>
        <v>0</v>
      </c>
    </row>
    <row r="128" spans="2:9" x14ac:dyDescent="0.25">
      <c r="B128" s="21" t="s">
        <v>29</v>
      </c>
      <c r="C128" s="22" t="s">
        <v>12</v>
      </c>
      <c r="D128" s="69"/>
      <c r="E128" s="23">
        <f t="shared" si="6"/>
        <v>262.12289999999996</v>
      </c>
      <c r="F128" s="31">
        <v>18</v>
      </c>
      <c r="G128" s="36">
        <f t="shared" si="8"/>
        <v>4718.212199999999</v>
      </c>
      <c r="H128" s="74">
        <f t="shared" si="10"/>
        <v>4718.2121999999999</v>
      </c>
      <c r="I128" s="40">
        <f t="shared" si="7"/>
        <v>0</v>
      </c>
    </row>
    <row r="129" spans="2:9" x14ac:dyDescent="0.25">
      <c r="B129" s="21" t="s">
        <v>101</v>
      </c>
      <c r="C129" s="22" t="s">
        <v>12</v>
      </c>
      <c r="D129" s="69"/>
      <c r="E129" s="23">
        <f t="shared" si="6"/>
        <v>0</v>
      </c>
      <c r="F129" s="31">
        <v>36</v>
      </c>
      <c r="G129" s="36">
        <f t="shared" si="8"/>
        <v>0</v>
      </c>
      <c r="H129" s="74">
        <f t="shared" si="10"/>
        <v>0</v>
      </c>
      <c r="I129" s="40">
        <f t="shared" si="7"/>
        <v>0</v>
      </c>
    </row>
    <row r="130" spans="2:9" x14ac:dyDescent="0.25">
      <c r="B130" s="19" t="s">
        <v>25</v>
      </c>
      <c r="C130" s="22" t="s">
        <v>11</v>
      </c>
      <c r="D130" s="69"/>
      <c r="E130" s="23">
        <f t="shared" si="6"/>
        <v>0</v>
      </c>
      <c r="F130" s="31">
        <v>2500</v>
      </c>
      <c r="G130" s="36">
        <f t="shared" si="8"/>
        <v>0</v>
      </c>
      <c r="H130" s="74">
        <f t="shared" si="10"/>
        <v>0</v>
      </c>
      <c r="I130" s="40">
        <f t="shared" si="7"/>
        <v>0</v>
      </c>
    </row>
    <row r="131" spans="2:9" x14ac:dyDescent="0.25">
      <c r="B131" s="19" t="s">
        <v>70</v>
      </c>
      <c r="C131" s="22" t="s">
        <v>12</v>
      </c>
      <c r="D131" s="69"/>
      <c r="E131" s="23">
        <f t="shared" si="6"/>
        <v>0</v>
      </c>
      <c r="F131" s="31">
        <v>5423.7330000000002</v>
      </c>
      <c r="G131" s="36">
        <f t="shared" si="8"/>
        <v>0</v>
      </c>
      <c r="H131" s="74">
        <f t="shared" si="10"/>
        <v>0</v>
      </c>
      <c r="I131" s="40">
        <f t="shared" si="7"/>
        <v>0</v>
      </c>
    </row>
    <row r="132" spans="2:9" x14ac:dyDescent="0.25">
      <c r="B132" s="21" t="s">
        <v>99</v>
      </c>
      <c r="C132" s="22" t="s">
        <v>12</v>
      </c>
      <c r="D132" s="69"/>
      <c r="E132" s="23">
        <f t="shared" si="6"/>
        <v>106.2603</v>
      </c>
      <c r="F132" s="24">
        <v>580</v>
      </c>
      <c r="G132" s="36">
        <f t="shared" si="8"/>
        <v>61630.974000000002</v>
      </c>
      <c r="H132" s="74">
        <f t="shared" si="10"/>
        <v>61630.973999999995</v>
      </c>
      <c r="I132" s="40">
        <f t="shared" si="7"/>
        <v>0</v>
      </c>
    </row>
    <row r="133" spans="2:9" x14ac:dyDescent="0.25">
      <c r="B133" s="21" t="s">
        <v>28</v>
      </c>
      <c r="C133" s="22" t="s">
        <v>12</v>
      </c>
      <c r="D133" s="69"/>
      <c r="E133" s="23">
        <f t="shared" si="6"/>
        <v>470.15182000000004</v>
      </c>
      <c r="F133" s="31">
        <v>12.7167859781418</v>
      </c>
      <c r="G133" s="36">
        <f t="shared" si="8"/>
        <v>5978.8200721738485</v>
      </c>
      <c r="H133" s="74">
        <f t="shared" si="10"/>
        <v>5978.8200721738476</v>
      </c>
      <c r="I133" s="40">
        <f t="shared" si="7"/>
        <v>0</v>
      </c>
    </row>
    <row r="134" spans="2:9" x14ac:dyDescent="0.25">
      <c r="B134" s="19" t="s">
        <v>24</v>
      </c>
      <c r="C134" s="22" t="s">
        <v>14</v>
      </c>
      <c r="D134" s="69"/>
      <c r="E134" s="23">
        <f t="shared" si="6"/>
        <v>10.404</v>
      </c>
      <c r="F134" s="31"/>
      <c r="G134" s="36">
        <f t="shared" si="8"/>
        <v>0</v>
      </c>
      <c r="H134" s="74">
        <f t="shared" si="10"/>
        <v>0</v>
      </c>
      <c r="I134" s="40">
        <f t="shared" si="7"/>
        <v>0</v>
      </c>
    </row>
    <row r="135" spans="2:9" x14ac:dyDescent="0.25">
      <c r="B135" s="19" t="s">
        <v>39</v>
      </c>
      <c r="C135" s="22" t="s">
        <v>12</v>
      </c>
      <c r="D135" s="69"/>
      <c r="E135" s="23">
        <f t="shared" si="6"/>
        <v>0</v>
      </c>
      <c r="F135" s="31">
        <v>8051.0879999999997</v>
      </c>
      <c r="G135" s="36">
        <f t="shared" si="8"/>
        <v>0</v>
      </c>
      <c r="H135" s="74">
        <f t="shared" si="10"/>
        <v>0</v>
      </c>
      <c r="I135" s="40">
        <f t="shared" si="7"/>
        <v>0</v>
      </c>
    </row>
    <row r="136" spans="2:9" x14ac:dyDescent="0.25">
      <c r="G136" s="58">
        <f>SUM(G106:G135)</f>
        <v>182395.11495217384</v>
      </c>
    </row>
  </sheetData>
  <autoFilter ref="A15:G96">
    <filterColumn colId="3" showButton="0"/>
  </autoFilter>
  <mergeCells count="17">
    <mergeCell ref="A10:G10"/>
    <mergeCell ref="E1:G1"/>
    <mergeCell ref="E3:G3"/>
    <mergeCell ref="E5:G5"/>
    <mergeCell ref="A6:E6"/>
    <mergeCell ref="A8:G8"/>
    <mergeCell ref="C93:F93"/>
    <mergeCell ref="C95:F95"/>
    <mergeCell ref="B11:G11"/>
    <mergeCell ref="A12:G12"/>
    <mergeCell ref="A13:G13"/>
    <mergeCell ref="A15:A16"/>
    <mergeCell ref="B15:B16"/>
    <mergeCell ref="C15:C16"/>
    <mergeCell ref="D15:E15"/>
    <mergeCell ref="F15:F16"/>
    <mergeCell ref="G15:G16"/>
  </mergeCells>
  <printOptions horizontalCentered="1"/>
  <pageMargins left="0.39370078740157483" right="0.19685039370078741" top="0.98425196850393704" bottom="0.78740157480314965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09жб 4эт</vt:lpstr>
      <vt:lpstr>08жб 3эт</vt:lpstr>
      <vt:lpstr>07жб 3эт</vt:lpstr>
      <vt:lpstr>06жб 2эт</vt:lpstr>
      <vt:lpstr>05жб 1эт</vt:lpstr>
      <vt:lpstr>04жб подвал</vt:lpstr>
      <vt:lpstr>03жб подвал</vt:lpstr>
      <vt:lpstr>02 жб фунд</vt:lpstr>
      <vt:lpstr>'02 жб фунд'!Область_печати</vt:lpstr>
      <vt:lpstr>'03жб подвал'!Область_печати</vt:lpstr>
      <vt:lpstr>'04жб подвал'!Область_печати</vt:lpstr>
      <vt:lpstr>'05жб 1эт'!Область_печати</vt:lpstr>
      <vt:lpstr>'06жб 2эт'!Область_печати</vt:lpstr>
      <vt:lpstr>'07жб 3эт'!Область_печати</vt:lpstr>
      <vt:lpstr>'08жб 3эт'!Область_печати</vt:lpstr>
      <vt:lpstr>'09жб 4эт'!Область_печати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2021-09-28T04:49:10Z</dcterms:modified>
</cp:coreProperties>
</file>