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15" tabRatio="847"/>
  </bookViews>
  <sheets>
    <sheet name="09жб 4эт" sheetId="84" r:id="rId1"/>
  </sheets>
  <definedNames>
    <definedName name="_xlnm._FilterDatabase" localSheetId="0" hidden="1">'09жб 4эт'!$A$9:$G$189</definedName>
    <definedName name="_xlnm.Print_Area" localSheetId="0">'09жб 4эт'!$A$1:$G$212</definedName>
  </definedNames>
  <calcPr calcId="162913"/>
</workbook>
</file>

<file path=xl/calcChain.xml><?xml version="1.0" encoding="utf-8"?>
<calcChain xmlns="http://schemas.openxmlformats.org/spreadsheetml/2006/main">
  <c r="E98" i="84" l="1"/>
  <c r="E99" i="84"/>
  <c r="E116" i="84"/>
  <c r="E117" i="84"/>
  <c r="G117" i="84" s="1"/>
  <c r="E80" i="84"/>
  <c r="E81" i="84"/>
  <c r="E62" i="84"/>
  <c r="E61" i="84"/>
  <c r="E60" i="84"/>
  <c r="E184" i="84" l="1"/>
  <c r="G184" i="84" s="1"/>
  <c r="E183" i="84"/>
  <c r="E171" i="84"/>
  <c r="E160" i="84"/>
  <c r="E142" i="84"/>
  <c r="E151" i="84" s="1"/>
  <c r="G151" i="84" s="1"/>
  <c r="E136" i="84"/>
  <c r="G136" i="84" s="1"/>
  <c r="E123" i="84"/>
  <c r="G60" i="84"/>
  <c r="E43" i="84"/>
  <c r="E41" i="84"/>
  <c r="E42" i="84"/>
  <c r="E227" i="84" s="1"/>
  <c r="G227" i="84" s="1"/>
  <c r="E24" i="84"/>
  <c r="E23" i="84"/>
  <c r="E230" i="84" s="1"/>
  <c r="G230" i="84" s="1"/>
  <c r="E22" i="84"/>
  <c r="F249" i="84"/>
  <c r="F243" i="84"/>
  <c r="E242" i="84"/>
  <c r="G242" i="84" s="1"/>
  <c r="E241" i="84"/>
  <c r="G241" i="84" s="1"/>
  <c r="E240" i="84"/>
  <c r="G240" i="84" s="1"/>
  <c r="H235" i="84"/>
  <c r="H234" i="84"/>
  <c r="E234" i="84"/>
  <c r="G234" i="84" s="1"/>
  <c r="H233" i="84"/>
  <c r="E233" i="84"/>
  <c r="G233" i="84" s="1"/>
  <c r="H223" i="84"/>
  <c r="E223" i="84"/>
  <c r="G223" i="84" s="1"/>
  <c r="E202" i="84"/>
  <c r="E203" i="84" s="1"/>
  <c r="G203" i="84" s="1"/>
  <c r="F188" i="84"/>
  <c r="F187" i="84"/>
  <c r="G183" i="84"/>
  <c r="F174" i="84"/>
  <c r="E185" i="84"/>
  <c r="D168" i="84"/>
  <c r="D167" i="84"/>
  <c r="F163" i="84"/>
  <c r="F158" i="84"/>
  <c r="D158" i="84"/>
  <c r="F157" i="84"/>
  <c r="D157" i="84"/>
  <c r="E154" i="84"/>
  <c r="G154" i="84" s="1"/>
  <c r="E153" i="84"/>
  <c r="G153" i="84" s="1"/>
  <c r="F145" i="84"/>
  <c r="F140" i="84"/>
  <c r="D140" i="84"/>
  <c r="F139" i="84"/>
  <c r="D139" i="84"/>
  <c r="E135" i="84"/>
  <c r="G135" i="84" s="1"/>
  <c r="E134" i="84"/>
  <c r="E133" i="84"/>
  <c r="G133" i="84" s="1"/>
  <c r="F126" i="84"/>
  <c r="E130" i="84"/>
  <c r="G130" i="84" s="1"/>
  <c r="F121" i="84"/>
  <c r="D121" i="84"/>
  <c r="F120" i="84"/>
  <c r="D120" i="84"/>
  <c r="G116" i="84"/>
  <c r="F108" i="84"/>
  <c r="E105" i="84"/>
  <c r="E118" i="84" s="1"/>
  <c r="F103" i="84"/>
  <c r="D103" i="84"/>
  <c r="F102" i="84"/>
  <c r="D102" i="84"/>
  <c r="G99" i="84"/>
  <c r="G98" i="84"/>
  <c r="F90" i="84"/>
  <c r="E87" i="84"/>
  <c r="E90" i="84" s="1"/>
  <c r="F85" i="84"/>
  <c r="D85" i="84"/>
  <c r="F84" i="84"/>
  <c r="D84" i="84"/>
  <c r="G81" i="84"/>
  <c r="G80" i="84"/>
  <c r="F72" i="84"/>
  <c r="E69" i="84"/>
  <c r="E72" i="84" s="1"/>
  <c r="F67" i="84"/>
  <c r="D67" i="84"/>
  <c r="F66" i="84"/>
  <c r="D66" i="84"/>
  <c r="H242" i="84"/>
  <c r="H241" i="84"/>
  <c r="H240" i="84"/>
  <c r="E63" i="84"/>
  <c r="G63" i="84" s="1"/>
  <c r="G62" i="84"/>
  <c r="F52" i="84"/>
  <c r="E49" i="84"/>
  <c r="E64" i="84" s="1"/>
  <c r="F47" i="84"/>
  <c r="D47" i="84"/>
  <c r="F46" i="84"/>
  <c r="D46" i="84"/>
  <c r="F33" i="84"/>
  <c r="E30" i="84"/>
  <c r="E40" i="84" s="1"/>
  <c r="G40" i="84" s="1"/>
  <c r="F28" i="84"/>
  <c r="D28" i="84"/>
  <c r="F27" i="84"/>
  <c r="D27" i="84"/>
  <c r="E232" i="84"/>
  <c r="G232" i="84" s="1"/>
  <c r="F14" i="84"/>
  <c r="E11" i="84"/>
  <c r="E25" i="84" s="1"/>
  <c r="E225" i="84" l="1"/>
  <c r="G225" i="84" s="1"/>
  <c r="H228" i="84"/>
  <c r="E224" i="84"/>
  <c r="G224" i="84" s="1"/>
  <c r="E155" i="84"/>
  <c r="E156" i="84" s="1"/>
  <c r="G156" i="84" s="1"/>
  <c r="G61" i="84"/>
  <c r="E149" i="84"/>
  <c r="G149" i="84" s="1"/>
  <c r="E179" i="84"/>
  <c r="G179" i="84" s="1"/>
  <c r="E229" i="84"/>
  <c r="G229" i="84" s="1"/>
  <c r="E128" i="84"/>
  <c r="G128" i="84" s="1"/>
  <c r="E132" i="84"/>
  <c r="G132" i="84" s="1"/>
  <c r="E147" i="84"/>
  <c r="G147" i="84" s="1"/>
  <c r="E175" i="84"/>
  <c r="G175" i="84" s="1"/>
  <c r="G202" i="84"/>
  <c r="E231" i="84"/>
  <c r="G231" i="84" s="1"/>
  <c r="E119" i="84"/>
  <c r="G119" i="84" s="1"/>
  <c r="E121" i="84"/>
  <c r="G121" i="84" s="1"/>
  <c r="E120" i="84"/>
  <c r="G120" i="84" s="1"/>
  <c r="E65" i="84"/>
  <c r="G65" i="84" s="1"/>
  <c r="E67" i="84"/>
  <c r="G67" i="84" s="1"/>
  <c r="E66" i="84"/>
  <c r="G66" i="84" s="1"/>
  <c r="E28" i="84"/>
  <c r="E27" i="84"/>
  <c r="E26" i="84"/>
  <c r="G72" i="84"/>
  <c r="G90" i="84"/>
  <c r="E15" i="84"/>
  <c r="G15" i="84" s="1"/>
  <c r="E16" i="84"/>
  <c r="G16" i="84" s="1"/>
  <c r="E17" i="84"/>
  <c r="G17" i="84" s="1"/>
  <c r="E18" i="84"/>
  <c r="E19" i="84"/>
  <c r="E20" i="84"/>
  <c r="E21" i="84"/>
  <c r="E44" i="84"/>
  <c r="E53" i="84"/>
  <c r="G53" i="84" s="1"/>
  <c r="E54" i="84"/>
  <c r="G54" i="84" s="1"/>
  <c r="E55" i="84"/>
  <c r="G55" i="84" s="1"/>
  <c r="E56" i="84"/>
  <c r="G56" i="84" s="1"/>
  <c r="E57" i="84"/>
  <c r="G57" i="84" s="1"/>
  <c r="E58" i="84"/>
  <c r="E59" i="84"/>
  <c r="G59" i="84" s="1"/>
  <c r="E12" i="84"/>
  <c r="G12" i="84" s="1"/>
  <c r="E13" i="84"/>
  <c r="G13" i="84" s="1"/>
  <c r="E14" i="84"/>
  <c r="G14" i="84" s="1"/>
  <c r="G22" i="84"/>
  <c r="H232" i="84" s="1"/>
  <c r="I232" i="84" s="1"/>
  <c r="G23" i="84"/>
  <c r="G24" i="84"/>
  <c r="H224" i="84" s="1"/>
  <c r="E31" i="84"/>
  <c r="G31" i="84" s="1"/>
  <c r="E32" i="84"/>
  <c r="G32" i="84" s="1"/>
  <c r="E33" i="84"/>
  <c r="G33" i="84" s="1"/>
  <c r="G41" i="84"/>
  <c r="H229" i="84" s="1"/>
  <c r="I229" i="84" s="1"/>
  <c r="G42" i="84"/>
  <c r="H227" i="84" s="1"/>
  <c r="I227" i="84" s="1"/>
  <c r="G43" i="84"/>
  <c r="H225" i="84" s="1"/>
  <c r="E50" i="84"/>
  <c r="G50" i="84" s="1"/>
  <c r="E51" i="84"/>
  <c r="G51" i="84" s="1"/>
  <c r="E52" i="84"/>
  <c r="G52" i="84" s="1"/>
  <c r="E73" i="84"/>
  <c r="G73" i="84" s="1"/>
  <c r="E74" i="84"/>
  <c r="G74" i="84" s="1"/>
  <c r="E75" i="84"/>
  <c r="G75" i="84" s="1"/>
  <c r="E76" i="84"/>
  <c r="G76" i="84" s="1"/>
  <c r="E77" i="84"/>
  <c r="G77" i="84" s="1"/>
  <c r="E78" i="84"/>
  <c r="G78" i="84" s="1"/>
  <c r="E79" i="84"/>
  <c r="G79" i="84" s="1"/>
  <c r="E82" i="84"/>
  <c r="E91" i="84"/>
  <c r="G91" i="84" s="1"/>
  <c r="E92" i="84"/>
  <c r="G92" i="84" s="1"/>
  <c r="E93" i="84"/>
  <c r="G93" i="84" s="1"/>
  <c r="E94" i="84"/>
  <c r="G94" i="84" s="1"/>
  <c r="E95" i="84"/>
  <c r="G95" i="84" s="1"/>
  <c r="E96" i="84"/>
  <c r="G96" i="84" s="1"/>
  <c r="E97" i="84"/>
  <c r="G97" i="84" s="1"/>
  <c r="E100" i="84"/>
  <c r="E109" i="84"/>
  <c r="G109" i="84" s="1"/>
  <c r="E110" i="84"/>
  <c r="G110" i="84" s="1"/>
  <c r="E111" i="84"/>
  <c r="G111" i="84" s="1"/>
  <c r="E112" i="84"/>
  <c r="G112" i="84" s="1"/>
  <c r="E113" i="84"/>
  <c r="G113" i="84" s="1"/>
  <c r="E114" i="84"/>
  <c r="G114" i="84" s="1"/>
  <c r="E115" i="84"/>
  <c r="G115" i="84" s="1"/>
  <c r="E226" i="84"/>
  <c r="G226" i="84" s="1"/>
  <c r="G134" i="84"/>
  <c r="H226" i="84" s="1"/>
  <c r="E169" i="84"/>
  <c r="E163" i="84"/>
  <c r="G163" i="84" s="1"/>
  <c r="E162" i="84"/>
  <c r="G162" i="84" s="1"/>
  <c r="E161" i="84"/>
  <c r="G161" i="84" s="1"/>
  <c r="E164" i="84"/>
  <c r="G164" i="84" s="1"/>
  <c r="E187" i="84"/>
  <c r="G187" i="84" s="1"/>
  <c r="E186" i="84"/>
  <c r="G186" i="84" s="1"/>
  <c r="E188" i="84"/>
  <c r="G188" i="84" s="1"/>
  <c r="E34" i="84"/>
  <c r="G34" i="84" s="1"/>
  <c r="E35" i="84"/>
  <c r="G35" i="84" s="1"/>
  <c r="E36" i="84"/>
  <c r="G36" i="84" s="1"/>
  <c r="E37" i="84"/>
  <c r="G37" i="84" s="1"/>
  <c r="E38" i="84"/>
  <c r="E39" i="84"/>
  <c r="G39" i="84" s="1"/>
  <c r="E228" i="84"/>
  <c r="G228" i="84" s="1"/>
  <c r="E70" i="84"/>
  <c r="G70" i="84" s="1"/>
  <c r="E71" i="84"/>
  <c r="G71" i="84" s="1"/>
  <c r="E88" i="84"/>
  <c r="G88" i="84" s="1"/>
  <c r="E89" i="84"/>
  <c r="G89" i="84" s="1"/>
  <c r="E106" i="84"/>
  <c r="G106" i="84" s="1"/>
  <c r="E107" i="84"/>
  <c r="G107" i="84" s="1"/>
  <c r="E108" i="84"/>
  <c r="G108" i="84" s="1"/>
  <c r="E126" i="84"/>
  <c r="G126" i="84" s="1"/>
  <c r="E125" i="84"/>
  <c r="G125" i="84" s="1"/>
  <c r="E124" i="84"/>
  <c r="G124" i="84" s="1"/>
  <c r="E127" i="84"/>
  <c r="G127" i="84" s="1"/>
  <c r="E129" i="84"/>
  <c r="E131" i="84"/>
  <c r="G131" i="84" s="1"/>
  <c r="E137" i="84"/>
  <c r="E145" i="84"/>
  <c r="G145" i="84" s="1"/>
  <c r="E144" i="84"/>
  <c r="G144" i="84" s="1"/>
  <c r="E143" i="84"/>
  <c r="G143" i="84" s="1"/>
  <c r="E146" i="84"/>
  <c r="G146" i="84" s="1"/>
  <c r="E148" i="84"/>
  <c r="G148" i="84" s="1"/>
  <c r="E150" i="84"/>
  <c r="G150" i="84" s="1"/>
  <c r="E152" i="84"/>
  <c r="G152" i="84" s="1"/>
  <c r="E165" i="84"/>
  <c r="E174" i="84"/>
  <c r="G174" i="84" s="1"/>
  <c r="E173" i="84"/>
  <c r="G173" i="84" s="1"/>
  <c r="E172" i="84"/>
  <c r="G172" i="84" s="1"/>
  <c r="E182" i="84"/>
  <c r="G182" i="84" s="1"/>
  <c r="E180" i="84"/>
  <c r="G180" i="84" s="1"/>
  <c r="E178" i="84"/>
  <c r="G178" i="84" s="1"/>
  <c r="E176" i="84"/>
  <c r="G176" i="84" s="1"/>
  <c r="E177" i="84"/>
  <c r="G177" i="84" s="1"/>
  <c r="E181" i="84"/>
  <c r="G181" i="84" s="1"/>
  <c r="I223" i="84"/>
  <c r="I233" i="84"/>
  <c r="I234" i="84"/>
  <c r="I240" i="84"/>
  <c r="I241" i="84"/>
  <c r="I242" i="84"/>
  <c r="I225" i="84" l="1"/>
  <c r="E157" i="84"/>
  <c r="G157" i="84" s="1"/>
  <c r="H230" i="84"/>
  <c r="I230" i="84" s="1"/>
  <c r="I228" i="84"/>
  <c r="E158" i="84"/>
  <c r="G158" i="84" s="1"/>
  <c r="I224" i="84"/>
  <c r="E235" i="84"/>
  <c r="G235" i="84" s="1"/>
  <c r="I235" i="84" s="1"/>
  <c r="H231" i="84"/>
  <c r="I231" i="84" s="1"/>
  <c r="I226" i="84"/>
  <c r="G196" i="84"/>
  <c r="G198" i="84"/>
  <c r="E236" i="84"/>
  <c r="G236" i="84" s="1"/>
  <c r="G20" i="84"/>
  <c r="H236" i="84" s="1"/>
  <c r="E251" i="84"/>
  <c r="G251" i="84" s="1"/>
  <c r="G18" i="84"/>
  <c r="G27" i="84"/>
  <c r="G189" i="84"/>
  <c r="E166" i="84"/>
  <c r="E167" i="84"/>
  <c r="G167" i="84" s="1"/>
  <c r="G122" i="84"/>
  <c r="E168" i="84"/>
  <c r="E138" i="84"/>
  <c r="G138" i="84" s="1"/>
  <c r="E140" i="84"/>
  <c r="G140" i="84" s="1"/>
  <c r="E139" i="84"/>
  <c r="G139" i="84" s="1"/>
  <c r="E246" i="84"/>
  <c r="G246" i="84" s="1"/>
  <c r="G129" i="84"/>
  <c r="H246" i="84" s="1"/>
  <c r="E237" i="84"/>
  <c r="G237" i="84" s="1"/>
  <c r="G38" i="84"/>
  <c r="H237" i="84" s="1"/>
  <c r="E239" i="84"/>
  <c r="G239" i="84" s="1"/>
  <c r="G169" i="84"/>
  <c r="H239" i="84" s="1"/>
  <c r="E101" i="84"/>
  <c r="G101" i="84" s="1"/>
  <c r="E103" i="84"/>
  <c r="G103" i="84" s="1"/>
  <c r="E102" i="84"/>
  <c r="G102" i="84" s="1"/>
  <c r="E83" i="84"/>
  <c r="G83" i="84" s="1"/>
  <c r="E85" i="84"/>
  <c r="G85" i="84" s="1"/>
  <c r="E84" i="84"/>
  <c r="G84" i="84" s="1"/>
  <c r="G197" i="84"/>
  <c r="E238" i="84"/>
  <c r="G238" i="84" s="1"/>
  <c r="G58" i="84"/>
  <c r="H238" i="84" s="1"/>
  <c r="E45" i="84"/>
  <c r="G45" i="84" s="1"/>
  <c r="E47" i="84"/>
  <c r="G47" i="84" s="1"/>
  <c r="E46" i="84"/>
  <c r="G46" i="84" s="1"/>
  <c r="E250" i="84"/>
  <c r="G250" i="84" s="1"/>
  <c r="G21" i="84"/>
  <c r="H250" i="84" s="1"/>
  <c r="E245" i="84"/>
  <c r="G245" i="84" s="1"/>
  <c r="G19" i="84"/>
  <c r="H245" i="84" s="1"/>
  <c r="G26" i="84"/>
  <c r="G28" i="84"/>
  <c r="G159" i="84" l="1"/>
  <c r="H248" i="84"/>
  <c r="H249" i="84"/>
  <c r="G68" i="84"/>
  <c r="G48" i="84"/>
  <c r="G104" i="84"/>
  <c r="E249" i="84"/>
  <c r="G249" i="84" s="1"/>
  <c r="E248" i="84"/>
  <c r="G248" i="84" s="1"/>
  <c r="G86" i="84"/>
  <c r="G141" i="84"/>
  <c r="I245" i="84"/>
  <c r="G199" i="84"/>
  <c r="I238" i="84"/>
  <c r="I239" i="84"/>
  <c r="I237" i="84"/>
  <c r="I250" i="84"/>
  <c r="G29" i="84"/>
  <c r="I246" i="84"/>
  <c r="E244" i="84"/>
  <c r="G244" i="84" s="1"/>
  <c r="G168" i="84"/>
  <c r="H244" i="84" s="1"/>
  <c r="E247" i="84"/>
  <c r="G247" i="84" s="1"/>
  <c r="G166" i="84"/>
  <c r="F195" i="84" s="1"/>
  <c r="H243" i="84"/>
  <c r="H251" i="84"/>
  <c r="I251" i="84" s="1"/>
  <c r="E243" i="84"/>
  <c r="G243" i="84" s="1"/>
  <c r="I236" i="84"/>
  <c r="I248" i="84" l="1"/>
  <c r="I249" i="84"/>
  <c r="I243" i="84"/>
  <c r="G252" i="84"/>
  <c r="H247" i="84"/>
  <c r="I247" i="84" s="1"/>
  <c r="G170" i="84"/>
  <c r="I244" i="84"/>
  <c r="G193" i="84"/>
  <c r="G195" i="84" s="1"/>
  <c r="G200" i="84" s="1"/>
  <c r="G201" i="84" l="1"/>
  <c r="G204" i="84" s="1"/>
  <c r="G205" i="84" l="1"/>
  <c r="G206" i="84" s="1"/>
</calcChain>
</file>

<file path=xl/sharedStrings.xml><?xml version="1.0" encoding="utf-8"?>
<sst xmlns="http://schemas.openxmlformats.org/spreadsheetml/2006/main" count="561" uniqueCount="108">
  <si>
    <t>шифр</t>
  </si>
  <si>
    <t>Наименование работ</t>
  </si>
  <si>
    <t>ед.изм.</t>
  </si>
  <si>
    <t>Количество</t>
  </si>
  <si>
    <t>ст-ть в тек.урв.</t>
  </si>
  <si>
    <t>на ед.изм.</t>
  </si>
  <si>
    <t>общее</t>
  </si>
  <si>
    <t>чел/час</t>
  </si>
  <si>
    <t>Итого</t>
  </si>
  <si>
    <t>общая              ст-ть</t>
  </si>
  <si>
    <t>м3</t>
  </si>
  <si>
    <t>тон</t>
  </si>
  <si>
    <t>Гвозди строительные</t>
  </si>
  <si>
    <t>м2</t>
  </si>
  <si>
    <t>101-1805</t>
  </si>
  <si>
    <t>204-9001</t>
  </si>
  <si>
    <t>факт</t>
  </si>
  <si>
    <t>Затраты труда машинистов</t>
  </si>
  <si>
    <t>маш/час</t>
  </si>
  <si>
    <t>100м3</t>
  </si>
  <si>
    <t>102-0025</t>
  </si>
  <si>
    <t>203-0511</t>
  </si>
  <si>
    <t>401-9021</t>
  </si>
  <si>
    <t>Щиты из досок толщиной 25 мм</t>
  </si>
  <si>
    <t>Пиломатериалы хвойных пород</t>
  </si>
  <si>
    <t>Пилы электрические цепные</t>
  </si>
  <si>
    <t>Вибраторы глубинные</t>
  </si>
  <si>
    <t>Щебень</t>
  </si>
  <si>
    <t>Песок</t>
  </si>
  <si>
    <t>ИЗ НИХ:</t>
  </si>
  <si>
    <t>Всего по акту</t>
  </si>
  <si>
    <t>ЗАКАЗЧИК</t>
  </si>
  <si>
    <t>ПРИНЯЛ</t>
  </si>
  <si>
    <t>ПОДРЯДЧИК</t>
  </si>
  <si>
    <t>СДАЛ</t>
  </si>
  <si>
    <t>ФСЗН 25% от ФОТ</t>
  </si>
  <si>
    <t>Установки для сварки ручной дуговой</t>
  </si>
  <si>
    <t>Электроды диаметром 4 мм Э42</t>
  </si>
  <si>
    <t>020129</t>
  </si>
  <si>
    <t>040502</t>
  </si>
  <si>
    <t>Итого по пунктам</t>
  </si>
  <si>
    <t>Арматура А-3 16 мм</t>
  </si>
  <si>
    <t>Арматура А-3 12 мм</t>
  </si>
  <si>
    <t>6-26-4</t>
  </si>
  <si>
    <t xml:space="preserve">Затраты труда рабочих с/р 3,2 </t>
  </si>
  <si>
    <t>Краны башенные при работе на других видах строительства (кроме монтажа технологического оборудования) 8 т</t>
  </si>
  <si>
    <t>101-1513</t>
  </si>
  <si>
    <t>102-0307</t>
  </si>
  <si>
    <t>Бруски обрезные хвойных пород длиной 2-6.5 м, толщиной 40-60 мм, 2 сорта</t>
  </si>
  <si>
    <t xml:space="preserve">Строительные материалы </t>
  </si>
  <si>
    <t>Машины и механизмы</t>
  </si>
  <si>
    <t xml:space="preserve">Затраты труда рабочих </t>
  </si>
  <si>
    <t xml:space="preserve">Затраты труда машинистов </t>
  </si>
  <si>
    <t>Услуги приготовление бетона "Фаровон-1"</t>
  </si>
  <si>
    <t>Транспортировка готового бетона</t>
  </si>
  <si>
    <t>Затраты труда рабочих с/р 3,1</t>
  </si>
  <si>
    <t>Затраты труда подрядчиков 10%</t>
  </si>
  <si>
    <t>НДС 7%</t>
  </si>
  <si>
    <t>шт.</t>
  </si>
  <si>
    <t>Арматура А-1 8 мм</t>
  </si>
  <si>
    <t>Вибраторы поверхностные</t>
  </si>
  <si>
    <t>6-111-1</t>
  </si>
  <si>
    <t>101-0816</t>
  </si>
  <si>
    <t>Проволока светлая диаметром 1,1 мм</t>
  </si>
  <si>
    <t>Арматура А-3 14 мм</t>
  </si>
  <si>
    <t>Цемент марки 500</t>
  </si>
  <si>
    <t>6-26-6</t>
  </si>
  <si>
    <t>102-0080</t>
  </si>
  <si>
    <t>Арматура А-3 22 мм</t>
  </si>
  <si>
    <t>Бетон марки БМ-300 (Товарный)</t>
  </si>
  <si>
    <t>Арматура А-3 25 мм</t>
  </si>
  <si>
    <t>Арматура А-3 32 мм</t>
  </si>
  <si>
    <t>Арматура А-3 28 мм</t>
  </si>
  <si>
    <t>Арматура А-3 20 мм</t>
  </si>
  <si>
    <t>6-34-2</t>
  </si>
  <si>
    <t>Доски обрезные дубовые 30 мм</t>
  </si>
  <si>
    <t>Арматура А-3 18 мм</t>
  </si>
  <si>
    <t>6-110-1</t>
  </si>
  <si>
    <t>101-9868</t>
  </si>
  <si>
    <t>Палуба опалубки типа "Дока" из бакелизированной фанеры</t>
  </si>
  <si>
    <t>Арматура А-3 10 мм</t>
  </si>
  <si>
    <t>401-9022</t>
  </si>
  <si>
    <t>Закладные детали АП-3</t>
  </si>
  <si>
    <t>Закладные детали АП-4</t>
  </si>
  <si>
    <t>Закладные детали АП-5</t>
  </si>
  <si>
    <t>Арматура А-1 6 мм</t>
  </si>
  <si>
    <t>8-9-1</t>
  </si>
  <si>
    <t>Кладка армированных стен из кирпича наружных простых толщиной 380 мм</t>
  </si>
  <si>
    <t xml:space="preserve">Затраты труда рабочих с/р 3,0 </t>
  </si>
  <si>
    <t>402-9070</t>
  </si>
  <si>
    <t>Цементно-глиняный раствор М-50</t>
  </si>
  <si>
    <t>Цемент марки 400</t>
  </si>
  <si>
    <t>Глина</t>
  </si>
  <si>
    <t>Песок речной</t>
  </si>
  <si>
    <t>404-9010</t>
  </si>
  <si>
    <t>Кирпич керамический</t>
  </si>
  <si>
    <t>тыс/шт.</t>
  </si>
  <si>
    <t>Устройство железобетонных сердечников</t>
  </si>
  <si>
    <t>А К Т №9-1</t>
  </si>
  <si>
    <t>выполненных работ за сентябрь месяц 2021 года</t>
  </si>
  <si>
    <t>Устройство железобетонных колонн в деревянной опалубке высотой: до 4 м, периметром до 2 м (4-й этаж)</t>
  </si>
  <si>
    <t>Устройство железобетонных диафрагм жесткости в деревянной опалубке высотой: до 4 м, периметром более 3 м Дж1-7 (4-й этаж)</t>
  </si>
  <si>
    <t>Устройство ригелей  4-го этажа (Ригель сечением 400х380 мм - 120,0 м/п)</t>
  </si>
  <si>
    <t>Устройство балок 4-го этажа (Балки сечениес 250х250 - 21,90 м/п)</t>
  </si>
  <si>
    <t>Устройство балок 4-го этажа (Балки сечениес 300х250 - 5,40 м/п)</t>
  </si>
  <si>
    <t>Устройство балок 4-го этажа (Балки сечениес 250х400 - 28,08 м/п)</t>
  </si>
  <si>
    <t>Устройство безбалочных перекрытий и покрытий в опалубке типа "Дока" толщиной до 200 мм: на высоте от опорной площадки до 6 м (4-й этаж)</t>
  </si>
  <si>
    <t>Устройство лестничных маршей в опалубке типа "Дока": прямоугольных с отметки +9,900 до отметки +13,200 (4-й этаж)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</si>
</sst>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000"/>
    <numFmt numFmtId="166" formatCode="#,##0.00;[Red]#,##0.00"/>
    <numFmt numFmtId="168" formatCode="0.000"/>
  </numFmts>
  <fonts count="11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 wrapText="1"/>
    </xf>
    <xf numFmtId="168" fontId="6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left" vertical="center"/>
    </xf>
    <xf numFmtId="4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2"/>
  <sheetViews>
    <sheetView tabSelected="1" view="pageBreakPreview" zoomScale="115" zoomScaleNormal="130" zoomScaleSheetLayoutView="115" workbookViewId="0">
      <selection activeCell="E223" sqref="E223"/>
    </sheetView>
  </sheetViews>
  <sheetFormatPr defaultColWidth="9.140625" defaultRowHeight="12.75" x14ac:dyDescent="0.25"/>
  <cols>
    <col min="1" max="1" width="9.85546875" style="44" customWidth="1"/>
    <col min="2" max="2" width="70.28515625" style="37" customWidth="1"/>
    <col min="3" max="3" width="10.7109375" style="44" customWidth="1"/>
    <col min="4" max="5" width="10.7109375" style="37" customWidth="1"/>
    <col min="6" max="6" width="11.85546875" style="55" customWidth="1"/>
    <col min="7" max="7" width="12.5703125" style="51" customWidth="1"/>
    <col min="8" max="8" width="10.42578125" style="37" bestFit="1" customWidth="1"/>
    <col min="9" max="9" width="12.42578125" style="37" customWidth="1"/>
    <col min="10" max="16384" width="9.140625" style="37"/>
  </cols>
  <sheetData>
    <row r="1" spans="1:7" ht="15.75" x14ac:dyDescent="0.25">
      <c r="A1" s="38"/>
      <c r="B1" s="67"/>
      <c r="C1" s="67"/>
      <c r="D1" s="66"/>
      <c r="E1" s="66"/>
      <c r="F1" s="39"/>
      <c r="G1" s="40"/>
    </row>
    <row r="2" spans="1:7" ht="15.75" x14ac:dyDescent="0.25">
      <c r="A2" s="81"/>
      <c r="B2" s="81"/>
      <c r="C2" s="81"/>
      <c r="D2" s="81"/>
      <c r="E2" s="81"/>
      <c r="F2" s="80"/>
      <c r="G2" s="81"/>
    </row>
    <row r="3" spans="1:7" ht="13.5" x14ac:dyDescent="0.25">
      <c r="A3" s="69"/>
      <c r="B3" s="41"/>
      <c r="C3" s="69"/>
      <c r="D3" s="41"/>
      <c r="E3" s="41"/>
      <c r="F3" s="52"/>
      <c r="G3" s="42"/>
    </row>
    <row r="4" spans="1:7" ht="15.75" x14ac:dyDescent="0.25">
      <c r="A4" s="79"/>
      <c r="B4" s="79"/>
      <c r="C4" s="79"/>
      <c r="D4" s="79"/>
      <c r="E4" s="79"/>
      <c r="F4" s="80"/>
      <c r="G4" s="79"/>
    </row>
    <row r="5" spans="1:7" ht="15" x14ac:dyDescent="0.25">
      <c r="A5" s="69"/>
      <c r="B5" s="72"/>
      <c r="C5" s="72"/>
      <c r="D5" s="72"/>
      <c r="E5" s="72"/>
      <c r="F5" s="72"/>
      <c r="G5" s="72"/>
    </row>
    <row r="6" spans="1:7" ht="20.25" x14ac:dyDescent="0.25">
      <c r="A6" s="73" t="s">
        <v>98</v>
      </c>
      <c r="B6" s="73"/>
      <c r="C6" s="73"/>
      <c r="D6" s="73"/>
      <c r="E6" s="73"/>
      <c r="F6" s="74"/>
      <c r="G6" s="73"/>
    </row>
    <row r="7" spans="1:7" ht="13.5" x14ac:dyDescent="0.25">
      <c r="A7" s="75" t="s">
        <v>99</v>
      </c>
      <c r="B7" s="75"/>
      <c r="C7" s="75"/>
      <c r="D7" s="75"/>
      <c r="E7" s="75"/>
      <c r="F7" s="76"/>
      <c r="G7" s="75"/>
    </row>
    <row r="8" spans="1:7" ht="13.5" x14ac:dyDescent="0.25">
      <c r="A8" s="69"/>
      <c r="B8" s="69"/>
      <c r="C8" s="69"/>
      <c r="D8" s="69"/>
      <c r="E8" s="69"/>
      <c r="F8" s="53"/>
      <c r="G8" s="43"/>
    </row>
    <row r="9" spans="1:7" s="44" customFormat="1" ht="13.5" customHeight="1" x14ac:dyDescent="0.25">
      <c r="A9" s="77" t="s">
        <v>0</v>
      </c>
      <c r="B9" s="77" t="s">
        <v>1</v>
      </c>
      <c r="C9" s="77" t="s">
        <v>2</v>
      </c>
      <c r="D9" s="77" t="s">
        <v>3</v>
      </c>
      <c r="E9" s="77"/>
      <c r="F9" s="78" t="s">
        <v>4</v>
      </c>
      <c r="G9" s="77" t="s">
        <v>9</v>
      </c>
    </row>
    <row r="10" spans="1:7" s="44" customFormat="1" ht="13.5" x14ac:dyDescent="0.25">
      <c r="A10" s="77"/>
      <c r="B10" s="77"/>
      <c r="C10" s="77"/>
      <c r="D10" s="70" t="s">
        <v>5</v>
      </c>
      <c r="E10" s="70" t="s">
        <v>6</v>
      </c>
      <c r="F10" s="77"/>
      <c r="G10" s="77"/>
    </row>
    <row r="11" spans="1:7" s="44" customFormat="1" ht="27" x14ac:dyDescent="0.25">
      <c r="A11" s="15" t="s">
        <v>43</v>
      </c>
      <c r="B11" s="16" t="s">
        <v>100</v>
      </c>
      <c r="C11" s="17" t="s">
        <v>19</v>
      </c>
      <c r="D11" s="18"/>
      <c r="E11" s="30">
        <f>0.38*0.38*2.9*4/100</f>
        <v>1.6750399999999999E-2</v>
      </c>
      <c r="F11" s="30"/>
      <c r="G11" s="19"/>
    </row>
    <row r="12" spans="1:7" s="44" customFormat="1" x14ac:dyDescent="0.25">
      <c r="A12" s="20">
        <v>1</v>
      </c>
      <c r="B12" s="21" t="s">
        <v>44</v>
      </c>
      <c r="C12" s="22" t="s">
        <v>7</v>
      </c>
      <c r="D12" s="18">
        <v>1569.4</v>
      </c>
      <c r="E12" s="23">
        <f>ROUND(D12*E11,4)</f>
        <v>26.2881</v>
      </c>
      <c r="F12" s="31">
        <v>10.46</v>
      </c>
      <c r="G12" s="24">
        <f t="shared" ref="G12:G24" si="0">F12*E12</f>
        <v>274.97352600000005</v>
      </c>
    </row>
    <row r="13" spans="1:7" s="44" customFormat="1" x14ac:dyDescent="0.25">
      <c r="A13" s="20">
        <v>2</v>
      </c>
      <c r="B13" s="21" t="s">
        <v>17</v>
      </c>
      <c r="C13" s="22" t="s">
        <v>7</v>
      </c>
      <c r="D13" s="18">
        <v>93.3</v>
      </c>
      <c r="E13" s="23">
        <f>ROUND(D13*E11,4)</f>
        <v>1.5628</v>
      </c>
      <c r="F13" s="31">
        <v>15.44</v>
      </c>
      <c r="G13" s="24">
        <f t="shared" si="0"/>
        <v>24.129631999999997</v>
      </c>
    </row>
    <row r="14" spans="1:7" s="44" customFormat="1" ht="25.5" x14ac:dyDescent="0.25">
      <c r="A14" s="20" t="s">
        <v>38</v>
      </c>
      <c r="B14" s="19" t="s">
        <v>45</v>
      </c>
      <c r="C14" s="22" t="s">
        <v>18</v>
      </c>
      <c r="D14" s="18">
        <v>93.3</v>
      </c>
      <c r="E14" s="23">
        <f>ROUND(D14*E11,4)</f>
        <v>1.5628</v>
      </c>
      <c r="F14" s="31">
        <f>152.37-15.44</f>
        <v>136.93</v>
      </c>
      <c r="G14" s="24">
        <f t="shared" si="0"/>
        <v>213.994204</v>
      </c>
    </row>
    <row r="15" spans="1:7" s="44" customFormat="1" x14ac:dyDescent="0.25">
      <c r="A15" s="20" t="s">
        <v>39</v>
      </c>
      <c r="B15" s="21" t="s">
        <v>36</v>
      </c>
      <c r="C15" s="22" t="s">
        <v>18</v>
      </c>
      <c r="D15" s="18">
        <v>124.95</v>
      </c>
      <c r="E15" s="23">
        <f>ROUND(D15*E11,4)</f>
        <v>2.093</v>
      </c>
      <c r="F15" s="31">
        <v>8.4600000000000009</v>
      </c>
      <c r="G15" s="24">
        <f t="shared" si="0"/>
        <v>17.706780000000002</v>
      </c>
    </row>
    <row r="16" spans="1:7" s="44" customFormat="1" x14ac:dyDescent="0.25">
      <c r="A16" s="20">
        <v>111100</v>
      </c>
      <c r="B16" s="19" t="s">
        <v>26</v>
      </c>
      <c r="C16" s="22" t="s">
        <v>18</v>
      </c>
      <c r="D16" s="18">
        <v>61.88</v>
      </c>
      <c r="E16" s="23">
        <f>ROUND(D16*E11,4)</f>
        <v>1.0365</v>
      </c>
      <c r="F16" s="31">
        <v>2.83</v>
      </c>
      <c r="G16" s="24">
        <f t="shared" si="0"/>
        <v>2.9332950000000002</v>
      </c>
    </row>
    <row r="17" spans="1:7" s="44" customFormat="1" x14ac:dyDescent="0.25">
      <c r="A17" s="20">
        <v>331532</v>
      </c>
      <c r="B17" s="19" t="s">
        <v>25</v>
      </c>
      <c r="C17" s="22" t="s">
        <v>18</v>
      </c>
      <c r="D17" s="18">
        <v>1.9</v>
      </c>
      <c r="E17" s="23">
        <f>ROUND(D17*E11,4)</f>
        <v>3.1800000000000002E-2</v>
      </c>
      <c r="F17" s="31">
        <v>1.63</v>
      </c>
      <c r="G17" s="24">
        <f t="shared" si="0"/>
        <v>5.1833999999999998E-2</v>
      </c>
    </row>
    <row r="18" spans="1:7" s="44" customFormat="1" x14ac:dyDescent="0.25">
      <c r="A18" s="20" t="s">
        <v>46</v>
      </c>
      <c r="B18" s="19" t="s">
        <v>37</v>
      </c>
      <c r="C18" s="22" t="s">
        <v>11</v>
      </c>
      <c r="D18" s="18">
        <v>0.15</v>
      </c>
      <c r="E18" s="23">
        <f>ROUND(D18*E11,4)</f>
        <v>2.5000000000000001E-3</v>
      </c>
      <c r="F18" s="31">
        <v>9500</v>
      </c>
      <c r="G18" s="24">
        <f t="shared" si="0"/>
        <v>23.75</v>
      </c>
    </row>
    <row r="19" spans="1:7" s="44" customFormat="1" x14ac:dyDescent="0.25">
      <c r="A19" s="20" t="s">
        <v>67</v>
      </c>
      <c r="B19" s="19" t="s">
        <v>24</v>
      </c>
      <c r="C19" s="22" t="s">
        <v>10</v>
      </c>
      <c r="D19" s="18">
        <v>1.7</v>
      </c>
      <c r="E19" s="23">
        <f>ROUND(D19*E11,4)</f>
        <v>2.8500000000000001E-2</v>
      </c>
      <c r="F19" s="31">
        <v>2500</v>
      </c>
      <c r="G19" s="24">
        <f t="shared" si="0"/>
        <v>71.25</v>
      </c>
    </row>
    <row r="20" spans="1:7" s="44" customFormat="1" x14ac:dyDescent="0.25">
      <c r="A20" s="20" t="s">
        <v>47</v>
      </c>
      <c r="B20" s="19" t="s">
        <v>48</v>
      </c>
      <c r="C20" s="22" t="s">
        <v>10</v>
      </c>
      <c r="D20" s="18">
        <v>0.25</v>
      </c>
      <c r="E20" s="23">
        <f>ROUND(D20*E11,4)</f>
        <v>4.1999999999999997E-3</v>
      </c>
      <c r="F20" s="31">
        <v>2000</v>
      </c>
      <c r="G20" s="24">
        <f t="shared" si="0"/>
        <v>8.4</v>
      </c>
    </row>
    <row r="21" spans="1:7" s="44" customFormat="1" x14ac:dyDescent="0.25">
      <c r="A21" s="20" t="s">
        <v>21</v>
      </c>
      <c r="B21" s="19" t="s">
        <v>23</v>
      </c>
      <c r="C21" s="22" t="s">
        <v>13</v>
      </c>
      <c r="D21" s="18">
        <v>135</v>
      </c>
      <c r="E21" s="23">
        <f>ROUND(D21*E11,4)</f>
        <v>2.2612999999999999</v>
      </c>
      <c r="F21" s="24"/>
      <c r="G21" s="24">
        <f t="shared" si="0"/>
        <v>0</v>
      </c>
    </row>
    <row r="22" spans="1:7" s="44" customFormat="1" x14ac:dyDescent="0.25">
      <c r="A22" s="20" t="s">
        <v>15</v>
      </c>
      <c r="B22" s="19" t="s">
        <v>68</v>
      </c>
      <c r="C22" s="22" t="s">
        <v>11</v>
      </c>
      <c r="D22" s="18" t="s">
        <v>16</v>
      </c>
      <c r="E22" s="23">
        <f>(210+53+106+53)/1000</f>
        <v>0.42199999999999999</v>
      </c>
      <c r="F22" s="31">
        <v>6500</v>
      </c>
      <c r="G22" s="24">
        <f t="shared" si="0"/>
        <v>2743</v>
      </c>
    </row>
    <row r="23" spans="1:7" s="44" customFormat="1" x14ac:dyDescent="0.25">
      <c r="A23" s="20" t="s">
        <v>15</v>
      </c>
      <c r="B23" s="19" t="s">
        <v>73</v>
      </c>
      <c r="C23" s="22" t="s">
        <v>11</v>
      </c>
      <c r="D23" s="18" t="s">
        <v>16</v>
      </c>
      <c r="E23" s="23">
        <f>(170+83+170+85)/1000</f>
        <v>0.50800000000000001</v>
      </c>
      <c r="F23" s="31">
        <v>6500</v>
      </c>
      <c r="G23" s="24">
        <f t="shared" si="0"/>
        <v>3302</v>
      </c>
    </row>
    <row r="24" spans="1:7" s="44" customFormat="1" x14ac:dyDescent="0.25">
      <c r="A24" s="20" t="s">
        <v>15</v>
      </c>
      <c r="B24" s="19" t="s">
        <v>59</v>
      </c>
      <c r="C24" s="22" t="s">
        <v>11</v>
      </c>
      <c r="D24" s="18" t="s">
        <v>16</v>
      </c>
      <c r="E24" s="23">
        <f>(257+38+75+38)/1000</f>
        <v>0.40799999999999997</v>
      </c>
      <c r="F24" s="31">
        <v>6500</v>
      </c>
      <c r="G24" s="24">
        <f t="shared" si="0"/>
        <v>2652</v>
      </c>
    </row>
    <row r="25" spans="1:7" s="44" customFormat="1" x14ac:dyDescent="0.25">
      <c r="A25" s="20" t="s">
        <v>22</v>
      </c>
      <c r="B25" s="19" t="s">
        <v>69</v>
      </c>
      <c r="C25" s="22" t="s">
        <v>10</v>
      </c>
      <c r="D25" s="18">
        <v>100</v>
      </c>
      <c r="E25" s="23">
        <f>ROUND(D25*E11,4)</f>
        <v>1.675</v>
      </c>
      <c r="F25" s="24"/>
      <c r="G25" s="24"/>
    </row>
    <row r="26" spans="1:7" s="44" customFormat="1" x14ac:dyDescent="0.25">
      <c r="A26" s="20"/>
      <c r="B26" s="32" t="s">
        <v>65</v>
      </c>
      <c r="C26" s="22" t="s">
        <v>11</v>
      </c>
      <c r="D26" s="18">
        <v>0.38200000000000001</v>
      </c>
      <c r="E26" s="23">
        <f>ROUND(D26*E25,4)</f>
        <v>0.63990000000000002</v>
      </c>
      <c r="F26" s="31">
        <v>630</v>
      </c>
      <c r="G26" s="24">
        <f t="shared" ref="G26:G28" si="1">F26*E26</f>
        <v>403.137</v>
      </c>
    </row>
    <row r="27" spans="1:7" s="44" customFormat="1" x14ac:dyDescent="0.25">
      <c r="A27" s="20"/>
      <c r="B27" s="32" t="s">
        <v>28</v>
      </c>
      <c r="C27" s="22" t="s">
        <v>11</v>
      </c>
      <c r="D27" s="18">
        <f>47/100*1.52</f>
        <v>0.71439999999999992</v>
      </c>
      <c r="E27" s="23">
        <f>ROUND(D27*E25,4)</f>
        <v>1.1966000000000001</v>
      </c>
      <c r="F27" s="31">
        <f>2449.06/159.17</f>
        <v>15.386442168750394</v>
      </c>
      <c r="G27" s="24">
        <f t="shared" si="1"/>
        <v>18.411416699126722</v>
      </c>
    </row>
    <row r="28" spans="1:7" s="44" customFormat="1" x14ac:dyDescent="0.25">
      <c r="A28" s="20"/>
      <c r="B28" s="32" t="s">
        <v>27</v>
      </c>
      <c r="C28" s="22" t="s">
        <v>11</v>
      </c>
      <c r="D28" s="18">
        <f>80/100*1.6</f>
        <v>1.2800000000000002</v>
      </c>
      <c r="E28" s="23">
        <f>ROUND(D28*E25,4)</f>
        <v>2.1440000000000001</v>
      </c>
      <c r="F28" s="31">
        <f>4991.72/392.53</f>
        <v>12.7167859781418</v>
      </c>
      <c r="G28" s="24">
        <f t="shared" si="1"/>
        <v>27.26478913713602</v>
      </c>
    </row>
    <row r="29" spans="1:7" s="44" customFormat="1" ht="13.5" x14ac:dyDescent="0.25">
      <c r="A29" s="15"/>
      <c r="B29" s="25" t="s">
        <v>8</v>
      </c>
      <c r="C29" s="17"/>
      <c r="D29" s="26"/>
      <c r="E29" s="27"/>
      <c r="F29" s="28"/>
      <c r="G29" s="29">
        <f>SUM(G12:G28)</f>
        <v>9783.0024768362637</v>
      </c>
    </row>
    <row r="30" spans="1:7" s="44" customFormat="1" ht="27" x14ac:dyDescent="0.25">
      <c r="A30" s="15" t="s">
        <v>66</v>
      </c>
      <c r="B30" s="16" t="s">
        <v>101</v>
      </c>
      <c r="C30" s="17" t="s">
        <v>19</v>
      </c>
      <c r="D30" s="18"/>
      <c r="E30" s="17">
        <f>33.51/100</f>
        <v>0.33509999999999995</v>
      </c>
      <c r="F30" s="24"/>
      <c r="G30" s="24"/>
    </row>
    <row r="31" spans="1:7" s="44" customFormat="1" x14ac:dyDescent="0.25">
      <c r="A31" s="20">
        <v>1</v>
      </c>
      <c r="B31" s="21" t="s">
        <v>44</v>
      </c>
      <c r="C31" s="22" t="s">
        <v>7</v>
      </c>
      <c r="D31" s="18">
        <v>763.46</v>
      </c>
      <c r="E31" s="23">
        <f>ROUND(D31*E30,4)</f>
        <v>255.83539999999999</v>
      </c>
      <c r="F31" s="31">
        <v>10.46</v>
      </c>
      <c r="G31" s="24">
        <f t="shared" ref="G31:G43" si="2">F31*E31</f>
        <v>2676.0382840000002</v>
      </c>
    </row>
    <row r="32" spans="1:7" s="44" customFormat="1" x14ac:dyDescent="0.25">
      <c r="A32" s="20">
        <v>2</v>
      </c>
      <c r="B32" s="21" t="s">
        <v>17</v>
      </c>
      <c r="C32" s="22" t="s">
        <v>7</v>
      </c>
      <c r="D32" s="18">
        <v>70.45</v>
      </c>
      <c r="E32" s="23">
        <f>ROUND(D32*E30,4)</f>
        <v>23.607800000000001</v>
      </c>
      <c r="F32" s="31">
        <v>15.44</v>
      </c>
      <c r="G32" s="24">
        <f t="shared" si="2"/>
        <v>364.50443200000001</v>
      </c>
    </row>
    <row r="33" spans="1:8" s="44" customFormat="1" ht="25.5" x14ac:dyDescent="0.25">
      <c r="A33" s="20" t="s">
        <v>38</v>
      </c>
      <c r="B33" s="19" t="s">
        <v>45</v>
      </c>
      <c r="C33" s="22" t="s">
        <v>18</v>
      </c>
      <c r="D33" s="18">
        <v>70.45</v>
      </c>
      <c r="E33" s="23">
        <f>ROUND(D33*E30,4)</f>
        <v>23.607800000000001</v>
      </c>
      <c r="F33" s="31">
        <f>152.37-15.44</f>
        <v>136.93</v>
      </c>
      <c r="G33" s="24">
        <f t="shared" si="2"/>
        <v>3232.6160540000001</v>
      </c>
    </row>
    <row r="34" spans="1:8" s="44" customFormat="1" x14ac:dyDescent="0.25">
      <c r="A34" s="20" t="s">
        <v>39</v>
      </c>
      <c r="B34" s="21" t="s">
        <v>36</v>
      </c>
      <c r="C34" s="22" t="s">
        <v>18</v>
      </c>
      <c r="D34" s="18">
        <v>124.95</v>
      </c>
      <c r="E34" s="23">
        <f>ROUND(D34*E30,4)</f>
        <v>41.870699999999999</v>
      </c>
      <c r="F34" s="31">
        <v>8.4600000000000009</v>
      </c>
      <c r="G34" s="24">
        <f t="shared" si="2"/>
        <v>354.22612200000003</v>
      </c>
    </row>
    <row r="35" spans="1:8" s="44" customFormat="1" x14ac:dyDescent="0.25">
      <c r="A35" s="20">
        <v>111100</v>
      </c>
      <c r="B35" s="19" t="s">
        <v>26</v>
      </c>
      <c r="C35" s="22" t="s">
        <v>18</v>
      </c>
      <c r="D35" s="18">
        <v>30.11</v>
      </c>
      <c r="E35" s="23">
        <f>ROUND(D35*E30,4)</f>
        <v>10.0899</v>
      </c>
      <c r="F35" s="31">
        <v>2.83</v>
      </c>
      <c r="G35" s="24">
        <f t="shared" si="2"/>
        <v>28.554417000000001</v>
      </c>
    </row>
    <row r="36" spans="1:8" s="44" customFormat="1" x14ac:dyDescent="0.25">
      <c r="A36" s="20">
        <v>331532</v>
      </c>
      <c r="B36" s="19" t="s">
        <v>25</v>
      </c>
      <c r="C36" s="22" t="s">
        <v>18</v>
      </c>
      <c r="D36" s="18">
        <v>0.7</v>
      </c>
      <c r="E36" s="23">
        <f>ROUND(D36*E30,4)</f>
        <v>0.2346</v>
      </c>
      <c r="F36" s="31">
        <v>1.63</v>
      </c>
      <c r="G36" s="24">
        <f t="shared" si="2"/>
        <v>0.38239799999999996</v>
      </c>
    </row>
    <row r="37" spans="1:8" s="44" customFormat="1" x14ac:dyDescent="0.25">
      <c r="A37" s="20" t="s">
        <v>46</v>
      </c>
      <c r="B37" s="19" t="s">
        <v>37</v>
      </c>
      <c r="C37" s="22" t="s">
        <v>11</v>
      </c>
      <c r="D37" s="18">
        <v>0.15</v>
      </c>
      <c r="E37" s="23">
        <f>ROUND(D37*E30,4)</f>
        <v>5.0299999999999997E-2</v>
      </c>
      <c r="F37" s="31">
        <v>9500</v>
      </c>
      <c r="G37" s="24">
        <f t="shared" si="2"/>
        <v>477.84999999999997</v>
      </c>
    </row>
    <row r="38" spans="1:8" s="44" customFormat="1" x14ac:dyDescent="0.25">
      <c r="A38" s="20" t="s">
        <v>14</v>
      </c>
      <c r="B38" s="21" t="s">
        <v>12</v>
      </c>
      <c r="C38" s="22" t="s">
        <v>11</v>
      </c>
      <c r="D38" s="18">
        <v>1.7000000000000001E-2</v>
      </c>
      <c r="E38" s="23">
        <f>ROUND(D38*E30,4)</f>
        <v>5.7000000000000002E-3</v>
      </c>
      <c r="F38" s="31">
        <v>8500</v>
      </c>
      <c r="G38" s="24">
        <f t="shared" si="2"/>
        <v>48.45</v>
      </c>
    </row>
    <row r="39" spans="1:8" s="44" customFormat="1" x14ac:dyDescent="0.25">
      <c r="A39" s="20" t="s">
        <v>67</v>
      </c>
      <c r="B39" s="19" t="s">
        <v>24</v>
      </c>
      <c r="C39" s="22" t="s">
        <v>10</v>
      </c>
      <c r="D39" s="18">
        <v>0.72</v>
      </c>
      <c r="E39" s="23">
        <f>ROUND(D39*E30,4)</f>
        <v>0.24129999999999999</v>
      </c>
      <c r="F39" s="31">
        <v>2500</v>
      </c>
      <c r="G39" s="24">
        <f t="shared" si="2"/>
        <v>603.25</v>
      </c>
    </row>
    <row r="40" spans="1:8" s="44" customFormat="1" x14ac:dyDescent="0.25">
      <c r="A40" s="20" t="s">
        <v>21</v>
      </c>
      <c r="B40" s="19" t="s">
        <v>23</v>
      </c>
      <c r="C40" s="22" t="s">
        <v>13</v>
      </c>
      <c r="D40" s="18">
        <v>55</v>
      </c>
      <c r="E40" s="23">
        <f>ROUND(D40*E30,4)</f>
        <v>18.430499999999999</v>
      </c>
      <c r="F40" s="24"/>
      <c r="G40" s="24">
        <f t="shared" si="2"/>
        <v>0</v>
      </c>
    </row>
    <row r="41" spans="1:8" s="44" customFormat="1" x14ac:dyDescent="0.25">
      <c r="A41" s="20" t="s">
        <v>15</v>
      </c>
      <c r="B41" s="19" t="s">
        <v>41</v>
      </c>
      <c r="C41" s="22" t="s">
        <v>11</v>
      </c>
      <c r="D41" s="18" t="s">
        <v>16</v>
      </c>
      <c r="E41" s="23">
        <f>130/1000</f>
        <v>0.13</v>
      </c>
      <c r="F41" s="31">
        <v>6500</v>
      </c>
      <c r="G41" s="24">
        <f t="shared" si="2"/>
        <v>845</v>
      </c>
      <c r="H41" s="65"/>
    </row>
    <row r="42" spans="1:8" s="44" customFormat="1" x14ac:dyDescent="0.25">
      <c r="A42" s="20" t="s">
        <v>15</v>
      </c>
      <c r="B42" s="19" t="s">
        <v>64</v>
      </c>
      <c r="C42" s="22" t="s">
        <v>11</v>
      </c>
      <c r="D42" s="18" t="s">
        <v>16</v>
      </c>
      <c r="E42" s="23">
        <f>(155+232+136+87+258+155+232)/1000</f>
        <v>1.2549999999999999</v>
      </c>
      <c r="F42" s="31">
        <v>6500</v>
      </c>
      <c r="G42" s="24">
        <f t="shared" si="2"/>
        <v>8157.4999999999991</v>
      </c>
      <c r="H42" s="65"/>
    </row>
    <row r="43" spans="1:8" s="44" customFormat="1" x14ac:dyDescent="0.25">
      <c r="A43" s="20" t="s">
        <v>15</v>
      </c>
      <c r="B43" s="19" t="s">
        <v>80</v>
      </c>
      <c r="C43" s="22" t="s">
        <v>11</v>
      </c>
      <c r="D43" s="18" t="s">
        <v>16</v>
      </c>
      <c r="E43" s="23">
        <f>(92+145+48+42+159+74+140)/1000</f>
        <v>0.7</v>
      </c>
      <c r="F43" s="31">
        <v>6500</v>
      </c>
      <c r="G43" s="24">
        <f t="shared" si="2"/>
        <v>4550</v>
      </c>
      <c r="H43" s="65"/>
    </row>
    <row r="44" spans="1:8" s="44" customFormat="1" x14ac:dyDescent="0.25">
      <c r="A44" s="20" t="s">
        <v>22</v>
      </c>
      <c r="B44" s="19" t="s">
        <v>69</v>
      </c>
      <c r="C44" s="22" t="s">
        <v>10</v>
      </c>
      <c r="D44" s="18">
        <v>100</v>
      </c>
      <c r="E44" s="23">
        <f>ROUND(D44*E30,4)</f>
        <v>33.51</v>
      </c>
      <c r="F44" s="24"/>
      <c r="G44" s="24"/>
    </row>
    <row r="45" spans="1:8" s="44" customFormat="1" x14ac:dyDescent="0.25">
      <c r="A45" s="20"/>
      <c r="B45" s="32" t="s">
        <v>65</v>
      </c>
      <c r="C45" s="22" t="s">
        <v>11</v>
      </c>
      <c r="D45" s="18">
        <v>0.38200000000000001</v>
      </c>
      <c r="E45" s="23">
        <f>ROUND(D45*E44,4)</f>
        <v>12.800800000000001</v>
      </c>
      <c r="F45" s="31">
        <v>630</v>
      </c>
      <c r="G45" s="24">
        <f t="shared" ref="G45:G47" si="3">F45*E45</f>
        <v>8064.5040000000008</v>
      </c>
    </row>
    <row r="46" spans="1:8" s="44" customFormat="1" x14ac:dyDescent="0.25">
      <c r="A46" s="20"/>
      <c r="B46" s="32" t="s">
        <v>28</v>
      </c>
      <c r="C46" s="22" t="s">
        <v>11</v>
      </c>
      <c r="D46" s="18">
        <f>47/100*1.52</f>
        <v>0.71439999999999992</v>
      </c>
      <c r="E46" s="23">
        <f>ROUND(D46*E44,4)</f>
        <v>23.939499999999999</v>
      </c>
      <c r="F46" s="31">
        <f>2449.06/159.17</f>
        <v>15.386442168750394</v>
      </c>
      <c r="G46" s="24">
        <f t="shared" si="3"/>
        <v>368.34373229880003</v>
      </c>
    </row>
    <row r="47" spans="1:8" s="44" customFormat="1" x14ac:dyDescent="0.25">
      <c r="A47" s="20"/>
      <c r="B47" s="32" t="s">
        <v>27</v>
      </c>
      <c r="C47" s="22" t="s">
        <v>11</v>
      </c>
      <c r="D47" s="18">
        <f>80/100*1.6</f>
        <v>1.2800000000000002</v>
      </c>
      <c r="E47" s="23">
        <f>ROUND(D47*E44,4)</f>
        <v>42.892800000000001</v>
      </c>
      <c r="F47" s="31">
        <f>4991.72/392.53</f>
        <v>12.7167859781418</v>
      </c>
      <c r="G47" s="24">
        <f t="shared" si="3"/>
        <v>545.45855760324059</v>
      </c>
    </row>
    <row r="48" spans="1:8" ht="13.5" x14ac:dyDescent="0.25">
      <c r="A48" s="15"/>
      <c r="B48" s="25" t="s">
        <v>8</v>
      </c>
      <c r="C48" s="17"/>
      <c r="D48" s="26"/>
      <c r="E48" s="27"/>
      <c r="F48" s="28"/>
      <c r="G48" s="29">
        <f>SUM(G31:G47)</f>
        <v>30316.677996902039</v>
      </c>
    </row>
    <row r="49" spans="1:7" ht="13.5" x14ac:dyDescent="0.25">
      <c r="A49" s="15" t="s">
        <v>74</v>
      </c>
      <c r="B49" s="16" t="s">
        <v>102</v>
      </c>
      <c r="C49" s="17" t="s">
        <v>19</v>
      </c>
      <c r="D49" s="18"/>
      <c r="E49" s="30">
        <f>0.4*0.38*120/100</f>
        <v>0.18240000000000001</v>
      </c>
      <c r="F49" s="31"/>
      <c r="G49" s="31"/>
    </row>
    <row r="50" spans="1:7" x14ac:dyDescent="0.25">
      <c r="A50" s="20">
        <v>1</v>
      </c>
      <c r="B50" s="21" t="s">
        <v>55</v>
      </c>
      <c r="C50" s="22" t="s">
        <v>7</v>
      </c>
      <c r="D50" s="18">
        <v>1749.3</v>
      </c>
      <c r="E50" s="23">
        <f>ROUND(D50*E49,4)</f>
        <v>319.07229999999998</v>
      </c>
      <c r="F50" s="31">
        <v>10.31</v>
      </c>
      <c r="G50" s="31">
        <f t="shared" ref="G50:G67" si="4">F50*E50</f>
        <v>3289.635413</v>
      </c>
    </row>
    <row r="51" spans="1:7" x14ac:dyDescent="0.25">
      <c r="A51" s="20">
        <v>2</v>
      </c>
      <c r="B51" s="21" t="s">
        <v>17</v>
      </c>
      <c r="C51" s="22" t="s">
        <v>7</v>
      </c>
      <c r="D51" s="18">
        <v>91.51</v>
      </c>
      <c r="E51" s="23">
        <f>ROUND(D51*E49,4)</f>
        <v>16.691400000000002</v>
      </c>
      <c r="F51" s="31">
        <v>15.44</v>
      </c>
      <c r="G51" s="31">
        <f t="shared" si="4"/>
        <v>257.715216</v>
      </c>
    </row>
    <row r="52" spans="1:7" ht="25.5" x14ac:dyDescent="0.25">
      <c r="A52" s="20" t="s">
        <v>38</v>
      </c>
      <c r="B52" s="19" t="s">
        <v>45</v>
      </c>
      <c r="C52" s="22" t="s">
        <v>18</v>
      </c>
      <c r="D52" s="18">
        <v>91.51</v>
      </c>
      <c r="E52" s="23">
        <f>ROUND(D52*E49,4)</f>
        <v>16.691400000000002</v>
      </c>
      <c r="F52" s="31">
        <f>152.37-15.44</f>
        <v>136.93</v>
      </c>
      <c r="G52" s="31">
        <f t="shared" si="4"/>
        <v>2285.5534020000005</v>
      </c>
    </row>
    <row r="53" spans="1:7" x14ac:dyDescent="0.25">
      <c r="A53" s="20" t="s">
        <v>39</v>
      </c>
      <c r="B53" s="21" t="s">
        <v>36</v>
      </c>
      <c r="C53" s="22" t="s">
        <v>18</v>
      </c>
      <c r="D53" s="18">
        <v>283.22000000000003</v>
      </c>
      <c r="E53" s="23">
        <f>ROUND(D53*E49,4)</f>
        <v>51.659300000000002</v>
      </c>
      <c r="F53" s="31">
        <v>8.4600000000000009</v>
      </c>
      <c r="G53" s="31">
        <f t="shared" si="4"/>
        <v>437.03767800000008</v>
      </c>
    </row>
    <row r="54" spans="1:7" x14ac:dyDescent="0.25">
      <c r="A54" s="20">
        <v>111100</v>
      </c>
      <c r="B54" s="19" t="s">
        <v>26</v>
      </c>
      <c r="C54" s="22" t="s">
        <v>18</v>
      </c>
      <c r="D54" s="18">
        <v>85.68</v>
      </c>
      <c r="E54" s="23">
        <f>ROUND(D54*E49,4)</f>
        <v>15.628</v>
      </c>
      <c r="F54" s="31">
        <v>2.83</v>
      </c>
      <c r="G54" s="31">
        <f t="shared" si="4"/>
        <v>44.227240000000002</v>
      </c>
    </row>
    <row r="55" spans="1:7" x14ac:dyDescent="0.25">
      <c r="A55" s="20">
        <v>331532</v>
      </c>
      <c r="B55" s="19" t="s">
        <v>25</v>
      </c>
      <c r="C55" s="22" t="s">
        <v>18</v>
      </c>
      <c r="D55" s="18">
        <v>6.28</v>
      </c>
      <c r="E55" s="23">
        <f>ROUND(D55*E49,4)</f>
        <v>1.1455</v>
      </c>
      <c r="F55" s="31">
        <v>1.63</v>
      </c>
      <c r="G55" s="31">
        <f t="shared" si="4"/>
        <v>1.8671649999999997</v>
      </c>
    </row>
    <row r="56" spans="1:7" x14ac:dyDescent="0.25">
      <c r="A56" s="20" t="s">
        <v>46</v>
      </c>
      <c r="B56" s="19" t="s">
        <v>37</v>
      </c>
      <c r="C56" s="22" t="s">
        <v>11</v>
      </c>
      <c r="D56" s="18">
        <v>0.34</v>
      </c>
      <c r="E56" s="23">
        <f>ROUND(D56*E49,4)</f>
        <v>6.2E-2</v>
      </c>
      <c r="F56" s="31">
        <v>9500</v>
      </c>
      <c r="G56" s="31">
        <f t="shared" si="4"/>
        <v>589</v>
      </c>
    </row>
    <row r="57" spans="1:7" x14ac:dyDescent="0.25">
      <c r="A57" s="20" t="s">
        <v>14</v>
      </c>
      <c r="B57" s="21" t="s">
        <v>12</v>
      </c>
      <c r="C57" s="22" t="s">
        <v>11</v>
      </c>
      <c r="D57" s="18">
        <v>6.7000000000000004E-2</v>
      </c>
      <c r="E57" s="23">
        <f>ROUND(D57*E49,4)</f>
        <v>1.2200000000000001E-2</v>
      </c>
      <c r="F57" s="31">
        <v>8500</v>
      </c>
      <c r="G57" s="31">
        <f t="shared" si="4"/>
        <v>103.7</v>
      </c>
    </row>
    <row r="58" spans="1:7" x14ac:dyDescent="0.25">
      <c r="A58" s="20" t="s">
        <v>20</v>
      </c>
      <c r="B58" s="19" t="s">
        <v>75</v>
      </c>
      <c r="C58" s="22" t="s">
        <v>10</v>
      </c>
      <c r="D58" s="18">
        <v>0.17799999999999999</v>
      </c>
      <c r="E58" s="23">
        <f>ROUND(D58*E49,4)</f>
        <v>3.2500000000000001E-2</v>
      </c>
      <c r="F58" s="31">
        <v>2563.75</v>
      </c>
      <c r="G58" s="31">
        <f t="shared" si="4"/>
        <v>83.321875000000006</v>
      </c>
    </row>
    <row r="59" spans="1:7" x14ac:dyDescent="0.25">
      <c r="A59" s="20" t="s">
        <v>21</v>
      </c>
      <c r="B59" s="19" t="s">
        <v>23</v>
      </c>
      <c r="C59" s="22" t="s">
        <v>13</v>
      </c>
      <c r="D59" s="18">
        <v>155</v>
      </c>
      <c r="E59" s="23">
        <f>ROUND(D59*E49,4)</f>
        <v>28.271999999999998</v>
      </c>
      <c r="F59" s="31"/>
      <c r="G59" s="31">
        <f t="shared" si="4"/>
        <v>0</v>
      </c>
    </row>
    <row r="60" spans="1:7" x14ac:dyDescent="0.25">
      <c r="A60" s="20" t="s">
        <v>15</v>
      </c>
      <c r="B60" s="19" t="s">
        <v>68</v>
      </c>
      <c r="C60" s="22" t="s">
        <v>11</v>
      </c>
      <c r="D60" s="18" t="s">
        <v>16</v>
      </c>
      <c r="E60" s="23">
        <f>807/1000</f>
        <v>0.80700000000000005</v>
      </c>
      <c r="F60" s="31">
        <v>6500</v>
      </c>
      <c r="G60" s="31">
        <f t="shared" si="4"/>
        <v>5245.5</v>
      </c>
    </row>
    <row r="61" spans="1:7" x14ac:dyDescent="0.25">
      <c r="A61" s="20" t="s">
        <v>15</v>
      </c>
      <c r="B61" s="19" t="s">
        <v>73</v>
      </c>
      <c r="C61" s="22" t="s">
        <v>11</v>
      </c>
      <c r="D61" s="18" t="s">
        <v>16</v>
      </c>
      <c r="E61" s="23">
        <f>1698/1000</f>
        <v>1.698</v>
      </c>
      <c r="F61" s="31">
        <v>6500</v>
      </c>
      <c r="G61" s="31">
        <f t="shared" si="4"/>
        <v>11037</v>
      </c>
    </row>
    <row r="62" spans="1:7" x14ac:dyDescent="0.25">
      <c r="A62" s="20" t="s">
        <v>15</v>
      </c>
      <c r="B62" s="19" t="s">
        <v>76</v>
      </c>
      <c r="C62" s="22" t="s">
        <v>11</v>
      </c>
      <c r="D62" s="18" t="s">
        <v>16</v>
      </c>
      <c r="E62" s="23">
        <f>221/1000</f>
        <v>0.221</v>
      </c>
      <c r="F62" s="31">
        <v>6500</v>
      </c>
      <c r="G62" s="31">
        <f t="shared" si="4"/>
        <v>1436.5</v>
      </c>
    </row>
    <row r="63" spans="1:7" x14ac:dyDescent="0.25">
      <c r="A63" s="20" t="s">
        <v>15</v>
      </c>
      <c r="B63" s="19" t="s">
        <v>59</v>
      </c>
      <c r="C63" s="22" t="s">
        <v>11</v>
      </c>
      <c r="D63" s="18" t="s">
        <v>16</v>
      </c>
      <c r="E63" s="23">
        <f>557/1000</f>
        <v>0.55700000000000005</v>
      </c>
      <c r="F63" s="31">
        <v>6500</v>
      </c>
      <c r="G63" s="31">
        <f t="shared" si="4"/>
        <v>3620.5000000000005</v>
      </c>
    </row>
    <row r="64" spans="1:7" x14ac:dyDescent="0.25">
      <c r="A64" s="20" t="s">
        <v>22</v>
      </c>
      <c r="B64" s="19" t="s">
        <v>69</v>
      </c>
      <c r="C64" s="22" t="s">
        <v>10</v>
      </c>
      <c r="D64" s="18">
        <v>100</v>
      </c>
      <c r="E64" s="23">
        <f>ROUND(D64*E49,4)</f>
        <v>18.239999999999998</v>
      </c>
      <c r="F64" s="31"/>
      <c r="G64" s="31"/>
    </row>
    <row r="65" spans="1:7" x14ac:dyDescent="0.25">
      <c r="A65" s="20"/>
      <c r="B65" s="32" t="s">
        <v>65</v>
      </c>
      <c r="C65" s="22" t="s">
        <v>11</v>
      </c>
      <c r="D65" s="18">
        <v>0.38200000000000001</v>
      </c>
      <c r="E65" s="23">
        <f>ROUND(D65*E64,4)</f>
        <v>6.9676999999999998</v>
      </c>
      <c r="F65" s="31">
        <v>630</v>
      </c>
      <c r="G65" s="31">
        <f t="shared" si="4"/>
        <v>4389.6509999999998</v>
      </c>
    </row>
    <row r="66" spans="1:7" x14ac:dyDescent="0.25">
      <c r="A66" s="20"/>
      <c r="B66" s="32" t="s">
        <v>28</v>
      </c>
      <c r="C66" s="22" t="s">
        <v>11</v>
      </c>
      <c r="D66" s="18">
        <f>47/100*1.52</f>
        <v>0.71439999999999992</v>
      </c>
      <c r="E66" s="23">
        <f>ROUND(D66*E64,4)</f>
        <v>13.0307</v>
      </c>
      <c r="F66" s="31">
        <f>2449.06/159.17</f>
        <v>15.386442168750394</v>
      </c>
      <c r="G66" s="31">
        <f t="shared" si="4"/>
        <v>200.49611196833575</v>
      </c>
    </row>
    <row r="67" spans="1:7" x14ac:dyDescent="0.25">
      <c r="A67" s="20"/>
      <c r="B67" s="32" t="s">
        <v>27</v>
      </c>
      <c r="C67" s="22" t="s">
        <v>11</v>
      </c>
      <c r="D67" s="18">
        <f>80/100*1.6</f>
        <v>1.2800000000000002</v>
      </c>
      <c r="E67" s="23">
        <f>ROUND(D67*E64,4)</f>
        <v>23.347200000000001</v>
      </c>
      <c r="F67" s="31">
        <f>4991.72/392.53</f>
        <v>12.7167859781418</v>
      </c>
      <c r="G67" s="31">
        <f t="shared" si="4"/>
        <v>296.90134558887223</v>
      </c>
    </row>
    <row r="68" spans="1:7" ht="13.5" x14ac:dyDescent="0.25">
      <c r="A68" s="15"/>
      <c r="B68" s="25" t="s">
        <v>8</v>
      </c>
      <c r="C68" s="17"/>
      <c r="D68" s="26"/>
      <c r="E68" s="27"/>
      <c r="F68" s="31"/>
      <c r="G68" s="62">
        <f>SUM(G50:G67)</f>
        <v>33318.606446557205</v>
      </c>
    </row>
    <row r="69" spans="1:7" ht="13.5" x14ac:dyDescent="0.25">
      <c r="A69" s="15" t="s">
        <v>74</v>
      </c>
      <c r="B69" s="16" t="s">
        <v>105</v>
      </c>
      <c r="C69" s="17" t="s">
        <v>19</v>
      </c>
      <c r="D69" s="18"/>
      <c r="E69" s="30">
        <f>0.4*0.25*28.08/100</f>
        <v>2.8079999999999997E-2</v>
      </c>
      <c r="F69" s="31"/>
      <c r="G69" s="31"/>
    </row>
    <row r="70" spans="1:7" x14ac:dyDescent="0.25">
      <c r="A70" s="20">
        <v>1</v>
      </c>
      <c r="B70" s="21" t="s">
        <v>55</v>
      </c>
      <c r="C70" s="22" t="s">
        <v>7</v>
      </c>
      <c r="D70" s="18">
        <v>1749.3</v>
      </c>
      <c r="E70" s="23">
        <f>ROUND(D70*E69,4)</f>
        <v>49.1203</v>
      </c>
      <c r="F70" s="31">
        <v>10.31</v>
      </c>
      <c r="G70" s="31">
        <f t="shared" ref="G70:G81" si="5">F70*E70</f>
        <v>506.43029300000001</v>
      </c>
    </row>
    <row r="71" spans="1:7" x14ac:dyDescent="0.25">
      <c r="A71" s="20">
        <v>2</v>
      </c>
      <c r="B71" s="21" t="s">
        <v>17</v>
      </c>
      <c r="C71" s="22" t="s">
        <v>7</v>
      </c>
      <c r="D71" s="18">
        <v>91.51</v>
      </c>
      <c r="E71" s="23">
        <f>ROUND(D71*E69,4)</f>
        <v>2.5695999999999999</v>
      </c>
      <c r="F71" s="31">
        <v>15.44</v>
      </c>
      <c r="G71" s="31">
        <f t="shared" si="5"/>
        <v>39.674623999999994</v>
      </c>
    </row>
    <row r="72" spans="1:7" ht="25.5" x14ac:dyDescent="0.25">
      <c r="A72" s="20" t="s">
        <v>38</v>
      </c>
      <c r="B72" s="19" t="s">
        <v>45</v>
      </c>
      <c r="C72" s="22" t="s">
        <v>18</v>
      </c>
      <c r="D72" s="18">
        <v>91.51</v>
      </c>
      <c r="E72" s="23">
        <f>ROUND(D72*E69,4)</f>
        <v>2.5695999999999999</v>
      </c>
      <c r="F72" s="31">
        <f>152.37-15.44</f>
        <v>136.93</v>
      </c>
      <c r="G72" s="31">
        <f t="shared" si="5"/>
        <v>351.85532799999999</v>
      </c>
    </row>
    <row r="73" spans="1:7" x14ac:dyDescent="0.25">
      <c r="A73" s="20" t="s">
        <v>39</v>
      </c>
      <c r="B73" s="21" t="s">
        <v>36</v>
      </c>
      <c r="C73" s="22" t="s">
        <v>18</v>
      </c>
      <c r="D73" s="18">
        <v>283.22000000000003</v>
      </c>
      <c r="E73" s="23">
        <f>ROUND(D73*E69,4)</f>
        <v>7.9527999999999999</v>
      </c>
      <c r="F73" s="31">
        <v>8.4600000000000009</v>
      </c>
      <c r="G73" s="31">
        <f t="shared" si="5"/>
        <v>67.280688000000012</v>
      </c>
    </row>
    <row r="74" spans="1:7" x14ac:dyDescent="0.25">
      <c r="A74" s="20">
        <v>111100</v>
      </c>
      <c r="B74" s="19" t="s">
        <v>26</v>
      </c>
      <c r="C74" s="22" t="s">
        <v>18</v>
      </c>
      <c r="D74" s="18">
        <v>85.68</v>
      </c>
      <c r="E74" s="23">
        <f>ROUND(D74*E69,4)</f>
        <v>2.4058999999999999</v>
      </c>
      <c r="F74" s="31">
        <v>2.83</v>
      </c>
      <c r="G74" s="31">
        <f t="shared" si="5"/>
        <v>6.8086969999999996</v>
      </c>
    </row>
    <row r="75" spans="1:7" x14ac:dyDescent="0.25">
      <c r="A75" s="20">
        <v>331532</v>
      </c>
      <c r="B75" s="19" t="s">
        <v>25</v>
      </c>
      <c r="C75" s="22" t="s">
        <v>18</v>
      </c>
      <c r="D75" s="18">
        <v>6.28</v>
      </c>
      <c r="E75" s="23">
        <f>ROUND(D75*E69,4)</f>
        <v>0.17630000000000001</v>
      </c>
      <c r="F75" s="31">
        <v>1.63</v>
      </c>
      <c r="G75" s="31">
        <f t="shared" si="5"/>
        <v>0.28736899999999999</v>
      </c>
    </row>
    <row r="76" spans="1:7" x14ac:dyDescent="0.25">
      <c r="A76" s="20" t="s">
        <v>46</v>
      </c>
      <c r="B76" s="19" t="s">
        <v>37</v>
      </c>
      <c r="C76" s="22" t="s">
        <v>11</v>
      </c>
      <c r="D76" s="18">
        <v>0.34</v>
      </c>
      <c r="E76" s="23">
        <f>ROUND(D76*E69,4)</f>
        <v>9.4999999999999998E-3</v>
      </c>
      <c r="F76" s="31">
        <v>9500</v>
      </c>
      <c r="G76" s="31">
        <f t="shared" si="5"/>
        <v>90.25</v>
      </c>
    </row>
    <row r="77" spans="1:7" x14ac:dyDescent="0.25">
      <c r="A77" s="20" t="s">
        <v>14</v>
      </c>
      <c r="B77" s="21" t="s">
        <v>12</v>
      </c>
      <c r="C77" s="22" t="s">
        <v>11</v>
      </c>
      <c r="D77" s="18">
        <v>6.7000000000000004E-2</v>
      </c>
      <c r="E77" s="23">
        <f>ROUND(D77*E69,4)</f>
        <v>1.9E-3</v>
      </c>
      <c r="F77" s="31">
        <v>8500</v>
      </c>
      <c r="G77" s="31">
        <f t="shared" si="5"/>
        <v>16.149999999999999</v>
      </c>
    </row>
    <row r="78" spans="1:7" x14ac:dyDescent="0.25">
      <c r="A78" s="20" t="s">
        <v>20</v>
      </c>
      <c r="B78" s="19" t="s">
        <v>75</v>
      </c>
      <c r="C78" s="22" t="s">
        <v>10</v>
      </c>
      <c r="D78" s="18">
        <v>0.17799999999999999</v>
      </c>
      <c r="E78" s="23">
        <f>ROUND(D78*E69,4)</f>
        <v>5.0000000000000001E-3</v>
      </c>
      <c r="F78" s="31">
        <v>2563.75</v>
      </c>
      <c r="G78" s="31">
        <f t="shared" si="5"/>
        <v>12.81875</v>
      </c>
    </row>
    <row r="79" spans="1:7" x14ac:dyDescent="0.25">
      <c r="A79" s="20" t="s">
        <v>21</v>
      </c>
      <c r="B79" s="19" t="s">
        <v>23</v>
      </c>
      <c r="C79" s="22" t="s">
        <v>13</v>
      </c>
      <c r="D79" s="18">
        <v>155</v>
      </c>
      <c r="E79" s="23">
        <f>ROUND(D79*E69,4)</f>
        <v>4.3524000000000003</v>
      </c>
      <c r="F79" s="31"/>
      <c r="G79" s="31">
        <f t="shared" si="5"/>
        <v>0</v>
      </c>
    </row>
    <row r="80" spans="1:7" x14ac:dyDescent="0.25">
      <c r="A80" s="20" t="s">
        <v>15</v>
      </c>
      <c r="B80" s="19" t="s">
        <v>41</v>
      </c>
      <c r="C80" s="22" t="s">
        <v>11</v>
      </c>
      <c r="D80" s="18" t="s">
        <v>16</v>
      </c>
      <c r="E80" s="23">
        <f>193/1000</f>
        <v>0.193</v>
      </c>
      <c r="F80" s="31">
        <v>6500</v>
      </c>
      <c r="G80" s="31">
        <f t="shared" si="5"/>
        <v>1254.5</v>
      </c>
    </row>
    <row r="81" spans="1:7" x14ac:dyDescent="0.25">
      <c r="A81" s="20" t="s">
        <v>15</v>
      </c>
      <c r="B81" s="19" t="s">
        <v>59</v>
      </c>
      <c r="C81" s="22" t="s">
        <v>11</v>
      </c>
      <c r="D81" s="18" t="s">
        <v>16</v>
      </c>
      <c r="E81" s="23">
        <f>63/1000</f>
        <v>6.3E-2</v>
      </c>
      <c r="F81" s="31">
        <v>6500</v>
      </c>
      <c r="G81" s="31">
        <f t="shared" si="5"/>
        <v>409.5</v>
      </c>
    </row>
    <row r="82" spans="1:7" x14ac:dyDescent="0.25">
      <c r="A82" s="20" t="s">
        <v>22</v>
      </c>
      <c r="B82" s="19" t="s">
        <v>69</v>
      </c>
      <c r="C82" s="22" t="s">
        <v>10</v>
      </c>
      <c r="D82" s="18">
        <v>100</v>
      </c>
      <c r="E82" s="23">
        <f>ROUND(D82*E69,4)</f>
        <v>2.8079999999999998</v>
      </c>
      <c r="F82" s="31"/>
      <c r="G82" s="31"/>
    </row>
    <row r="83" spans="1:7" x14ac:dyDescent="0.25">
      <c r="A83" s="20"/>
      <c r="B83" s="32" t="s">
        <v>65</v>
      </c>
      <c r="C83" s="22" t="s">
        <v>11</v>
      </c>
      <c r="D83" s="18">
        <v>0.38200000000000001</v>
      </c>
      <c r="E83" s="23">
        <f>ROUND(D83*E82,4)</f>
        <v>1.0727</v>
      </c>
      <c r="F83" s="31">
        <v>630</v>
      </c>
      <c r="G83" s="31">
        <f t="shared" ref="G83:G85" si="6">F83*E83</f>
        <v>675.80100000000004</v>
      </c>
    </row>
    <row r="84" spans="1:7" x14ac:dyDescent="0.25">
      <c r="A84" s="20"/>
      <c r="B84" s="32" t="s">
        <v>28</v>
      </c>
      <c r="C84" s="22" t="s">
        <v>11</v>
      </c>
      <c r="D84" s="18">
        <f>47/100*1.52</f>
        <v>0.71439999999999992</v>
      </c>
      <c r="E84" s="23">
        <f>ROUND(D84*E82,4)</f>
        <v>2.0059999999999998</v>
      </c>
      <c r="F84" s="31">
        <f>2449.06/159.17</f>
        <v>15.386442168750394</v>
      </c>
      <c r="G84" s="31">
        <f t="shared" si="6"/>
        <v>30.865202990513286</v>
      </c>
    </row>
    <row r="85" spans="1:7" x14ac:dyDescent="0.25">
      <c r="A85" s="20"/>
      <c r="B85" s="32" t="s">
        <v>27</v>
      </c>
      <c r="C85" s="22" t="s">
        <v>11</v>
      </c>
      <c r="D85" s="18">
        <f>80/100*1.6</f>
        <v>1.2800000000000002</v>
      </c>
      <c r="E85" s="23">
        <f>ROUND(D85*E82,4)</f>
        <v>3.5941999999999998</v>
      </c>
      <c r="F85" s="31">
        <f>4991.72/392.53</f>
        <v>12.7167859781418</v>
      </c>
      <c r="G85" s="31">
        <f t="shared" si="6"/>
        <v>45.706672162637254</v>
      </c>
    </row>
    <row r="86" spans="1:7" ht="13.5" x14ac:dyDescent="0.25">
      <c r="A86" s="15"/>
      <c r="B86" s="25" t="s">
        <v>8</v>
      </c>
      <c r="C86" s="17"/>
      <c r="D86" s="26"/>
      <c r="E86" s="27"/>
      <c r="F86" s="31"/>
      <c r="G86" s="62">
        <f>SUM(G70:G85)</f>
        <v>3507.9286241531508</v>
      </c>
    </row>
    <row r="87" spans="1:7" ht="13.5" x14ac:dyDescent="0.25">
      <c r="A87" s="15" t="s">
        <v>74</v>
      </c>
      <c r="B87" s="16" t="s">
        <v>104</v>
      </c>
      <c r="C87" s="17" t="s">
        <v>19</v>
      </c>
      <c r="D87" s="18"/>
      <c r="E87" s="30">
        <f>0.3*0.25*5.4/100</f>
        <v>4.0500000000000006E-3</v>
      </c>
      <c r="F87" s="31"/>
      <c r="G87" s="31"/>
    </row>
    <row r="88" spans="1:7" x14ac:dyDescent="0.25">
      <c r="A88" s="20">
        <v>1</v>
      </c>
      <c r="B88" s="21" t="s">
        <v>55</v>
      </c>
      <c r="C88" s="22" t="s">
        <v>7</v>
      </c>
      <c r="D88" s="18">
        <v>1749.3</v>
      </c>
      <c r="E88" s="23">
        <f>ROUND(D88*E87,4)</f>
        <v>7.0846999999999998</v>
      </c>
      <c r="F88" s="31">
        <v>10.31</v>
      </c>
      <c r="G88" s="31">
        <f t="shared" ref="G88:G99" si="7">F88*E88</f>
        <v>73.043256999999997</v>
      </c>
    </row>
    <row r="89" spans="1:7" x14ac:dyDescent="0.25">
      <c r="A89" s="20">
        <v>2</v>
      </c>
      <c r="B89" s="21" t="s">
        <v>17</v>
      </c>
      <c r="C89" s="22" t="s">
        <v>7</v>
      </c>
      <c r="D89" s="18">
        <v>91.51</v>
      </c>
      <c r="E89" s="23">
        <f>ROUND(D89*E87,4)</f>
        <v>0.37059999999999998</v>
      </c>
      <c r="F89" s="31">
        <v>15.44</v>
      </c>
      <c r="G89" s="31">
        <f t="shared" si="7"/>
        <v>5.7220639999999996</v>
      </c>
    </row>
    <row r="90" spans="1:7" ht="25.5" x14ac:dyDescent="0.25">
      <c r="A90" s="20" t="s">
        <v>38</v>
      </c>
      <c r="B90" s="19" t="s">
        <v>45</v>
      </c>
      <c r="C90" s="22" t="s">
        <v>18</v>
      </c>
      <c r="D90" s="18">
        <v>91.51</v>
      </c>
      <c r="E90" s="23">
        <f>ROUND(D90*E87,4)</f>
        <v>0.37059999999999998</v>
      </c>
      <c r="F90" s="31">
        <f>152.37-15.44</f>
        <v>136.93</v>
      </c>
      <c r="G90" s="31">
        <f t="shared" si="7"/>
        <v>50.746257999999997</v>
      </c>
    </row>
    <row r="91" spans="1:7" x14ac:dyDescent="0.25">
      <c r="A91" s="20" t="s">
        <v>39</v>
      </c>
      <c r="B91" s="21" t="s">
        <v>36</v>
      </c>
      <c r="C91" s="22" t="s">
        <v>18</v>
      </c>
      <c r="D91" s="18">
        <v>283.22000000000003</v>
      </c>
      <c r="E91" s="23">
        <f>ROUND(D91*E87,4)</f>
        <v>1.147</v>
      </c>
      <c r="F91" s="31">
        <v>8.4600000000000009</v>
      </c>
      <c r="G91" s="31">
        <f t="shared" si="7"/>
        <v>9.7036200000000008</v>
      </c>
    </row>
    <row r="92" spans="1:7" x14ac:dyDescent="0.25">
      <c r="A92" s="20">
        <v>111100</v>
      </c>
      <c r="B92" s="19" t="s">
        <v>26</v>
      </c>
      <c r="C92" s="22" t="s">
        <v>18</v>
      </c>
      <c r="D92" s="18">
        <v>85.68</v>
      </c>
      <c r="E92" s="23">
        <f>ROUND(D92*E87,4)</f>
        <v>0.34699999999999998</v>
      </c>
      <c r="F92" s="31">
        <v>2.83</v>
      </c>
      <c r="G92" s="31">
        <f t="shared" si="7"/>
        <v>0.98200999999999994</v>
      </c>
    </row>
    <row r="93" spans="1:7" x14ac:dyDescent="0.25">
      <c r="A93" s="20">
        <v>331532</v>
      </c>
      <c r="B93" s="19" t="s">
        <v>25</v>
      </c>
      <c r="C93" s="22" t="s">
        <v>18</v>
      </c>
      <c r="D93" s="18">
        <v>6.28</v>
      </c>
      <c r="E93" s="23">
        <f>ROUND(D93*E87,4)</f>
        <v>2.5399999999999999E-2</v>
      </c>
      <c r="F93" s="31">
        <v>1.63</v>
      </c>
      <c r="G93" s="31">
        <f t="shared" si="7"/>
        <v>4.1401999999999994E-2</v>
      </c>
    </row>
    <row r="94" spans="1:7" x14ac:dyDescent="0.25">
      <c r="A94" s="20" t="s">
        <v>46</v>
      </c>
      <c r="B94" s="19" t="s">
        <v>37</v>
      </c>
      <c r="C94" s="22" t="s">
        <v>11</v>
      </c>
      <c r="D94" s="18">
        <v>0.34</v>
      </c>
      <c r="E94" s="23">
        <f>ROUND(D94*E87,4)</f>
        <v>1.4E-3</v>
      </c>
      <c r="F94" s="31">
        <v>9500</v>
      </c>
      <c r="G94" s="31">
        <f t="shared" si="7"/>
        <v>13.3</v>
      </c>
    </row>
    <row r="95" spans="1:7" x14ac:dyDescent="0.25">
      <c r="A95" s="20" t="s">
        <v>14</v>
      </c>
      <c r="B95" s="21" t="s">
        <v>12</v>
      </c>
      <c r="C95" s="22" t="s">
        <v>11</v>
      </c>
      <c r="D95" s="18">
        <v>6.7000000000000004E-2</v>
      </c>
      <c r="E95" s="23">
        <f>ROUND(D95*E87,4)</f>
        <v>2.9999999999999997E-4</v>
      </c>
      <c r="F95" s="31">
        <v>8500</v>
      </c>
      <c r="G95" s="31">
        <f t="shared" si="7"/>
        <v>2.5499999999999998</v>
      </c>
    </row>
    <row r="96" spans="1:7" x14ac:dyDescent="0.25">
      <c r="A96" s="20" t="s">
        <v>20</v>
      </c>
      <c r="B96" s="19" t="s">
        <v>75</v>
      </c>
      <c r="C96" s="22" t="s">
        <v>10</v>
      </c>
      <c r="D96" s="18">
        <v>0.17799999999999999</v>
      </c>
      <c r="E96" s="23">
        <f>ROUND(D96*E87,4)</f>
        <v>6.9999999999999999E-4</v>
      </c>
      <c r="F96" s="31">
        <v>2563.75</v>
      </c>
      <c r="G96" s="31">
        <f t="shared" si="7"/>
        <v>1.7946249999999999</v>
      </c>
    </row>
    <row r="97" spans="1:7" x14ac:dyDescent="0.25">
      <c r="A97" s="20" t="s">
        <v>21</v>
      </c>
      <c r="B97" s="19" t="s">
        <v>23</v>
      </c>
      <c r="C97" s="22" t="s">
        <v>13</v>
      </c>
      <c r="D97" s="18">
        <v>155</v>
      </c>
      <c r="E97" s="23">
        <f>ROUND(D97*E87,4)</f>
        <v>0.62780000000000002</v>
      </c>
      <c r="F97" s="31"/>
      <c r="G97" s="31">
        <f t="shared" si="7"/>
        <v>0</v>
      </c>
    </row>
    <row r="98" spans="1:7" x14ac:dyDescent="0.25">
      <c r="A98" s="20" t="s">
        <v>15</v>
      </c>
      <c r="B98" s="19" t="s">
        <v>76</v>
      </c>
      <c r="C98" s="22" t="s">
        <v>11</v>
      </c>
      <c r="D98" s="18" t="s">
        <v>16</v>
      </c>
      <c r="E98" s="23">
        <f>53/1000</f>
        <v>5.2999999999999999E-2</v>
      </c>
      <c r="F98" s="31">
        <v>6500</v>
      </c>
      <c r="G98" s="31">
        <f t="shared" si="7"/>
        <v>344.5</v>
      </c>
    </row>
    <row r="99" spans="1:7" x14ac:dyDescent="0.25">
      <c r="A99" s="20" t="s">
        <v>15</v>
      </c>
      <c r="B99" s="19" t="s">
        <v>59</v>
      </c>
      <c r="C99" s="22" t="s">
        <v>11</v>
      </c>
      <c r="D99" s="18" t="s">
        <v>16</v>
      </c>
      <c r="E99" s="23">
        <f>11/1000</f>
        <v>1.0999999999999999E-2</v>
      </c>
      <c r="F99" s="31">
        <v>6500</v>
      </c>
      <c r="G99" s="31">
        <f t="shared" si="7"/>
        <v>71.5</v>
      </c>
    </row>
    <row r="100" spans="1:7" x14ac:dyDescent="0.25">
      <c r="A100" s="20" t="s">
        <v>22</v>
      </c>
      <c r="B100" s="19" t="s">
        <v>69</v>
      </c>
      <c r="C100" s="22" t="s">
        <v>10</v>
      </c>
      <c r="D100" s="18">
        <v>100</v>
      </c>
      <c r="E100" s="23">
        <f>ROUND(D100*E87,4)</f>
        <v>0.40500000000000003</v>
      </c>
      <c r="F100" s="31"/>
      <c r="G100" s="31"/>
    </row>
    <row r="101" spans="1:7" x14ac:dyDescent="0.25">
      <c r="A101" s="20"/>
      <c r="B101" s="32" t="s">
        <v>65</v>
      </c>
      <c r="C101" s="22" t="s">
        <v>11</v>
      </c>
      <c r="D101" s="18">
        <v>0.38200000000000001</v>
      </c>
      <c r="E101" s="23">
        <f>ROUND(D101*E100,4)</f>
        <v>0.1547</v>
      </c>
      <c r="F101" s="31">
        <v>630</v>
      </c>
      <c r="G101" s="31">
        <f t="shared" ref="G101:G103" si="8">F101*E101</f>
        <v>97.460999999999999</v>
      </c>
    </row>
    <row r="102" spans="1:7" x14ac:dyDescent="0.25">
      <c r="A102" s="20"/>
      <c r="B102" s="32" t="s">
        <v>28</v>
      </c>
      <c r="C102" s="22" t="s">
        <v>11</v>
      </c>
      <c r="D102" s="18">
        <f>47/100*1.52</f>
        <v>0.71439999999999992</v>
      </c>
      <c r="E102" s="23">
        <f>ROUND(D102*E100,4)</f>
        <v>0.2893</v>
      </c>
      <c r="F102" s="31">
        <f>2449.06/159.17</f>
        <v>15.386442168750394</v>
      </c>
      <c r="G102" s="31">
        <f t="shared" si="8"/>
        <v>4.4512977194194887</v>
      </c>
    </row>
    <row r="103" spans="1:7" x14ac:dyDescent="0.25">
      <c r="A103" s="20"/>
      <c r="B103" s="32" t="s">
        <v>27</v>
      </c>
      <c r="C103" s="22" t="s">
        <v>11</v>
      </c>
      <c r="D103" s="18">
        <f>80/100*1.6</f>
        <v>1.2800000000000002</v>
      </c>
      <c r="E103" s="23">
        <f>ROUND(D103*E100,4)</f>
        <v>0.51839999999999997</v>
      </c>
      <c r="F103" s="31">
        <f>4991.72/392.53</f>
        <v>12.7167859781418</v>
      </c>
      <c r="G103" s="31">
        <f t="shared" si="8"/>
        <v>6.5923818510687084</v>
      </c>
    </row>
    <row r="104" spans="1:7" ht="13.5" x14ac:dyDescent="0.25">
      <c r="A104" s="15"/>
      <c r="B104" s="25" t="s">
        <v>8</v>
      </c>
      <c r="C104" s="17"/>
      <c r="D104" s="26"/>
      <c r="E104" s="27"/>
      <c r="F104" s="31"/>
      <c r="G104" s="62">
        <f>SUM(G88:G103)</f>
        <v>682.38791557048819</v>
      </c>
    </row>
    <row r="105" spans="1:7" ht="13.5" x14ac:dyDescent="0.25">
      <c r="A105" s="15" t="s">
        <v>74</v>
      </c>
      <c r="B105" s="16" t="s">
        <v>103</v>
      </c>
      <c r="C105" s="17" t="s">
        <v>19</v>
      </c>
      <c r="D105" s="18"/>
      <c r="E105" s="30">
        <f>0.25*0.25*21.9/100</f>
        <v>1.3687499999999998E-2</v>
      </c>
      <c r="F105" s="31"/>
      <c r="G105" s="31"/>
    </row>
    <row r="106" spans="1:7" x14ac:dyDescent="0.25">
      <c r="A106" s="20">
        <v>1</v>
      </c>
      <c r="B106" s="21" t="s">
        <v>55</v>
      </c>
      <c r="C106" s="22" t="s">
        <v>7</v>
      </c>
      <c r="D106" s="18">
        <v>1749.3</v>
      </c>
      <c r="E106" s="23">
        <f>ROUND(D106*E105,4)</f>
        <v>23.9435</v>
      </c>
      <c r="F106" s="31">
        <v>10.31</v>
      </c>
      <c r="G106" s="31">
        <f t="shared" ref="G106:G117" si="9">F106*E106</f>
        <v>246.85748500000003</v>
      </c>
    </row>
    <row r="107" spans="1:7" x14ac:dyDescent="0.25">
      <c r="A107" s="20">
        <v>2</v>
      </c>
      <c r="B107" s="21" t="s">
        <v>17</v>
      </c>
      <c r="C107" s="22" t="s">
        <v>7</v>
      </c>
      <c r="D107" s="18">
        <v>91.51</v>
      </c>
      <c r="E107" s="23">
        <f>ROUND(D107*E105,4)</f>
        <v>1.2524999999999999</v>
      </c>
      <c r="F107" s="31">
        <v>15.44</v>
      </c>
      <c r="G107" s="31">
        <f t="shared" si="9"/>
        <v>19.3386</v>
      </c>
    </row>
    <row r="108" spans="1:7" ht="25.5" x14ac:dyDescent="0.25">
      <c r="A108" s="20" t="s">
        <v>38</v>
      </c>
      <c r="B108" s="19" t="s">
        <v>45</v>
      </c>
      <c r="C108" s="22" t="s">
        <v>18</v>
      </c>
      <c r="D108" s="18">
        <v>91.51</v>
      </c>
      <c r="E108" s="23">
        <f>ROUND(D108*E105,4)</f>
        <v>1.2524999999999999</v>
      </c>
      <c r="F108" s="31">
        <f>152.37-15.44</f>
        <v>136.93</v>
      </c>
      <c r="G108" s="31">
        <f t="shared" si="9"/>
        <v>171.50482500000001</v>
      </c>
    </row>
    <row r="109" spans="1:7" x14ac:dyDescent="0.25">
      <c r="A109" s="20" t="s">
        <v>39</v>
      </c>
      <c r="B109" s="21" t="s">
        <v>36</v>
      </c>
      <c r="C109" s="22" t="s">
        <v>18</v>
      </c>
      <c r="D109" s="18">
        <v>283.22000000000003</v>
      </c>
      <c r="E109" s="23">
        <f>ROUND(D109*E105,4)</f>
        <v>3.8765999999999998</v>
      </c>
      <c r="F109" s="31">
        <v>8.4600000000000009</v>
      </c>
      <c r="G109" s="31">
        <f t="shared" si="9"/>
        <v>32.796036000000001</v>
      </c>
    </row>
    <row r="110" spans="1:7" x14ac:dyDescent="0.25">
      <c r="A110" s="20">
        <v>111100</v>
      </c>
      <c r="B110" s="19" t="s">
        <v>26</v>
      </c>
      <c r="C110" s="22" t="s">
        <v>18</v>
      </c>
      <c r="D110" s="18">
        <v>85.68</v>
      </c>
      <c r="E110" s="23">
        <f>ROUND(D110*E105,4)</f>
        <v>1.1727000000000001</v>
      </c>
      <c r="F110" s="31">
        <v>2.83</v>
      </c>
      <c r="G110" s="31">
        <f t="shared" si="9"/>
        <v>3.3187410000000002</v>
      </c>
    </row>
    <row r="111" spans="1:7" x14ac:dyDescent="0.25">
      <c r="A111" s="20">
        <v>331532</v>
      </c>
      <c r="B111" s="19" t="s">
        <v>25</v>
      </c>
      <c r="C111" s="22" t="s">
        <v>18</v>
      </c>
      <c r="D111" s="18">
        <v>6.28</v>
      </c>
      <c r="E111" s="23">
        <f>ROUND(D111*E105,4)</f>
        <v>8.5999999999999993E-2</v>
      </c>
      <c r="F111" s="31">
        <v>1.63</v>
      </c>
      <c r="G111" s="31">
        <f t="shared" si="9"/>
        <v>0.14017999999999997</v>
      </c>
    </row>
    <row r="112" spans="1:7" x14ac:dyDescent="0.25">
      <c r="A112" s="20" t="s">
        <v>46</v>
      </c>
      <c r="B112" s="19" t="s">
        <v>37</v>
      </c>
      <c r="C112" s="22" t="s">
        <v>11</v>
      </c>
      <c r="D112" s="18">
        <v>0.34</v>
      </c>
      <c r="E112" s="23">
        <f>ROUND(D112*E105,4)</f>
        <v>4.7000000000000002E-3</v>
      </c>
      <c r="F112" s="31">
        <v>9500</v>
      </c>
      <c r="G112" s="31">
        <f t="shared" si="9"/>
        <v>44.65</v>
      </c>
    </row>
    <row r="113" spans="1:7" x14ac:dyDescent="0.25">
      <c r="A113" s="20" t="s">
        <v>14</v>
      </c>
      <c r="B113" s="21" t="s">
        <v>12</v>
      </c>
      <c r="C113" s="22" t="s">
        <v>11</v>
      </c>
      <c r="D113" s="18">
        <v>6.7000000000000004E-2</v>
      </c>
      <c r="E113" s="23">
        <f>ROUND(D113*E105,4)</f>
        <v>8.9999999999999998E-4</v>
      </c>
      <c r="F113" s="31">
        <v>8500</v>
      </c>
      <c r="G113" s="31">
        <f t="shared" si="9"/>
        <v>7.6499999999999995</v>
      </c>
    </row>
    <row r="114" spans="1:7" x14ac:dyDescent="0.25">
      <c r="A114" s="20" t="s">
        <v>20</v>
      </c>
      <c r="B114" s="19" t="s">
        <v>75</v>
      </c>
      <c r="C114" s="22" t="s">
        <v>10</v>
      </c>
      <c r="D114" s="18">
        <v>0.17799999999999999</v>
      </c>
      <c r="E114" s="23">
        <f>ROUND(D114*E105,4)</f>
        <v>2.3999999999999998E-3</v>
      </c>
      <c r="F114" s="31">
        <v>2563.75</v>
      </c>
      <c r="G114" s="31">
        <f t="shared" si="9"/>
        <v>6.1529999999999996</v>
      </c>
    </row>
    <row r="115" spans="1:7" x14ac:dyDescent="0.25">
      <c r="A115" s="20" t="s">
        <v>21</v>
      </c>
      <c r="B115" s="19" t="s">
        <v>23</v>
      </c>
      <c r="C115" s="22" t="s">
        <v>13</v>
      </c>
      <c r="D115" s="18">
        <v>155</v>
      </c>
      <c r="E115" s="23">
        <f>ROUND(D115*E105,4)</f>
        <v>2.1215999999999999</v>
      </c>
      <c r="F115" s="31"/>
      <c r="G115" s="31">
        <f t="shared" si="9"/>
        <v>0</v>
      </c>
    </row>
    <row r="116" spans="1:7" x14ac:dyDescent="0.25">
      <c r="A116" s="20" t="s">
        <v>15</v>
      </c>
      <c r="B116" s="19" t="s">
        <v>41</v>
      </c>
      <c r="C116" s="22" t="s">
        <v>11</v>
      </c>
      <c r="D116" s="18" t="s">
        <v>16</v>
      </c>
      <c r="E116" s="23">
        <f>118/1000</f>
        <v>0.11799999999999999</v>
      </c>
      <c r="F116" s="31">
        <v>6500</v>
      </c>
      <c r="G116" s="31">
        <f t="shared" si="9"/>
        <v>767</v>
      </c>
    </row>
    <row r="117" spans="1:7" x14ac:dyDescent="0.25">
      <c r="A117" s="20" t="s">
        <v>15</v>
      </c>
      <c r="B117" s="19" t="s">
        <v>85</v>
      </c>
      <c r="C117" s="22" t="s">
        <v>11</v>
      </c>
      <c r="D117" s="18" t="s">
        <v>16</v>
      </c>
      <c r="E117" s="23">
        <f>15/1000</f>
        <v>1.4999999999999999E-2</v>
      </c>
      <c r="F117" s="31">
        <v>6500</v>
      </c>
      <c r="G117" s="31">
        <f t="shared" si="9"/>
        <v>97.5</v>
      </c>
    </row>
    <row r="118" spans="1:7" x14ac:dyDescent="0.25">
      <c r="A118" s="20" t="s">
        <v>22</v>
      </c>
      <c r="B118" s="19" t="s">
        <v>69</v>
      </c>
      <c r="C118" s="22" t="s">
        <v>10</v>
      </c>
      <c r="D118" s="18">
        <v>100</v>
      </c>
      <c r="E118" s="23">
        <f>ROUND(D118*E105,4)</f>
        <v>1.3688</v>
      </c>
      <c r="F118" s="31"/>
      <c r="G118" s="31"/>
    </row>
    <row r="119" spans="1:7" x14ac:dyDescent="0.25">
      <c r="A119" s="20"/>
      <c r="B119" s="32" t="s">
        <v>65</v>
      </c>
      <c r="C119" s="22" t="s">
        <v>11</v>
      </c>
      <c r="D119" s="18">
        <v>0.38200000000000001</v>
      </c>
      <c r="E119" s="23">
        <f>ROUND(D119*E118,4)</f>
        <v>0.52290000000000003</v>
      </c>
      <c r="F119" s="31">
        <v>630</v>
      </c>
      <c r="G119" s="31">
        <f t="shared" ref="G119:G121" si="10">F119*E119</f>
        <v>329.42700000000002</v>
      </c>
    </row>
    <row r="120" spans="1:7" x14ac:dyDescent="0.25">
      <c r="A120" s="20"/>
      <c r="B120" s="32" t="s">
        <v>28</v>
      </c>
      <c r="C120" s="22" t="s">
        <v>11</v>
      </c>
      <c r="D120" s="18">
        <f>47/100*1.52</f>
        <v>0.71439999999999992</v>
      </c>
      <c r="E120" s="23">
        <f>ROUND(D120*E118,4)</f>
        <v>0.97789999999999999</v>
      </c>
      <c r="F120" s="31">
        <f>2449.06/159.17</f>
        <v>15.386442168750394</v>
      </c>
      <c r="G120" s="31">
        <f t="shared" si="10"/>
        <v>15.04640179682101</v>
      </c>
    </row>
    <row r="121" spans="1:7" x14ac:dyDescent="0.25">
      <c r="A121" s="20"/>
      <c r="B121" s="32" t="s">
        <v>27</v>
      </c>
      <c r="C121" s="22" t="s">
        <v>11</v>
      </c>
      <c r="D121" s="18">
        <f>80/100*1.6</f>
        <v>1.2800000000000002</v>
      </c>
      <c r="E121" s="23">
        <f>ROUND(D121*E118,4)</f>
        <v>1.7521</v>
      </c>
      <c r="F121" s="31">
        <f>4991.72/392.53</f>
        <v>12.7167859781418</v>
      </c>
      <c r="G121" s="31">
        <f t="shared" si="10"/>
        <v>22.281080712302249</v>
      </c>
    </row>
    <row r="122" spans="1:7" ht="13.5" x14ac:dyDescent="0.25">
      <c r="A122" s="15"/>
      <c r="B122" s="25" t="s">
        <v>8</v>
      </c>
      <c r="C122" s="17"/>
      <c r="D122" s="26"/>
      <c r="E122" s="27"/>
      <c r="F122" s="31"/>
      <c r="G122" s="62">
        <f>SUM(G106:G121)</f>
        <v>1763.6633495091237</v>
      </c>
    </row>
    <row r="123" spans="1:7" ht="27" x14ac:dyDescent="0.25">
      <c r="A123" s="3" t="s">
        <v>77</v>
      </c>
      <c r="B123" s="33" t="s">
        <v>106</v>
      </c>
      <c r="C123" s="7" t="s">
        <v>19</v>
      </c>
      <c r="D123" s="34"/>
      <c r="E123" s="30">
        <f>275.15*0.15/100</f>
        <v>0.41272499999999995</v>
      </c>
      <c r="F123" s="31"/>
      <c r="G123" s="33"/>
    </row>
    <row r="124" spans="1:7" x14ac:dyDescent="0.25">
      <c r="A124" s="2">
        <v>1</v>
      </c>
      <c r="B124" s="1" t="s">
        <v>55</v>
      </c>
      <c r="C124" s="8" t="s">
        <v>7</v>
      </c>
      <c r="D124" s="6">
        <v>833.6</v>
      </c>
      <c r="E124" s="23">
        <f>ROUND(D124*E123,4)</f>
        <v>344.04759999999999</v>
      </c>
      <c r="F124" s="31">
        <v>10.31</v>
      </c>
      <c r="G124" s="36">
        <f t="shared" ref="G124:G132" si="11">F124*E124</f>
        <v>3547.130756</v>
      </c>
    </row>
    <row r="125" spans="1:7" x14ac:dyDescent="0.25">
      <c r="A125" s="2">
        <v>2</v>
      </c>
      <c r="B125" s="1" t="s">
        <v>17</v>
      </c>
      <c r="C125" s="8" t="s">
        <v>7</v>
      </c>
      <c r="D125" s="6">
        <v>33.28</v>
      </c>
      <c r="E125" s="23">
        <f>ROUND(D125*E123,4)</f>
        <v>13.7355</v>
      </c>
      <c r="F125" s="31">
        <v>15.44</v>
      </c>
      <c r="G125" s="36">
        <f t="shared" si="11"/>
        <v>212.07612</v>
      </c>
    </row>
    <row r="126" spans="1:7" ht="25.5" x14ac:dyDescent="0.25">
      <c r="A126" s="2" t="s">
        <v>38</v>
      </c>
      <c r="B126" s="35" t="s">
        <v>45</v>
      </c>
      <c r="C126" s="8" t="s">
        <v>18</v>
      </c>
      <c r="D126" s="6">
        <v>27</v>
      </c>
      <c r="E126" s="23">
        <f>ROUND(D126*E123,4)</f>
        <v>11.143599999999999</v>
      </c>
      <c r="F126" s="31">
        <f>152.37-15.44</f>
        <v>136.93</v>
      </c>
      <c r="G126" s="36">
        <f t="shared" si="11"/>
        <v>1525.8931479999999</v>
      </c>
    </row>
    <row r="127" spans="1:7" x14ac:dyDescent="0.25">
      <c r="A127" s="2">
        <v>111100</v>
      </c>
      <c r="B127" s="35" t="s">
        <v>26</v>
      </c>
      <c r="C127" s="8" t="s">
        <v>18</v>
      </c>
      <c r="D127" s="6">
        <v>40.299999999999997</v>
      </c>
      <c r="E127" s="23">
        <f>ROUND(D127*E123,4)</f>
        <v>16.6328</v>
      </c>
      <c r="F127" s="31">
        <v>2.83</v>
      </c>
      <c r="G127" s="36">
        <f t="shared" si="11"/>
        <v>47.070824000000002</v>
      </c>
    </row>
    <row r="128" spans="1:7" x14ac:dyDescent="0.25">
      <c r="A128" s="2">
        <v>331532</v>
      </c>
      <c r="B128" s="35" t="s">
        <v>25</v>
      </c>
      <c r="C128" s="8" t="s">
        <v>18</v>
      </c>
      <c r="D128" s="6">
        <v>1.6</v>
      </c>
      <c r="E128" s="23">
        <f>ROUND(D128*E123,4)</f>
        <v>0.66039999999999999</v>
      </c>
      <c r="F128" s="31">
        <v>1.63</v>
      </c>
      <c r="G128" s="36">
        <f t="shared" si="11"/>
        <v>1.076452</v>
      </c>
    </row>
    <row r="129" spans="1:7" x14ac:dyDescent="0.25">
      <c r="A129" s="2" t="s">
        <v>62</v>
      </c>
      <c r="B129" s="35" t="s">
        <v>63</v>
      </c>
      <c r="C129" s="8" t="s">
        <v>11</v>
      </c>
      <c r="D129" s="6">
        <v>1.61E-2</v>
      </c>
      <c r="E129" s="23">
        <f>ROUND(D129*E123,4)</f>
        <v>6.6E-3</v>
      </c>
      <c r="F129" s="31">
        <v>5423.7330000000002</v>
      </c>
      <c r="G129" s="36">
        <f t="shared" si="11"/>
        <v>35.796637799999999</v>
      </c>
    </row>
    <row r="130" spans="1:7" x14ac:dyDescent="0.25">
      <c r="A130" s="2" t="s">
        <v>14</v>
      </c>
      <c r="B130" s="1" t="s">
        <v>12</v>
      </c>
      <c r="C130" s="8" t="s">
        <v>11</v>
      </c>
      <c r="D130" s="6">
        <v>1.2999999999999999E-2</v>
      </c>
      <c r="E130" s="23">
        <f>ROUND(D130*E123,4)</f>
        <v>5.4000000000000003E-3</v>
      </c>
      <c r="F130" s="31">
        <v>8500</v>
      </c>
      <c r="G130" s="36">
        <f t="shared" si="11"/>
        <v>45.900000000000006</v>
      </c>
    </row>
    <row r="131" spans="1:7" x14ac:dyDescent="0.25">
      <c r="A131" s="2" t="s">
        <v>78</v>
      </c>
      <c r="B131" s="35" t="s">
        <v>79</v>
      </c>
      <c r="C131" s="8" t="s">
        <v>13</v>
      </c>
      <c r="D131" s="6">
        <v>55.56</v>
      </c>
      <c r="E131" s="23">
        <f>ROUND(D131*E123,4)</f>
        <v>22.931000000000001</v>
      </c>
      <c r="F131" s="31"/>
      <c r="G131" s="36">
        <f t="shared" si="11"/>
        <v>0</v>
      </c>
    </row>
    <row r="132" spans="1:7" x14ac:dyDescent="0.25">
      <c r="A132" s="2" t="s">
        <v>20</v>
      </c>
      <c r="B132" s="19" t="s">
        <v>75</v>
      </c>
      <c r="C132" s="8" t="s">
        <v>10</v>
      </c>
      <c r="D132" s="6">
        <v>1.92</v>
      </c>
      <c r="E132" s="23">
        <f>ROUND(D132*E123,4)</f>
        <v>0.79239999999999999</v>
      </c>
      <c r="F132" s="31">
        <v>2563.75</v>
      </c>
      <c r="G132" s="36">
        <f t="shared" si="11"/>
        <v>2031.5155</v>
      </c>
    </row>
    <row r="133" spans="1:7" x14ac:dyDescent="0.25">
      <c r="A133" s="20" t="s">
        <v>15</v>
      </c>
      <c r="B133" s="19" t="s">
        <v>76</v>
      </c>
      <c r="C133" s="22" t="s">
        <v>11</v>
      </c>
      <c r="D133" s="18" t="s">
        <v>16</v>
      </c>
      <c r="E133" s="23">
        <f>757/1000</f>
        <v>0.75700000000000001</v>
      </c>
      <c r="F133" s="31">
        <v>6500</v>
      </c>
      <c r="G133" s="36">
        <f>F133*E133</f>
        <v>4920.5</v>
      </c>
    </row>
    <row r="134" spans="1:7" x14ac:dyDescent="0.25">
      <c r="A134" s="20" t="s">
        <v>15</v>
      </c>
      <c r="B134" s="19" t="s">
        <v>42</v>
      </c>
      <c r="C134" s="22" t="s">
        <v>11</v>
      </c>
      <c r="D134" s="18" t="s">
        <v>16</v>
      </c>
      <c r="E134" s="23">
        <f>234/1000</f>
        <v>0.23400000000000001</v>
      </c>
      <c r="F134" s="31">
        <v>6500</v>
      </c>
      <c r="G134" s="36">
        <f>F134*E134</f>
        <v>1521</v>
      </c>
    </row>
    <row r="135" spans="1:7" x14ac:dyDescent="0.25">
      <c r="A135" s="20" t="s">
        <v>15</v>
      </c>
      <c r="B135" s="19" t="s">
        <v>80</v>
      </c>
      <c r="C135" s="22" t="s">
        <v>11</v>
      </c>
      <c r="D135" s="18" t="s">
        <v>16</v>
      </c>
      <c r="E135" s="23">
        <f>3876/1000</f>
        <v>3.8759999999999999</v>
      </c>
      <c r="F135" s="31">
        <v>6500</v>
      </c>
      <c r="G135" s="36">
        <f>F135*E135</f>
        <v>25194</v>
      </c>
    </row>
    <row r="136" spans="1:7" x14ac:dyDescent="0.25">
      <c r="A136" s="20" t="s">
        <v>15</v>
      </c>
      <c r="B136" s="19" t="s">
        <v>59</v>
      </c>
      <c r="C136" s="22" t="s">
        <v>11</v>
      </c>
      <c r="D136" s="18" t="s">
        <v>16</v>
      </c>
      <c r="E136" s="23">
        <f>421/1000</f>
        <v>0.42099999999999999</v>
      </c>
      <c r="F136" s="31">
        <v>6500</v>
      </c>
      <c r="G136" s="31">
        <f t="shared" ref="G136" si="12">F136*E136</f>
        <v>2736.5</v>
      </c>
    </row>
    <row r="137" spans="1:7" x14ac:dyDescent="0.25">
      <c r="A137" s="2" t="s">
        <v>81</v>
      </c>
      <c r="B137" s="19" t="s">
        <v>69</v>
      </c>
      <c r="C137" s="22" t="s">
        <v>10</v>
      </c>
      <c r="D137" s="18">
        <v>100</v>
      </c>
      <c r="E137" s="23">
        <f>ROUND(D137*E123,4)</f>
        <v>41.272500000000001</v>
      </c>
      <c r="F137" s="31"/>
      <c r="G137" s="36"/>
    </row>
    <row r="138" spans="1:7" x14ac:dyDescent="0.25">
      <c r="A138" s="20"/>
      <c r="B138" s="32" t="s">
        <v>65</v>
      </c>
      <c r="C138" s="22" t="s">
        <v>11</v>
      </c>
      <c r="D138" s="18">
        <v>0.38200000000000001</v>
      </c>
      <c r="E138" s="23">
        <f>ROUND(D138*E137,4)</f>
        <v>15.7661</v>
      </c>
      <c r="F138" s="31">
        <v>630</v>
      </c>
      <c r="G138" s="36">
        <f>F138*E138</f>
        <v>9932.643</v>
      </c>
    </row>
    <row r="139" spans="1:7" x14ac:dyDescent="0.25">
      <c r="A139" s="20"/>
      <c r="B139" s="32" t="s">
        <v>28</v>
      </c>
      <c r="C139" s="22" t="s">
        <v>11</v>
      </c>
      <c r="D139" s="18">
        <f>47/100*1.52</f>
        <v>0.71439999999999992</v>
      </c>
      <c r="E139" s="23">
        <f>ROUND(D139*E137,4)</f>
        <v>29.485099999999999</v>
      </c>
      <c r="F139" s="31">
        <f>2449.06/159.17</f>
        <v>15.386442168750394</v>
      </c>
      <c r="G139" s="36">
        <f>F139*E139</f>
        <v>453.67078598982221</v>
      </c>
    </row>
    <row r="140" spans="1:7" x14ac:dyDescent="0.25">
      <c r="A140" s="20"/>
      <c r="B140" s="32" t="s">
        <v>27</v>
      </c>
      <c r="C140" s="22" t="s">
        <v>11</v>
      </c>
      <c r="D140" s="18">
        <f>80/100*1.6</f>
        <v>1.2800000000000002</v>
      </c>
      <c r="E140" s="23">
        <f>ROUND(D140*E137,4)</f>
        <v>52.828800000000001</v>
      </c>
      <c r="F140" s="31">
        <f>4991.72/392.53</f>
        <v>12.7167859781418</v>
      </c>
      <c r="G140" s="36">
        <f>F140*E140</f>
        <v>671.81254308205757</v>
      </c>
    </row>
    <row r="141" spans="1:7" ht="13.5" x14ac:dyDescent="0.25">
      <c r="A141" s="15"/>
      <c r="B141" s="25" t="s">
        <v>8</v>
      </c>
      <c r="C141" s="17"/>
      <c r="D141" s="26"/>
      <c r="E141" s="27"/>
      <c r="F141" s="31"/>
      <c r="G141" s="29">
        <f>SUM(G124:G140)</f>
        <v>52876.585766871882</v>
      </c>
    </row>
    <row r="142" spans="1:7" ht="27" x14ac:dyDescent="0.25">
      <c r="A142" s="15" t="s">
        <v>61</v>
      </c>
      <c r="B142" s="16" t="s">
        <v>107</v>
      </c>
      <c r="C142" s="17" t="s">
        <v>19</v>
      </c>
      <c r="D142" s="18"/>
      <c r="E142" s="30">
        <f>(8.89*0.22+8.99*0.15)/100</f>
        <v>3.3043000000000003E-2</v>
      </c>
      <c r="F142" s="31"/>
      <c r="G142" s="24"/>
    </row>
    <row r="143" spans="1:7" x14ac:dyDescent="0.25">
      <c r="A143" s="20">
        <v>1</v>
      </c>
      <c r="B143" s="21" t="s">
        <v>55</v>
      </c>
      <c r="C143" s="22" t="s">
        <v>7</v>
      </c>
      <c r="D143" s="18">
        <v>2412.6</v>
      </c>
      <c r="E143" s="23">
        <f>ROUND(D143*E142,4)</f>
        <v>79.719499999999996</v>
      </c>
      <c r="F143" s="31">
        <v>10.31</v>
      </c>
      <c r="G143" s="24">
        <f t="shared" ref="G143:G158" si="13">F143*E143</f>
        <v>821.90804500000002</v>
      </c>
    </row>
    <row r="144" spans="1:7" x14ac:dyDescent="0.25">
      <c r="A144" s="20">
        <v>2</v>
      </c>
      <c r="B144" s="21" t="s">
        <v>17</v>
      </c>
      <c r="C144" s="22" t="s">
        <v>7</v>
      </c>
      <c r="D144" s="18">
        <v>51.7</v>
      </c>
      <c r="E144" s="23">
        <f>ROUND(D144*E142,4)</f>
        <v>1.7082999999999999</v>
      </c>
      <c r="F144" s="31">
        <v>15.44</v>
      </c>
      <c r="G144" s="24">
        <f t="shared" si="13"/>
        <v>26.376151999999998</v>
      </c>
    </row>
    <row r="145" spans="1:7" ht="25.5" x14ac:dyDescent="0.25">
      <c r="A145" s="20" t="s">
        <v>38</v>
      </c>
      <c r="B145" s="19" t="s">
        <v>45</v>
      </c>
      <c r="C145" s="22" t="s">
        <v>18</v>
      </c>
      <c r="D145" s="18">
        <v>51.7</v>
      </c>
      <c r="E145" s="23">
        <f>ROUND(D145*E142,4)</f>
        <v>1.7082999999999999</v>
      </c>
      <c r="F145" s="31">
        <f>152.37-15.44</f>
        <v>136.93</v>
      </c>
      <c r="G145" s="24">
        <f t="shared" si="13"/>
        <v>233.917519</v>
      </c>
    </row>
    <row r="146" spans="1:7" x14ac:dyDescent="0.25">
      <c r="A146" s="20" t="s">
        <v>39</v>
      </c>
      <c r="B146" s="21" t="s">
        <v>36</v>
      </c>
      <c r="C146" s="22" t="s">
        <v>18</v>
      </c>
      <c r="D146" s="18">
        <v>13.2</v>
      </c>
      <c r="E146" s="23">
        <f>ROUND(D146*E142,4)</f>
        <v>0.43619999999999998</v>
      </c>
      <c r="F146" s="31">
        <v>8.4600000000000009</v>
      </c>
      <c r="G146" s="24">
        <f t="shared" si="13"/>
        <v>3.6902520000000001</v>
      </c>
    </row>
    <row r="147" spans="1:7" x14ac:dyDescent="0.25">
      <c r="A147" s="20">
        <v>111301</v>
      </c>
      <c r="B147" s="19" t="s">
        <v>60</v>
      </c>
      <c r="C147" s="22" t="s">
        <v>18</v>
      </c>
      <c r="D147" s="18">
        <v>78</v>
      </c>
      <c r="E147" s="23">
        <f>ROUND(D147*E142,4)</f>
        <v>2.5773999999999999</v>
      </c>
      <c r="F147" s="31">
        <v>1.62</v>
      </c>
      <c r="G147" s="24">
        <f t="shared" si="13"/>
        <v>4.1753879999999999</v>
      </c>
    </row>
    <row r="148" spans="1:7" x14ac:dyDescent="0.25">
      <c r="A148" s="20">
        <v>331532</v>
      </c>
      <c r="B148" s="19" t="s">
        <v>25</v>
      </c>
      <c r="C148" s="22" t="s">
        <v>18</v>
      </c>
      <c r="D148" s="18">
        <v>1.21</v>
      </c>
      <c r="E148" s="23">
        <f>ROUND(D148*E142,4)</f>
        <v>0.04</v>
      </c>
      <c r="F148" s="31">
        <v>1.63</v>
      </c>
      <c r="G148" s="24">
        <f t="shared" si="13"/>
        <v>6.5199999999999994E-2</v>
      </c>
    </row>
    <row r="149" spans="1:7" x14ac:dyDescent="0.25">
      <c r="A149" s="20" t="s">
        <v>62</v>
      </c>
      <c r="B149" s="19" t="s">
        <v>63</v>
      </c>
      <c r="C149" s="22" t="s">
        <v>11</v>
      </c>
      <c r="D149" s="18">
        <v>2.3599999999999999E-2</v>
      </c>
      <c r="E149" s="23">
        <f>ROUND(D149*E142,4)</f>
        <v>8.0000000000000004E-4</v>
      </c>
      <c r="F149" s="31">
        <v>5423.7330000000002</v>
      </c>
      <c r="G149" s="24">
        <f t="shared" si="13"/>
        <v>4.3389864000000005</v>
      </c>
    </row>
    <row r="150" spans="1:7" x14ac:dyDescent="0.25">
      <c r="A150" s="20" t="s">
        <v>46</v>
      </c>
      <c r="B150" s="19" t="s">
        <v>37</v>
      </c>
      <c r="C150" s="22" t="s">
        <v>11</v>
      </c>
      <c r="D150" s="18">
        <v>1.2999999999999999E-2</v>
      </c>
      <c r="E150" s="23">
        <f>ROUND(D150*E142,4)</f>
        <v>4.0000000000000002E-4</v>
      </c>
      <c r="F150" s="31">
        <v>9500</v>
      </c>
      <c r="G150" s="24">
        <f t="shared" si="13"/>
        <v>3.8000000000000003</v>
      </c>
    </row>
    <row r="151" spans="1:7" x14ac:dyDescent="0.25">
      <c r="A151" s="20" t="s">
        <v>14</v>
      </c>
      <c r="B151" s="21" t="s">
        <v>12</v>
      </c>
      <c r="C151" s="22" t="s">
        <v>11</v>
      </c>
      <c r="D151" s="18">
        <v>1.4999999999999999E-2</v>
      </c>
      <c r="E151" s="23">
        <f>ROUND(D151*E142,4)</f>
        <v>5.0000000000000001E-4</v>
      </c>
      <c r="F151" s="31">
        <v>8500</v>
      </c>
      <c r="G151" s="24">
        <f t="shared" si="13"/>
        <v>4.25</v>
      </c>
    </row>
    <row r="152" spans="1:7" x14ac:dyDescent="0.25">
      <c r="A152" s="20" t="s">
        <v>20</v>
      </c>
      <c r="B152" s="19" t="s">
        <v>75</v>
      </c>
      <c r="C152" s="22" t="s">
        <v>10</v>
      </c>
      <c r="D152" s="18">
        <v>2.1</v>
      </c>
      <c r="E152" s="23">
        <f>ROUND(D152*E142,4)</f>
        <v>6.9400000000000003E-2</v>
      </c>
      <c r="F152" s="31">
        <v>2563.75</v>
      </c>
      <c r="G152" s="24">
        <f t="shared" si="13"/>
        <v>177.92425</v>
      </c>
    </row>
    <row r="153" spans="1:7" x14ac:dyDescent="0.25">
      <c r="A153" s="20" t="s">
        <v>15</v>
      </c>
      <c r="B153" s="19" t="s">
        <v>42</v>
      </c>
      <c r="C153" s="22" t="s">
        <v>11</v>
      </c>
      <c r="D153" s="18" t="s">
        <v>16</v>
      </c>
      <c r="E153" s="23">
        <f>338/1000</f>
        <v>0.33800000000000002</v>
      </c>
      <c r="F153" s="31">
        <v>6500</v>
      </c>
      <c r="G153" s="24">
        <f t="shared" si="13"/>
        <v>2197</v>
      </c>
    </row>
    <row r="154" spans="1:7" x14ac:dyDescent="0.25">
      <c r="A154" s="20" t="s">
        <v>15</v>
      </c>
      <c r="B154" s="19" t="s">
        <v>59</v>
      </c>
      <c r="C154" s="22" t="s">
        <v>11</v>
      </c>
      <c r="D154" s="18" t="s">
        <v>16</v>
      </c>
      <c r="E154" s="23">
        <f>10/1000</f>
        <v>0.01</v>
      </c>
      <c r="F154" s="31">
        <v>6500</v>
      </c>
      <c r="G154" s="31">
        <f t="shared" si="13"/>
        <v>65</v>
      </c>
    </row>
    <row r="155" spans="1:7" x14ac:dyDescent="0.25">
      <c r="A155" s="20" t="s">
        <v>22</v>
      </c>
      <c r="B155" s="19" t="s">
        <v>69</v>
      </c>
      <c r="C155" s="22" t="s">
        <v>10</v>
      </c>
      <c r="D155" s="18">
        <v>100</v>
      </c>
      <c r="E155" s="23">
        <f>ROUND(D155*E142,4)</f>
        <v>3.3043</v>
      </c>
      <c r="F155" s="31"/>
      <c r="G155" s="24"/>
    </row>
    <row r="156" spans="1:7" x14ac:dyDescent="0.25">
      <c r="A156" s="20"/>
      <c r="B156" s="32" t="s">
        <v>65</v>
      </c>
      <c r="C156" s="22" t="s">
        <v>11</v>
      </c>
      <c r="D156" s="18">
        <v>0.38200000000000001</v>
      </c>
      <c r="E156" s="23">
        <f>ROUND(D156*E155,4)</f>
        <v>1.2622</v>
      </c>
      <c r="F156" s="31">
        <v>630</v>
      </c>
      <c r="G156" s="24">
        <f t="shared" si="13"/>
        <v>795.18600000000004</v>
      </c>
    </row>
    <row r="157" spans="1:7" x14ac:dyDescent="0.25">
      <c r="A157" s="20"/>
      <c r="B157" s="32" t="s">
        <v>28</v>
      </c>
      <c r="C157" s="22" t="s">
        <v>11</v>
      </c>
      <c r="D157" s="18">
        <f>47/100*1.52</f>
        <v>0.71439999999999992</v>
      </c>
      <c r="E157" s="23">
        <f>ROUND(D157*E155,4)</f>
        <v>2.3605999999999998</v>
      </c>
      <c r="F157" s="31">
        <f>2449.06/159.17</f>
        <v>15.386442168750394</v>
      </c>
      <c r="G157" s="24">
        <f t="shared" si="13"/>
        <v>36.321235383552178</v>
      </c>
    </row>
    <row r="158" spans="1:7" x14ac:dyDescent="0.25">
      <c r="A158" s="20"/>
      <c r="B158" s="32" t="s">
        <v>27</v>
      </c>
      <c r="C158" s="22" t="s">
        <v>11</v>
      </c>
      <c r="D158" s="18">
        <f>80/100*1.6</f>
        <v>1.2800000000000002</v>
      </c>
      <c r="E158" s="23">
        <f>ROUND(D158*E155,4)</f>
        <v>4.2294999999999998</v>
      </c>
      <c r="F158" s="31">
        <f>4991.72/392.53</f>
        <v>12.7167859781418</v>
      </c>
      <c r="G158" s="24">
        <f t="shared" si="13"/>
        <v>53.785646294550745</v>
      </c>
    </row>
    <row r="159" spans="1:7" ht="13.5" x14ac:dyDescent="0.25">
      <c r="A159" s="15"/>
      <c r="B159" s="25" t="s">
        <v>8</v>
      </c>
      <c r="C159" s="17"/>
      <c r="D159" s="26"/>
      <c r="E159" s="27"/>
      <c r="F159" s="28"/>
      <c r="G159" s="29">
        <f>SUM(G143:G158)</f>
        <v>4427.7386740781039</v>
      </c>
    </row>
    <row r="160" spans="1:7" ht="13.5" x14ac:dyDescent="0.25">
      <c r="A160" s="15" t="s">
        <v>86</v>
      </c>
      <c r="B160" s="16" t="s">
        <v>87</v>
      </c>
      <c r="C160" s="17" t="s">
        <v>10</v>
      </c>
      <c r="D160" s="18"/>
      <c r="E160" s="30">
        <f>23312/394</f>
        <v>59.167512690355331</v>
      </c>
      <c r="F160" s="31"/>
      <c r="G160" s="24"/>
    </row>
    <row r="161" spans="1:7" x14ac:dyDescent="0.25">
      <c r="A161" s="20">
        <v>1</v>
      </c>
      <c r="B161" s="21" t="s">
        <v>88</v>
      </c>
      <c r="C161" s="22" t="s">
        <v>7</v>
      </c>
      <c r="D161" s="18">
        <v>6.03</v>
      </c>
      <c r="E161" s="23">
        <f>ROUND(D161*E160,4)</f>
        <v>356.7801</v>
      </c>
      <c r="F161" s="31">
        <v>10.210000000000001</v>
      </c>
      <c r="G161" s="24">
        <f t="shared" ref="G161:G169" si="14">F161*E161</f>
        <v>3642.7248210000002</v>
      </c>
    </row>
    <row r="162" spans="1:7" x14ac:dyDescent="0.25">
      <c r="A162" s="20">
        <v>2</v>
      </c>
      <c r="B162" s="21" t="s">
        <v>17</v>
      </c>
      <c r="C162" s="22" t="s">
        <v>7</v>
      </c>
      <c r="D162" s="18">
        <v>0.4</v>
      </c>
      <c r="E162" s="23">
        <f>ROUND(D162*E160,4)</f>
        <v>23.667000000000002</v>
      </c>
      <c r="F162" s="31">
        <v>15.44</v>
      </c>
      <c r="G162" s="24">
        <f t="shared" si="14"/>
        <v>365.41847999999999</v>
      </c>
    </row>
    <row r="163" spans="1:7" ht="25.5" x14ac:dyDescent="0.25">
      <c r="A163" s="20" t="s">
        <v>38</v>
      </c>
      <c r="B163" s="19" t="s">
        <v>45</v>
      </c>
      <c r="C163" s="22" t="s">
        <v>18</v>
      </c>
      <c r="D163" s="18">
        <v>0.4</v>
      </c>
      <c r="E163" s="23">
        <f>ROUND(D163*E160,4)</f>
        <v>23.667000000000002</v>
      </c>
      <c r="F163" s="31">
        <f>136.52-15.44</f>
        <v>121.08000000000001</v>
      </c>
      <c r="G163" s="24">
        <f t="shared" si="14"/>
        <v>2865.6003600000004</v>
      </c>
    </row>
    <row r="164" spans="1:7" x14ac:dyDescent="0.25">
      <c r="A164" s="20" t="s">
        <v>20</v>
      </c>
      <c r="B164" s="19" t="s">
        <v>75</v>
      </c>
      <c r="C164" s="22" t="s">
        <v>10</v>
      </c>
      <c r="D164" s="18">
        <v>5.0000000000000001E-4</v>
      </c>
      <c r="E164" s="23">
        <f>ROUND(D164*E160,4)</f>
        <v>2.9600000000000001E-2</v>
      </c>
      <c r="F164" s="31">
        <v>2563.75</v>
      </c>
      <c r="G164" s="10">
        <f t="shared" si="14"/>
        <v>75.887</v>
      </c>
    </row>
    <row r="165" spans="1:7" x14ac:dyDescent="0.25">
      <c r="A165" s="20" t="s">
        <v>89</v>
      </c>
      <c r="B165" s="19" t="s">
        <v>90</v>
      </c>
      <c r="C165" s="22" t="s">
        <v>10</v>
      </c>
      <c r="D165" s="18">
        <v>0.24</v>
      </c>
      <c r="E165" s="23">
        <f>ROUND(D165*E160,4)</f>
        <v>14.200200000000001</v>
      </c>
      <c r="F165" s="31"/>
      <c r="G165" s="24"/>
    </row>
    <row r="166" spans="1:7" x14ac:dyDescent="0.25">
      <c r="A166" s="20"/>
      <c r="B166" s="32" t="s">
        <v>91</v>
      </c>
      <c r="C166" s="22" t="s">
        <v>11</v>
      </c>
      <c r="D166" s="18">
        <v>0.17799999999999999</v>
      </c>
      <c r="E166" s="23">
        <f>ROUND(D166*E165,4)</f>
        <v>2.5276000000000001</v>
      </c>
      <c r="F166" s="24">
        <v>580</v>
      </c>
      <c r="G166" s="24">
        <f t="shared" si="14"/>
        <v>1466.008</v>
      </c>
    </row>
    <row r="167" spans="1:7" x14ac:dyDescent="0.25">
      <c r="A167" s="20"/>
      <c r="B167" s="32" t="s">
        <v>92</v>
      </c>
      <c r="C167" s="22" t="s">
        <v>11</v>
      </c>
      <c r="D167" s="18">
        <f>0.13*1.6</f>
        <v>0.20800000000000002</v>
      </c>
      <c r="E167" s="23">
        <f>ROUND(D167*E165,3)</f>
        <v>2.9540000000000002</v>
      </c>
      <c r="F167" s="31"/>
      <c r="G167" s="24">
        <f t="shared" si="14"/>
        <v>0</v>
      </c>
    </row>
    <row r="168" spans="1:7" x14ac:dyDescent="0.25">
      <c r="A168" s="20"/>
      <c r="B168" s="32" t="s">
        <v>93</v>
      </c>
      <c r="C168" s="22" t="s">
        <v>11</v>
      </c>
      <c r="D168" s="18">
        <f>1.28*1.52</f>
        <v>1.9456</v>
      </c>
      <c r="E168" s="23">
        <f>ROUND(D168*E165,4)</f>
        <v>27.6279</v>
      </c>
      <c r="F168" s="31">
        <v>36</v>
      </c>
      <c r="G168" s="24">
        <f t="shared" si="14"/>
        <v>994.60440000000006</v>
      </c>
    </row>
    <row r="169" spans="1:7" x14ac:dyDescent="0.25">
      <c r="A169" s="20" t="s">
        <v>94</v>
      </c>
      <c r="B169" s="19" t="s">
        <v>95</v>
      </c>
      <c r="C169" s="22" t="s">
        <v>96</v>
      </c>
      <c r="D169" s="18">
        <v>0.39400000000000002</v>
      </c>
      <c r="E169" s="23">
        <f>ROUND(D169*E160,3)</f>
        <v>23.312000000000001</v>
      </c>
      <c r="F169" s="31">
        <v>593.79999999999995</v>
      </c>
      <c r="G169" s="24">
        <f t="shared" si="14"/>
        <v>13842.6656</v>
      </c>
    </row>
    <row r="170" spans="1:7" ht="13.5" x14ac:dyDescent="0.25">
      <c r="A170" s="15"/>
      <c r="B170" s="25" t="s">
        <v>8</v>
      </c>
      <c r="C170" s="17"/>
      <c r="D170" s="26"/>
      <c r="E170" s="27"/>
      <c r="F170" s="31"/>
      <c r="G170" s="29">
        <f>SUM(G161:G169)</f>
        <v>23252.908661000001</v>
      </c>
    </row>
    <row r="171" spans="1:7" ht="13.5" x14ac:dyDescent="0.25">
      <c r="A171" s="15" t="s">
        <v>43</v>
      </c>
      <c r="B171" s="16" t="s">
        <v>97</v>
      </c>
      <c r="C171" s="17" t="s">
        <v>19</v>
      </c>
      <c r="D171" s="18"/>
      <c r="E171" s="30">
        <f>(11*2.9*0.25*0.12+8*2.9*0.38*0.12)/100</f>
        <v>2.0149199999999996E-2</v>
      </c>
      <c r="F171" s="23"/>
      <c r="G171" s="23"/>
    </row>
    <row r="172" spans="1:7" x14ac:dyDescent="0.25">
      <c r="A172" s="20">
        <v>1</v>
      </c>
      <c r="B172" s="21" t="s">
        <v>44</v>
      </c>
      <c r="C172" s="22" t="s">
        <v>7</v>
      </c>
      <c r="D172" s="18">
        <v>1569.4</v>
      </c>
      <c r="E172" s="23">
        <f>ROUND(D172*E171,4)</f>
        <v>31.622199999999999</v>
      </c>
      <c r="F172" s="31">
        <v>10.46</v>
      </c>
      <c r="G172" s="31">
        <f t="shared" ref="G172:G188" si="15">F172*E172</f>
        <v>330.76821200000001</v>
      </c>
    </row>
    <row r="173" spans="1:7" x14ac:dyDescent="0.25">
      <c r="A173" s="20">
        <v>2</v>
      </c>
      <c r="B173" s="21" t="s">
        <v>17</v>
      </c>
      <c r="C173" s="22" t="s">
        <v>7</v>
      </c>
      <c r="D173" s="18">
        <v>93.3</v>
      </c>
      <c r="E173" s="23">
        <f>ROUND(D173*E171,4)</f>
        <v>1.8798999999999999</v>
      </c>
      <c r="F173" s="31">
        <v>15.44</v>
      </c>
      <c r="G173" s="31">
        <f t="shared" si="15"/>
        <v>29.025655999999998</v>
      </c>
    </row>
    <row r="174" spans="1:7" ht="25.5" x14ac:dyDescent="0.25">
      <c r="A174" s="20" t="s">
        <v>38</v>
      </c>
      <c r="B174" s="19" t="s">
        <v>45</v>
      </c>
      <c r="C174" s="22" t="s">
        <v>18</v>
      </c>
      <c r="D174" s="18">
        <v>93.3</v>
      </c>
      <c r="E174" s="23">
        <f>ROUND(D174*E171,4)</f>
        <v>1.8798999999999999</v>
      </c>
      <c r="F174" s="31">
        <f>136.52-15.44</f>
        <v>121.08000000000001</v>
      </c>
      <c r="G174" s="31">
        <f t="shared" si="15"/>
        <v>227.61829200000003</v>
      </c>
    </row>
    <row r="175" spans="1:7" x14ac:dyDescent="0.25">
      <c r="A175" s="20" t="s">
        <v>39</v>
      </c>
      <c r="B175" s="21" t="s">
        <v>36</v>
      </c>
      <c r="C175" s="22" t="s">
        <v>18</v>
      </c>
      <c r="D175" s="18">
        <v>124.95</v>
      </c>
      <c r="E175" s="23">
        <f>ROUND(D175*E171,4)</f>
        <v>2.5175999999999998</v>
      </c>
      <c r="F175" s="31">
        <v>8.4600000000000009</v>
      </c>
      <c r="G175" s="31">
        <f t="shared" si="15"/>
        <v>21.298895999999999</v>
      </c>
    </row>
    <row r="176" spans="1:7" x14ac:dyDescent="0.25">
      <c r="A176" s="20">
        <v>111100</v>
      </c>
      <c r="B176" s="19" t="s">
        <v>26</v>
      </c>
      <c r="C176" s="22" t="s">
        <v>18</v>
      </c>
      <c r="D176" s="18">
        <v>61.88</v>
      </c>
      <c r="E176" s="23">
        <f>ROUND(D176*E171,4)</f>
        <v>1.2467999999999999</v>
      </c>
      <c r="F176" s="31">
        <v>2.83</v>
      </c>
      <c r="G176" s="31">
        <f t="shared" si="15"/>
        <v>3.5284439999999999</v>
      </c>
    </row>
    <row r="177" spans="1:7" x14ac:dyDescent="0.25">
      <c r="A177" s="20">
        <v>331532</v>
      </c>
      <c r="B177" s="19" t="s">
        <v>25</v>
      </c>
      <c r="C177" s="22" t="s">
        <v>18</v>
      </c>
      <c r="D177" s="18">
        <v>1.9</v>
      </c>
      <c r="E177" s="23">
        <f>ROUND(D177*E171,4)</f>
        <v>3.8300000000000001E-2</v>
      </c>
      <c r="F177" s="31">
        <v>1.82</v>
      </c>
      <c r="G177" s="31">
        <f t="shared" si="15"/>
        <v>6.9706000000000004E-2</v>
      </c>
    </row>
    <row r="178" spans="1:7" x14ac:dyDescent="0.25">
      <c r="A178" s="20" t="s">
        <v>46</v>
      </c>
      <c r="B178" s="19" t="s">
        <v>37</v>
      </c>
      <c r="C178" s="22" t="s">
        <v>11</v>
      </c>
      <c r="D178" s="18">
        <v>0.15</v>
      </c>
      <c r="E178" s="23">
        <f>ROUND(D178*E171,4)</f>
        <v>3.0000000000000001E-3</v>
      </c>
      <c r="F178" s="31">
        <v>9500</v>
      </c>
      <c r="G178" s="31">
        <f t="shared" si="15"/>
        <v>28.5</v>
      </c>
    </row>
    <row r="179" spans="1:7" x14ac:dyDescent="0.25">
      <c r="A179" s="20" t="s">
        <v>14</v>
      </c>
      <c r="B179" s="21" t="s">
        <v>12</v>
      </c>
      <c r="C179" s="22" t="s">
        <v>11</v>
      </c>
      <c r="D179" s="18">
        <v>4.4999999999999998E-2</v>
      </c>
      <c r="E179" s="23">
        <f>ROUND(D179*E171,4)</f>
        <v>8.9999999999999998E-4</v>
      </c>
      <c r="F179" s="31">
        <v>8500</v>
      </c>
      <c r="G179" s="31">
        <f t="shared" si="15"/>
        <v>7.6499999999999995</v>
      </c>
    </row>
    <row r="180" spans="1:7" x14ac:dyDescent="0.25">
      <c r="A180" s="20" t="s">
        <v>20</v>
      </c>
      <c r="B180" s="19" t="s">
        <v>75</v>
      </c>
      <c r="C180" s="22" t="s">
        <v>10</v>
      </c>
      <c r="D180" s="18">
        <v>1.7</v>
      </c>
      <c r="E180" s="23">
        <f>ROUND(D180*E171,4)</f>
        <v>3.4299999999999997E-2</v>
      </c>
      <c r="F180" s="31">
        <v>2563.75</v>
      </c>
      <c r="G180" s="10">
        <f t="shared" si="15"/>
        <v>87.936624999999992</v>
      </c>
    </row>
    <row r="181" spans="1:7" x14ac:dyDescent="0.25">
      <c r="A181" s="20" t="s">
        <v>47</v>
      </c>
      <c r="B181" s="19" t="s">
        <v>48</v>
      </c>
      <c r="C181" s="22" t="s">
        <v>10</v>
      </c>
      <c r="D181" s="18">
        <v>0.25</v>
      </c>
      <c r="E181" s="23">
        <f>ROUND(D181*E171,4)</f>
        <v>5.0000000000000001E-3</v>
      </c>
      <c r="F181" s="31">
        <v>2000</v>
      </c>
      <c r="G181" s="31">
        <f t="shared" si="15"/>
        <v>10</v>
      </c>
    </row>
    <row r="182" spans="1:7" x14ac:dyDescent="0.25">
      <c r="A182" s="20" t="s">
        <v>21</v>
      </c>
      <c r="B182" s="19" t="s">
        <v>23</v>
      </c>
      <c r="C182" s="22" t="s">
        <v>13</v>
      </c>
      <c r="D182" s="18">
        <v>135</v>
      </c>
      <c r="E182" s="23">
        <f>ROUND(D182*E171,4)</f>
        <v>2.7201</v>
      </c>
      <c r="F182" s="31"/>
      <c r="G182" s="10">
        <f t="shared" si="15"/>
        <v>0</v>
      </c>
    </row>
    <row r="183" spans="1:7" x14ac:dyDescent="0.25">
      <c r="A183" s="20" t="s">
        <v>15</v>
      </c>
      <c r="B183" s="19" t="s">
        <v>41</v>
      </c>
      <c r="C183" s="22" t="s">
        <v>11</v>
      </c>
      <c r="D183" s="18" t="s">
        <v>16</v>
      </c>
      <c r="E183" s="23">
        <f>(143+104)/1000</f>
        <v>0.247</v>
      </c>
      <c r="F183" s="31">
        <v>6500</v>
      </c>
      <c r="G183" s="31">
        <f t="shared" si="15"/>
        <v>1605.5</v>
      </c>
    </row>
    <row r="184" spans="1:7" x14ac:dyDescent="0.25">
      <c r="A184" s="20" t="s">
        <v>15</v>
      </c>
      <c r="B184" s="19" t="s">
        <v>59</v>
      </c>
      <c r="C184" s="22" t="s">
        <v>11</v>
      </c>
      <c r="D184" s="18" t="s">
        <v>16</v>
      </c>
      <c r="E184" s="23">
        <f>(17+18)/1000</f>
        <v>3.5000000000000003E-2</v>
      </c>
      <c r="F184" s="31">
        <v>6500</v>
      </c>
      <c r="G184" s="31">
        <f t="shared" si="15"/>
        <v>227.50000000000003</v>
      </c>
    </row>
    <row r="185" spans="1:7" x14ac:dyDescent="0.25">
      <c r="A185" s="20" t="s">
        <v>22</v>
      </c>
      <c r="B185" s="19" t="s">
        <v>69</v>
      </c>
      <c r="C185" s="22" t="s">
        <v>10</v>
      </c>
      <c r="D185" s="18">
        <v>100</v>
      </c>
      <c r="E185" s="23">
        <f>ROUND(D185*E171,4)</f>
        <v>2.0148999999999999</v>
      </c>
      <c r="F185" s="31"/>
      <c r="G185" s="31"/>
    </row>
    <row r="186" spans="1:7" x14ac:dyDescent="0.25">
      <c r="A186" s="20"/>
      <c r="B186" s="32" t="s">
        <v>91</v>
      </c>
      <c r="C186" s="22" t="s">
        <v>11</v>
      </c>
      <c r="D186" s="18">
        <v>0.47899999999999998</v>
      </c>
      <c r="E186" s="23">
        <f>ROUND(D186*E185,4)</f>
        <v>0.96509999999999996</v>
      </c>
      <c r="F186" s="24">
        <v>580</v>
      </c>
      <c r="G186" s="31">
        <f t="shared" si="15"/>
        <v>559.75799999999992</v>
      </c>
    </row>
    <row r="187" spans="1:7" x14ac:dyDescent="0.25">
      <c r="A187" s="20"/>
      <c r="B187" s="32" t="s">
        <v>28</v>
      </c>
      <c r="C187" s="22" t="s">
        <v>11</v>
      </c>
      <c r="D187" s="18">
        <v>0.40300000000000002</v>
      </c>
      <c r="E187" s="23">
        <f>ROUND(D187*E185,4)</f>
        <v>0.81200000000000006</v>
      </c>
      <c r="F187" s="31">
        <f>2449.06/159.17</f>
        <v>15.386442168750394</v>
      </c>
      <c r="G187" s="31">
        <f t="shared" si="15"/>
        <v>12.49379104102532</v>
      </c>
    </row>
    <row r="188" spans="1:7" x14ac:dyDescent="0.25">
      <c r="A188" s="20"/>
      <c r="B188" s="32" t="s">
        <v>27</v>
      </c>
      <c r="C188" s="22" t="s">
        <v>11</v>
      </c>
      <c r="D188" s="18">
        <v>1.881</v>
      </c>
      <c r="E188" s="23">
        <f>ROUND(D188*E185,4)</f>
        <v>3.79</v>
      </c>
      <c r="F188" s="31">
        <f>4991.72/392.53</f>
        <v>12.7167859781418</v>
      </c>
      <c r="G188" s="31">
        <f t="shared" si="15"/>
        <v>48.196618857157425</v>
      </c>
    </row>
    <row r="189" spans="1:7" ht="13.5" x14ac:dyDescent="0.25">
      <c r="A189" s="15"/>
      <c r="B189" s="25" t="s">
        <v>8</v>
      </c>
      <c r="C189" s="17"/>
      <c r="D189" s="26"/>
      <c r="E189" s="27"/>
      <c r="F189" s="31"/>
      <c r="G189" s="62">
        <f>SUM(G172:G188)</f>
        <v>3199.8442408981823</v>
      </c>
    </row>
    <row r="190" spans="1:7" ht="13.5" x14ac:dyDescent="0.25">
      <c r="A190" s="56"/>
      <c r="B190" s="57"/>
      <c r="C190" s="58"/>
      <c r="D190" s="59"/>
      <c r="E190" s="59"/>
      <c r="F190" s="59"/>
      <c r="G190" s="60"/>
    </row>
    <row r="191" spans="1:7" ht="13.5" x14ac:dyDescent="0.25">
      <c r="A191" s="45"/>
      <c r="B191" s="46"/>
      <c r="C191" s="45"/>
      <c r="D191" s="46"/>
      <c r="E191" s="46"/>
      <c r="F191" s="54"/>
      <c r="G191" s="47"/>
    </row>
    <row r="192" spans="1:7" ht="13.5" x14ac:dyDescent="0.25">
      <c r="A192" s="45"/>
      <c r="B192" s="46"/>
      <c r="C192" s="45"/>
      <c r="D192" s="46"/>
      <c r="E192" s="46"/>
      <c r="F192" s="54"/>
      <c r="G192" s="47"/>
    </row>
    <row r="193" spans="1:7" ht="13.5" x14ac:dyDescent="0.25">
      <c r="A193" s="2"/>
      <c r="B193" s="48" t="s">
        <v>40</v>
      </c>
      <c r="C193" s="49"/>
      <c r="D193" s="10"/>
      <c r="E193" s="10"/>
      <c r="F193" s="37"/>
      <c r="G193" s="12">
        <f>SUMIFS(G11:G192,B11:B192,"Итого")</f>
        <v>163129.34415237643</v>
      </c>
    </row>
    <row r="194" spans="1:7" ht="13.5" x14ac:dyDescent="0.25">
      <c r="A194" s="2"/>
      <c r="B194" s="48" t="s">
        <v>29</v>
      </c>
      <c r="C194" s="49"/>
      <c r="D194" s="10"/>
      <c r="E194" s="10"/>
      <c r="F194" s="10"/>
      <c r="G194" s="12"/>
    </row>
    <row r="195" spans="1:7" ht="13.5" x14ac:dyDescent="0.25">
      <c r="A195" s="2"/>
      <c r="B195" s="50" t="s">
        <v>49</v>
      </c>
      <c r="C195" s="49"/>
      <c r="D195" s="10"/>
      <c r="E195" s="10"/>
      <c r="F195" s="82">
        <f>G18+G19+G20+G21+G22+G23+G24++G26+G27+G28+G37+G38+G39+G40+G41+G42+G43+G45+G46+G47+G56+G57+G58+G60+G61+G62+G63+G65+G66+G67+G76+G77+G78+G79+G80+G81+G83+G84+G85+G94+G95+G96+G97+G98+G99+G101+G102+G103+G112+G113+G114+G115+G116+G117+G119+G120+G121+G129+G130+G131+G132+G133+G134+G135+G136+G138+G139+G140+G149+G150+G151+G152+G153+G154+G156+G157+G158+G164+G166+G167+G168+G169+G178+G179+G180+G181+G182+G183+G184+G186+G187+G188</f>
        <v>134127.23286037645</v>
      </c>
      <c r="G195" s="12">
        <f>G193-G196-G197-G198</f>
        <v>134127.23286037645</v>
      </c>
    </row>
    <row r="196" spans="1:7" ht="13.5" x14ac:dyDescent="0.25">
      <c r="A196" s="2"/>
      <c r="B196" s="50" t="s">
        <v>50</v>
      </c>
      <c r="C196" s="49"/>
      <c r="D196" s="10"/>
      <c r="E196" s="10"/>
      <c r="F196" s="10"/>
      <c r="G196" s="12">
        <f>SUMIFS(G11:G192,C11:C192,"маш/час")</f>
        <v>12248.620223999998</v>
      </c>
    </row>
    <row r="197" spans="1:7" ht="13.5" x14ac:dyDescent="0.25">
      <c r="A197" s="2"/>
      <c r="B197" s="50" t="s">
        <v>51</v>
      </c>
      <c r="C197" s="49"/>
      <c r="D197" s="10"/>
      <c r="E197" s="10"/>
      <c r="F197" s="10"/>
      <c r="G197" s="12">
        <f>SUMIFS(G11:G192,A11:A192,1)</f>
        <v>15409.510092000002</v>
      </c>
    </row>
    <row r="198" spans="1:7" ht="13.5" x14ac:dyDescent="0.25">
      <c r="A198" s="2"/>
      <c r="B198" s="50" t="s">
        <v>52</v>
      </c>
      <c r="C198" s="49"/>
      <c r="D198" s="10"/>
      <c r="E198" s="10"/>
      <c r="F198" s="10"/>
      <c r="G198" s="12">
        <f>SUMIFS(G11:G192,A11:A192,2)</f>
        <v>1343.9809760000003</v>
      </c>
    </row>
    <row r="199" spans="1:7" ht="13.5" x14ac:dyDescent="0.25">
      <c r="A199" s="2"/>
      <c r="B199" s="12" t="s">
        <v>35</v>
      </c>
      <c r="C199" s="49"/>
      <c r="D199" s="10"/>
      <c r="E199" s="10"/>
      <c r="F199" s="10"/>
      <c r="G199" s="12">
        <f>(G197+G198)*25%</f>
        <v>4188.3727670000007</v>
      </c>
    </row>
    <row r="200" spans="1:7" ht="13.5" x14ac:dyDescent="0.25">
      <c r="A200" s="15"/>
      <c r="B200" s="25" t="s">
        <v>8</v>
      </c>
      <c r="C200" s="17"/>
      <c r="D200" s="26"/>
      <c r="E200" s="27"/>
      <c r="F200" s="28"/>
      <c r="G200" s="12">
        <f>SUM(G195:G199)</f>
        <v>167317.71691937643</v>
      </c>
    </row>
    <row r="201" spans="1:7" ht="13.5" x14ac:dyDescent="0.25">
      <c r="A201" s="2"/>
      <c r="B201" s="4" t="s">
        <v>56</v>
      </c>
      <c r="C201" s="8"/>
      <c r="D201" s="9"/>
      <c r="E201" s="9"/>
      <c r="F201" s="28"/>
      <c r="G201" s="12">
        <f>G200*10%</f>
        <v>16731.771691937643</v>
      </c>
    </row>
    <row r="202" spans="1:7" ht="13.5" x14ac:dyDescent="0.25">
      <c r="A202" s="2"/>
      <c r="B202" s="4" t="s">
        <v>53</v>
      </c>
      <c r="C202" s="7" t="s">
        <v>10</v>
      </c>
      <c r="D202" s="11"/>
      <c r="E202" s="5">
        <f>SUMIFS(E191:E198,B191:B198,"Бетон марки БМ-350")</f>
        <v>0</v>
      </c>
      <c r="F202" s="28"/>
      <c r="G202" s="12">
        <f>+F202*E202</f>
        <v>0</v>
      </c>
    </row>
    <row r="203" spans="1:7" ht="13.5" x14ac:dyDescent="0.25">
      <c r="A203" s="2"/>
      <c r="B203" s="4" t="s">
        <v>54</v>
      </c>
      <c r="C203" s="7" t="s">
        <v>10</v>
      </c>
      <c r="D203" s="11"/>
      <c r="E203" s="5">
        <f>E202</f>
        <v>0</v>
      </c>
      <c r="F203" s="28"/>
      <c r="G203" s="12">
        <f>+F203*E203</f>
        <v>0</v>
      </c>
    </row>
    <row r="204" spans="1:7" ht="13.5" x14ac:dyDescent="0.25">
      <c r="A204" s="2"/>
      <c r="B204" s="48" t="s">
        <v>8</v>
      </c>
      <c r="C204" s="49"/>
      <c r="D204" s="10"/>
      <c r="E204" s="10"/>
      <c r="F204" s="28"/>
      <c r="G204" s="12">
        <f>SUM(G200:G203)</f>
        <v>184049.48861131407</v>
      </c>
    </row>
    <row r="205" spans="1:7" ht="13.5" x14ac:dyDescent="0.25">
      <c r="A205" s="2"/>
      <c r="B205" s="48" t="s">
        <v>57</v>
      </c>
      <c r="C205" s="49"/>
      <c r="D205" s="10"/>
      <c r="E205" s="10"/>
      <c r="F205" s="10"/>
      <c r="G205" s="12">
        <f>G204*7%</f>
        <v>12883.464202791985</v>
      </c>
    </row>
    <row r="206" spans="1:7" ht="13.5" x14ac:dyDescent="0.25">
      <c r="A206" s="2"/>
      <c r="B206" s="48" t="s">
        <v>30</v>
      </c>
      <c r="C206" s="49"/>
      <c r="D206" s="10"/>
      <c r="E206" s="10"/>
      <c r="F206" s="10"/>
      <c r="G206" s="12">
        <f>SUM(G204:G205)</f>
        <v>196932.95281410604</v>
      </c>
    </row>
    <row r="207" spans="1:7" x14ac:dyDescent="0.25">
      <c r="F207" s="37"/>
    </row>
    <row r="208" spans="1:7" x14ac:dyDescent="0.25">
      <c r="F208" s="37"/>
    </row>
    <row r="209" spans="1:9" x14ac:dyDescent="0.25">
      <c r="F209" s="37"/>
    </row>
    <row r="210" spans="1:9" ht="13.5" x14ac:dyDescent="0.25">
      <c r="A210" s="13"/>
      <c r="B210" s="68" t="s">
        <v>31</v>
      </c>
      <c r="C210" s="71" t="s">
        <v>33</v>
      </c>
      <c r="D210" s="71"/>
      <c r="E210" s="71"/>
      <c r="F210" s="71"/>
      <c r="G210" s="14"/>
    </row>
    <row r="211" spans="1:9" ht="13.5" x14ac:dyDescent="0.25">
      <c r="A211" s="13"/>
      <c r="B211" s="68"/>
      <c r="C211" s="68"/>
      <c r="D211" s="68"/>
      <c r="E211" s="68"/>
      <c r="F211" s="68"/>
      <c r="G211" s="14"/>
    </row>
    <row r="212" spans="1:9" ht="13.5" x14ac:dyDescent="0.25">
      <c r="A212" s="13"/>
      <c r="B212" s="68" t="s">
        <v>32</v>
      </c>
      <c r="C212" s="71" t="s">
        <v>34</v>
      </c>
      <c r="D212" s="71"/>
      <c r="E212" s="71"/>
      <c r="F212" s="71"/>
      <c r="G212" s="14"/>
    </row>
    <row r="213" spans="1:9" x14ac:dyDescent="0.25">
      <c r="F213" s="37"/>
    </row>
    <row r="214" spans="1:9" x14ac:dyDescent="0.25">
      <c r="F214" s="37"/>
    </row>
    <row r="215" spans="1:9" x14ac:dyDescent="0.25">
      <c r="F215" s="37"/>
    </row>
    <row r="223" spans="1:9" x14ac:dyDescent="0.25">
      <c r="B223" s="19" t="s">
        <v>85</v>
      </c>
      <c r="C223" s="22" t="s">
        <v>11</v>
      </c>
      <c r="D223" s="61"/>
      <c r="E223" s="23">
        <f t="shared" ref="E223:E251" si="16">SUMIFS($E$11:$E$191,$B$11:$B$191,B223)</f>
        <v>1.4999999999999999E-2</v>
      </c>
      <c r="F223" s="31">
        <v>6500</v>
      </c>
      <c r="G223" s="36">
        <f>E223*F223</f>
        <v>97.5</v>
      </c>
      <c r="H223" s="64">
        <f t="shared" ref="H223:H251" si="17">SUMIFS($G$11:$G$191,$B$11:$B$191,B223)</f>
        <v>97.5</v>
      </c>
      <c r="I223" s="37">
        <f t="shared" ref="I223:I248" si="18">G223-H223</f>
        <v>0</v>
      </c>
    </row>
    <row r="224" spans="1:9" x14ac:dyDescent="0.25">
      <c r="B224" s="19" t="s">
        <v>59</v>
      </c>
      <c r="C224" s="22" t="s">
        <v>11</v>
      </c>
      <c r="D224" s="61"/>
      <c r="E224" s="23">
        <f t="shared" si="16"/>
        <v>1.5049999999999999</v>
      </c>
      <c r="F224" s="31">
        <v>6500</v>
      </c>
      <c r="G224" s="36">
        <f t="shared" ref="G224:G251" si="19">E224*F224</f>
        <v>9782.5</v>
      </c>
      <c r="H224" s="64">
        <f t="shared" si="17"/>
        <v>9782.5</v>
      </c>
      <c r="I224" s="37">
        <f t="shared" si="18"/>
        <v>0</v>
      </c>
    </row>
    <row r="225" spans="2:9" x14ac:dyDescent="0.25">
      <c r="B225" s="19" t="s">
        <v>80</v>
      </c>
      <c r="C225" s="22" t="s">
        <v>11</v>
      </c>
      <c r="D225" s="61"/>
      <c r="E225" s="23">
        <f t="shared" si="16"/>
        <v>4.5759999999999996</v>
      </c>
      <c r="F225" s="31">
        <v>6500</v>
      </c>
      <c r="G225" s="36">
        <f t="shared" si="19"/>
        <v>29743.999999999996</v>
      </c>
      <c r="H225" s="64">
        <f t="shared" si="17"/>
        <v>29744</v>
      </c>
      <c r="I225" s="37">
        <f t="shared" si="18"/>
        <v>0</v>
      </c>
    </row>
    <row r="226" spans="2:9" x14ac:dyDescent="0.25">
      <c r="B226" s="19" t="s">
        <v>42</v>
      </c>
      <c r="C226" s="22" t="s">
        <v>11</v>
      </c>
      <c r="D226" s="6"/>
      <c r="E226" s="23">
        <f t="shared" si="16"/>
        <v>0.57200000000000006</v>
      </c>
      <c r="F226" s="31">
        <v>6500</v>
      </c>
      <c r="G226" s="36">
        <f t="shared" si="19"/>
        <v>3718.0000000000005</v>
      </c>
      <c r="H226" s="64">
        <f t="shared" si="17"/>
        <v>3718</v>
      </c>
      <c r="I226" s="37">
        <f t="shared" si="18"/>
        <v>0</v>
      </c>
    </row>
    <row r="227" spans="2:9" x14ac:dyDescent="0.25">
      <c r="B227" s="19" t="s">
        <v>64</v>
      </c>
      <c r="C227" s="22" t="s">
        <v>11</v>
      </c>
      <c r="D227" s="6"/>
      <c r="E227" s="23">
        <f t="shared" si="16"/>
        <v>1.2549999999999999</v>
      </c>
      <c r="F227" s="31">
        <v>6500</v>
      </c>
      <c r="G227" s="36">
        <f t="shared" si="19"/>
        <v>8157.4999999999991</v>
      </c>
      <c r="H227" s="64">
        <f t="shared" si="17"/>
        <v>8157.4999999999991</v>
      </c>
      <c r="I227" s="37">
        <f t="shared" si="18"/>
        <v>0</v>
      </c>
    </row>
    <row r="228" spans="2:9" x14ac:dyDescent="0.25">
      <c r="B228" s="19" t="s">
        <v>76</v>
      </c>
      <c r="C228" s="22" t="s">
        <v>11</v>
      </c>
      <c r="D228" s="61"/>
      <c r="E228" s="23">
        <f t="shared" si="16"/>
        <v>1.0310000000000001</v>
      </c>
      <c r="F228" s="31">
        <v>6500</v>
      </c>
      <c r="G228" s="36">
        <f t="shared" si="19"/>
        <v>6701.5000000000009</v>
      </c>
      <c r="H228" s="64">
        <f t="shared" si="17"/>
        <v>6701.5</v>
      </c>
      <c r="I228" s="37">
        <f t="shared" si="18"/>
        <v>0</v>
      </c>
    </row>
    <row r="229" spans="2:9" x14ac:dyDescent="0.25">
      <c r="B229" s="19" t="s">
        <v>41</v>
      </c>
      <c r="C229" s="22" t="s">
        <v>11</v>
      </c>
      <c r="D229" s="61"/>
      <c r="E229" s="23">
        <f t="shared" si="16"/>
        <v>0.68799999999999994</v>
      </c>
      <c r="F229" s="31">
        <v>6500</v>
      </c>
      <c r="G229" s="36">
        <f t="shared" si="19"/>
        <v>4472</v>
      </c>
      <c r="H229" s="64">
        <f t="shared" si="17"/>
        <v>4472</v>
      </c>
      <c r="I229" s="37">
        <f t="shared" si="18"/>
        <v>0</v>
      </c>
    </row>
    <row r="230" spans="2:9" x14ac:dyDescent="0.25">
      <c r="B230" s="19" t="s">
        <v>73</v>
      </c>
      <c r="C230" s="22" t="s">
        <v>11</v>
      </c>
      <c r="D230" s="61"/>
      <c r="E230" s="23">
        <f t="shared" si="16"/>
        <v>2.206</v>
      </c>
      <c r="F230" s="31">
        <v>6500</v>
      </c>
      <c r="G230" s="36">
        <f t="shared" si="19"/>
        <v>14339</v>
      </c>
      <c r="H230" s="64">
        <f t="shared" si="17"/>
        <v>14339</v>
      </c>
      <c r="I230" s="37">
        <f t="shared" si="18"/>
        <v>0</v>
      </c>
    </row>
    <row r="231" spans="2:9" x14ac:dyDescent="0.25">
      <c r="B231" s="19" t="s">
        <v>68</v>
      </c>
      <c r="C231" s="22" t="s">
        <v>11</v>
      </c>
      <c r="D231" s="61"/>
      <c r="E231" s="23">
        <f t="shared" si="16"/>
        <v>1.2290000000000001</v>
      </c>
      <c r="F231" s="31">
        <v>6500</v>
      </c>
      <c r="G231" s="36">
        <f t="shared" si="19"/>
        <v>7988.5000000000009</v>
      </c>
      <c r="H231" s="64">
        <f t="shared" si="17"/>
        <v>7988.5</v>
      </c>
      <c r="I231" s="37">
        <f t="shared" si="18"/>
        <v>0</v>
      </c>
    </row>
    <row r="232" spans="2:9" x14ac:dyDescent="0.25">
      <c r="B232" s="19" t="s">
        <v>70</v>
      </c>
      <c r="C232" s="22" t="s">
        <v>11</v>
      </c>
      <c r="D232" s="61"/>
      <c r="E232" s="23">
        <f t="shared" si="16"/>
        <v>0</v>
      </c>
      <c r="F232" s="31">
        <v>6500</v>
      </c>
      <c r="G232" s="36">
        <f t="shared" si="19"/>
        <v>0</v>
      </c>
      <c r="H232" s="64">
        <f t="shared" si="17"/>
        <v>0</v>
      </c>
      <c r="I232" s="37">
        <f t="shared" si="18"/>
        <v>0</v>
      </c>
    </row>
    <row r="233" spans="2:9" x14ac:dyDescent="0.25">
      <c r="B233" s="19" t="s">
        <v>72</v>
      </c>
      <c r="C233" s="22" t="s">
        <v>11</v>
      </c>
      <c r="D233" s="61"/>
      <c r="E233" s="23">
        <f t="shared" si="16"/>
        <v>0</v>
      </c>
      <c r="F233" s="31">
        <v>6500</v>
      </c>
      <c r="G233" s="36">
        <f t="shared" si="19"/>
        <v>0</v>
      </c>
      <c r="H233" s="64">
        <f t="shared" si="17"/>
        <v>0</v>
      </c>
      <c r="I233" s="37">
        <f t="shared" si="18"/>
        <v>0</v>
      </c>
    </row>
    <row r="234" spans="2:9" x14ac:dyDescent="0.25">
      <c r="B234" s="19" t="s">
        <v>71</v>
      </c>
      <c r="C234" s="22" t="s">
        <v>11</v>
      </c>
      <c r="D234" s="61"/>
      <c r="E234" s="23">
        <f t="shared" si="16"/>
        <v>0</v>
      </c>
      <c r="F234" s="31">
        <v>6500</v>
      </c>
      <c r="G234" s="36">
        <f>E234*F234</f>
        <v>0</v>
      </c>
      <c r="H234" s="64">
        <f t="shared" si="17"/>
        <v>0</v>
      </c>
      <c r="I234" s="37">
        <f t="shared" si="18"/>
        <v>0</v>
      </c>
    </row>
    <row r="235" spans="2:9" x14ac:dyDescent="0.25">
      <c r="B235" s="19" t="s">
        <v>69</v>
      </c>
      <c r="C235" s="22" t="s">
        <v>10</v>
      </c>
      <c r="D235" s="61"/>
      <c r="E235" s="23">
        <f t="shared" si="16"/>
        <v>104.5985</v>
      </c>
      <c r="F235" s="31"/>
      <c r="G235" s="36">
        <f t="shared" si="19"/>
        <v>0</v>
      </c>
      <c r="H235" s="64">
        <f t="shared" si="17"/>
        <v>0</v>
      </c>
      <c r="I235" s="37">
        <f t="shared" si="18"/>
        <v>0</v>
      </c>
    </row>
    <row r="236" spans="2:9" x14ac:dyDescent="0.25">
      <c r="B236" s="19" t="s">
        <v>48</v>
      </c>
      <c r="C236" s="22" t="s">
        <v>10</v>
      </c>
      <c r="D236" s="61"/>
      <c r="E236" s="23">
        <f t="shared" si="16"/>
        <v>9.1999999999999998E-3</v>
      </c>
      <c r="F236" s="31">
        <v>2000</v>
      </c>
      <c r="G236" s="36">
        <f t="shared" si="19"/>
        <v>18.399999999999999</v>
      </c>
      <c r="H236" s="64">
        <f t="shared" si="17"/>
        <v>18.399999999999999</v>
      </c>
      <c r="I236" s="37">
        <f t="shared" si="18"/>
        <v>0</v>
      </c>
    </row>
    <row r="237" spans="2:9" x14ac:dyDescent="0.25">
      <c r="B237" s="21" t="s">
        <v>12</v>
      </c>
      <c r="C237" s="22" t="s">
        <v>11</v>
      </c>
      <c r="D237" s="61"/>
      <c r="E237" s="23">
        <f t="shared" si="16"/>
        <v>2.7800000000000002E-2</v>
      </c>
      <c r="F237" s="31">
        <v>8500</v>
      </c>
      <c r="G237" s="36">
        <f t="shared" si="19"/>
        <v>236.3</v>
      </c>
      <c r="H237" s="64">
        <f t="shared" si="17"/>
        <v>236.30000000000004</v>
      </c>
      <c r="I237" s="37">
        <f t="shared" si="18"/>
        <v>0</v>
      </c>
    </row>
    <row r="238" spans="2:9" x14ac:dyDescent="0.25">
      <c r="B238" s="19" t="s">
        <v>75</v>
      </c>
      <c r="C238" s="22" t="s">
        <v>10</v>
      </c>
      <c r="D238" s="61"/>
      <c r="E238" s="23">
        <f t="shared" si="16"/>
        <v>0.96629999999999994</v>
      </c>
      <c r="F238" s="31">
        <v>2563.75</v>
      </c>
      <c r="G238" s="36">
        <f t="shared" si="19"/>
        <v>2477.3516249999998</v>
      </c>
      <c r="H238" s="64">
        <f t="shared" si="17"/>
        <v>2477.3516249999998</v>
      </c>
      <c r="I238" s="37">
        <f t="shared" si="18"/>
        <v>0</v>
      </c>
    </row>
    <row r="239" spans="2:9" x14ac:dyDescent="0.25">
      <c r="B239" s="19" t="s">
        <v>95</v>
      </c>
      <c r="C239" s="22" t="s">
        <v>96</v>
      </c>
      <c r="D239" s="61"/>
      <c r="E239" s="23">
        <f t="shared" si="16"/>
        <v>23.312000000000001</v>
      </c>
      <c r="F239" s="31">
        <v>593.79999999999995</v>
      </c>
      <c r="G239" s="36">
        <f t="shared" si="19"/>
        <v>13842.6656</v>
      </c>
      <c r="H239" s="64">
        <f t="shared" si="17"/>
        <v>13842.6656</v>
      </c>
      <c r="I239" s="37">
        <f t="shared" si="18"/>
        <v>0</v>
      </c>
    </row>
    <row r="240" spans="2:9" x14ac:dyDescent="0.25">
      <c r="B240" s="19" t="s">
        <v>82</v>
      </c>
      <c r="C240" s="22" t="s">
        <v>58</v>
      </c>
      <c r="D240" s="61"/>
      <c r="E240" s="23">
        <f t="shared" si="16"/>
        <v>0</v>
      </c>
      <c r="F240" s="31">
        <v>50</v>
      </c>
      <c r="G240" s="36">
        <f t="shared" si="19"/>
        <v>0</v>
      </c>
      <c r="H240" s="64">
        <f t="shared" si="17"/>
        <v>0</v>
      </c>
      <c r="I240" s="37">
        <f t="shared" si="18"/>
        <v>0</v>
      </c>
    </row>
    <row r="241" spans="2:9" x14ac:dyDescent="0.25">
      <c r="B241" s="19" t="s">
        <v>83</v>
      </c>
      <c r="C241" s="22" t="s">
        <v>58</v>
      </c>
      <c r="D241" s="61"/>
      <c r="E241" s="23">
        <f t="shared" si="16"/>
        <v>0</v>
      </c>
      <c r="F241" s="31">
        <v>50</v>
      </c>
      <c r="G241" s="36">
        <f t="shared" si="19"/>
        <v>0</v>
      </c>
      <c r="H241" s="64">
        <f t="shared" si="17"/>
        <v>0</v>
      </c>
      <c r="I241" s="37">
        <f t="shared" si="18"/>
        <v>0</v>
      </c>
    </row>
    <row r="242" spans="2:9" x14ac:dyDescent="0.25">
      <c r="B242" s="19" t="s">
        <v>84</v>
      </c>
      <c r="C242" s="22" t="s">
        <v>58</v>
      </c>
      <c r="D242" s="61"/>
      <c r="E242" s="23">
        <f t="shared" si="16"/>
        <v>0</v>
      </c>
      <c r="F242" s="31">
        <v>50</v>
      </c>
      <c r="G242" s="36">
        <f t="shared" si="19"/>
        <v>0</v>
      </c>
      <c r="H242" s="64">
        <f t="shared" si="17"/>
        <v>0</v>
      </c>
      <c r="I242" s="37">
        <f t="shared" si="18"/>
        <v>0</v>
      </c>
    </row>
    <row r="243" spans="2:9" x14ac:dyDescent="0.25">
      <c r="B243" s="21" t="s">
        <v>28</v>
      </c>
      <c r="C243" s="22" t="s">
        <v>11</v>
      </c>
      <c r="D243" s="61"/>
      <c r="E243" s="23">
        <f t="shared" si="16"/>
        <v>74.097699999999989</v>
      </c>
      <c r="F243" s="31">
        <f>2449.06/159.17</f>
        <v>15.386442168750394</v>
      </c>
      <c r="G243" s="36">
        <f t="shared" si="19"/>
        <v>1140.0999758874159</v>
      </c>
      <c r="H243" s="64">
        <f t="shared" si="17"/>
        <v>1140.0999758874161</v>
      </c>
      <c r="I243" s="37">
        <f t="shared" si="18"/>
        <v>0</v>
      </c>
    </row>
    <row r="244" spans="2:9" x14ac:dyDescent="0.25">
      <c r="B244" s="21" t="s">
        <v>93</v>
      </c>
      <c r="C244" s="22" t="s">
        <v>11</v>
      </c>
      <c r="D244" s="61"/>
      <c r="E244" s="23">
        <f t="shared" si="16"/>
        <v>27.6279</v>
      </c>
      <c r="F244" s="31">
        <v>36</v>
      </c>
      <c r="G244" s="36">
        <f t="shared" si="19"/>
        <v>994.60440000000006</v>
      </c>
      <c r="H244" s="64">
        <f t="shared" si="17"/>
        <v>994.60440000000006</v>
      </c>
      <c r="I244" s="37">
        <f t="shared" si="18"/>
        <v>0</v>
      </c>
    </row>
    <row r="245" spans="2:9" x14ac:dyDescent="0.25">
      <c r="B245" s="19" t="s">
        <v>24</v>
      </c>
      <c r="C245" s="22" t="s">
        <v>10</v>
      </c>
      <c r="D245" s="61"/>
      <c r="E245" s="23">
        <f t="shared" si="16"/>
        <v>0.26979999999999998</v>
      </c>
      <c r="F245" s="31">
        <v>2500</v>
      </c>
      <c r="G245" s="36">
        <f t="shared" si="19"/>
        <v>674.5</v>
      </c>
      <c r="H245" s="64">
        <f t="shared" si="17"/>
        <v>674.5</v>
      </c>
      <c r="I245" s="37">
        <f t="shared" si="18"/>
        <v>0</v>
      </c>
    </row>
    <row r="246" spans="2:9" x14ac:dyDescent="0.25">
      <c r="B246" s="19" t="s">
        <v>63</v>
      </c>
      <c r="C246" s="22" t="s">
        <v>11</v>
      </c>
      <c r="D246" s="61"/>
      <c r="E246" s="23">
        <f t="shared" si="16"/>
        <v>7.4000000000000003E-3</v>
      </c>
      <c r="F246" s="31">
        <v>5423.7330000000002</v>
      </c>
      <c r="G246" s="36">
        <f t="shared" si="19"/>
        <v>40.135624200000002</v>
      </c>
      <c r="H246" s="64">
        <f t="shared" si="17"/>
        <v>40.135624200000002</v>
      </c>
      <c r="I246" s="37">
        <f t="shared" si="18"/>
        <v>0</v>
      </c>
    </row>
    <row r="247" spans="2:9" x14ac:dyDescent="0.25">
      <c r="B247" s="21" t="s">
        <v>91</v>
      </c>
      <c r="C247" s="22" t="s">
        <v>11</v>
      </c>
      <c r="D247" s="61"/>
      <c r="E247" s="23">
        <f t="shared" si="16"/>
        <v>3.4927000000000001</v>
      </c>
      <c r="F247" s="31">
        <v>580</v>
      </c>
      <c r="G247" s="36">
        <f t="shared" si="19"/>
        <v>2025.7660000000001</v>
      </c>
      <c r="H247" s="64">
        <f t="shared" si="17"/>
        <v>2025.7660000000001</v>
      </c>
      <c r="I247" s="37">
        <f t="shared" si="18"/>
        <v>0</v>
      </c>
    </row>
    <row r="248" spans="2:9" x14ac:dyDescent="0.25">
      <c r="B248" s="21" t="s">
        <v>65</v>
      </c>
      <c r="C248" s="22" t="s">
        <v>11</v>
      </c>
      <c r="D248" s="61"/>
      <c r="E248" s="23">
        <f t="shared" si="16"/>
        <v>39.186999999999998</v>
      </c>
      <c r="F248" s="63">
        <v>630</v>
      </c>
      <c r="G248" s="36">
        <f t="shared" si="19"/>
        <v>24687.809999999998</v>
      </c>
      <c r="H248" s="64">
        <f t="shared" si="17"/>
        <v>24687.81</v>
      </c>
      <c r="I248" s="37">
        <f t="shared" si="18"/>
        <v>0</v>
      </c>
    </row>
    <row r="249" spans="2:9" x14ac:dyDescent="0.25">
      <c r="B249" s="21" t="s">
        <v>27</v>
      </c>
      <c r="C249" s="22" t="s">
        <v>11</v>
      </c>
      <c r="D249" s="61"/>
      <c r="E249" s="23">
        <f t="shared" si="16"/>
        <v>135.09699999999998</v>
      </c>
      <c r="F249" s="31">
        <f>4991.72/392.53</f>
        <v>12.7167859781418</v>
      </c>
      <c r="G249" s="36">
        <f t="shared" si="19"/>
        <v>1717.9996352890225</v>
      </c>
      <c r="H249" s="64">
        <f t="shared" si="17"/>
        <v>1717.9996352890228</v>
      </c>
      <c r="I249" s="37">
        <f>G249-H249</f>
        <v>0</v>
      </c>
    </row>
    <row r="250" spans="2:9" x14ac:dyDescent="0.25">
      <c r="B250" s="19" t="s">
        <v>23</v>
      </c>
      <c r="C250" s="22" t="s">
        <v>13</v>
      </c>
      <c r="D250" s="61"/>
      <c r="E250" s="23">
        <f t="shared" si="16"/>
        <v>58.785699999999999</v>
      </c>
      <c r="F250" s="63"/>
      <c r="G250" s="36">
        <f t="shared" si="19"/>
        <v>0</v>
      </c>
      <c r="H250" s="64">
        <f t="shared" si="17"/>
        <v>0</v>
      </c>
      <c r="I250" s="37">
        <f>G250-H250</f>
        <v>0</v>
      </c>
    </row>
    <row r="251" spans="2:9" x14ac:dyDescent="0.25">
      <c r="B251" s="19" t="s">
        <v>37</v>
      </c>
      <c r="C251" s="22" t="s">
        <v>11</v>
      </c>
      <c r="D251" s="61"/>
      <c r="E251" s="23">
        <f t="shared" si="16"/>
        <v>0.13380000000000003</v>
      </c>
      <c r="F251" s="31">
        <v>9500</v>
      </c>
      <c r="G251" s="36">
        <f t="shared" si="19"/>
        <v>1271.1000000000004</v>
      </c>
      <c r="H251" s="64">
        <f t="shared" si="17"/>
        <v>1271.0999999999999</v>
      </c>
      <c r="I251" s="37">
        <f>G251-H251</f>
        <v>0</v>
      </c>
    </row>
    <row r="252" spans="2:9" x14ac:dyDescent="0.25">
      <c r="G252" s="51">
        <f>SUM(G223:G251)</f>
        <v>134127.23286037645</v>
      </c>
    </row>
  </sheetData>
  <autoFilter ref="A9:G189">
    <filterColumn colId="3" showButton="0"/>
  </autoFilter>
  <mergeCells count="13">
    <mergeCell ref="A4:G4"/>
    <mergeCell ref="A2:G2"/>
    <mergeCell ref="C210:F210"/>
    <mergeCell ref="C212:F212"/>
    <mergeCell ref="B5:G5"/>
    <mergeCell ref="A6:G6"/>
    <mergeCell ref="A7:G7"/>
    <mergeCell ref="A9:A10"/>
    <mergeCell ref="B9:B10"/>
    <mergeCell ref="C9:C10"/>
    <mergeCell ref="D9:E9"/>
    <mergeCell ref="F9:F10"/>
    <mergeCell ref="G9:G10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09жб 4эт</vt:lpstr>
      <vt:lpstr>'09жб 4эт'!Область_печати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2021-10-07T04:15:52Z</dcterms:modified>
</cp:coreProperties>
</file>