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1D1C04B-7FBF-43BF-8772-5FBBDDC98750}" xr6:coauthVersionLast="47" xr6:coauthVersionMax="47" xr10:uidLastSave="{00000000-0000-0000-0000-000000000000}"/>
  <bookViews>
    <workbookView xWindow="-120" yWindow="-120" windowWidth="38640" windowHeight="15840" xr2:uid="{2895936D-E304-1440-94EE-605DABA1AA43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D25" i="1" s="1"/>
  <c r="X43" i="1"/>
  <c r="T43" i="1" s="1"/>
  <c r="W43" i="1"/>
  <c r="V43" i="1"/>
  <c r="U43" i="1"/>
  <c r="R43" i="1" a="1"/>
  <c r="R43" i="1" s="1"/>
  <c r="S43" i="1" s="1"/>
  <c r="X42" i="1"/>
  <c r="T42" i="1" s="1"/>
  <c r="W42" i="1"/>
  <c r="V42" i="1"/>
  <c r="U42" i="1"/>
  <c r="R42" i="1" a="1"/>
  <c r="R42" i="1" s="1"/>
  <c r="S42" i="1" s="1"/>
  <c r="X29" i="1"/>
  <c r="T29" i="1" s="1"/>
  <c r="W29" i="1"/>
  <c r="V29" i="1"/>
  <c r="U29" i="1"/>
  <c r="R29" i="1" a="1"/>
  <c r="R29" i="1" s="1"/>
  <c r="S29" i="1" s="1"/>
  <c r="Q29" i="1"/>
  <c r="E29" i="1"/>
  <c r="X28" i="1"/>
  <c r="T28" i="1" s="1"/>
  <c r="D4" i="1" s="1"/>
  <c r="C4" i="1" s="1"/>
  <c r="W28" i="1"/>
  <c r="V28" i="1"/>
  <c r="U28" i="1"/>
  <c r="Q28" i="1"/>
  <c r="R28" i="1" s="1" a="1"/>
  <c r="R28" i="1" s="1"/>
  <c r="S28" i="1" s="1"/>
  <c r="E4" i="1" s="1"/>
  <c r="R27" i="1" a="1"/>
  <c r="R27" i="1" s="1"/>
  <c r="S27" i="1" s="1"/>
  <c r="Q25" i="1"/>
  <c r="R25" i="1" s="1" a="1"/>
  <c r="R25" i="1" s="1"/>
  <c r="R24" i="1"/>
  <c r="Q24" i="1" a="1"/>
  <c r="Q24" i="1" s="1"/>
  <c r="F24" i="1"/>
  <c r="H24" i="1" s="1"/>
  <c r="D24" i="1"/>
  <c r="R23" i="1"/>
  <c r="Q23" i="1"/>
  <c r="R22" i="1"/>
  <c r="Q22" i="1"/>
  <c r="B22" i="1"/>
  <c r="R21" i="1"/>
  <c r="Q21" i="1"/>
  <c r="B21" i="1"/>
  <c r="R20" i="1"/>
  <c r="Q20" i="1"/>
  <c r="Q19" i="1"/>
  <c r="G19" i="1"/>
  <c r="F19" i="1"/>
  <c r="H19" i="1" s="1"/>
  <c r="E19" i="1"/>
  <c r="D19" i="1"/>
  <c r="R18" i="1"/>
  <c r="Q18" i="1"/>
  <c r="G18" i="1"/>
  <c r="F18" i="1"/>
  <c r="H18" i="1" s="1"/>
  <c r="E18" i="1"/>
  <c r="D18" i="1"/>
  <c r="Q17" i="1"/>
  <c r="H17" i="1"/>
  <c r="G17" i="1"/>
  <c r="F17" i="1"/>
  <c r="E17" i="1"/>
  <c r="D17" i="1"/>
  <c r="A17" i="1"/>
  <c r="R16" i="1"/>
  <c r="T16" i="1" s="1"/>
  <c r="Q16" i="1"/>
  <c r="G16" i="1"/>
  <c r="F16" i="1"/>
  <c r="H16" i="1" s="1"/>
  <c r="E16" i="1"/>
  <c r="A16" i="1" s="1"/>
  <c r="D16" i="1"/>
  <c r="U15" i="1"/>
  <c r="Q15" i="1"/>
  <c r="R15" i="1" s="1"/>
  <c r="G15" i="1"/>
  <c r="F15" i="1"/>
  <c r="H15" i="1" s="1"/>
  <c r="E15" i="1"/>
  <c r="A15" i="1" s="1"/>
  <c r="D15" i="1"/>
  <c r="V14" i="1"/>
  <c r="Q14" i="1"/>
  <c r="G14" i="1"/>
  <c r="F14" i="1"/>
  <c r="H14" i="1" s="1"/>
  <c r="E14" i="1"/>
  <c r="D14" i="1"/>
  <c r="Q13" i="1"/>
  <c r="G13" i="1"/>
  <c r="F13" i="1"/>
  <c r="H13" i="1" s="1"/>
  <c r="E13" i="1"/>
  <c r="D13" i="1"/>
  <c r="A13" i="1"/>
  <c r="H12" i="1"/>
  <c r="G12" i="1"/>
  <c r="F12" i="1"/>
  <c r="E12" i="1"/>
  <c r="D12" i="1"/>
  <c r="Q11" i="1"/>
  <c r="G11" i="1"/>
  <c r="F11" i="1"/>
  <c r="E11" i="1"/>
  <c r="D11" i="1"/>
  <c r="G10" i="1"/>
  <c r="F10" i="1"/>
  <c r="H10" i="1" s="1"/>
  <c r="E10" i="1"/>
  <c r="D10" i="1"/>
  <c r="G9" i="1"/>
  <c r="F9" i="1"/>
  <c r="H9" i="1" s="1"/>
  <c r="E9" i="1"/>
  <c r="D9" i="1"/>
  <c r="Q8" i="1"/>
  <c r="G8" i="1"/>
  <c r="F8" i="1"/>
  <c r="H8" i="1" s="1"/>
  <c r="E8" i="1"/>
  <c r="D8" i="1"/>
  <c r="A8" i="1"/>
  <c r="R7" i="1" a="1"/>
  <c r="R7" i="1" s="1"/>
  <c r="Q7" i="1"/>
  <c r="G7" i="1"/>
  <c r="F7" i="1"/>
  <c r="H7" i="1" s="1"/>
  <c r="E7" i="1"/>
  <c r="A7" i="1" s="1"/>
  <c r="D7" i="1"/>
  <c r="Q6" i="1"/>
  <c r="G6" i="1"/>
  <c r="F6" i="1"/>
  <c r="H6" i="1" s="1"/>
  <c r="E6" i="1"/>
  <c r="D6" i="1"/>
  <c r="H5" i="1"/>
  <c r="G5" i="1"/>
  <c r="F5" i="1"/>
  <c r="E5" i="1"/>
  <c r="D5" i="1"/>
  <c r="I4" i="1"/>
  <c r="I3" i="1" s="1"/>
  <c r="G4" i="1"/>
  <c r="F4" i="1"/>
  <c r="H4" i="1" s="1"/>
  <c r="K3" i="1"/>
  <c r="J29" i="1" s="1"/>
  <c r="J3" i="1"/>
  <c r="R2" i="1"/>
  <c r="S2" i="1" s="1"/>
  <c r="C2" i="1"/>
  <c r="C1" i="1" s="1"/>
  <c r="F1" i="1"/>
  <c r="D1" i="1"/>
  <c r="R13" i="1" a="1"/>
  <c r="U14" i="1"/>
  <c r="F25" i="1" l="1"/>
  <c r="H25" i="1" s="1"/>
  <c r="A6" i="1"/>
  <c r="A12" i="1"/>
  <c r="A18" i="1"/>
  <c r="A19" i="1"/>
  <c r="D23" i="1"/>
  <c r="A5" i="1"/>
  <c r="A10" i="1"/>
  <c r="A4" i="1"/>
  <c r="F23" i="1"/>
  <c r="H23" i="1" s="1"/>
  <c r="F26" i="1"/>
  <c r="H26" i="1" s="1"/>
  <c r="A9" i="1"/>
  <c r="A14" i="1"/>
  <c r="A11" i="1"/>
  <c r="S16" i="1"/>
  <c r="R13" i="1"/>
  <c r="S13" i="1" s="1"/>
  <c r="H20" i="1"/>
  <c r="G22" i="1"/>
  <c r="K25" i="1"/>
  <c r="D27" i="1" s="1"/>
  <c r="H11" i="1"/>
  <c r="D26" i="1"/>
  <c r="Q2" i="1"/>
  <c r="R14" i="1"/>
  <c r="T14" i="1"/>
  <c r="A3" i="1" l="1"/>
  <c r="D21" i="1"/>
  <c r="D22" i="1"/>
  <c r="I28" i="1" s="1"/>
  <c r="S14" i="1"/>
  <c r="B24" i="1" s="1"/>
  <c r="B2" i="1"/>
  <c r="H21" i="1"/>
  <c r="I29" i="1"/>
  <c r="F27" i="1"/>
  <c r="H2" i="1"/>
  <c r="K23" i="1" l="1"/>
  <c r="G25" i="1"/>
  <c r="I24" i="1"/>
  <c r="G24" i="1"/>
  <c r="I23" i="1"/>
  <c r="G26" i="1"/>
  <c r="I26" i="1"/>
  <c r="G23" i="1"/>
  <c r="J23" i="1" s="1"/>
  <c r="I25" i="1"/>
  <c r="B1" i="1"/>
  <c r="A2" i="1"/>
  <c r="D20" i="1" s="1"/>
  <c r="A1" i="1"/>
  <c r="K24" i="1"/>
  <c r="J24" i="1" l="1"/>
  <c r="J26" i="1"/>
  <c r="I27" i="1"/>
  <c r="I21" i="1"/>
  <c r="Q26" i="1"/>
  <c r="R26" i="1" s="1"/>
  <c r="U25" i="1"/>
  <c r="J25" i="1"/>
  <c r="S26" i="1"/>
  <c r="T26" i="1" s="1" a="1"/>
  <c r="T26" i="1" s="1"/>
  <c r="I19" i="1" l="1"/>
  <c r="K2" i="1" l="1"/>
</calcChain>
</file>

<file path=xl/sharedStrings.xml><?xml version="1.0" encoding="utf-8"?>
<sst xmlns="http://schemas.openxmlformats.org/spreadsheetml/2006/main" count="51" uniqueCount="47">
  <si>
    <t>Заказ № 10695</t>
  </si>
  <si>
    <t>Списание</t>
  </si>
  <si>
    <t>Заметки</t>
  </si>
  <si>
    <t>Наименование товара</t>
  </si>
  <si>
    <t>Количество</t>
  </si>
  <si>
    <t>Цена</t>
  </si>
  <si>
    <t>Сумма</t>
  </si>
  <si>
    <t>                                                 В обработке                                                 Комплектуется                                                 Ожидание оплаты                                                 Оплачен                                                 Заказ отправлен Транспортной Компанией                                                 Заказ получен                                                 Отменен                                                 Отменен клиентом                                                 Заказ отправлен наложенным платежом                                                 Выставлен счет на оплату                                                 Заказ отправлен КАЗПОЧТОЙ</t>
  </si>
  <si>
    <t>Примечание</t>
  </si>
  <si>
    <t>Нал</t>
  </si>
  <si>
    <t>Логин</t>
  </si>
  <si>
    <t>Дата заказа</t>
  </si>
  <si>
    <t>Kaspi</t>
  </si>
  <si>
    <t>Alfa</t>
  </si>
  <si>
    <t>Заказ №10695</t>
  </si>
  <si>
    <t>АВАНС</t>
  </si>
  <si>
    <t>Здравствуйте, Аткельдиров </t>
  </si>
  <si>
    <t>Мы получили Ваш заказ номер, 10695</t>
  </si>
  <si>
    <t>Электронная почта: </t>
  </si>
  <si>
    <t>-</t>
  </si>
  <si>
    <t>Контактный телефон: </t>
  </si>
  <si>
    <t>+7 (777) 546-06-80</t>
  </si>
  <si>
    <t>Доставка: </t>
  </si>
  <si>
    <t>Оплата: </t>
  </si>
  <si>
    <t>&amp;ПРАВСИМВ(ПСТР(Q16;1;ЕСЛИОШИБКА(ПОИСКПОЗ(ЛОЖЬ;ЕЧИСЛО(ЗНАЧЕН(ПСТР(Q16;СТРОКА(ДВССЫЛ("1:"&amp;ДЛСТР(Q16)));1)));0)-1;ДЛСТР(Q16)));10))</t>
  </si>
  <si>
    <t>Адрес доставки: </t>
  </si>
  <si>
    <t>Индекс: </t>
  </si>
  <si>
    <t>Страна: </t>
  </si>
  <si>
    <t>Общая сумма:</t>
  </si>
  <si>
    <t>Область: </t>
  </si>
  <si>
    <t>Скидка:</t>
  </si>
  <si>
    <t>Город: Петропавловск </t>
  </si>
  <si>
    <t xml:space="preserve">Область: </t>
  </si>
  <si>
    <t>Улица: Мира</t>
  </si>
  <si>
    <t xml:space="preserve">Город: </t>
  </si>
  <si>
    <t>Здание: 119</t>
  </si>
  <si>
    <t>Улица:</t>
  </si>
  <si>
    <t>Квартира: 52</t>
  </si>
  <si>
    <t xml:space="preserve">Дом: </t>
  </si>
  <si>
    <t>Комментарий : </t>
  </si>
  <si>
    <t xml:space="preserve">Квартира: </t>
  </si>
  <si>
    <t xml:space="preserve">Номер телефона: </t>
  </si>
  <si>
    <t>Наименование</t>
  </si>
  <si>
    <t>Вес</t>
  </si>
  <si>
    <t>Всего</t>
  </si>
  <si>
    <t xml:space="preserve">Индекс: </t>
  </si>
  <si>
    <t>Неодимовый магнит D30x20mm(Аксиал)`42 (сила притяжения 42 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</si>
</sst>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₽&quot;_-;\-* #,##0.00\ &quot;₽&quot;_-;_-* &quot;-&quot;??\ &quot;₽&quot;_-;_-@_-"/>
    <numFmt numFmtId="164" formatCode="dd/mm/yy\ h:mm;@"/>
    <numFmt numFmtId="165" formatCode="###\·##\·##"/>
    <numFmt numFmtId="166" formatCode="dd/mm/yy;@"/>
    <numFmt numFmtId="167" formatCode="&quot;оплатить= &quot;#,###"/>
    <numFmt numFmtId="168" formatCode="_-* #,##0.00&quot;р.&quot;_-;\-* #,##0.00&quot;р.&quot;_-;_-* &quot;-&quot;??&quot;р.&quot;_-;_-@_-"/>
    <numFmt numFmtId="169" formatCode="##,###.0&quot; гр&quot;"/>
    <numFmt numFmtId="170" formatCode="###\-###\-##\-##"/>
    <numFmt numFmtId="171" formatCode="#,##0&quot; т&quot;"/>
    <numFmt numFmtId="172" formatCode="&quot;ОСТ EMS= &quot;#,###,###"/>
    <numFmt numFmtId="173" formatCode="&quot;Вес посылки= &quot;#,##0.0&quot; кг.&quot;"/>
    <numFmt numFmtId="174" formatCode="#,###&quot; %&quot;"/>
    <numFmt numFmtId="175" formatCode="#,##0&quot; %&quot;"/>
    <numFmt numFmtId="176" formatCode="&quot;Доставка = &quot;#,##0"/>
    <numFmt numFmtId="177" formatCode="&quot;+ НПл = &quot;#,##0"/>
    <numFmt numFmtId="178" formatCode="#,###"/>
  </numFmts>
  <fonts count="93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20"/>
      <color rgb="FFFFFF00"/>
      <name val="Calibri"/>
      <family val="2"/>
    </font>
    <font>
      <b/>
      <sz val="14"/>
      <color rgb="FFFFFF00"/>
      <name val="Calibri"/>
      <family val="2"/>
    </font>
    <font>
      <b/>
      <sz val="22"/>
      <color rgb="FFFFFF00"/>
      <name val="Calibri"/>
      <family val="2"/>
    </font>
    <font>
      <b/>
      <sz val="16"/>
      <color rgb="FFFFFF00"/>
      <name val="Calibri"/>
      <family val="2"/>
    </font>
    <font>
      <b/>
      <sz val="20"/>
      <color rgb="FFFF0000"/>
      <name val="Calibri"/>
      <family val="2"/>
      <charset val="204"/>
    </font>
    <font>
      <sz val="12"/>
      <color rgb="FF000000"/>
      <name val="-webkit-standard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Calibri"/>
      <family val="2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16"/>
      <name val="Calibri"/>
      <family val="2"/>
      <charset val="204"/>
    </font>
    <font>
      <sz val="16"/>
      <color rgb="FF7030A0"/>
      <name val="Calibri"/>
      <family val="2"/>
      <charset val="204"/>
    </font>
    <font>
      <sz val="11"/>
      <color rgb="FFFF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6"/>
      <name val="Calibri"/>
      <family val="2"/>
      <charset val="204"/>
    </font>
    <font>
      <b/>
      <sz val="16"/>
      <color rgb="FF7030A0"/>
      <name val="Calibri"/>
      <family val="2"/>
      <charset val="204"/>
    </font>
    <font>
      <sz val="12"/>
      <color theme="1"/>
      <name val="-webkit-standard"/>
    </font>
    <font>
      <b/>
      <sz val="16"/>
      <color rgb="FF0070C0"/>
      <name val="Calibri"/>
      <family val="2"/>
      <charset val="204"/>
    </font>
    <font>
      <sz val="9"/>
      <color rgb="FFFF0000"/>
      <name val="Calibri"/>
      <family val="2"/>
      <charset val="204"/>
    </font>
    <font>
      <b/>
      <sz val="26"/>
      <color rgb="FFFF0000"/>
      <name val="Calibri"/>
      <family val="2"/>
    </font>
    <font>
      <b/>
      <sz val="24"/>
      <color rgb="FF000000"/>
      <name val="-webkit-standard"/>
    </font>
    <font>
      <sz val="14"/>
      <color rgb="FF000000"/>
      <name val="-webkit-standard"/>
    </font>
    <font>
      <sz val="16"/>
      <color theme="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9"/>
      <color rgb="FF7030A0"/>
      <name val="Calibri"/>
      <family val="2"/>
      <charset val="204"/>
    </font>
    <font>
      <b/>
      <sz val="11"/>
      <color rgb="FF7030A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rgb="FFFF0000"/>
      <name val="Calibri"/>
      <family val="2"/>
    </font>
    <font>
      <b/>
      <sz val="22"/>
      <name val="Calibri"/>
      <family val="2"/>
      <charset val="204"/>
    </font>
    <font>
      <b/>
      <sz val="16"/>
      <color rgb="FFFF0000"/>
      <name val="Calibri"/>
      <family val="2"/>
    </font>
    <font>
      <b/>
      <sz val="14"/>
      <color theme="2" tint="-0.249977111117893"/>
      <name val="Calibri"/>
      <family val="2"/>
      <charset val="204"/>
    </font>
    <font>
      <sz val="18"/>
      <color theme="0"/>
      <name val="Calibri"/>
      <family val="2"/>
      <charset val="204"/>
    </font>
    <font>
      <b/>
      <i/>
      <sz val="20"/>
      <color rgb="FF7030A0"/>
      <name val="Calibri"/>
      <family val="2"/>
      <scheme val="minor"/>
    </font>
    <font>
      <b/>
      <sz val="24"/>
      <color rgb="FF00B05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2"/>
      <color theme="2" tint="-0.249977111117893"/>
      <name val="Calibri"/>
      <family val="2"/>
      <charset val="204"/>
    </font>
    <font>
      <b/>
      <sz val="24"/>
      <color rgb="FFF6FF00"/>
      <name val="Calibri"/>
      <family val="2"/>
      <charset val="204"/>
    </font>
    <font>
      <b/>
      <sz val="16"/>
      <color rgb="FF7030A0"/>
      <name val="Calibri"/>
      <family val="2"/>
    </font>
    <font>
      <b/>
      <i/>
      <sz val="18"/>
      <color rgb="FF7030A0"/>
      <name val="Calibri"/>
      <family val="2"/>
      <scheme val="minor"/>
    </font>
    <font>
      <b/>
      <i/>
      <sz val="18"/>
      <color rgb="FF000000"/>
      <name val="Calibri"/>
      <family val="2"/>
      <charset val="204"/>
    </font>
    <font>
      <b/>
      <i/>
      <sz val="20"/>
      <color rgb="FF000000"/>
      <name val="Calibri"/>
      <family val="2"/>
    </font>
    <font>
      <b/>
      <sz val="9"/>
      <color rgb="FF7030A0"/>
      <name val="Calibri"/>
      <family val="2"/>
      <charset val="204"/>
    </font>
    <font>
      <b/>
      <i/>
      <sz val="18"/>
      <color theme="1"/>
      <name val="Calibri"/>
      <family val="2"/>
    </font>
    <font>
      <b/>
      <sz val="16"/>
      <color rgb="FF000000"/>
      <name val="Calibri"/>
      <family val="2"/>
    </font>
    <font>
      <b/>
      <sz val="22"/>
      <color theme="0" tint="-0.249977111117893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14"/>
      <color theme="0" tint="-0.249977111117893"/>
      <name val="Calibri"/>
      <family val="2"/>
      <charset val="204"/>
    </font>
    <font>
      <b/>
      <sz val="16"/>
      <color rgb="FF002060"/>
      <name val="Calibri"/>
      <family val="2"/>
      <charset val="204"/>
    </font>
    <font>
      <i/>
      <sz val="8"/>
      <color rgb="FFFFFF00"/>
      <name val="Calibri"/>
      <family val="2"/>
      <charset val="204"/>
    </font>
    <font>
      <b/>
      <sz val="11"/>
      <color rgb="FFFFFF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-webkit-standard"/>
    </font>
    <font>
      <b/>
      <sz val="8"/>
      <color rgb="FF7030A0"/>
      <name val="Calibri"/>
      <family val="2"/>
      <charset val="204"/>
    </font>
    <font>
      <sz val="11"/>
      <name val="Calibri"/>
      <family val="2"/>
      <charset val="204"/>
    </font>
    <font>
      <b/>
      <i/>
      <sz val="16"/>
      <color rgb="FF7030A0"/>
      <name val="Calibri"/>
      <family val="2"/>
      <scheme val="minor"/>
    </font>
    <font>
      <b/>
      <sz val="22"/>
      <color rgb="FFF6FF00"/>
      <name val="Calibri"/>
      <family val="2"/>
      <charset val="204"/>
    </font>
    <font>
      <b/>
      <sz val="22"/>
      <color rgb="FF7030A0"/>
      <name val="Calibri"/>
      <family val="2"/>
    </font>
    <font>
      <b/>
      <sz val="48"/>
      <color rgb="FFFFFF00"/>
      <name val="Times New Roman"/>
      <family val="1"/>
      <charset val="204"/>
    </font>
    <font>
      <b/>
      <sz val="12"/>
      <color theme="1"/>
      <name val="-webkit-standard"/>
    </font>
    <font>
      <sz val="10"/>
      <name val="Times New Roman Cyr"/>
      <family val="1"/>
      <charset val="204"/>
    </font>
    <font>
      <b/>
      <sz val="16"/>
      <name val="Arial"/>
      <family val="2"/>
      <charset val="204"/>
    </font>
    <font>
      <sz val="1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6"/>
      <color rgb="FF830908"/>
      <name val="Calibri"/>
      <family val="2"/>
    </font>
    <font>
      <b/>
      <i/>
      <sz val="28"/>
      <color rgb="FF7030A0"/>
      <name val="Calibri"/>
      <family val="2"/>
      <charset val="204"/>
    </font>
    <font>
      <b/>
      <i/>
      <sz val="10"/>
      <color rgb="FF7030A0"/>
      <name val="Calibri"/>
      <family val="2"/>
      <charset val="204"/>
    </font>
    <font>
      <sz val="18"/>
      <color theme="1"/>
      <name val="Calibri"/>
      <family val="2"/>
      <charset val="204"/>
      <scheme val="minor"/>
    </font>
    <font>
      <i/>
      <sz val="18"/>
      <color rgb="FF7030A0"/>
      <name val="Calibri"/>
      <family val="2"/>
    </font>
    <font>
      <i/>
      <sz val="12"/>
      <color rgb="FF7030A0"/>
      <name val="Calibri"/>
      <family val="2"/>
      <charset val="204"/>
    </font>
    <font>
      <i/>
      <sz val="10"/>
      <color rgb="FF7030A0"/>
      <name val="Calibri"/>
      <family val="2"/>
      <charset val="204"/>
    </font>
    <font>
      <strike/>
      <sz val="11"/>
      <color theme="0" tint="-0.249977111117893"/>
      <name val="Calibri"/>
      <family val="2"/>
      <charset val="204"/>
    </font>
    <font>
      <sz val="8"/>
      <color rgb="FF7030A0"/>
      <name val="Calibri"/>
      <family val="2"/>
      <charset val="204"/>
    </font>
    <font>
      <b/>
      <sz val="18"/>
      <color rgb="FF7030A0"/>
      <name val="Calibri"/>
      <family val="2"/>
    </font>
    <font>
      <sz val="18"/>
      <name val="Calibri"/>
      <family val="2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  <charset val="204"/>
    </font>
    <font>
      <b/>
      <i/>
      <sz val="16"/>
      <color theme="1"/>
      <name val="Calibri"/>
      <family val="2"/>
      <scheme val="minor"/>
    </font>
    <font>
      <sz val="8"/>
      <color rgb="FFFF0000"/>
      <name val="Calibri"/>
      <family val="2"/>
      <charset val="204"/>
    </font>
    <font>
      <b/>
      <i/>
      <sz val="18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DD30F0"/>
        <bgColor rgb="FF000000"/>
      </patternFill>
    </fill>
    <fill>
      <patternFill patternType="solid">
        <fgColor rgb="FFEF11C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F11C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39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3900"/>
        <bgColor indexed="64"/>
      </patternFill>
    </fill>
    <fill>
      <patternFill patternType="solid">
        <fgColor rgb="FFDD30F0"/>
        <bgColor indexed="64"/>
      </patternFill>
    </fill>
    <fill>
      <patternFill patternType="solid">
        <fgColor theme="9" tint="0.39997558519241921"/>
        <bgColor indexed="64"/>
      </patternFill>
    </fill>
  </fills>
  <borders count="88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rgb="FFFF0000"/>
      </right>
      <top style="double">
        <color auto="1"/>
      </top>
      <bottom/>
      <diagonal/>
    </border>
    <border>
      <left style="double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auto="1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thin">
        <color auto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auto="1"/>
      </top>
      <bottom style="double">
        <color rgb="FFFF0000"/>
      </bottom>
      <diagonal/>
    </border>
    <border>
      <left/>
      <right style="double">
        <color rgb="FFFF0000"/>
      </right>
      <top style="thin">
        <color auto="1"/>
      </top>
      <bottom style="double">
        <color rgb="FFFF000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rgb="FFFF0000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rgb="FFFF0000"/>
      </right>
      <top style="thin">
        <color auto="1"/>
      </top>
      <bottom/>
      <diagonal/>
    </border>
    <border>
      <left style="double">
        <color rgb="FFFF0000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rgb="FFFF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rgb="FFFF0000"/>
      </right>
      <top/>
      <bottom/>
      <diagonal/>
    </border>
    <border>
      <left/>
      <right/>
      <top style="thin">
        <color theme="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rgb="FFFF0000"/>
      </left>
      <right style="double">
        <color rgb="FFFF0000"/>
      </right>
      <top style="dashed">
        <color rgb="FFFF0000"/>
      </top>
      <bottom style="dashed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auto="1"/>
      </top>
      <bottom style="double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double">
        <color rgb="FFFF0000"/>
      </right>
      <top style="hair">
        <color rgb="FFFF0000"/>
      </top>
      <bottom style="hair">
        <color rgb="FFFF0000"/>
      </bottom>
      <diagonal/>
    </border>
    <border>
      <left/>
      <right style="medium">
        <color indexed="64"/>
      </right>
      <top/>
      <bottom/>
      <diagonal/>
    </border>
    <border>
      <left style="double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hair">
        <color rgb="FFFF0000"/>
      </right>
      <top style="hair">
        <color rgb="FFFF0000"/>
      </top>
      <bottom style="double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hair">
        <color rgb="FFFF0000"/>
      </top>
      <bottom style="double">
        <color rgb="FFFF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" fontId="73" fillId="0" borderId="0">
      <alignment vertical="center"/>
    </xf>
  </cellStyleXfs>
  <cellXfs count="223">
    <xf numFmtId="0" fontId="0" fillId="0" borderId="0" xfId="0"/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164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65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3" fontId="9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/>
    <xf numFmtId="0" fontId="11" fillId="6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13" fillId="0" borderId="0" xfId="0" applyFont="1" applyAlignment="1" applyProtection="1">
      <alignment shrinkToFit="1"/>
      <protection locked="0"/>
    </xf>
    <xf numFmtId="0" fontId="0" fillId="0" borderId="0" xfId="0" applyAlignment="1">
      <alignment horizontal="center" vertical="top"/>
    </xf>
    <xf numFmtId="168" fontId="4" fillId="0" borderId="3" xfId="2" applyNumberFormat="1" applyFill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2" applyFill="1" applyBorder="1" applyAlignment="1" applyProtection="1">
      <alignment horizontal="center" vertical="center" shrinkToFit="1"/>
      <protection locked="0"/>
    </xf>
    <xf numFmtId="0" fontId="4" fillId="0" borderId="5" xfId="2" applyFill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166" fontId="15" fillId="7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0" xfId="0" applyFont="1" applyFill="1" applyAlignment="1" applyProtection="1">
      <alignment horizontal="center" vertical="center" shrinkToFit="1"/>
      <protection locked="0"/>
    </xf>
    <xf numFmtId="0" fontId="16" fillId="7" borderId="10" xfId="0" applyFont="1" applyFill="1" applyBorder="1" applyAlignment="1" applyProtection="1">
      <alignment horizontal="center" vertical="center" shrinkToFit="1"/>
      <protection locked="0"/>
    </xf>
    <xf numFmtId="169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center" vertical="center" wrapText="1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3" fontId="20" fillId="0" borderId="12" xfId="0" applyNumberFormat="1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0" fillId="0" borderId="13" xfId="0" applyFont="1" applyBorder="1" applyAlignment="1" applyProtection="1">
      <alignment horizontal="center" vertical="center" shrinkToFit="1"/>
      <protection locked="0"/>
    </xf>
    <xf numFmtId="166" fontId="22" fillId="7" borderId="14" xfId="0" applyNumberFormat="1" applyFont="1" applyFill="1" applyBorder="1" applyAlignment="1" applyProtection="1">
      <alignment shrinkToFit="1"/>
      <protection locked="0"/>
    </xf>
    <xf numFmtId="0" fontId="23" fillId="7" borderId="15" xfId="0" applyFont="1" applyFill="1" applyBorder="1" applyAlignment="1" applyProtection="1">
      <alignment shrinkToFit="1"/>
      <protection locked="0"/>
    </xf>
    <xf numFmtId="0" fontId="22" fillId="7" borderId="16" xfId="0" applyFont="1" applyFill="1" applyBorder="1" applyAlignment="1" applyProtection="1">
      <alignment shrinkToFit="1"/>
      <protection locked="0"/>
    </xf>
    <xf numFmtId="0" fontId="24" fillId="6" borderId="0" xfId="0" applyFont="1" applyFill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shrinkToFit="1"/>
      <protection locked="0"/>
    </xf>
    <xf numFmtId="165" fontId="25" fillId="0" borderId="0" xfId="0" applyNumberFormat="1" applyFont="1" applyAlignment="1" applyProtection="1">
      <alignment shrinkToFit="1"/>
      <protection locked="0"/>
    </xf>
    <xf numFmtId="169" fontId="17" fillId="0" borderId="17" xfId="1" applyNumberFormat="1" applyFont="1" applyFill="1" applyBorder="1" applyAlignment="1" applyProtection="1">
      <alignment horizontal="center" vertical="center" shrinkToFit="1"/>
      <protection locked="0"/>
    </xf>
    <xf numFmtId="166" fontId="26" fillId="7" borderId="18" xfId="0" applyNumberFormat="1" applyFont="1" applyFill="1" applyBorder="1" applyAlignment="1" applyProtection="1">
      <alignment horizontal="center" vertical="center" shrinkToFit="1"/>
      <protection locked="0"/>
    </xf>
    <xf numFmtId="3" fontId="27" fillId="7" borderId="19" xfId="0" applyNumberFormat="1" applyFont="1" applyFill="1" applyBorder="1" applyAlignment="1" applyProtection="1">
      <alignment horizontal="center" vertical="center" shrinkToFit="1"/>
      <protection locked="0"/>
    </xf>
    <xf numFmtId="3" fontId="26" fillId="7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/>
    <xf numFmtId="0" fontId="25" fillId="6" borderId="0" xfId="0" applyFont="1" applyFill="1" applyAlignment="1" applyProtection="1">
      <alignment horizontal="center" vertical="center" shrinkToFit="1"/>
      <protection locked="0"/>
    </xf>
    <xf numFmtId="166" fontId="29" fillId="7" borderId="18" xfId="0" applyNumberFormat="1" applyFont="1" applyFill="1" applyBorder="1" applyAlignment="1" applyProtection="1">
      <alignment horizontal="center" vertical="center" shrinkToFit="1"/>
      <protection locked="0"/>
    </xf>
    <xf numFmtId="3" fontId="29" fillId="7" borderId="20" xfId="0" applyNumberFormat="1" applyFont="1" applyFill="1" applyBorder="1" applyAlignment="1" applyProtection="1">
      <alignment horizontal="center" vertical="center" shrinkToFit="1"/>
      <protection locked="0"/>
    </xf>
    <xf numFmtId="22" fontId="28" fillId="0" borderId="0" xfId="0" applyNumberFormat="1" applyFont="1"/>
    <xf numFmtId="0" fontId="30" fillId="6" borderId="0" xfId="0" applyFont="1" applyFill="1" applyAlignment="1" applyProtection="1">
      <alignment horizontal="center" vertical="center" shrinkToFit="1"/>
      <protection locked="0"/>
    </xf>
    <xf numFmtId="170" fontId="25" fillId="0" borderId="0" xfId="0" applyNumberFormat="1" applyFont="1" applyAlignment="1" applyProtection="1">
      <alignment shrinkToFit="1"/>
      <protection locked="0"/>
    </xf>
    <xf numFmtId="169" fontId="31" fillId="0" borderId="17" xfId="1" applyNumberFormat="1" applyFont="1" applyFill="1" applyBorder="1" applyAlignment="1" applyProtection="1">
      <alignment horizontal="center" vertical="center" shrinkToFit="1"/>
      <protection locked="0"/>
    </xf>
    <xf numFmtId="0" fontId="25" fillId="6" borderId="0" xfId="0" applyFont="1" applyFill="1" applyAlignment="1" applyProtection="1">
      <alignment shrinkToFit="1"/>
      <protection locked="0"/>
    </xf>
    <xf numFmtId="169" fontId="31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/>
    <xf numFmtId="166" fontId="29" fillId="8" borderId="18" xfId="0" applyNumberFormat="1" applyFont="1" applyFill="1" applyBorder="1" applyAlignment="1" applyProtection="1">
      <alignment horizontal="center" vertical="center" shrinkToFit="1"/>
      <protection locked="0"/>
    </xf>
    <xf numFmtId="3" fontId="27" fillId="8" borderId="19" xfId="0" applyNumberFormat="1" applyFont="1" applyFill="1" applyBorder="1" applyAlignment="1" applyProtection="1">
      <alignment horizontal="center" vertical="center" shrinkToFit="1"/>
      <protection locked="0"/>
    </xf>
    <xf numFmtId="3" fontId="29" fillId="8" borderId="2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166" fontId="29" fillId="0" borderId="21" xfId="0" applyNumberFormat="1" applyFont="1" applyBorder="1" applyAlignment="1" applyProtection="1">
      <alignment horizontal="center" vertical="center" shrinkToFit="1"/>
      <protection locked="0"/>
    </xf>
    <xf numFmtId="3" fontId="27" fillId="0" borderId="22" xfId="0" applyNumberFormat="1" applyFont="1" applyBorder="1" applyAlignment="1" applyProtection="1">
      <alignment horizontal="center" vertical="center" shrinkToFit="1"/>
      <protection locked="0"/>
    </xf>
    <xf numFmtId="3" fontId="29" fillId="0" borderId="23" xfId="0" applyNumberFormat="1" applyFont="1" applyBorder="1" applyAlignment="1" applyProtection="1">
      <alignment horizontal="center" vertical="center" shrinkToFit="1"/>
      <protection locked="0"/>
    </xf>
    <xf numFmtId="0" fontId="33" fillId="0" borderId="0" xfId="0" applyFont="1"/>
    <xf numFmtId="0" fontId="34" fillId="9" borderId="24" xfId="0" applyFont="1" applyFill="1" applyBorder="1" applyAlignment="1" applyProtection="1">
      <alignment horizontal="center" vertical="center" shrinkToFit="1"/>
      <protection locked="0"/>
    </xf>
    <xf numFmtId="169" fontId="17" fillId="2" borderId="17" xfId="1" applyNumberFormat="1" applyFont="1" applyFill="1" applyBorder="1" applyAlignment="1" applyProtection="1">
      <alignment horizontal="center" vertical="center" shrinkToFit="1"/>
      <protection locked="0"/>
    </xf>
    <xf numFmtId="3" fontId="35" fillId="0" borderId="12" xfId="0" applyNumberFormat="1" applyFont="1" applyBorder="1" applyAlignment="1" applyProtection="1">
      <alignment horizontal="center" vertical="center" shrinkToFit="1"/>
      <protection locked="0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 shrinkToFit="1"/>
      <protection locked="0"/>
    </xf>
    <xf numFmtId="166" fontId="26" fillId="0" borderId="26" xfId="0" applyNumberFormat="1" applyFont="1" applyBorder="1" applyAlignment="1" applyProtection="1">
      <alignment vertical="center" shrinkToFit="1"/>
      <protection locked="0"/>
    </xf>
    <xf numFmtId="0" fontId="37" fillId="0" borderId="27" xfId="0" applyFont="1" applyBorder="1" applyAlignment="1" applyProtection="1">
      <alignment horizontal="center" vertical="center" shrinkToFit="1"/>
      <protection locked="0"/>
    </xf>
    <xf numFmtId="3" fontId="29" fillId="0" borderId="28" xfId="0" applyNumberFormat="1" applyFont="1" applyBorder="1" applyAlignment="1" applyProtection="1">
      <alignment horizontal="center" vertical="center" shrinkToFit="1"/>
      <protection locked="0"/>
    </xf>
    <xf numFmtId="166" fontId="26" fillId="0" borderId="29" xfId="0" applyNumberFormat="1" applyFont="1" applyBorder="1" applyAlignment="1" applyProtection="1">
      <alignment vertical="center" shrinkToFit="1"/>
      <protection locked="0"/>
    </xf>
    <xf numFmtId="0" fontId="37" fillId="0" borderId="12" xfId="0" applyFont="1" applyBorder="1" applyAlignment="1" applyProtection="1">
      <alignment horizontal="center" vertical="center" shrinkToFit="1"/>
      <protection locked="0"/>
    </xf>
    <xf numFmtId="3" fontId="29" fillId="0" borderId="30" xfId="0" applyNumberFormat="1" applyFont="1" applyBorder="1" applyAlignment="1" applyProtection="1">
      <alignment horizontal="center" vertical="center" shrinkToFit="1"/>
      <protection locked="0"/>
    </xf>
    <xf numFmtId="170" fontId="38" fillId="10" borderId="0" xfId="0" applyNumberFormat="1" applyFont="1" applyFill="1" applyAlignment="1" applyProtection="1">
      <alignment horizontal="center" vertical="center" shrinkToFit="1"/>
      <protection locked="0"/>
    </xf>
    <xf numFmtId="0" fontId="3" fillId="11" borderId="0" xfId="0" applyFont="1" applyFill="1"/>
    <xf numFmtId="170" fontId="39" fillId="11" borderId="0" xfId="0" applyNumberFormat="1" applyFont="1" applyFill="1" applyAlignment="1" applyProtection="1">
      <alignment horizontal="center" vertical="center" shrinkToFit="1"/>
      <protection locked="0"/>
    </xf>
    <xf numFmtId="171" fontId="25" fillId="12" borderId="0" xfId="0" applyNumberFormat="1" applyFont="1" applyFill="1" applyAlignment="1" applyProtection="1">
      <alignment shrinkToFit="1"/>
      <protection locked="0"/>
    </xf>
    <xf numFmtId="0" fontId="25" fillId="12" borderId="0" xfId="0" applyFont="1" applyFill="1" applyAlignment="1" applyProtection="1">
      <alignment shrinkToFit="1"/>
      <protection locked="0"/>
    </xf>
    <xf numFmtId="169" fontId="40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30" fillId="6" borderId="0" xfId="0" applyFont="1" applyFill="1" applyAlignment="1" applyProtection="1">
      <alignment shrinkToFit="1"/>
      <protection locked="0"/>
    </xf>
    <xf numFmtId="0" fontId="25" fillId="13" borderId="0" xfId="0" applyFont="1" applyFill="1" applyAlignment="1" applyProtection="1">
      <alignment shrinkToFit="1"/>
      <protection locked="0"/>
    </xf>
    <xf numFmtId="173" fontId="4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2" xfId="0" applyFont="1" applyBorder="1" applyAlignment="1" applyProtection="1">
      <alignment horizontal="center" vertical="center" shrinkToFit="1"/>
      <protection locked="0"/>
    </xf>
    <xf numFmtId="3" fontId="43" fillId="0" borderId="36" xfId="0" applyNumberFormat="1" applyFont="1" applyBorder="1" applyAlignment="1" applyProtection="1">
      <alignment horizontal="left" vertical="center" shrinkToFit="1"/>
      <protection locked="0"/>
    </xf>
    <xf numFmtId="0" fontId="44" fillId="9" borderId="24" xfId="0" applyFont="1" applyFill="1" applyBorder="1" applyAlignment="1" applyProtection="1">
      <alignment horizontal="center" vertical="center" shrinkToFit="1"/>
      <protection locked="0"/>
    </xf>
    <xf numFmtId="0" fontId="12" fillId="13" borderId="0" xfId="0" applyFont="1" applyFill="1" applyAlignment="1" applyProtection="1">
      <alignment shrinkToFit="1"/>
      <protection locked="0"/>
    </xf>
    <xf numFmtId="173" fontId="46" fillId="0" borderId="41" xfId="0" applyNumberFormat="1" applyFont="1" applyBorder="1" applyAlignment="1" applyProtection="1">
      <alignment horizontal="right" vertical="center" shrinkToFit="1"/>
      <protection locked="0"/>
    </xf>
    <xf numFmtId="49" fontId="47" fillId="0" borderId="41" xfId="0" applyNumberFormat="1" applyFont="1" applyBorder="1" applyAlignment="1" applyProtection="1">
      <alignment vertical="center" shrinkToFit="1"/>
      <protection locked="0"/>
    </xf>
    <xf numFmtId="174" fontId="48" fillId="0" borderId="41" xfId="0" applyNumberFormat="1" applyFont="1" applyBorder="1" applyAlignment="1" applyProtection="1">
      <alignment horizontal="center" vertical="center" shrinkToFit="1"/>
      <protection locked="0"/>
    </xf>
    <xf numFmtId="3" fontId="49" fillId="0" borderId="42" xfId="0" applyNumberFormat="1" applyFont="1" applyBorder="1" applyAlignment="1" applyProtection="1">
      <alignment horizontal="right" vertical="center" shrinkToFit="1"/>
      <protection locked="0"/>
    </xf>
    <xf numFmtId="0" fontId="44" fillId="9" borderId="44" xfId="0" applyFont="1" applyFill="1" applyBorder="1" applyAlignment="1" applyProtection="1">
      <alignment horizontal="center" vertical="center" shrinkToFit="1"/>
      <protection locked="0"/>
    </xf>
    <xf numFmtId="0" fontId="51" fillId="0" borderId="45" xfId="0" applyFont="1" applyBorder="1" applyAlignment="1" applyProtection="1">
      <alignment horizontal="right" vertical="center" shrinkToFit="1"/>
      <protection locked="0"/>
    </xf>
    <xf numFmtId="0" fontId="53" fillId="6" borderId="46" xfId="0" applyFont="1" applyFill="1" applyBorder="1" applyAlignment="1" applyProtection="1">
      <alignment horizontal="right" vertical="center" shrinkToFit="1"/>
      <protection locked="0"/>
    </xf>
    <xf numFmtId="0" fontId="53" fillId="6" borderId="47" xfId="0" applyFont="1" applyFill="1" applyBorder="1" applyAlignment="1" applyProtection="1">
      <alignment horizontal="right" vertical="center" shrinkToFit="1"/>
      <protection locked="0"/>
    </xf>
    <xf numFmtId="175" fontId="27" fillId="6" borderId="48" xfId="0" applyNumberFormat="1" applyFont="1" applyFill="1" applyBorder="1" applyAlignment="1" applyProtection="1">
      <alignment horizontal="center" vertical="center" shrinkToFit="1"/>
      <protection locked="0"/>
    </xf>
    <xf numFmtId="170" fontId="55" fillId="15" borderId="0" xfId="0" applyNumberFormat="1" applyFont="1" applyFill="1" applyAlignment="1" applyProtection="1">
      <alignment horizontal="center" vertical="center" shrinkToFit="1"/>
      <protection locked="0"/>
    </xf>
    <xf numFmtId="0" fontId="56" fillId="0" borderId="51" xfId="0" applyFont="1" applyBorder="1" applyAlignment="1" applyProtection="1">
      <alignment horizontal="right" vertical="center" shrinkToFit="1"/>
      <protection locked="0"/>
    </xf>
    <xf numFmtId="0" fontId="56" fillId="0" borderId="52" xfId="0" applyFont="1" applyBorder="1" applyAlignment="1" applyProtection="1">
      <alignment horizontal="right" vertical="center" shrinkToFit="1"/>
      <protection locked="0"/>
    </xf>
    <xf numFmtId="3" fontId="57" fillId="16" borderId="53" xfId="0" applyNumberFormat="1" applyFont="1" applyFill="1" applyBorder="1" applyAlignment="1" applyProtection="1">
      <alignment horizontal="center" vertical="center" shrinkToFit="1"/>
      <protection locked="0"/>
    </xf>
    <xf numFmtId="177" fontId="58" fillId="0" borderId="54" xfId="0" applyNumberFormat="1" applyFont="1" applyBorder="1" applyAlignment="1" applyProtection="1">
      <alignment horizontal="center" vertical="center" shrinkToFit="1"/>
      <protection locked="0"/>
    </xf>
    <xf numFmtId="3" fontId="59" fillId="16" borderId="55" xfId="0" applyNumberFormat="1" applyFont="1" applyFill="1" applyBorder="1" applyAlignment="1" applyProtection="1">
      <alignment horizontal="center" vertical="center" shrinkToFit="1"/>
      <protection locked="0"/>
    </xf>
    <xf numFmtId="177" fontId="60" fillId="0" borderId="56" xfId="0" applyNumberFormat="1" applyFont="1" applyBorder="1" applyAlignment="1" applyProtection="1">
      <alignment horizontal="center" vertical="center" shrinkToFit="1"/>
      <protection locked="0"/>
    </xf>
    <xf numFmtId="3" fontId="61" fillId="17" borderId="0" xfId="0" applyNumberFormat="1" applyFont="1" applyFill="1" applyAlignment="1" applyProtection="1">
      <alignment horizontal="center" vertical="center" shrinkToFit="1"/>
      <protection locked="0"/>
    </xf>
    <xf numFmtId="0" fontId="62" fillId="11" borderId="57" xfId="0" applyFont="1" applyFill="1" applyBorder="1" applyAlignment="1" applyProtection="1">
      <alignment horizontal="center" vertical="center" wrapText="1" shrinkToFit="1"/>
      <protection locked="0"/>
    </xf>
    <xf numFmtId="0" fontId="44" fillId="9" borderId="58" xfId="0" applyFont="1" applyFill="1" applyBorder="1" applyAlignment="1" applyProtection="1">
      <alignment horizontal="center" vertical="center" shrinkToFit="1"/>
      <protection locked="0"/>
    </xf>
    <xf numFmtId="49" fontId="51" fillId="0" borderId="45" xfId="0" applyNumberFormat="1" applyFont="1" applyBorder="1" applyAlignment="1" applyProtection="1">
      <alignment horizontal="right" vertical="center" shrinkToFit="1"/>
      <protection locked="0"/>
    </xf>
    <xf numFmtId="0" fontId="63" fillId="18" borderId="30" xfId="0" applyFont="1" applyFill="1" applyBorder="1" applyAlignment="1" applyProtection="1">
      <alignment horizontal="center" vertical="center" shrinkToFit="1"/>
      <protection locked="0"/>
    </xf>
    <xf numFmtId="0" fontId="24" fillId="6" borderId="0" xfId="0" applyFont="1" applyFill="1" applyAlignment="1" applyProtection="1">
      <alignment shrinkToFit="1"/>
      <protection locked="0"/>
    </xf>
    <xf numFmtId="0" fontId="64" fillId="0" borderId="30" xfId="0" applyFont="1" applyBorder="1" applyAlignment="1" applyProtection="1">
      <alignment horizontal="center" vertical="center" wrapText="1" shrinkToFit="1"/>
      <protection locked="0"/>
    </xf>
    <xf numFmtId="0" fontId="65" fillId="0" borderId="0" xfId="0" applyFont="1"/>
    <xf numFmtId="176" fontId="24" fillId="19" borderId="0" xfId="0" applyNumberFormat="1" applyFont="1" applyFill="1" applyAlignment="1" applyProtection="1">
      <alignment horizontal="center" vertical="center" shrinkToFit="1"/>
      <protection locked="0"/>
    </xf>
    <xf numFmtId="0" fontId="25" fillId="19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0" fontId="55" fillId="6" borderId="0" xfId="0" applyNumberFormat="1" applyFont="1" applyFill="1" applyAlignment="1" applyProtection="1">
      <alignment horizontal="center" vertical="center" shrinkToFit="1"/>
      <protection locked="0"/>
    </xf>
    <xf numFmtId="0" fontId="52" fillId="0" borderId="31" xfId="0" applyFont="1" applyBorder="1" applyAlignment="1">
      <alignment horizontal="left" vertical="center"/>
    </xf>
    <xf numFmtId="0" fontId="52" fillId="0" borderId="57" xfId="0" applyFont="1" applyBorder="1" applyAlignment="1">
      <alignment horizontal="left" vertical="center"/>
    </xf>
    <xf numFmtId="176" fontId="66" fillId="0" borderId="57" xfId="0" applyNumberFormat="1" applyFont="1" applyBorder="1" applyAlignment="1" applyProtection="1">
      <alignment vertical="center" shrinkToFit="1"/>
      <protection locked="0"/>
    </xf>
    <xf numFmtId="176" fontId="67" fillId="12" borderId="0" xfId="0" applyNumberFormat="1" applyFont="1" applyFill="1" applyAlignment="1" applyProtection="1">
      <alignment horizontal="center" vertical="center" shrinkToFit="1"/>
      <protection locked="0"/>
    </xf>
    <xf numFmtId="0" fontId="25" fillId="12" borderId="0" xfId="0" applyFont="1" applyFill="1" applyAlignment="1" applyProtection="1">
      <alignment horizontal="center" vertical="center" shrinkToFit="1"/>
      <protection locked="0"/>
    </xf>
    <xf numFmtId="176" fontId="24" fillId="20" borderId="0" xfId="0" applyNumberFormat="1" applyFont="1" applyFill="1" applyAlignment="1" applyProtection="1">
      <alignment horizontal="center" vertical="center" shrinkToFit="1"/>
      <protection locked="0"/>
    </xf>
    <xf numFmtId="0" fontId="25" fillId="20" borderId="0" xfId="0" applyFont="1" applyFill="1" applyAlignment="1" applyProtection="1">
      <alignment horizontal="center" vertical="center" shrinkToFit="1"/>
      <protection locked="0"/>
    </xf>
    <xf numFmtId="0" fontId="68" fillId="0" borderId="31" xfId="0" applyFont="1" applyBorder="1" applyAlignment="1" applyProtection="1">
      <alignment shrinkToFit="1"/>
      <protection locked="0"/>
    </xf>
    <xf numFmtId="0" fontId="68" fillId="0" borderId="57" xfId="0" applyFont="1" applyBorder="1" applyAlignment="1" applyProtection="1">
      <alignment shrinkToFit="1"/>
      <protection locked="0"/>
    </xf>
    <xf numFmtId="170" fontId="70" fillId="0" borderId="0" xfId="0" applyNumberFormat="1" applyFont="1" applyAlignment="1" applyProtection="1">
      <alignment horizontal="left" vertical="center" shrinkToFit="1"/>
      <protection locked="0"/>
    </xf>
    <xf numFmtId="0" fontId="66" fillId="0" borderId="63" xfId="0" applyFont="1" applyBorder="1" applyAlignment="1" applyProtection="1">
      <alignment horizontal="center" vertical="center" shrinkToFit="1"/>
      <protection locked="0"/>
    </xf>
    <xf numFmtId="49" fontId="66" fillId="0" borderId="64" xfId="0" applyNumberFormat="1" applyFont="1" applyBorder="1" applyAlignment="1" applyProtection="1">
      <alignment vertical="center" shrinkToFit="1"/>
      <protection locked="0"/>
    </xf>
    <xf numFmtId="0" fontId="66" fillId="0" borderId="65" xfId="0" applyFont="1" applyBorder="1" applyAlignment="1" applyProtection="1">
      <alignment vertical="center" shrinkToFit="1"/>
      <protection locked="0"/>
    </xf>
    <xf numFmtId="0" fontId="72" fillId="0" borderId="0" xfId="0" applyFont="1"/>
    <xf numFmtId="0" fontId="74" fillId="10" borderId="12" xfId="3" applyNumberFormat="1" applyFont="1" applyFill="1" applyBorder="1" applyAlignment="1">
      <alignment horizontal="left" vertical="center"/>
    </xf>
    <xf numFmtId="0" fontId="75" fillId="22" borderId="0" xfId="0" applyFont="1" applyFill="1" applyAlignment="1" applyProtection="1">
      <alignment horizontal="left" vertical="center" shrinkToFit="1"/>
      <protection locked="0"/>
    </xf>
    <xf numFmtId="0" fontId="18" fillId="15" borderId="67" xfId="0" applyFont="1" applyFill="1" applyBorder="1" applyAlignment="1" applyProtection="1">
      <alignment horizontal="center" vertical="center" shrinkToFit="1"/>
      <protection locked="0"/>
    </xf>
    <xf numFmtId="0" fontId="76" fillId="0" borderId="63" xfId="0" applyFont="1" applyBorder="1" applyAlignment="1" applyProtection="1">
      <alignment shrinkToFit="1"/>
      <protection locked="0"/>
    </xf>
    <xf numFmtId="0" fontId="77" fillId="23" borderId="70" xfId="0" applyFont="1" applyFill="1" applyBorder="1" applyAlignment="1" applyProtection="1">
      <alignment shrinkToFit="1"/>
      <protection locked="0"/>
    </xf>
    <xf numFmtId="0" fontId="77" fillId="23" borderId="71" xfId="0" applyFont="1" applyFill="1" applyBorder="1" applyAlignment="1" applyProtection="1">
      <alignment shrinkToFit="1"/>
      <protection locked="0"/>
    </xf>
    <xf numFmtId="0" fontId="77" fillId="23" borderId="72" xfId="0" applyFont="1" applyFill="1" applyBorder="1" applyAlignment="1" applyProtection="1">
      <alignment shrinkToFit="1"/>
      <protection locked="0"/>
    </xf>
    <xf numFmtId="0" fontId="68" fillId="0" borderId="73" xfId="0" applyFont="1" applyBorder="1" applyAlignment="1" applyProtection="1">
      <alignment shrinkToFit="1"/>
      <protection locked="0"/>
    </xf>
    <xf numFmtId="0" fontId="68" fillId="0" borderId="39" xfId="0" applyFont="1" applyBorder="1" applyAlignment="1" applyProtection="1">
      <alignment shrinkToFit="1"/>
      <protection locked="0"/>
    </xf>
    <xf numFmtId="3" fontId="11" fillId="7" borderId="75" xfId="0" applyNumberFormat="1" applyFont="1" applyFill="1" applyBorder="1" applyAlignment="1" applyProtection="1">
      <alignment horizontal="center" vertical="center" shrinkToFit="1"/>
      <protection locked="0"/>
    </xf>
    <xf numFmtId="0" fontId="78" fillId="0" borderId="63" xfId="0" applyFont="1" applyBorder="1" applyAlignment="1" applyProtection="1">
      <alignment horizontal="left" vertical="center" wrapText="1" shrinkToFit="1"/>
      <protection locked="0"/>
    </xf>
    <xf numFmtId="0" fontId="79" fillId="0" borderId="64" xfId="0" applyFont="1" applyBorder="1" applyAlignment="1" applyProtection="1">
      <alignment vertical="center" wrapText="1" shrinkToFit="1"/>
      <protection locked="0"/>
    </xf>
    <xf numFmtId="0" fontId="79" fillId="0" borderId="65" xfId="0" applyFont="1" applyBorder="1" applyAlignment="1" applyProtection="1">
      <alignment vertical="center" wrapText="1" shrinkToFit="1"/>
      <protection locked="0"/>
    </xf>
    <xf numFmtId="0" fontId="28" fillId="0" borderId="79" xfId="0" applyFont="1" applyBorder="1"/>
    <xf numFmtId="0" fontId="28" fillId="0" borderId="80" xfId="0" applyFont="1" applyBorder="1"/>
    <xf numFmtId="0" fontId="28" fillId="0" borderId="81" xfId="0" applyFont="1" applyBorder="1"/>
    <xf numFmtId="0" fontId="0" fillId="0" borderId="0" xfId="0" applyAlignment="1">
      <alignment vertical="center"/>
    </xf>
    <xf numFmtId="0" fontId="80" fillId="2" borderId="0" xfId="0" applyFont="1" applyFill="1" applyAlignment="1">
      <alignment horizontal="center" vertical="center"/>
    </xf>
    <xf numFmtId="0" fontId="81" fillId="0" borderId="0" xfId="0" applyFont="1" applyAlignment="1" applyProtection="1">
      <alignment horizontal="center" vertical="center" wrapText="1" shrinkToFit="1"/>
      <protection locked="0"/>
    </xf>
    <xf numFmtId="0" fontId="82" fillId="0" borderId="0" xfId="0" applyFont="1" applyAlignment="1" applyProtection="1">
      <alignment horizontal="center" vertical="center" wrapText="1" shrinkToFit="1"/>
      <protection locked="0"/>
    </xf>
    <xf numFmtId="0" fontId="82" fillId="0" borderId="82" xfId="0" applyFont="1" applyBorder="1" applyAlignment="1" applyProtection="1">
      <alignment horizontal="center" vertical="center" wrapText="1" shrinkToFit="1"/>
      <protection locked="0"/>
    </xf>
    <xf numFmtId="0" fontId="28" fillId="0" borderId="83" xfId="0" applyFont="1" applyBorder="1"/>
    <xf numFmtId="0" fontId="0" fillId="0" borderId="80" xfId="0" applyBorder="1"/>
    <xf numFmtId="0" fontId="0" fillId="0" borderId="81" xfId="0" applyBorder="1"/>
    <xf numFmtId="0" fontId="81" fillId="0" borderId="0" xfId="0" applyFont="1" applyAlignment="1" applyProtection="1">
      <alignment horizontal="center" vertical="center" shrinkToFit="1"/>
      <protection locked="0"/>
    </xf>
    <xf numFmtId="0" fontId="83" fillId="0" borderId="0" xfId="0" applyFont="1" applyAlignment="1" applyProtection="1">
      <alignment vertical="center" shrinkToFit="1"/>
      <protection locked="0"/>
    </xf>
    <xf numFmtId="0" fontId="83" fillId="0" borderId="0" xfId="0" applyFont="1" applyAlignment="1" applyProtection="1">
      <alignment horizontal="center" vertical="center" wrapText="1" shrinkToFit="1"/>
      <protection locked="0"/>
    </xf>
    <xf numFmtId="165" fontId="0" fillId="0" borderId="0" xfId="0" applyNumberFormat="1" applyAlignment="1">
      <alignment vertical="center"/>
    </xf>
    <xf numFmtId="0" fontId="84" fillId="0" borderId="0" xfId="0" applyFont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wrapText="1" shrinkToFit="1"/>
      <protection locked="0"/>
    </xf>
    <xf numFmtId="0" fontId="85" fillId="0" borderId="0" xfId="0" applyFont="1" applyAlignment="1" applyProtection="1">
      <alignment horizontal="left" vertical="center" shrinkToFit="1"/>
      <protection locked="0"/>
    </xf>
    <xf numFmtId="0" fontId="66" fillId="0" borderId="0" xfId="0" applyFont="1" applyAlignment="1" applyProtection="1">
      <alignment vertical="center" shrinkToFit="1"/>
      <protection locked="0"/>
    </xf>
    <xf numFmtId="49" fontId="66" fillId="0" borderId="0" xfId="0" applyNumberFormat="1" applyFont="1" applyAlignment="1" applyProtection="1">
      <alignment vertical="center" shrinkToFit="1"/>
      <protection locked="0"/>
    </xf>
    <xf numFmtId="0" fontId="76" fillId="0" borderId="0" xfId="0" applyFont="1" applyAlignment="1" applyProtection="1">
      <alignment shrinkToFit="1"/>
      <protection locked="0"/>
    </xf>
    <xf numFmtId="49" fontId="76" fillId="0" borderId="0" xfId="0" applyNumberFormat="1" applyFont="1" applyAlignment="1" applyProtection="1">
      <alignment shrinkToFit="1"/>
      <protection locked="0"/>
    </xf>
    <xf numFmtId="0" fontId="64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wrapText="1"/>
    </xf>
    <xf numFmtId="1" fontId="86" fillId="0" borderId="0" xfId="0" applyNumberFormat="1" applyFont="1" applyAlignment="1" applyProtection="1">
      <alignment horizontal="left" vertical="center" shrinkToFit="1"/>
      <protection locked="0"/>
    </xf>
    <xf numFmtId="49" fontId="85" fillId="0" borderId="0" xfId="0" applyNumberFormat="1" applyFont="1" applyAlignment="1" applyProtection="1">
      <alignment horizontal="left" vertical="center" shrinkToFit="1"/>
      <protection locked="0"/>
    </xf>
    <xf numFmtId="0" fontId="76" fillId="0" borderId="82" xfId="0" applyFont="1" applyBorder="1" applyAlignment="1" applyProtection="1">
      <alignment shrinkToFit="1"/>
      <protection locked="0"/>
    </xf>
    <xf numFmtId="3" fontId="87" fillId="0" borderId="5" xfId="0" applyNumberFormat="1" applyFont="1" applyBorder="1" applyAlignment="1" applyProtection="1">
      <alignment horizontal="left" vertical="center" wrapText="1" shrinkToFit="1"/>
      <protection locked="0"/>
    </xf>
    <xf numFmtId="3" fontId="86" fillId="0" borderId="0" xfId="0" applyNumberFormat="1" applyFont="1" applyAlignment="1" applyProtection="1">
      <alignment horizontal="left" vertical="center" shrinkToFit="1"/>
      <protection locked="0"/>
    </xf>
    <xf numFmtId="0" fontId="4" fillId="0" borderId="83" xfId="2" applyBorder="1"/>
    <xf numFmtId="0" fontId="88" fillId="0" borderId="0" xfId="0" applyFont="1" applyAlignment="1" applyProtection="1">
      <alignment horizontal="left" vertical="center" shrinkToFit="1"/>
      <protection locked="0"/>
    </xf>
    <xf numFmtId="0" fontId="89" fillId="15" borderId="83" xfId="0" applyFont="1" applyFill="1" applyBorder="1" applyAlignment="1" applyProtection="1">
      <alignment horizontal="left" vertical="center" shrinkToFit="1"/>
      <protection locked="0"/>
    </xf>
    <xf numFmtId="0" fontId="89" fillId="15" borderId="80" xfId="0" applyFont="1" applyFill="1" applyBorder="1" applyAlignment="1" applyProtection="1">
      <alignment horizontal="center" vertical="center" shrinkToFit="1"/>
      <protection locked="0"/>
    </xf>
    <xf numFmtId="3" fontId="89" fillId="15" borderId="80" xfId="0" applyNumberFormat="1" applyFont="1" applyFill="1" applyBorder="1" applyAlignment="1" applyProtection="1">
      <alignment horizontal="right" vertical="center" shrinkToFit="1"/>
      <protection locked="0"/>
    </xf>
    <xf numFmtId="0" fontId="76" fillId="15" borderId="80" xfId="0" applyFont="1" applyFill="1" applyBorder="1" applyAlignment="1" applyProtection="1">
      <alignment horizontal="center" vertical="center" shrinkToFit="1"/>
      <protection locked="0"/>
    </xf>
    <xf numFmtId="3" fontId="89" fillId="15" borderId="81" xfId="0" applyNumberFormat="1" applyFont="1" applyFill="1" applyBorder="1" applyAlignment="1" applyProtection="1">
      <alignment horizontal="right" vertical="center" shrinkToFit="1"/>
      <protection locked="0"/>
    </xf>
    <xf numFmtId="49" fontId="66" fillId="0" borderId="5" xfId="0" applyNumberFormat="1" applyFont="1" applyBorder="1" applyAlignment="1" applyProtection="1">
      <alignment vertical="center" shrinkToFit="1"/>
      <protection locked="0"/>
    </xf>
    <xf numFmtId="0" fontId="76" fillId="0" borderId="5" xfId="0" applyFont="1" applyBorder="1" applyAlignment="1" applyProtection="1">
      <alignment shrinkToFit="1"/>
      <protection locked="0"/>
    </xf>
    <xf numFmtId="0" fontId="76" fillId="0" borderId="84" xfId="0" applyFont="1" applyBorder="1" applyAlignment="1" applyProtection="1">
      <alignment shrinkToFit="1"/>
      <protection locked="0"/>
    </xf>
    <xf numFmtId="0" fontId="24" fillId="0" borderId="0" xfId="0" applyFont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shrinkToFit="1"/>
      <protection locked="0"/>
    </xf>
    <xf numFmtId="166" fontId="12" fillId="0" borderId="0" xfId="0" applyNumberFormat="1" applyFont="1" applyAlignment="1" applyProtection="1">
      <alignment shrinkToFit="1"/>
      <protection locked="0"/>
    </xf>
    <xf numFmtId="0" fontId="91" fillId="6" borderId="0" xfId="0" applyFont="1" applyFill="1" applyAlignment="1" applyProtection="1">
      <alignment horizontal="center" vertical="center" shrinkToFit="1"/>
      <protection locked="0"/>
    </xf>
    <xf numFmtId="166" fontId="12" fillId="0" borderId="0" xfId="0" applyNumberFormat="1" applyFont="1" applyAlignment="1" applyProtection="1">
      <alignment wrapText="1" shrinkToFit="1"/>
      <protection locked="0"/>
    </xf>
    <xf numFmtId="0" fontId="76" fillId="15" borderId="85" xfId="0" applyFont="1" applyFill="1" applyBorder="1" applyAlignment="1" applyProtection="1">
      <alignment horizontal="left" vertical="center" shrinkToFit="1"/>
      <protection locked="0"/>
    </xf>
    <xf numFmtId="0" fontId="76" fillId="15" borderId="86" xfId="0" applyFont="1" applyFill="1" applyBorder="1" applyAlignment="1" applyProtection="1">
      <alignment horizontal="left" vertical="center" shrinkToFit="1"/>
      <protection locked="0"/>
    </xf>
    <xf numFmtId="0" fontId="76" fillId="15" borderId="87" xfId="0" applyFont="1" applyFill="1" applyBorder="1" applyAlignment="1" applyProtection="1">
      <alignment horizontal="left" vertical="center" shrinkToFit="1"/>
      <protection locked="0"/>
    </xf>
    <xf numFmtId="0" fontId="92" fillId="2" borderId="31" xfId="0" applyFont="1" applyFill="1" applyBorder="1" applyAlignment="1">
      <alignment horizontal="left" vertical="center"/>
    </xf>
    <xf numFmtId="0" fontId="92" fillId="2" borderId="57" xfId="0" applyFont="1" applyFill="1" applyBorder="1" applyAlignment="1">
      <alignment horizontal="left" vertical="center"/>
    </xf>
    <xf numFmtId="0" fontId="69" fillId="14" borderId="59" xfId="0" applyFont="1" applyFill="1" applyBorder="1" applyAlignment="1" applyProtection="1">
      <alignment horizontal="center" vertical="center" wrapText="1" shrinkToFit="1"/>
      <protection locked="0"/>
    </xf>
    <xf numFmtId="0" fontId="69" fillId="14" borderId="66" xfId="0" applyFont="1" applyFill="1" applyBorder="1" applyAlignment="1" applyProtection="1">
      <alignment horizontal="center" vertical="center" wrapText="1" shrinkToFit="1"/>
      <protection locked="0"/>
    </xf>
    <xf numFmtId="0" fontId="69" fillId="14" borderId="74" xfId="0" applyFont="1" applyFill="1" applyBorder="1" applyAlignment="1" applyProtection="1">
      <alignment horizontal="center" vertical="center" wrapText="1" shrinkToFit="1"/>
      <protection locked="0"/>
    </xf>
    <xf numFmtId="178" fontId="71" fillId="21" borderId="60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61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62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68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0" xfId="0" applyNumberFormat="1" applyFont="1" applyFill="1" applyAlignment="1" applyProtection="1">
      <alignment horizontal="center" vertical="center" shrinkToFit="1"/>
      <protection locked="0"/>
    </xf>
    <xf numFmtId="178" fontId="71" fillId="21" borderId="69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76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77" xfId="0" applyNumberFormat="1" applyFont="1" applyFill="1" applyBorder="1" applyAlignment="1" applyProtection="1">
      <alignment horizontal="center" vertical="center" shrinkToFit="1"/>
      <protection locked="0"/>
    </xf>
    <xf numFmtId="178" fontId="71" fillId="21" borderId="78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Alignment="1" applyProtection="1">
      <alignment horizontal="center" vertical="center" wrapText="1" shrinkToFit="1"/>
      <protection locked="0"/>
    </xf>
    <xf numFmtId="0" fontId="90" fillId="0" borderId="0" xfId="0" applyFont="1" applyAlignment="1" applyProtection="1">
      <alignment horizontal="left" shrinkToFit="1"/>
      <protection locked="0"/>
    </xf>
    <xf numFmtId="166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167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31" xfId="0" applyFont="1" applyBorder="1"/>
    <xf numFmtId="172" fontId="41" fillId="0" borderId="32" xfId="0" applyNumberFormat="1" applyFont="1" applyBorder="1" applyAlignment="1" applyProtection="1">
      <alignment horizontal="center" vertical="center" shrinkToFit="1"/>
      <protection locked="0"/>
    </xf>
    <xf numFmtId="172" fontId="41" fillId="0" borderId="33" xfId="0" applyNumberFormat="1" applyFont="1" applyBorder="1" applyAlignment="1" applyProtection="1">
      <alignment horizontal="center" vertical="center" shrinkToFit="1"/>
      <protection locked="0"/>
    </xf>
    <xf numFmtId="172" fontId="41" fillId="0" borderId="34" xfId="0" applyNumberFormat="1" applyFont="1" applyBorder="1" applyAlignment="1" applyProtection="1">
      <alignment horizontal="center" vertical="center" shrinkToFit="1"/>
      <protection locked="0"/>
    </xf>
    <xf numFmtId="172" fontId="41" fillId="0" borderId="37" xfId="0" applyNumberFormat="1" applyFont="1" applyBorder="1" applyAlignment="1" applyProtection="1">
      <alignment horizontal="center" vertical="center" shrinkToFit="1"/>
      <protection locked="0"/>
    </xf>
    <xf numFmtId="172" fontId="41" fillId="0" borderId="38" xfId="0" applyNumberFormat="1" applyFont="1" applyBorder="1" applyAlignment="1" applyProtection="1">
      <alignment horizontal="center" vertical="center" shrinkToFit="1"/>
      <protection locked="0"/>
    </xf>
    <xf numFmtId="172" fontId="41" fillId="0" borderId="39" xfId="0" applyNumberFormat="1" applyFont="1" applyBorder="1" applyAlignment="1" applyProtection="1">
      <alignment horizontal="center" vertical="center" shrinkToFit="1"/>
      <protection locked="0"/>
    </xf>
    <xf numFmtId="3" fontId="35" fillId="0" borderId="12" xfId="0" applyNumberFormat="1" applyFont="1" applyBorder="1" applyAlignment="1" applyProtection="1">
      <alignment horizontal="center" vertical="center" shrinkToFit="1"/>
      <protection locked="0"/>
    </xf>
    <xf numFmtId="0" fontId="45" fillId="0" borderId="40" xfId="0" applyFont="1" applyFill="1" applyBorder="1" applyAlignment="1">
      <alignment horizontal="left"/>
    </xf>
    <xf numFmtId="0" fontId="45" fillId="0" borderId="2" xfId="0" applyFont="1" applyFill="1" applyBorder="1" applyAlignment="1">
      <alignment horizontal="left"/>
    </xf>
    <xf numFmtId="0" fontId="50" fillId="14" borderId="40" xfId="0" applyFont="1" applyFill="1" applyBorder="1" applyAlignment="1" applyProtection="1">
      <alignment horizontal="center" vertical="center" wrapText="1" shrinkToFit="1"/>
      <protection locked="0"/>
    </xf>
    <xf numFmtId="0" fontId="50" fillId="14" borderId="43" xfId="0" applyFont="1" applyFill="1" applyBorder="1" applyAlignment="1" applyProtection="1">
      <alignment horizontal="center" vertical="center" wrapText="1" shrinkToFit="1"/>
      <protection locked="0"/>
    </xf>
    <xf numFmtId="0" fontId="50" fillId="14" borderId="2" xfId="0" applyFont="1" applyFill="1" applyBorder="1" applyAlignment="1" applyProtection="1">
      <alignment horizontal="center" vertical="center" wrapText="1" shrinkToFit="1"/>
      <protection locked="0"/>
    </xf>
    <xf numFmtId="0" fontId="50" fillId="14" borderId="38" xfId="0" applyFont="1" applyFill="1" applyBorder="1" applyAlignment="1" applyProtection="1">
      <alignment horizontal="center" vertical="center" wrapText="1" shrinkToFit="1"/>
      <protection locked="0"/>
    </xf>
    <xf numFmtId="0" fontId="50" fillId="14" borderId="39" xfId="0" applyFont="1" applyFill="1" applyBorder="1" applyAlignment="1" applyProtection="1">
      <alignment horizontal="center" vertical="center" wrapText="1" shrinkToFit="1"/>
      <protection locked="0"/>
    </xf>
    <xf numFmtId="0" fontId="52" fillId="0" borderId="0" xfId="0" applyFont="1" applyFill="1" applyAlignment="1">
      <alignment horizontal="left" vertical="center" wrapText="1"/>
    </xf>
    <xf numFmtId="176" fontId="54" fillId="6" borderId="49" xfId="0" applyNumberFormat="1" applyFont="1" applyFill="1" applyBorder="1" applyAlignment="1" applyProtection="1">
      <alignment horizontal="center" vertical="center" shrinkToFit="1"/>
      <protection locked="0"/>
    </xf>
    <xf numFmtId="176" fontId="54" fillId="6" borderId="50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31" xfId="0" applyFont="1" applyFill="1" applyBorder="1" applyAlignment="1">
      <alignment horizontal="left" vertical="center"/>
    </xf>
    <xf numFmtId="0" fontId="52" fillId="0" borderId="57" xfId="0" applyFont="1" applyFill="1" applyBorder="1" applyAlignment="1">
      <alignment horizontal="left" vertical="center"/>
    </xf>
  </cellXfs>
  <cellStyles count="4">
    <cellStyle name="Гиперссылка" xfId="2" builtinId="8"/>
    <cellStyle name="Денежный" xfId="1" builtinId="4"/>
    <cellStyle name="Обычный" xfId="0" builtinId="0"/>
    <cellStyle name="Обычный_Свод по фактическому состоянию автотранспорта" xfId="3" xr:uid="{82449DAB-1F63-AA47-835E-5E982AACC597}"/>
  </cellStyles>
  <dxfs count="9">
    <dxf>
      <font>
        <color rgb="FFFFFF00"/>
      </font>
      <fill>
        <patternFill>
          <bgColor rgb="FF002060"/>
        </patternFill>
      </fill>
    </dxf>
    <dxf>
      <font>
        <b/>
        <i val="0"/>
        <strike val="0"/>
        <u val="none"/>
        <color rgb="FFFFFF00"/>
      </font>
      <fill>
        <patternFill patternType="solid">
          <fgColor auto="1"/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color theme="0"/>
      </font>
      <fill>
        <patternFill>
          <bgColor rgb="FF830908"/>
        </patternFill>
      </fill>
    </dxf>
    <dxf>
      <fill>
        <patternFill>
          <bgColor rgb="FFFFC0B3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rgb="FFF5A8FF"/>
        </patternFill>
      </fill>
    </dxf>
    <dxf>
      <font>
        <color rgb="FFFF0000"/>
      </font>
      <fill>
        <patternFill patternType="gray0625">
          <fgColor rgb="FFC00000"/>
          <bgColor rgb="FFFFFF00"/>
        </patternFill>
      </fill>
    </dxf>
    <dxf>
      <font>
        <b/>
        <i val="0"/>
        <strike val="0"/>
        <u val="none"/>
        <color rgb="FFC00000"/>
      </font>
      <fill>
        <patternFill patternType="solid">
          <fgColor auto="1"/>
          <bgColor theme="8" tint="0.39994506668294322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pmims\Yandex.Disk.localized\11.2021%20+&#1060;_&#1082;&#1086;&#1088;&#1088;&#1077;&#1082;&#1090;_&#1094;&#1077;&#1085;%20&#1056;&#1072;&#1073;&#1086;&#1095;&#1072;&#1103;%20&#1082;&#1085;&#1080;&#1075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заказов"/>
      <sheetName val="Тариф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8604-8D73-2E42-9A23-14E5AF63E1E4}">
  <dimension ref="A1:X45"/>
  <sheetViews>
    <sheetView tabSelected="1" topLeftCell="A10" workbookViewId="0">
      <selection activeCell="B25" sqref="B25:C25"/>
    </sheetView>
  </sheetViews>
  <sheetFormatPr defaultColWidth="11" defaultRowHeight="15.75"/>
  <cols>
    <col min="1" max="1" width="1.5" style="12" customWidth="1"/>
    <col min="2" max="2" width="29.375" customWidth="1"/>
    <col min="3" max="3" width="20.5" customWidth="1"/>
    <col min="4" max="4" width="56.5" customWidth="1"/>
    <col min="5" max="5" width="1" customWidth="1"/>
    <col min="6" max="6" width="11.875" customWidth="1"/>
    <col min="8" max="8" width="14.875" customWidth="1"/>
    <col min="9" max="9" width="15.875" customWidth="1"/>
    <col min="10" max="10" width="6.625" customWidth="1"/>
    <col min="11" max="11" width="8.5" customWidth="1"/>
    <col min="12" max="12" width="9.625" customWidth="1"/>
    <col min="13" max="13" width="15.5" customWidth="1"/>
    <col min="17" max="17" width="17.875" style="2" customWidth="1"/>
    <col min="18" max="19" width="36.5" customWidth="1"/>
    <col min="20" max="20" width="25.375" customWidth="1"/>
    <col min="22" max="22" width="12.375" customWidth="1"/>
    <col min="23" max="23" width="36" customWidth="1"/>
  </cols>
  <sheetData>
    <row r="1" spans="1:23" ht="16.5" thickBot="1">
      <c r="A1" s="1" t="str">
        <f>B2</f>
        <v>10695_Kaspi++0</v>
      </c>
      <c r="B1" s="2">
        <f>SUMPRODUCT(--ISNUMBER(SEARCH(ROW($1:$10)-1,B2)))</f>
        <v>5</v>
      </c>
      <c r="C1" s="2">
        <f>SUMPRODUCT(--ISNUMBER(SEARCH(ROW($1:$10)-1,C2)))</f>
        <v>8</v>
      </c>
      <c r="D1" s="2">
        <f>SUMPRODUCT(--ISNUMBER(SEARCH(ROW($1:$10)-1,D2)))</f>
        <v>6</v>
      </c>
      <c r="F1" s="2">
        <f>SUMPRODUCT(--ISNUMBER(SEARCH(ROW($1:$10)-1,E2)))</f>
        <v>4</v>
      </c>
    </row>
    <row r="2" spans="1:23" ht="30" thickTop="1" thickBot="1">
      <c r="A2" s="3">
        <f>IFERROR(1*MID(B2,SEARCH("++",B2)+2,99),0)</f>
        <v>0</v>
      </c>
      <c r="B2" s="4" t="str">
        <f>IFERROR(IF(LEFT(C4,3)="ЗАК","подЗАКАЗ_"&amp;Q2,IF(LEFT(K25,3)="Нпл",Q2&amp;"++"&amp;F27,IF(G22=F23,Q2&amp;"++"&amp;"0",IF(G22=F24,Q2&amp;"++"&amp;"0",IF(G22=F25,Q2&amp;"++"&amp;"0",IF(G22=F26,Q2&amp;"++"&amp;"0",IF(K3-K11&gt;=F27,Q2&amp;"++"&amp;"0",R2))))))),"----")</f>
        <v>10695_Kaspi++0</v>
      </c>
      <c r="C2" s="5">
        <f>IF(M6="","Дата заказа",M6)</f>
        <v>44529.382650462961</v>
      </c>
      <c r="D2" s="6">
        <v>5314778</v>
      </c>
      <c r="E2" s="201">
        <v>44529</v>
      </c>
      <c r="F2" s="201"/>
      <c r="G2" s="201"/>
      <c r="H2" s="202" t="str">
        <f>IF(K3&lt;900,"ОПЛАТА в ТК= "&amp;G22,"Оплачено в ТК= "&amp;G22)</f>
        <v>Оплачено в ТК= нет доставки</v>
      </c>
      <c r="I2" s="202"/>
      <c r="J2" s="202"/>
      <c r="K2" s="7" t="e">
        <f>'[1]Список заказов'!C2</f>
        <v>#REF!</v>
      </c>
      <c r="L2" s="8" t="s">
        <v>0</v>
      </c>
      <c r="Q2" s="9" t="str">
        <f>IF(K3&gt;0,""&amp;R2&amp;"_"&amp;J3&amp;"",R2)</f>
        <v>10695_Kaspi</v>
      </c>
      <c r="R2" s="9" t="str">
        <f>IF(LEFT(L2,3)="Зак",RIGHT(L2,LEN(L2)-8),L2)</f>
        <v>10695</v>
      </c>
      <c r="S2" s="10" t="b">
        <f>R2&gt;100</f>
        <v>1</v>
      </c>
      <c r="T2" s="10"/>
      <c r="U2" s="11"/>
      <c r="V2" s="11"/>
      <c r="W2" s="11"/>
    </row>
    <row r="3" spans="1:23" ht="20.25" thickTop="1" thickBot="1">
      <c r="A3" s="12">
        <f>SUM(A4:A19)</f>
        <v>106</v>
      </c>
      <c r="B3" s="13" t="s">
        <v>1</v>
      </c>
      <c r="C3" s="14" t="s">
        <v>2</v>
      </c>
      <c r="D3" s="15" t="s">
        <v>3</v>
      </c>
      <c r="E3" s="16"/>
      <c r="F3" s="17" t="s">
        <v>4</v>
      </c>
      <c r="G3" s="18" t="s">
        <v>5</v>
      </c>
      <c r="H3" s="19" t="s">
        <v>6</v>
      </c>
      <c r="I3" s="20">
        <f ca="1">IF(MAX(I4:I11)&gt;0,MAX(I4:I11),"")</f>
        <v>44529</v>
      </c>
      <c r="J3" s="21" t="str">
        <f>IF(K11&gt;0,"Нпл-АВ",IF(K5&gt;0,"Наличные",IF(K5&gt;0,"ПЕРЕВОД",IF(K6&gt;0,"Beeline",IF(K7&gt;0,"Kaspi",IF(K8&gt;0,"QIWI",IF(K9&gt;0,"Alfa",0)))))))</f>
        <v>Kaspi</v>
      </c>
      <c r="K3" s="22">
        <f>SUM(K4:K11)</f>
        <v>6900</v>
      </c>
      <c r="L3" s="8" t="s">
        <v>7</v>
      </c>
    </row>
    <row r="4" spans="1:23" ht="27" thickTop="1">
      <c r="A4" s="12">
        <f t="shared" ref="A4:A19" si="0">IFERROR(IF(M28&gt;1,E4,(E4*F4)),0)</f>
        <v>106</v>
      </c>
      <c r="B4" s="23"/>
      <c r="C4" s="24" t="b">
        <f>D4=""</f>
        <v>0</v>
      </c>
      <c r="D4" s="25" t="str">
        <f t="shared" ref="D4:D19" si="1">IFERROR(IF(L28&lt;&gt;"",T28,""),W28)</f>
        <v xml:space="preserve"> D30x20  (42 кг)</v>
      </c>
      <c r="E4" s="26">
        <f t="shared" ref="E4:E19" si="2">IF(L28&lt;&gt;"",S28,"")</f>
        <v>106</v>
      </c>
      <c r="F4" s="26">
        <f t="shared" ref="F4:F19" si="3">IF(M28&gt;0,M28,"")</f>
        <v>1</v>
      </c>
      <c r="G4" s="27">
        <f t="shared" ref="G4:G19" si="4">IF(N28="уточняйте",0,IF(M28&gt;0,N28,""))</f>
        <v>5500</v>
      </c>
      <c r="H4" s="28">
        <f t="shared" ref="H4:H19" si="5">IFERROR(IF(F4&lt;&gt;"",G4*F4,""),0)</f>
        <v>5500</v>
      </c>
      <c r="I4" s="29" t="str">
        <f t="shared" ref="I4" ca="1" si="6">IF(K4 &gt;0,TODAY(),"")</f>
        <v/>
      </c>
      <c r="J4" s="30"/>
      <c r="K4" s="31"/>
      <c r="L4" s="8" t="s">
        <v>8</v>
      </c>
      <c r="Q4" s="32"/>
      <c r="R4" s="10"/>
      <c r="S4" s="10"/>
      <c r="T4" s="10"/>
      <c r="U4" s="33"/>
      <c r="V4" s="33"/>
      <c r="W4" s="34"/>
    </row>
    <row r="5" spans="1:23" ht="26.25">
      <c r="A5" s="12">
        <f t="shared" si="0"/>
        <v>0</v>
      </c>
      <c r="B5" s="35"/>
      <c r="C5" s="24"/>
      <c r="D5" s="25" t="str">
        <f t="shared" si="1"/>
        <v/>
      </c>
      <c r="E5" s="26" t="str">
        <f t="shared" si="2"/>
        <v/>
      </c>
      <c r="F5" s="26" t="str">
        <f t="shared" si="3"/>
        <v/>
      </c>
      <c r="G5" s="27" t="str">
        <f t="shared" si="4"/>
        <v/>
      </c>
      <c r="H5" s="28" t="str">
        <f t="shared" si="5"/>
        <v/>
      </c>
      <c r="I5" s="36"/>
      <c r="J5" s="37" t="s">
        <v>9</v>
      </c>
      <c r="K5" s="38"/>
      <c r="L5" s="39" t="s">
        <v>10</v>
      </c>
      <c r="M5" s="39"/>
      <c r="Q5" s="40"/>
      <c r="R5" s="33"/>
      <c r="S5" s="33"/>
      <c r="T5" s="33"/>
      <c r="U5" s="33"/>
      <c r="V5" s="33"/>
      <c r="W5" s="33"/>
    </row>
    <row r="6" spans="1:23" ht="26.25">
      <c r="A6" s="12">
        <f t="shared" si="0"/>
        <v>0</v>
      </c>
      <c r="B6" s="35"/>
      <c r="C6" s="24"/>
      <c r="D6" s="25" t="str">
        <f t="shared" si="1"/>
        <v/>
      </c>
      <c r="E6" s="26" t="str">
        <f t="shared" si="2"/>
        <v/>
      </c>
      <c r="F6" s="26" t="str">
        <f t="shared" si="3"/>
        <v/>
      </c>
      <c r="G6" s="27" t="str">
        <f t="shared" si="4"/>
        <v/>
      </c>
      <c r="H6" s="28" t="str">
        <f t="shared" si="5"/>
        <v/>
      </c>
      <c r="I6" s="41"/>
      <c r="J6" s="37"/>
      <c r="K6" s="42"/>
      <c r="L6" s="39" t="s">
        <v>11</v>
      </c>
      <c r="M6" s="43">
        <v>44529.382650462961</v>
      </c>
      <c r="Q6" s="44" t="str">
        <f>MID(L6,15,70)</f>
        <v/>
      </c>
      <c r="R6" s="33"/>
      <c r="S6" s="45"/>
      <c r="T6" s="33"/>
      <c r="U6" s="33"/>
      <c r="V6" s="33"/>
      <c r="W6" s="33"/>
    </row>
    <row r="7" spans="1:23" ht="33.75">
      <c r="A7" s="12">
        <f t="shared" si="0"/>
        <v>0</v>
      </c>
      <c r="B7" s="46"/>
      <c r="C7" s="24"/>
      <c r="D7" s="25" t="str">
        <f t="shared" si="1"/>
        <v/>
      </c>
      <c r="E7" s="26" t="str">
        <f t="shared" si="2"/>
        <v/>
      </c>
      <c r="F7" s="26" t="str">
        <f t="shared" si="3"/>
        <v/>
      </c>
      <c r="G7" s="27" t="str">
        <f t="shared" si="4"/>
        <v/>
      </c>
      <c r="H7" s="28" t="str">
        <f t="shared" si="5"/>
        <v/>
      </c>
      <c r="I7" s="41">
        <v>44529</v>
      </c>
      <c r="J7" s="37" t="s">
        <v>12</v>
      </c>
      <c r="K7" s="42">
        <v>6900</v>
      </c>
      <c r="Q7" s="44" t="str">
        <f>MID(L7,15,70)</f>
        <v/>
      </c>
      <c r="R7" s="47" t="str">
        <f t="array" ref="R7">TEXT(SUM(MID(0&amp;M7,LARGE(ISNUMBER(-MID(M7,ROW($2:$94),1))*ROW($2:$94),ROW($2:$20)+15)+1,1)*10^ROW($2:$20)/10),REPT(0,MIN(MAX(COUNT(1/(MID(M7,ROW($2:$94),1)+1))-15,),15)))&amp;TEXT(SUM(MID(0&amp;M7,LARGE(ISNUMBER(-MID(M7,ROW($2:$94),1))*ROW($2:$94),ROW($2:$20))+1,1)*10^ROW($2:$20)/10),REPT(0,MIN(COUNT(1/(MID(M7,ROW($2:$94),1)+1)),15)))</f>
        <v/>
      </c>
      <c r="S7" s="33"/>
      <c r="T7" s="33"/>
      <c r="U7" s="33"/>
      <c r="V7" s="33"/>
      <c r="W7" s="33"/>
    </row>
    <row r="8" spans="1:23" ht="33.75">
      <c r="A8" s="12">
        <f t="shared" si="0"/>
        <v>0</v>
      </c>
      <c r="B8" s="46"/>
      <c r="C8" s="24"/>
      <c r="D8" s="25" t="str">
        <f t="shared" si="1"/>
        <v/>
      </c>
      <c r="E8" s="26" t="str">
        <f t="shared" si="2"/>
        <v/>
      </c>
      <c r="F8" s="26" t="str">
        <f t="shared" si="3"/>
        <v/>
      </c>
      <c r="G8" s="27" t="str">
        <f t="shared" si="4"/>
        <v/>
      </c>
      <c r="H8" s="28" t="str">
        <f t="shared" si="5"/>
        <v/>
      </c>
      <c r="I8" s="41"/>
      <c r="J8" s="37"/>
      <c r="K8" s="42"/>
      <c r="Q8" s="44" t="str">
        <f>MID(L8,15,70)</f>
        <v/>
      </c>
      <c r="R8" s="33"/>
      <c r="S8" s="33"/>
      <c r="T8" s="33"/>
      <c r="U8" s="33"/>
      <c r="V8" s="33"/>
      <c r="W8" s="33"/>
    </row>
    <row r="9" spans="1:23" ht="33.75">
      <c r="A9" s="12">
        <f t="shared" si="0"/>
        <v>0</v>
      </c>
      <c r="B9" s="48"/>
      <c r="C9" s="49"/>
      <c r="D9" s="25" t="str">
        <f t="shared" si="1"/>
        <v/>
      </c>
      <c r="E9" s="26" t="str">
        <f t="shared" si="2"/>
        <v/>
      </c>
      <c r="F9" s="26" t="str">
        <f t="shared" si="3"/>
        <v/>
      </c>
      <c r="G9" s="27" t="str">
        <f t="shared" si="4"/>
        <v/>
      </c>
      <c r="H9" s="28" t="str">
        <f t="shared" si="5"/>
        <v/>
      </c>
      <c r="I9" s="41"/>
      <c r="J9" s="37" t="s">
        <v>13</v>
      </c>
      <c r="K9" s="42"/>
      <c r="L9" s="50" t="s">
        <v>14</v>
      </c>
      <c r="Q9" s="44"/>
      <c r="R9" s="33"/>
      <c r="S9" s="33"/>
      <c r="T9" s="33"/>
      <c r="U9" s="33"/>
      <c r="V9" s="33"/>
      <c r="W9" s="33"/>
    </row>
    <row r="10" spans="1:23" ht="33.75">
      <c r="A10" s="12">
        <f t="shared" si="0"/>
        <v>0</v>
      </c>
      <c r="B10" s="48"/>
      <c r="C10" s="49"/>
      <c r="D10" s="25" t="str">
        <f t="shared" si="1"/>
        <v/>
      </c>
      <c r="E10" s="26" t="str">
        <f t="shared" si="2"/>
        <v/>
      </c>
      <c r="F10" s="26" t="str">
        <f t="shared" si="3"/>
        <v/>
      </c>
      <c r="G10" s="27" t="str">
        <f t="shared" si="4"/>
        <v/>
      </c>
      <c r="H10" s="28" t="str">
        <f t="shared" si="5"/>
        <v/>
      </c>
      <c r="I10" s="51"/>
      <c r="J10" s="52"/>
      <c r="K10" s="53"/>
      <c r="Q10" s="54"/>
      <c r="R10" s="33"/>
      <c r="S10" s="33"/>
      <c r="T10" s="33"/>
      <c r="U10" s="33"/>
      <c r="V10" s="33"/>
      <c r="W10" s="33"/>
    </row>
    <row r="11" spans="1:23" ht="34.5" thickBot="1">
      <c r="A11" s="12">
        <f t="shared" si="0"/>
        <v>0</v>
      </c>
      <c r="B11" s="48"/>
      <c r="C11" s="49"/>
      <c r="D11" s="25" t="str">
        <f t="shared" si="1"/>
        <v/>
      </c>
      <c r="E11" s="26" t="str">
        <f t="shared" si="2"/>
        <v/>
      </c>
      <c r="F11" s="26" t="str">
        <f t="shared" si="3"/>
        <v/>
      </c>
      <c r="G11" s="27" t="str">
        <f t="shared" si="4"/>
        <v/>
      </c>
      <c r="H11" s="28" t="str">
        <f t="shared" si="5"/>
        <v/>
      </c>
      <c r="I11" s="55"/>
      <c r="J11" s="56" t="s">
        <v>15</v>
      </c>
      <c r="K11" s="57"/>
      <c r="L11" s="58" t="s">
        <v>16</v>
      </c>
      <c r="Q11" s="59" t="str">
        <f>IF(LEFT(L11,3)="Здр",MID(L11,15,70),L11)</f>
        <v>Аткельдиров </v>
      </c>
      <c r="R11" s="33"/>
      <c r="S11" s="33"/>
      <c r="T11" s="33"/>
      <c r="U11" s="33"/>
      <c r="V11" s="33"/>
      <c r="W11" s="33"/>
    </row>
    <row r="12" spans="1:23" ht="24" thickTop="1">
      <c r="A12" s="12">
        <f t="shared" si="0"/>
        <v>0</v>
      </c>
      <c r="B12" s="60"/>
      <c r="C12" s="49"/>
      <c r="D12" s="25" t="str">
        <f t="shared" si="1"/>
        <v/>
      </c>
      <c r="E12" s="61" t="str">
        <f t="shared" si="2"/>
        <v/>
      </c>
      <c r="F12" s="61" t="str">
        <f t="shared" si="3"/>
        <v/>
      </c>
      <c r="G12" s="62" t="str">
        <f t="shared" si="4"/>
        <v/>
      </c>
      <c r="H12" s="63" t="str">
        <f t="shared" si="5"/>
        <v/>
      </c>
      <c r="I12" s="64"/>
      <c r="J12" s="65"/>
      <c r="K12" s="66"/>
      <c r="L12" s="58" t="s">
        <v>17</v>
      </c>
      <c r="Q12" s="54"/>
      <c r="R12" s="33"/>
      <c r="S12" s="33"/>
      <c r="T12" s="33"/>
      <c r="U12" s="33"/>
      <c r="V12" s="33"/>
      <c r="W12" s="33"/>
    </row>
    <row r="13" spans="1:23" ht="23.25">
      <c r="A13" s="12">
        <f t="shared" si="0"/>
        <v>0</v>
      </c>
      <c r="B13" s="60"/>
      <c r="C13" s="49"/>
      <c r="D13" s="25" t="str">
        <f t="shared" si="1"/>
        <v/>
      </c>
      <c r="E13" s="61" t="str">
        <f t="shared" si="2"/>
        <v/>
      </c>
      <c r="F13" s="61" t="str">
        <f t="shared" si="3"/>
        <v/>
      </c>
      <c r="G13" s="62" t="str">
        <f t="shared" si="4"/>
        <v/>
      </c>
      <c r="H13" s="63" t="str">
        <f t="shared" si="5"/>
        <v/>
      </c>
      <c r="I13" s="67"/>
      <c r="J13" s="68"/>
      <c r="K13" s="69"/>
      <c r="L13" s="39" t="s">
        <v>18</v>
      </c>
      <c r="M13" s="39" t="s">
        <v>19</v>
      </c>
      <c r="Q13" t="str">
        <f t="shared" ref="Q13:Q14" si="7">SUBSTITUTE( SUBSTITUTE( SUBSTITUTE( SUBSTITUTE( SUBSTITUTE( M13,"(", ""),")", ""),"+", ""),"-", "")," ", "")</f>
        <v/>
      </c>
      <c r="R13" t="str">
        <f t="array" aca="1" ref="R13" ca="1">"+7"&amp;RIGHT( MID(Q13,1, IFERROR( MATCH( FALSE, ISNUMBER( VALUE( MID(Q13, ROW( INDIRECT( "1:"&amp;LEN( Q13))), 1))), 0)-1, LEN(Q13))), 10)</f>
        <v>+7</v>
      </c>
      <c r="S13" s="70" t="str">
        <f ca="1">(MID(R13,1,1))&amp;"-"&amp;(MID(R13,2,3))&amp;"-"&amp;(MID(R13,5,3))&amp;"-"&amp;(MID(R13,8,2))&amp;"-"&amp;(MID(R13,10,2))&amp;"   "&amp;(MID(R13,12,1))&amp;"-"&amp;(MID(R13,13,3))&amp;"-"&amp;(MID(R13,16,3))&amp;"-"&amp;(MID(R13,19,2))&amp;"-"&amp;(MID(R13,21,2))&amp;"   "&amp;(MID(R13,23,1))&amp;"-"&amp;(MID(R13,24,3))&amp;"-"&amp;(MID(R13,27,3))&amp;"-"&amp;(MID(R13,30,2))&amp;"-"&amp;(MID(R13,32,2))</f>
        <v>+-7---   ----   ----</v>
      </c>
      <c r="T13" s="33"/>
      <c r="U13" s="33"/>
      <c r="V13" s="33"/>
      <c r="W13" s="33"/>
    </row>
    <row r="14" spans="1:23" ht="23.25">
      <c r="A14" s="12">
        <f t="shared" si="0"/>
        <v>0</v>
      </c>
      <c r="B14" s="60"/>
      <c r="C14" s="49"/>
      <c r="D14" s="25" t="str">
        <f t="shared" si="1"/>
        <v/>
      </c>
      <c r="E14" s="61" t="str">
        <f t="shared" si="2"/>
        <v/>
      </c>
      <c r="F14" s="61" t="str">
        <f t="shared" si="3"/>
        <v/>
      </c>
      <c r="G14" s="62" t="str">
        <f t="shared" si="4"/>
        <v/>
      </c>
      <c r="H14" s="63" t="str">
        <f t="shared" si="5"/>
        <v/>
      </c>
      <c r="I14" s="67"/>
      <c r="J14" s="68"/>
      <c r="K14" s="69"/>
      <c r="L14" s="39" t="s">
        <v>20</v>
      </c>
      <c r="M14" s="39" t="s">
        <v>21</v>
      </c>
      <c r="Q14" s="71" t="str">
        <f t="shared" si="7"/>
        <v>77775460680</v>
      </c>
      <c r="R14" s="71" t="str">
        <f ca="1">IF(M14&lt;1,"Номер телефона",("8"&amp;RIGHT(MID(Q14,1,IFERROR(MATCH(FALSE,ISNUMBER(VALUE(MID(Q14,ROW(INDIRECT("1:"&amp;LEN(Q14))),1))),0)-1,LEN(Q14))),10)&amp;IF(IFERROR(RIGHT(Q15,5)*2,0)&lt;1,"","8"&amp;RIGHT(MID(Q15,1,IFERROR(MATCH(FALSE,ISNUMBER(VALUE(MID(Q15,ROW(INDIRECT("1:"&amp;LEN(Q15))),1))),0)-1,LEN(Q15))),10)&amp;IF(IFERROR(RIGHT(Q16,5)*2,0)&lt;1,"","8"&amp;RIGHT(MID(Q16,1,IFERROR(MATCH(FALSE,ISNUMBER(VALUE(MID(Q16,ROW(INDIRECT("1:"&amp;LEN(Q16))),1))),0)-1,LEN(Q16))),10)))))</f>
        <v>87775460680</v>
      </c>
      <c r="S14" s="72" t="str">
        <f ca="1">IF(IFERROR(RIGHT(Q14,5)*2,0)&lt;1,"Номер телефона",(MID(R14,1,1))&amp;"-"&amp;(MID(R14,2,3))&amp;"-"&amp;(MID(R14,5,3))&amp;"-"&amp;(MID(R14,8,2))&amp;"-"&amp;(MID(R14,10,2))&amp;"   "&amp;IF(M15&lt;1,"",(MID(R14,12,1))&amp;"-"&amp;(MID(R14,13,3))&amp;"-"&amp;(MID(R14,16,3))&amp;"-"&amp;(MID(R14,19,2))&amp;"-"&amp;(MID(R14,21,2))&amp;"   "&amp;IF(M16&lt;1,"",(MID(R14,23,1))&amp;"-"&amp;(MID(R14,24,3))&amp;"-"&amp;(MID(R14,27,3))&amp;"-"&amp;(MID(R14,30,2))&amp;"-"&amp;(MID(R14,32,2)))))</f>
        <v>8-777-546-06-80   ----   ----</v>
      </c>
      <c r="T14" s="33" t="str">
        <f ca="1">"8"&amp;RIGHT( MID(Q14,1, IFERROR( MATCH( FALSE, ISNUMBER( VALUE( MID(Q14, ROW( INDIRECT( "1:"&amp;LEN( Q14))), 1))), 0)-1, LEN(Q14))), 10)&amp;"8"&amp;RIGHT( MID(Q15,1, IFERROR( MATCH( FALSE, ISNUMBER( VALUE( MID(Q15, ROW( INDIRECT( "1:"&amp;LEN( Q15))), 1))), 0)-1, LEN(Q15))), 10)&amp;"8"&amp;RIGHT( MID(Q16,1, IFERROR( MATCH( FALSE, ISNUMBER( VALUE( MID(Q16, ROW( INDIRECT( "1:"&amp;LEN( Q16))), 1))), 0)-1, LEN(Q16))), 10)</f>
        <v>8777546068088</v>
      </c>
      <c r="U14" s="33" t="str">
        <f ca="1">IF(M14&lt;1,"Номер телефона",("8"&amp;RIGHT(MID(Q14,1,IFERROR(MATCH(FALSE,ISNUMBER(VALUE(MID(Q14,ROW(INDIRECT("1:"&amp;LEN(Q14))),1))),0)-1,LEN(Q14))),10)&amp;"8"&amp;RIGHT(MID(Q15,1,IFERROR(MATCH(FALSE,ISNUMBER(VALUE(MID(Q15,ROW(INDIRECT("1:"&amp;LEN(Q15))),1))),0)-1,LEN(Q15))),10)&amp;"8"&amp;RIGHT(MID(Q16,1,IFERROR(MATCH(FALSE,ISNUMBER(VALUE(MID(Q16,ROW(INDIRECT("1:"&amp;LEN(Q16))),1))),0)-1,LEN(Q16))),10)))</f>
        <v>8777546068088</v>
      </c>
      <c r="V14" s="33" t="str">
        <f>IFERROR(M16*2&lt;1,"-")</f>
        <v>-</v>
      </c>
      <c r="W14" s="33"/>
    </row>
    <row r="15" spans="1:23" ht="23.25">
      <c r="A15" s="12">
        <f t="shared" si="0"/>
        <v>0</v>
      </c>
      <c r="B15" s="60"/>
      <c r="C15" s="49"/>
      <c r="D15" s="25" t="str">
        <f t="shared" si="1"/>
        <v/>
      </c>
      <c r="E15" s="61" t="str">
        <f t="shared" si="2"/>
        <v/>
      </c>
      <c r="F15" s="61" t="str">
        <f t="shared" si="3"/>
        <v/>
      </c>
      <c r="G15" s="62" t="str">
        <f t="shared" si="4"/>
        <v/>
      </c>
      <c r="H15" s="63" t="str">
        <f t="shared" si="5"/>
        <v/>
      </c>
      <c r="I15" s="67"/>
      <c r="J15" s="68"/>
      <c r="K15" s="69"/>
      <c r="L15" s="39" t="s">
        <v>22</v>
      </c>
      <c r="M15" s="39" t="s">
        <v>19</v>
      </c>
      <c r="Q15" s="71" t="str">
        <f>SUBSTITUTE( SUBSTITUTE( SUBSTITUTE( SUBSTITUTE( SUBSTITUTE( M15,"(", ""),")", ""),"+", ""),"-", "")," ", "")</f>
        <v/>
      </c>
      <c r="R15" s="71" t="str">
        <f ca="1">IF(IFERROR(RIGHT(Q15,5)*2,0)&lt;1,"","8"&amp;RIGHT(MID(Q15,1,IFERROR(MATCH(FALSE,ISNUMBER(VALUE(MID(Q15,ROW(INDIRECT("1:"&amp;LEN(Q15))),1))),0)-1,LEN(Q15))),10))</f>
        <v/>
      </c>
      <c r="S15" s="33"/>
      <c r="T15" s="33"/>
      <c r="U15" s="33" t="str">
        <f>IF(IFERROR(RIGHT(Q15,5)*2,0)&lt;1,"",7)</f>
        <v/>
      </c>
      <c r="V15" s="33"/>
      <c r="W15" s="33"/>
    </row>
    <row r="16" spans="1:23" ht="23.25">
      <c r="A16" s="12">
        <f t="shared" si="0"/>
        <v>0</v>
      </c>
      <c r="B16" s="60"/>
      <c r="C16" s="49"/>
      <c r="D16" s="25" t="str">
        <f t="shared" si="1"/>
        <v/>
      </c>
      <c r="E16" s="61" t="str">
        <f t="shared" si="2"/>
        <v/>
      </c>
      <c r="F16" s="61" t="str">
        <f t="shared" si="3"/>
        <v/>
      </c>
      <c r="G16" s="62" t="str">
        <f t="shared" si="4"/>
        <v/>
      </c>
      <c r="H16" s="63" t="str">
        <f t="shared" si="5"/>
        <v/>
      </c>
      <c r="I16" s="67"/>
      <c r="J16" s="68"/>
      <c r="K16" s="69"/>
      <c r="L16" s="39" t="s">
        <v>23</v>
      </c>
      <c r="M16" s="39" t="s">
        <v>19</v>
      </c>
      <c r="Q16" s="71" t="str">
        <f>SUBSTITUTE( SUBSTITUTE( SUBSTITUTE( SUBSTITUTE( SUBSTITUTE( M16,"(", ""),")", ""),"+", ""),"-", "")," ", "")</f>
        <v/>
      </c>
      <c r="R16" s="71" t="str">
        <f ca="1">IF(IFERROR(RIGHT(Q16,5)*2,0)&lt;1,"","8"&amp;RIGHT(MID(Q16,1,IFERROR(MATCH(FALSE,ISNUMBER(VALUE(MID(Q16,ROW(INDIRECT("1:"&amp;LEN(Q16))),1))),0)-1,LEN(Q16))),10))</f>
        <v/>
      </c>
      <c r="S16" s="73" t="e">
        <f ca="1">SUMPRODUCT(--SUBSTITUTE(R16:R16,CHAR(160),))</f>
        <v>#VALUE!</v>
      </c>
      <c r="T16" s="74">
        <f ca="1">LEN(R16)</f>
        <v>0</v>
      </c>
      <c r="U16" s="33" t="s">
        <v>24</v>
      </c>
      <c r="V16" s="33"/>
      <c r="W16" s="33"/>
    </row>
    <row r="17" spans="1:24" ht="23.25">
      <c r="A17" s="12">
        <f t="shared" si="0"/>
        <v>0</v>
      </c>
      <c r="B17" s="60"/>
      <c r="C17" s="49"/>
      <c r="D17" s="25" t="str">
        <f t="shared" si="1"/>
        <v/>
      </c>
      <c r="E17" s="61" t="str">
        <f t="shared" si="2"/>
        <v/>
      </c>
      <c r="F17" s="61" t="str">
        <f t="shared" si="3"/>
        <v/>
      </c>
      <c r="G17" s="62" t="str">
        <f t="shared" si="4"/>
        <v/>
      </c>
      <c r="H17" s="63" t="str">
        <f t="shared" si="5"/>
        <v/>
      </c>
      <c r="I17" s="67"/>
      <c r="J17" s="68"/>
      <c r="K17" s="69"/>
      <c r="L17" s="39"/>
      <c r="M17" s="39"/>
      <c r="Q17" s="44" t="str">
        <f>MID(M17,9,70)</f>
        <v/>
      </c>
      <c r="R17" s="33"/>
      <c r="S17" s="33"/>
      <c r="T17" s="33"/>
      <c r="U17" s="33"/>
      <c r="V17" s="33"/>
      <c r="W17" s="33"/>
    </row>
    <row r="18" spans="1:24" ht="23.25">
      <c r="A18" s="12">
        <f t="shared" si="0"/>
        <v>0</v>
      </c>
      <c r="B18" s="75"/>
      <c r="C18" s="49"/>
      <c r="D18" s="25" t="str">
        <f t="shared" si="1"/>
        <v/>
      </c>
      <c r="E18" s="61" t="str">
        <f t="shared" si="2"/>
        <v/>
      </c>
      <c r="F18" s="61" t="str">
        <f t="shared" si="3"/>
        <v/>
      </c>
      <c r="G18" s="62" t="str">
        <f t="shared" si="4"/>
        <v/>
      </c>
      <c r="H18" s="63" t="str">
        <f t="shared" si="5"/>
        <v/>
      </c>
      <c r="I18" s="67"/>
      <c r="J18" s="68"/>
      <c r="K18" s="69"/>
      <c r="L18" s="203" t="s">
        <v>25</v>
      </c>
      <c r="M18" s="39" t="s">
        <v>26</v>
      </c>
      <c r="Q18" s="44" t="str">
        <f>MID(M18,9,70)</f>
        <v/>
      </c>
      <c r="R18" s="33">
        <f>IF(LEFT(L18,4)="ваша",VALUE(MID(L18,13,20))*100,0)</f>
        <v>0</v>
      </c>
      <c r="S18" s="33"/>
      <c r="T18" s="33"/>
      <c r="U18" s="33"/>
      <c r="V18" s="33"/>
      <c r="W18" s="33"/>
    </row>
    <row r="19" spans="1:24" ht="23.25">
      <c r="A19" s="12">
        <f t="shared" si="0"/>
        <v>0</v>
      </c>
      <c r="B19" s="75"/>
      <c r="C19" s="49"/>
      <c r="D19" s="25" t="str">
        <f t="shared" si="1"/>
        <v/>
      </c>
      <c r="E19" s="61" t="str">
        <f t="shared" si="2"/>
        <v/>
      </c>
      <c r="F19" s="61" t="str">
        <f t="shared" si="3"/>
        <v/>
      </c>
      <c r="G19" s="62" t="str">
        <f t="shared" si="4"/>
        <v/>
      </c>
      <c r="H19" s="63" t="str">
        <f t="shared" si="5"/>
        <v/>
      </c>
      <c r="I19" s="204" t="e">
        <f>'[1]Список заказов'!D3</f>
        <v>#REF!</v>
      </c>
      <c r="J19" s="205"/>
      <c r="K19" s="206"/>
      <c r="L19" s="203"/>
      <c r="M19" s="39" t="s">
        <v>27</v>
      </c>
      <c r="Q19" s="44" t="str">
        <f>MID(M19,10,70)</f>
        <v/>
      </c>
      <c r="R19" s="76"/>
      <c r="S19" s="33"/>
      <c r="T19" s="33"/>
      <c r="U19" s="33"/>
      <c r="V19" s="33"/>
      <c r="W19" s="77"/>
    </row>
    <row r="20" spans="1:24" ht="24" thickBot="1">
      <c r="B20" s="78"/>
      <c r="C20" s="49"/>
      <c r="D20" s="25" t="str">
        <f>IF(K3&gt;=F27,"О П Л А Ч Е Н О",IF(J3="Нпл-АВАНС",K24&amp;"  Нпл-АВАНС "&amp;F27&amp;"  "&amp;K24,IF(A2&gt;0,"Н А Л О Ж Е Н Н Ы Й   П Л А Т Е Ж    "&amp;K24,IF(K3=0,"ЖДУ ВЫБОРА СПОСОБА ОПЛАТЫ","Ожидание ПРЕДОПЛАТЫ"))))</f>
        <v>Ожидание ПРЕДОПЛАТЫ</v>
      </c>
      <c r="E20" s="79"/>
      <c r="F20" s="210" t="s">
        <v>28</v>
      </c>
      <c r="G20" s="210"/>
      <c r="H20" s="80">
        <f>SUM(H4:H19)</f>
        <v>5500</v>
      </c>
      <c r="I20" s="207"/>
      <c r="J20" s="208"/>
      <c r="K20" s="209"/>
      <c r="L20" s="203"/>
      <c r="M20" s="39" t="s">
        <v>29</v>
      </c>
      <c r="Q20" s="81" t="str">
        <f>IF(LEFT(M20,3)="обл","Область",MID(M20,1,70))</f>
        <v>Область</v>
      </c>
      <c r="R20" s="76">
        <f>IF(LEFT(L20,4)="ваша",VALUE(MID(L20,13,20))*100,0)</f>
        <v>0</v>
      </c>
      <c r="S20" s="33"/>
      <c r="T20" s="33"/>
      <c r="U20" s="33"/>
      <c r="V20" s="33"/>
      <c r="W20" s="82"/>
    </row>
    <row r="21" spans="1:24" ht="31.5" thickTop="1" thickBot="1">
      <c r="B21" s="211" t="str">
        <f>IF(LEFT(L11,3)&lt;&gt;"Здр",UPPER(Q11),UPPER(TRIM(SUBSTITUTE(VLOOKUP("Здравствуйте*",L:L,1,0),"Здравствуйте,",))))</f>
        <v>АТКЕЛЬДИРОВ </v>
      </c>
      <c r="C21" s="212"/>
      <c r="D21" s="83">
        <f>SUM(A4:A19)*1.37/1000</f>
        <v>0.14521999999999999</v>
      </c>
      <c r="E21" s="84"/>
      <c r="F21" s="84" t="s">
        <v>30</v>
      </c>
      <c r="G21" s="85">
        <v>0</v>
      </c>
      <c r="H21" s="86">
        <f>H20-(H20*G21/100)</f>
        <v>5500</v>
      </c>
      <c r="I21" s="213" t="str">
        <f>IF(H20=0,"--------------",IF(J3="Нпл-АВ","Нпл-АВАНС "&amp;F27,IF((IFERROR(A2,0))&gt;0,"Н П Л = "&amp;F27,"ПРЕДОПЛАТА")))</f>
        <v>ПРЕДОПЛАТА</v>
      </c>
      <c r="J21" s="214"/>
      <c r="K21" s="215"/>
      <c r="L21" s="203"/>
      <c r="M21" s="39" t="s">
        <v>31</v>
      </c>
      <c r="Q21" s="87" t="str">
        <f>IF(LEFT(M21,3)="гор","Город",TRIM(M21))</f>
        <v>Город</v>
      </c>
      <c r="R21" s="76">
        <f>IF(LEFT(L33,4)="ваша",VALUE(MID(L33,13,20))*100,0)</f>
        <v>0</v>
      </c>
      <c r="S21" s="33"/>
      <c r="T21" s="33"/>
      <c r="U21" s="33"/>
      <c r="V21" s="33"/>
      <c r="W21" s="82"/>
    </row>
    <row r="22" spans="1:24" ht="27.75" thickTop="1" thickBot="1">
      <c r="A22" s="88" t="s">
        <v>32</v>
      </c>
      <c r="B22" s="218" t="str">
        <f>IF(LEFT(L11,3)&lt;&gt;"Здр",((((("ул. "&amp;UPPER((Q22)))&amp;IF(UPPER((M23))="","  Дом, Квартира","  д."&amp;UPPER((M23)))&amp;IF(R24&gt;0,IF(UPPER((M24))=" ","  Квартира","  кв."&amp;UPPER((M24))),""))))),(UPPER("ул. "&amp;UPPER(TRIM(SUBSTITUTE(VLOOKUP("Улица*",M:M,1,0),"Улица:",)))&amp;" д. "&amp;TRIM(SUBSTITUTE(VLOOKUP("Здание*",M:M,1,0),"Здание:",))&amp;" кв. "&amp;TRIM(SUBSTITUTE(SUBSTITUTE(VLOOKUP("Квартира*",M:M,1,0),"Квартира:",),"офис",)))))</f>
        <v>УЛ. МИРА Д. 119 КВ. 52</v>
      </c>
      <c r="C22" s="218"/>
      <c r="D22" s="89" t="str">
        <f>IF(F23=0,"TK   ОФИС - Самовывоз со склада в Костанае",IF(G22=F23,D23,IF(G22=F24,D24,IF(G22=F25,D25,IF(G22=F26,D26,IF(G22=H23,D23&amp;" + НПл 4%",IF(G22=H24,D24&amp;" + НПл 2%",IF(G22=H25,D25&amp;" + НПл 2%",IF(G22=H26,D26&amp;" + НПл 2%","Выберите ТК")))))))))</f>
        <v>Нет доставки</v>
      </c>
      <c r="E22" s="90"/>
      <c r="F22" s="91">
        <v>4</v>
      </c>
      <c r="G22" s="219" t="str">
        <f>F25</f>
        <v>нет доставки</v>
      </c>
      <c r="H22" s="220"/>
      <c r="I22" s="216"/>
      <c r="J22" s="216"/>
      <c r="K22" s="217"/>
      <c r="L22" s="203"/>
      <c r="M22" s="39" t="s">
        <v>33</v>
      </c>
      <c r="Q22" s="87" t="str">
        <f>IF(LEFT(M22,3)="ули",MID(M22,8,70),M22)</f>
        <v>Мира</v>
      </c>
      <c r="R22" s="76">
        <f>IF(LEFT(L34,4)="ваша",VALUE(MID(L34,13,20))*100,0)</f>
        <v>0</v>
      </c>
      <c r="S22" s="33"/>
      <c r="T22" s="33"/>
      <c r="U22" s="33"/>
      <c r="V22" s="77"/>
      <c r="W22" s="92"/>
    </row>
    <row r="23" spans="1:24" ht="29.25" thickTop="1">
      <c r="A23" s="88" t="s">
        <v>34</v>
      </c>
      <c r="B23" s="218"/>
      <c r="C23" s="218"/>
      <c r="D23" s="93" t="str">
        <f>IFERROR("TK   EMS Kazpost - "&amp;"  "&amp;VLOOKUP((LEFT(B25,(LEN(B25)))),[1]Тарифы!C8:C449,1,0),"Нет доставки")</f>
        <v>Нет доставки</v>
      </c>
      <c r="E23" s="94"/>
      <c r="F23" s="95" t="str">
        <f>IFERROR(VLOOKUP((LEFT(B25,(LEN(B25)))),[1]Тарифы!Q8:S449,3,0),"нет доставки")</f>
        <v>нет доставки</v>
      </c>
      <c r="G23" s="96" t="str">
        <f>IFERROR(CEILING($H$21+F23,1),"нет доставки")</f>
        <v>нет доставки</v>
      </c>
      <c r="H23" s="97" t="str">
        <f>IFERROR(F23&amp;" + НПЛ","нет доставки")</f>
        <v>нет доставки + НПЛ</v>
      </c>
      <c r="I23" s="98">
        <f>IFERROR(CEILING(($H$21+F23)*(1+$F$22/100),1),0)</f>
        <v>0</v>
      </c>
      <c r="J23" s="99">
        <f>IFERROR(G23-I23,0)</f>
        <v>0</v>
      </c>
      <c r="K23" s="100" t="str">
        <f>(IFERROR(TRIM(LEFT(D22,FIND("-",D22)-1)),"- - - - - - - -"))</f>
        <v>- - - - - - - -</v>
      </c>
      <c r="L23" s="203"/>
      <c r="M23" s="39" t="s">
        <v>35</v>
      </c>
      <c r="Q23" s="101" t="str">
        <f>IFERROR(TRIM(MID(M23,SEARCH("Здание:",M23,1)+2,SEARCH("Квартира:",M23,1)-SEARCH("Здание:",M23,1)-2)),TRIM(MID(M23,SEARCH("Здание:",M23,1)+7,LEN(M23)-SEARCH("Здание:",M23,1)+2)))</f>
        <v>119</v>
      </c>
      <c r="R23" s="76" t="e">
        <f>IF(LEFT(#REF!,4)="ваша",VALUE(MID(#REF!,13,20))*100,0)</f>
        <v>#REF!</v>
      </c>
      <c r="S23" s="33"/>
      <c r="T23" s="33"/>
      <c r="U23" s="10"/>
      <c r="V23" s="82"/>
      <c r="W23" s="82"/>
    </row>
    <row r="24" spans="1:24" ht="28.5">
      <c r="A24" s="102" t="s">
        <v>36</v>
      </c>
      <c r="B24" s="221" t="str">
        <f ca="1">UPPER((S14))</f>
        <v>8-777-546-06-80   ----   ----</v>
      </c>
      <c r="C24" s="222"/>
      <c r="D24" s="93" t="str">
        <f>IFERROR("TK   AVIS logistics - Склад - Склад "&amp;"  "&amp;VLOOKUP((LEFT(B25,(LEN(B25)))),[1]Тарифы!C8:C449,1,0),"Нет доставки")</f>
        <v>Нет доставки</v>
      </c>
      <c r="E24" s="94"/>
      <c r="F24" s="95" t="str">
        <f>IFERROR(VLOOKUP((LEFT(B25,(LEN(B25)))),[1]Тарифы!H8:J449,3,0),"нет доставки")</f>
        <v>нет доставки</v>
      </c>
      <c r="G24" s="96" t="str">
        <f>IFERROR(CEILING($H$21+F24,1),"нет доставки")</f>
        <v>нет доставки</v>
      </c>
      <c r="H24" s="97" t="str">
        <f>IFERROR(F24&amp;" + НПЛ","нет доставки")</f>
        <v>нет доставки + НПЛ</v>
      </c>
      <c r="I24" s="98">
        <f>IFERROR(CEILING(($H$21+F24)*(1+$F$22/100),1),0)</f>
        <v>0</v>
      </c>
      <c r="J24" s="99">
        <f t="shared" ref="J24:J26" si="8">IFERROR(G24-I24,0)</f>
        <v>0</v>
      </c>
      <c r="K24" s="103" t="str">
        <f>IF(J3="Нпл-АВ","Нпл-АВ",IF(B25="ОФИС","ОФИС",IF(B25="Костанай","ОФИС",TRIM(MID(K23,4,4)))))</f>
        <v>- -</v>
      </c>
      <c r="L24" s="203"/>
      <c r="M24" s="39" t="s">
        <v>37</v>
      </c>
      <c r="Q24" s="101" t="str">
        <f t="array" ref="Q24">TEXT(SUM(MID(0&amp;M24,LARGE(ISNUMBER(-MID(M24,ROW($1:$99),1))*ROW($1:$99),ROW($1:$10))+1,1)*10^ROW($1:$10)/10),REPT(0,COUNT(-MID(M24,ROW($1:$99),1))))</f>
        <v>52</v>
      </c>
      <c r="R24" s="104">
        <f>SUMPRODUCT(--ISNUMBER(SEARCH(ROW($1:$10)-1,M24)))</f>
        <v>2</v>
      </c>
      <c r="S24" s="10"/>
      <c r="T24" s="10"/>
      <c r="U24" s="10"/>
      <c r="V24" s="82"/>
      <c r="W24" s="82"/>
    </row>
    <row r="25" spans="1:24" ht="30">
      <c r="A25" s="102" t="s">
        <v>38</v>
      </c>
      <c r="B25" s="185" t="str">
        <f>IF(LEFT(L11,3)&lt;&gt;"Здр",UPPER(Q21),(UPPER(TRIM(SUBSTITUTE(SUBSTITUTE(VLOOKUP("Город*",M:M,1,0),"Город:",)," ",)))))</f>
        <v>ПЕТРОПАВЛОВСК</v>
      </c>
      <c r="C25" s="186"/>
      <c r="D25" s="93" t="str">
        <f>IFERROR("TK   AVIS logistics - ЭКПСРЕСС Склад - Дверь"&amp;"  "&amp;VLOOKUP(B25,[1]Тарифы!C8:C449,1,0),"Нет доставки")</f>
        <v>Нет доставки</v>
      </c>
      <c r="E25" s="94"/>
      <c r="F25" s="95" t="str">
        <f>IFERROR(VLOOKUP((LEFT(B25,(LEN(B25)))),[1]Тарифы!C8:E449,3,0),"нет доставки")</f>
        <v>нет доставки</v>
      </c>
      <c r="G25" s="96" t="str">
        <f>IFERROR(CEILING($H$21+F25,1),"нет доставки")</f>
        <v>нет доставки</v>
      </c>
      <c r="H25" s="97" t="str">
        <f>IFERROR(F25&amp;" + НПЛ","нет доставки")</f>
        <v>нет доставки + НПЛ</v>
      </c>
      <c r="I25" s="98">
        <f>IFERROR(CEILING(($H$21+F25)*(1+$F$22/100),1),0)</f>
        <v>0</v>
      </c>
      <c r="J25" s="99">
        <f t="shared" si="8"/>
        <v>0</v>
      </c>
      <c r="K25" s="105" t="str">
        <f>IF(J3="Нпл-АВ","Нпл-АВ",IF(RIGHT(G22,3)="НПЛ","НПЛ","ПРЕДОПЛАТА"))</f>
        <v>ПРЕДОПЛАТА</v>
      </c>
      <c r="L25" s="106" t="s">
        <v>39</v>
      </c>
      <c r="Q25" s="107">
        <f>O25</f>
        <v>0</v>
      </c>
      <c r="R25" s="108" t="str">
        <f t="array" ref="R25">TEXT(SUM(MID(0&amp;Q25,LARGE(ISNUMBER(-MID(Q25,ROW($2:$89),1))*ROW($2:$89),ROW($2:$15)+15)+1,1)*10^ROW($2:$15)/10),REPT(0,MIN(MAX(COUNT(1/(MID(Q25,ROW($2:$89),1)+1))-15,),15)))&amp;TEXT(SUM(MID(0&amp;Q25,LARGE(ISNUMBER(-MID(Q25,ROW($2:$89),1))*ROW($2:$89),ROW($2:$15))+1,1)*10^ROW($2:$15)/10),REPT(0,MIN(COUNT(1/(MID(Q25,ROW($2:$89),1)+1)),15)))</f>
        <v/>
      </c>
      <c r="S25" s="109"/>
      <c r="T25" s="109"/>
      <c r="U25" s="110" t="e">
        <f>TEXT(SUM(MID(0&amp;G25,LARGE(ISNUMBER(-MID(G25,ROW($2:$89),1))*ROW($2:$89),ROW($2:$15)+15)+1,1)*10^ROW($2:$15)/10),REPT(0,MIN(MAX(COUNT(1/(MID(G25,ROW($2:$89),1)+1))-15,),15)))&amp;TEXT(SUM(MID(0&amp;G25,LARGE(ISNUMBER(-MID(G25,ROW($2:$89),1))*ROW($2:$89),ROW($2:$15))+1,1)*10^ROW($2:$15)/10),REPT(0,MIN(COUNT(1/(MID(G25,ROW($2:$89),1)+1)),15)))</f>
        <v>#NUM!</v>
      </c>
      <c r="V25" s="92"/>
      <c r="W25" s="10"/>
    </row>
    <row r="26" spans="1:24" ht="29.25" thickBot="1">
      <c r="A26" s="102" t="s">
        <v>40</v>
      </c>
      <c r="B26" s="111"/>
      <c r="C26" s="112"/>
      <c r="D26" s="93" t="str">
        <f>IFERROR("TK   AVIS logistics - ЭКОНОМ Склад - Дверь"&amp;"  "&amp;VLOOKUP((LEFT(B25,(LEN(B25)))),[1]Тарифы!C8:C449,1,0),"Нет доставки")</f>
        <v>Нет доставки</v>
      </c>
      <c r="E26" s="94"/>
      <c r="F26" s="95" t="str">
        <f>IFERROR(VLOOKUP((LEFT(B25,(LEN(B25)))),[1]Тарифы!L8:N449,3,0),"нет доставки")</f>
        <v>нет доставки</v>
      </c>
      <c r="G26" s="96" t="str">
        <f>IFERROR(CEILING($H$21+F26,1),"нет доставки")</f>
        <v>нет доставки</v>
      </c>
      <c r="H26" s="97" t="str">
        <f>IFERROR(F26&amp;" + НПЛ","нет доставки")</f>
        <v>нет доставки + НПЛ</v>
      </c>
      <c r="I26" s="98">
        <f>IFERROR(CEILING(($H$21+F26)*(1+$F$22/100),1),0)</f>
        <v>0</v>
      </c>
      <c r="J26" s="99">
        <f t="shared" si="8"/>
        <v>0</v>
      </c>
      <c r="K26" s="113"/>
      <c r="L26" s="8"/>
      <c r="Q26" s="114" t="str">
        <f>G25</f>
        <v>нет доставки</v>
      </c>
      <c r="R26" s="115" t="e">
        <f>TEXT(SUM(MID(0&amp;Q26,LARGE(ISNUMBER(-MID(Q26,ROW($1:$87),1))*ROW($1:$87),ROW($1:$14)+15)+1,1)*10^ROW($1:$14)/10),REPT(0,MIN(MAX(COUNT(1/(MID(Q26,ROW($1:$87),1)+1))-15,),15)))&amp;TEXT(SUM(MID(0&amp;Q26,LARGE(ISNUMBER(-MID(Q26,ROW($1:$87),1))*ROW($1:$87),ROW($1:$14))+1,1)*10^ROW($1:$14)/10),REPT(0,MIN(COUNT(1/(MID(Q26,ROW($1:$87),1)+1)),15)))</f>
        <v>#NUM!</v>
      </c>
      <c r="S26" s="116" t="str">
        <f>G25</f>
        <v>нет доставки</v>
      </c>
      <c r="T26" s="117" t="str">
        <f t="array" ref="T26">TEXT(SUM(MID(0&amp;S26,LARGE(ISNUMBER(-MID(S26,ROW($2:$89),1))*ROW($2:$89),ROW($2:$15)+15)+1,1)*10^ROW($2:$15)/10),REPT(0,MIN(MAX(COUNT(1/(MID(S26,ROW($2:$89),1)+1))-15,),15)))&amp;TEXT(SUM(MID(0&amp;S26,LARGE(ISNUMBER(-MID(S26,ROW($2:$89),1))*ROW($2:$89),ROW($2:$15))+1,1)*10^ROW($2:$15)/10),REPT(0,MIN(COUNT(1/(MID(S26,ROW($2:$89),1)+1)),15)))</f>
        <v/>
      </c>
      <c r="U26" s="10"/>
      <c r="V26" s="82"/>
      <c r="W26" s="10"/>
    </row>
    <row r="27" spans="1:24" ht="30" thickTop="1" thickBot="1">
      <c r="A27" s="102" t="s">
        <v>41</v>
      </c>
      <c r="B27" s="118"/>
      <c r="C27" s="119"/>
      <c r="D27" s="187" t="str">
        <f>IFERROR(IF(D2="ОФИС"," ОФИС",IF(D2="Выбери доставку"," - - - - - - - - - - - - - - - - - - - - -",IF(MID(D2,3,4)*2&gt;1,"Отправлено"&amp;" "&amp;K25,IF(LEFT(D31,3)="ЗАК","ЗАКАЗАНО в СПБ",IF(H25&gt;=0,"Оплачено","Ожидание оплаты"))))),"Отправь СМС и ЗАПОЛНИ КВИТАНЦИЮ")</f>
        <v>Отправлено ПРЕДОПЛАТА</v>
      </c>
      <c r="E27" s="120"/>
      <c r="F27" s="190" t="str">
        <f>IF(G22="Нет доставки","Выбери ТК",IF(J3="Нпл-АВ",I29-K3,IF(G22=F23,G23,IF(G22=F24,G24,IF(G22=F25,G25,IF(G22=F26,G26,IF(G22=H23,I23,IF(G22=H25,I25,IF(G22=H26,I26,IF(G22=H24,I24))))))))))</f>
        <v>Выбери ТК</v>
      </c>
      <c r="G27" s="191"/>
      <c r="H27" s="192"/>
      <c r="I27" s="121" t="b">
        <f>IF($A$2&lt;1,IF(AND($F$27&gt;K$3,$H$21&gt;1),TRUE))</f>
        <v>1</v>
      </c>
      <c r="J27" s="122"/>
      <c r="K27" s="123"/>
      <c r="L27" s="124" t="s">
        <v>42</v>
      </c>
      <c r="M27" s="124" t="s">
        <v>4</v>
      </c>
      <c r="N27" s="124" t="s">
        <v>5</v>
      </c>
      <c r="O27" s="124" t="s">
        <v>43</v>
      </c>
      <c r="P27" s="124" t="s">
        <v>44</v>
      </c>
      <c r="Q27" s="114"/>
      <c r="R27" s="125" t="str">
        <f t="array" ref="R27">TEXT(SUM(MID(0&amp;Q27,LARGE(ISNUMBER(-MID(Q27,ROW($1:$99),1))*ROW($1:$99),ROW($1:$14)+30)+1,1)*10^ROW($1:$14)/10),REPT(0,MIN(MAX(COUNT(1/(MID(Q27,ROW($1:$99),1)+1))-30,),15)))&amp;TEXT(SUM(MID(0&amp;Q27,LARGE(ISNUMBER(-MID(Q27,ROW($1:$99),1))*ROW($1:$99),ROW($1:$14)+15)+1,1)*10^ROW($1:$14)/10),REPT(0,MIN(MAX(COUNT(1/(MID(Q27,ROW($1:$99),1)+1))-15,),15)))&amp;TEXT(SUM(MID(0&amp;Q27,LARGE(ISNUMBER(-MID(Q27,ROW($1:$99),1))*ROW($1:$99),ROW($1:$14))+1,1)*10^ROW($1:$14)/10),REPT(0,MIN(COUNT(1/(MID(Q27,ROW($1:$99),1)+1)),15)))</f>
        <v/>
      </c>
      <c r="S27" s="126">
        <f t="shared" ref="S27" si="9">IFERROR(VALUE(R27),0)</f>
        <v>0</v>
      </c>
      <c r="T27" s="117"/>
      <c r="U27" s="10"/>
      <c r="V27" s="82"/>
      <c r="W27" s="10"/>
    </row>
    <row r="28" spans="1:24" ht="24.75" thickTop="1" thickBot="1">
      <c r="A28" s="102" t="s">
        <v>45</v>
      </c>
      <c r="B28" s="118"/>
      <c r="C28" s="119"/>
      <c r="D28" s="188"/>
      <c r="E28" s="127"/>
      <c r="F28" s="193"/>
      <c r="G28" s="194"/>
      <c r="H28" s="195"/>
      <c r="I28" s="128" t="b">
        <f>LEFT($D$22,3)="НЕТ"</f>
        <v>1</v>
      </c>
      <c r="J28" s="122"/>
      <c r="K28" s="123"/>
      <c r="L28" s="39" t="s">
        <v>46</v>
      </c>
      <c r="M28" s="39">
        <v>1</v>
      </c>
      <c r="N28" s="39">
        <v>5500</v>
      </c>
      <c r="O28" s="39">
        <v>106</v>
      </c>
      <c r="P28" s="39">
        <v>5500</v>
      </c>
      <c r="Q28" s="107">
        <f t="shared" ref="Q28:Q29" si="10">O28</f>
        <v>106</v>
      </c>
      <c r="R28" s="125" t="str">
        <f t="array" ref="R28">TEXT(SUM(MID(0&amp;Q28,LARGE(ISNUMBER(-MID(Q28,ROW($1:$99),1))*ROW($1:$99),ROW($1:$14)+30)+1,1)*10^ROW($1:$14)/10),REPT(0,MIN(MAX(COUNT(1/(MID(Q28,ROW($1:$99),1)+1))-30,),15)))&amp;TEXT(SUM(MID(0&amp;Q28,LARGE(ISNUMBER(-MID(Q28,ROW($1:$99),1))*ROW($1:$99),ROW($1:$14)+15)+1,1)*10^ROW($1:$14)/10),REPT(0,MIN(MAX(COUNT(1/(MID(Q28,ROW($1:$99),1)+1))-15,),15)))&amp;TEXT(SUM(MID(0&amp;Q28,LARGE(ISNUMBER(-MID(Q28,ROW($1:$99),1))*ROW($1:$99),ROW($1:$14))+1,1)*10^ROW($1:$14)/10),REPT(0,MIN(COUNT(1/(MID(Q28,ROW($1:$99),1)+1)),15)))</f>
        <v>106</v>
      </c>
      <c r="S28" s="126">
        <f>IFERROR(VALUE(R28),0)</f>
        <v>106</v>
      </c>
      <c r="T28" s="129" t="str">
        <f>IF(ISERROR(MID(L28,SEARCH("магнит",L28)+6,SEARCH("(",L28)-SEARCH("магнит",L28)-8)&amp;"  ("&amp;MID(L28,SEARCH("сила",L28)+16,SEARCH(")",L28)-SEARCH("магнит",L28)+20)),(MID(L28,SEARCH("магнит",L28)+6,SEARCH("(",L28)-SEARCH("магнит",L28)-8) &amp;"  (-кг)"),MID(L28,SEARCH("магнит",L28)+6,SEARCH("(",L28)-SEARCH("магнит",L28)-8)&amp;"  ("&amp;MID(L28,SEARCH("сила",L28)+16,SEARCH(")",L28)-SEARCH("магнит",L28)+20))&amp;X28</f>
        <v xml:space="preserve"> D30x20  (42 кг)</v>
      </c>
      <c r="U28" s="130" t="str">
        <f t="shared" ref="U28:U43" si="11">MID(L28,SEARCH("магнит",L28)+6,SEARCH("(",L28)-SEARCH("магнит",L28)-6)</f>
        <v xml:space="preserve"> D30x20mm</v>
      </c>
      <c r="V28" s="130" t="str">
        <f>"  ("&amp;MID(L28,SEARCH("сила",L28)+16,SEARCH(")",L28)-SEARCH("магнит",L28)+10)</f>
        <v xml:space="preserve">  (42 кг)</v>
      </c>
      <c r="W28" s="131" t="str">
        <f>IF(ISERROR(MID(L28,FIND("т",L28)+1,LEN(L28)))," ",MID(L28,FIND("т",L28)+1,LEN(L28)))</f>
        <v xml:space="preserve"> D30x20mm(Аксиал)`42 (сила притяжения 42 кг)</v>
      </c>
      <c r="X28" s="131" t="str">
        <f>IF(ISNUMBER(FIND("ЗЕНК",L28))," (ЗЕНК)","")</f>
        <v/>
      </c>
    </row>
    <row r="29" spans="1:24" ht="73.5" thickTop="1" thickBot="1">
      <c r="B29" s="132"/>
      <c r="C29" s="133"/>
      <c r="D29" s="189"/>
      <c r="E29" s="134">
        <f>IFERROR(SUM(K4:K19)-H27+1,0)</f>
        <v>6901</v>
      </c>
      <c r="F29" s="196"/>
      <c r="G29" s="197"/>
      <c r="H29" s="198"/>
      <c r="I29" s="135" t="str">
        <f>IF(G22="Нет доставки","Выбери ТК",IF(G22=F23,G23,IF(G22=F24,G24,IF(G22=F25,G25,IF(G22=F26,G26,IF(G22=H23,I23,IF(G22=H25,I25,IF(G22=H26,I26,IF(G22=H24,I24)))))))))</f>
        <v>Выбери ТК</v>
      </c>
      <c r="J29" s="136" t="b">
        <f>IF(AND(K$3&lt;$H$27,$K$3&lt;2),TRUE)</f>
        <v>0</v>
      </c>
      <c r="K29" s="137"/>
      <c r="L29" s="138"/>
      <c r="M29" s="139"/>
      <c r="N29" s="139"/>
      <c r="O29" s="139"/>
      <c r="P29" s="140"/>
      <c r="Q29" s="107">
        <f t="shared" si="10"/>
        <v>0</v>
      </c>
      <c r="R29" s="125" t="str">
        <f t="array" ref="R29">TEXT(SUM(MID(0&amp;Q29,LARGE(ISNUMBER(-MID(Q29,ROW($1:$99),1))*ROW($1:$99),ROW($1:$14)+30)+1,1)*10^ROW($1:$14)/10),REPT(0,MIN(MAX(COUNT(1/(MID(Q29,ROW($1:$99),1)+1))-30,),15)))&amp;TEXT(SUM(MID(0&amp;Q29,LARGE(ISNUMBER(-MID(Q29,ROW($1:$99),1))*ROW($1:$99),ROW($1:$14)+15)+1,1)*10^ROW($1:$14)/10),REPT(0,MIN(MAX(COUNT(1/(MID(Q29,ROW($1:$99),1)+1))-15,),15)))&amp;TEXT(SUM(MID(0&amp;Q29,LARGE(ISNUMBER(-MID(Q29,ROW($1:$99),1))*ROW($1:$99),ROW($1:$14))+1,1)*10^ROW($1:$14)/10),REPT(0,MIN(COUNT(1/(MID(Q29,ROW($1:$99),1)+1)),15)))</f>
        <v>0</v>
      </c>
      <c r="S29" s="126">
        <f t="shared" ref="S29:S43" si="12">IFERROR(VALUE(R29),0)</f>
        <v>0</v>
      </c>
      <c r="T29" s="129" t="e">
        <f t="shared" ref="T29:T43" si="13">IF(ISERROR(MID(L29,SEARCH("магнит",L29)+6,SEARCH("(",L29)-SEARCH("магнит",L29)-8)&amp;"  ("&amp;MID(L29,SEARCH("сила",L29)+16,SEARCH(")",L29)-SEARCH("магнит",L29)+20)),(MID(L29,SEARCH("магнит",L29)+6,SEARCH("(",L29)-SEARCH("магнит",L29)-8) &amp;"  (-кг)"),MID(L29,SEARCH("магнит",L29)+6,SEARCH("(",L29)-SEARCH("магнит",L29)-8)&amp;"  ("&amp;MID(L29,SEARCH("сила",L29)+16,SEARCH(")",L29)-SEARCH("магнит",L29)+20))&amp;X29</f>
        <v>#VALUE!</v>
      </c>
      <c r="U29" s="130" t="e">
        <f t="shared" si="11"/>
        <v>#VALUE!</v>
      </c>
      <c r="V29" s="130" t="e">
        <f t="shared" ref="V29:V43" si="14">"  ("&amp;MID(L29,SEARCH("сила",L29)+16,SEARCH(")",L29)-SEARCH("магнит",L29)+10)</f>
        <v>#VALUE!</v>
      </c>
      <c r="W29" s="131" t="str">
        <f t="shared" ref="W29:W43" si="15">IF(ISERROR(MID(L29,FIND("т",L29)+1,LEN(L29)))," ",MID(L29,FIND("т",L29)+1,LEN(L29)))</f>
        <v xml:space="preserve"> </v>
      </c>
      <c r="X29" s="131" t="str">
        <f t="shared" ref="X29:X43" si="16">IF(ISNUMBER(FIND("ЗЕНК",L29))," (ЗЕНК)","")</f>
        <v/>
      </c>
    </row>
    <row r="30" spans="1:24" ht="24.75" thickTop="1" thickBot="1">
      <c r="B30" s="141"/>
      <c r="C30" s="142"/>
      <c r="D30" s="143"/>
      <c r="E30" s="143"/>
      <c r="F30" s="199"/>
      <c r="G30" s="144"/>
      <c r="H30" s="144"/>
      <c r="I30" s="144"/>
      <c r="J30" s="144"/>
      <c r="K30" s="145"/>
      <c r="L30" s="146"/>
      <c r="M30" s="147"/>
      <c r="N30" s="147"/>
      <c r="O30" s="147"/>
      <c r="P30" s="148"/>
      <c r="Q30" s="107"/>
      <c r="R30" s="125"/>
      <c r="S30" s="126"/>
      <c r="T30" s="129"/>
      <c r="U30" s="130"/>
      <c r="V30" s="130"/>
      <c r="W30" s="131"/>
      <c r="X30" s="131"/>
    </row>
    <row r="31" spans="1:24" ht="24.75" thickTop="1" thickBot="1">
      <c r="B31" s="2"/>
      <c r="C31" s="141"/>
      <c r="D31" s="149"/>
      <c r="E31" s="149"/>
      <c r="F31" s="199"/>
      <c r="G31" s="150"/>
      <c r="H31" s="151"/>
      <c r="I31" s="151"/>
      <c r="J31" s="151"/>
      <c r="L31" s="146"/>
      <c r="M31" s="147"/>
      <c r="N31" s="147"/>
      <c r="O31" s="147"/>
      <c r="P31" s="148"/>
      <c r="Q31" s="107"/>
      <c r="R31" s="125"/>
      <c r="S31" s="126"/>
      <c r="T31" s="129"/>
      <c r="U31" s="130"/>
      <c r="V31" s="130"/>
      <c r="W31" s="131"/>
      <c r="X31" s="131"/>
    </row>
    <row r="32" spans="1:24" ht="24.75" thickTop="1" thickBot="1">
      <c r="B32" s="141"/>
      <c r="C32" s="152"/>
      <c r="D32" s="153"/>
      <c r="E32" s="154"/>
      <c r="F32" s="155"/>
      <c r="G32" s="156"/>
      <c r="H32" s="157"/>
      <c r="I32" s="158"/>
      <c r="J32" s="159"/>
      <c r="K32" s="160"/>
      <c r="L32" s="146"/>
      <c r="M32" s="147"/>
      <c r="N32" s="147"/>
      <c r="O32" s="147"/>
      <c r="P32" s="148"/>
      <c r="Q32" s="107"/>
      <c r="R32" s="125"/>
      <c r="S32" s="126"/>
      <c r="T32" s="129"/>
      <c r="U32" s="130"/>
      <c r="V32" s="130"/>
      <c r="W32" s="131"/>
      <c r="X32" s="131"/>
    </row>
    <row r="33" spans="2:24" ht="24.75" thickTop="1" thickBot="1">
      <c r="B33" s="141"/>
      <c r="C33" s="141"/>
      <c r="D33" s="161"/>
      <c r="E33" s="162"/>
      <c r="F33" s="163"/>
      <c r="G33" s="157"/>
      <c r="H33" s="157"/>
      <c r="I33" s="158"/>
      <c r="J33" s="159"/>
      <c r="K33" s="164"/>
      <c r="L33" s="146"/>
      <c r="M33" s="147"/>
      <c r="N33" s="147"/>
      <c r="O33" s="147"/>
      <c r="P33" s="148"/>
      <c r="Q33" s="107"/>
      <c r="R33" s="125"/>
      <c r="S33" s="126"/>
      <c r="T33" s="129"/>
      <c r="U33" s="130"/>
      <c r="V33" s="130"/>
      <c r="W33" s="131"/>
      <c r="X33" s="131"/>
    </row>
    <row r="34" spans="2:24" ht="24.75" thickTop="1" thickBot="1">
      <c r="D34" s="165"/>
      <c r="E34" s="166"/>
      <c r="F34" s="157"/>
      <c r="G34" s="157"/>
      <c r="H34" s="157"/>
      <c r="I34" s="158"/>
      <c r="J34" s="159"/>
      <c r="K34" s="164"/>
      <c r="L34" s="146"/>
      <c r="M34" s="147"/>
      <c r="N34" s="147"/>
      <c r="O34" s="147"/>
      <c r="P34" s="148"/>
      <c r="Q34" s="107"/>
      <c r="R34" s="125"/>
      <c r="S34" s="126"/>
      <c r="T34" s="129"/>
      <c r="U34" s="130"/>
      <c r="V34" s="130"/>
      <c r="W34" s="131"/>
      <c r="X34" s="131"/>
    </row>
    <row r="35" spans="2:24" ht="24.75" thickTop="1" thickBot="1">
      <c r="F35" s="157"/>
      <c r="G35" s="157"/>
      <c r="H35" s="157"/>
      <c r="I35" s="158"/>
      <c r="J35" s="159"/>
      <c r="K35" s="164"/>
      <c r="L35" s="167"/>
      <c r="M35" s="147"/>
      <c r="N35" s="147"/>
      <c r="O35" s="147"/>
      <c r="P35" s="148"/>
      <c r="Q35" s="107"/>
      <c r="R35" s="125"/>
      <c r="S35" s="126"/>
      <c r="T35" s="129"/>
      <c r="U35" s="130"/>
      <c r="V35" s="130"/>
      <c r="W35" s="131"/>
      <c r="X35" s="131"/>
    </row>
    <row r="36" spans="2:24" ht="24.75" thickTop="1" thickBot="1">
      <c r="D36" s="168"/>
      <c r="E36" s="168"/>
      <c r="F36" s="157"/>
      <c r="G36" s="157"/>
      <c r="H36" s="157"/>
      <c r="I36" s="158"/>
      <c r="J36" s="159"/>
      <c r="K36" s="164"/>
      <c r="L36" s="169"/>
      <c r="M36" s="170"/>
      <c r="N36" s="171"/>
      <c r="O36" s="172"/>
      <c r="P36" s="173"/>
      <c r="Q36" s="107"/>
      <c r="R36" s="125"/>
      <c r="S36" s="126"/>
      <c r="T36" s="129"/>
      <c r="U36" s="130"/>
      <c r="V36" s="130"/>
      <c r="W36" s="131"/>
      <c r="X36" s="131"/>
    </row>
    <row r="37" spans="2:24" ht="24.75" thickTop="1" thickBot="1">
      <c r="F37" s="157"/>
      <c r="G37" s="157"/>
      <c r="H37" s="157"/>
      <c r="I37" s="158"/>
      <c r="J37" s="159"/>
      <c r="K37" s="164"/>
      <c r="L37" s="169"/>
      <c r="M37" s="170"/>
      <c r="N37" s="171"/>
      <c r="O37" s="172"/>
      <c r="P37" s="173"/>
      <c r="Q37" s="107"/>
      <c r="R37" s="125"/>
      <c r="S37" s="126"/>
      <c r="T37" s="129"/>
      <c r="U37" s="130"/>
      <c r="V37" s="130"/>
      <c r="W37" s="131"/>
      <c r="X37" s="131"/>
    </row>
    <row r="38" spans="2:24" ht="24.75" thickTop="1" thickBot="1">
      <c r="F38" s="157"/>
      <c r="G38" s="157"/>
      <c r="H38" s="157"/>
      <c r="I38" s="158"/>
      <c r="J38" s="158"/>
      <c r="K38" s="164"/>
      <c r="L38" s="169"/>
      <c r="M38" s="170"/>
      <c r="N38" s="171"/>
      <c r="O38" s="172"/>
      <c r="P38" s="173"/>
      <c r="Q38" s="107"/>
      <c r="R38" s="125"/>
      <c r="S38" s="126"/>
      <c r="T38" s="129"/>
      <c r="U38" s="130"/>
      <c r="V38" s="130"/>
      <c r="W38" s="131"/>
      <c r="X38" s="131"/>
    </row>
    <row r="39" spans="2:24" ht="24.75" thickTop="1" thickBot="1">
      <c r="F39" s="174"/>
      <c r="G39" s="174"/>
      <c r="H39" s="174"/>
      <c r="I39" s="175"/>
      <c r="J39" s="175"/>
      <c r="K39" s="176"/>
      <c r="L39" s="169"/>
      <c r="M39" s="170"/>
      <c r="N39" s="171"/>
      <c r="O39" s="172"/>
      <c r="P39" s="173"/>
      <c r="Q39" s="107"/>
      <c r="R39" s="125"/>
      <c r="S39" s="126"/>
      <c r="T39" s="129"/>
      <c r="U39" s="130"/>
      <c r="V39" s="130"/>
      <c r="W39" s="131"/>
      <c r="X39" s="131"/>
    </row>
    <row r="40" spans="2:24" ht="24.75" thickTop="1" thickBot="1">
      <c r="B40" s="200"/>
      <c r="C40" s="200"/>
      <c r="D40" s="177"/>
      <c r="E40" s="177"/>
      <c r="F40" s="178"/>
      <c r="G40" s="178"/>
      <c r="H40" s="178"/>
      <c r="I40" s="178"/>
      <c r="J40" s="178"/>
      <c r="K40" s="178"/>
      <c r="L40" s="169"/>
      <c r="M40" s="170"/>
      <c r="N40" s="171"/>
      <c r="O40" s="172"/>
      <c r="P40" s="173"/>
      <c r="Q40" s="107"/>
      <c r="R40" s="125"/>
      <c r="S40" s="126"/>
      <c r="T40" s="129"/>
      <c r="U40" s="130"/>
      <c r="V40" s="130"/>
      <c r="W40" s="131"/>
      <c r="X40" s="131"/>
    </row>
    <row r="41" spans="2:24" ht="24.75" thickTop="1" thickBot="1">
      <c r="D41" s="154"/>
      <c r="E41" s="154"/>
      <c r="F41" s="10"/>
      <c r="G41" s="179"/>
      <c r="H41" s="10"/>
      <c r="I41" s="10"/>
      <c r="J41" s="10"/>
      <c r="K41" s="10"/>
      <c r="L41" s="169"/>
      <c r="M41" s="170"/>
      <c r="N41" s="171"/>
      <c r="O41" s="172"/>
      <c r="P41" s="173"/>
      <c r="Q41" s="180"/>
      <c r="R41" s="125"/>
      <c r="S41" s="126"/>
      <c r="T41" s="129"/>
      <c r="U41" s="130"/>
      <c r="V41" s="130"/>
      <c r="W41" s="131"/>
      <c r="X41" s="131"/>
    </row>
    <row r="42" spans="2:24" ht="24.75" thickTop="1" thickBot="1">
      <c r="D42" s="161"/>
      <c r="E42" s="161"/>
      <c r="L42" s="169"/>
      <c r="M42" s="170"/>
      <c r="N42" s="171"/>
      <c r="O42" s="172"/>
      <c r="P42" s="173"/>
      <c r="Q42" s="180"/>
      <c r="R42" s="125" t="str">
        <f t="array" ref="R42">TEXT(SUM(MID(0&amp;Q42,LARGE(ISNUMBER(-MID(Q42,ROW($1:$99),1))*ROW($1:$99),ROW($1:$14)+30)+1,1)*10^ROW($1:$14)/10),REPT(0,MIN(MAX(COUNT(1/(MID(Q42,ROW($1:$99),1)+1))-30,),15)))&amp;TEXT(SUM(MID(0&amp;Q42,LARGE(ISNUMBER(-MID(Q42,ROW($1:$99),1))*ROW($1:$99),ROW($1:$14)+15)+1,1)*10^ROW($1:$14)/10),REPT(0,MIN(MAX(COUNT(1/(MID(Q42,ROW($1:$99),1)+1))-15,),15)))&amp;TEXT(SUM(MID(0&amp;Q42,LARGE(ISNUMBER(-MID(Q42,ROW($1:$99),1))*ROW($1:$99),ROW($1:$14))+1,1)*10^ROW($1:$14)/10),REPT(0,MIN(COUNT(1/(MID(Q42,ROW($1:$99),1)+1)),15)))</f>
        <v/>
      </c>
      <c r="S42" s="126">
        <f t="shared" si="12"/>
        <v>0</v>
      </c>
      <c r="T42" s="129" t="e">
        <f t="shared" si="13"/>
        <v>#VALUE!</v>
      </c>
      <c r="U42" s="130" t="e">
        <f t="shared" si="11"/>
        <v>#VALUE!</v>
      </c>
      <c r="V42" s="130" t="e">
        <f t="shared" si="14"/>
        <v>#VALUE!</v>
      </c>
      <c r="W42" s="131" t="str">
        <f t="shared" si="15"/>
        <v xml:space="preserve"> </v>
      </c>
      <c r="X42" s="131" t="str">
        <f t="shared" si="16"/>
        <v/>
      </c>
    </row>
    <row r="43" spans="2:24" ht="24.75" thickTop="1" thickBot="1">
      <c r="C43" s="10"/>
      <c r="D43" s="181"/>
      <c r="E43" s="181"/>
      <c r="F43" s="154"/>
      <c r="G43" s="10"/>
      <c r="H43" s="10"/>
      <c r="I43" s="10"/>
      <c r="J43" s="10"/>
      <c r="K43" s="10"/>
      <c r="L43" s="182"/>
      <c r="M43" s="183"/>
      <c r="N43" s="183"/>
      <c r="O43" s="183"/>
      <c r="P43" s="184"/>
      <c r="Q43" s="180"/>
      <c r="R43" s="125" t="str">
        <f t="array" ref="R43">TEXT(SUM(MID(0&amp;Q43,LARGE(ISNUMBER(-MID(Q43,ROW($1:$99),1))*ROW($1:$99),ROW($1:$14)+30)+1,1)*10^ROW($1:$14)/10),REPT(0,MIN(MAX(COUNT(1/(MID(Q43,ROW($1:$99),1)+1))-30,),15)))&amp;TEXT(SUM(MID(0&amp;Q43,LARGE(ISNUMBER(-MID(Q43,ROW($1:$99),1))*ROW($1:$99),ROW($1:$14)+15)+1,1)*10^ROW($1:$14)/10),REPT(0,MIN(MAX(COUNT(1/(MID(Q43,ROW($1:$99),1)+1))-15,),15)))&amp;TEXT(SUM(MID(0&amp;Q43,LARGE(ISNUMBER(-MID(Q43,ROW($1:$99),1))*ROW($1:$99),ROW($1:$14))+1,1)*10^ROW($1:$14)/10),REPT(0,MIN(COUNT(1/(MID(Q43,ROW($1:$99),1)+1)),15)))</f>
        <v/>
      </c>
      <c r="S43" s="126">
        <f t="shared" si="12"/>
        <v>0</v>
      </c>
      <c r="T43" s="129" t="e">
        <f t="shared" si="13"/>
        <v>#VALUE!</v>
      </c>
      <c r="U43" s="130" t="e">
        <f t="shared" si="11"/>
        <v>#VALUE!</v>
      </c>
      <c r="V43" s="130" t="e">
        <f t="shared" si="14"/>
        <v>#VALUE!</v>
      </c>
      <c r="W43" s="131" t="str">
        <f t="shared" si="15"/>
        <v xml:space="preserve"> </v>
      </c>
      <c r="X43" s="131" t="str">
        <f t="shared" si="16"/>
        <v/>
      </c>
    </row>
    <row r="44" spans="2:24" ht="17.100000000000001" customHeight="1" thickTop="1">
      <c r="D44" s="161"/>
      <c r="E44" s="161"/>
      <c r="L44" s="10"/>
      <c r="M44" s="10"/>
      <c r="N44" s="10"/>
      <c r="O44" s="10"/>
      <c r="P44" s="10"/>
      <c r="Q44" s="109"/>
      <c r="R44" s="10"/>
      <c r="S44" s="10"/>
      <c r="T44" s="10"/>
      <c r="U44" s="10"/>
      <c r="V44" s="10"/>
      <c r="W44" s="10"/>
    </row>
    <row r="45" spans="2:24" ht="17.100000000000001" customHeight="1">
      <c r="D45" s="161"/>
      <c r="E45" s="161"/>
    </row>
  </sheetData>
  <mergeCells count="15">
    <mergeCell ref="B21:C21"/>
    <mergeCell ref="I21:K22"/>
    <mergeCell ref="B22:C23"/>
    <mergeCell ref="G22:H22"/>
    <mergeCell ref="B24:C24"/>
    <mergeCell ref="E2:G2"/>
    <mergeCell ref="H2:J2"/>
    <mergeCell ref="L18:L24"/>
    <mergeCell ref="I19:K20"/>
    <mergeCell ref="F20:G20"/>
    <mergeCell ref="B25:C25"/>
    <mergeCell ref="D27:D29"/>
    <mergeCell ref="F27:H29"/>
    <mergeCell ref="F30:F31"/>
    <mergeCell ref="B40:C40"/>
  </mergeCells>
  <conditionalFormatting sqref="D23:J26">
    <cfRule type="expression" dxfId="8" priority="8">
      <formula>$F$23="нет доставки"</formula>
    </cfRule>
  </conditionalFormatting>
  <conditionalFormatting sqref="B3:K18">
    <cfRule type="expression" dxfId="7" priority="7">
      <formula>IF($A$2&gt;0,IF(AND($K$24="EMS"),TRUE))</formula>
    </cfRule>
  </conditionalFormatting>
  <conditionalFormatting sqref="I19">
    <cfRule type="expression" dxfId="6" priority="1">
      <formula>$I$19&lt;15000</formula>
    </cfRule>
  </conditionalFormatting>
  <conditionalFormatting sqref="B4:K20">
    <cfRule type="expression" dxfId="5" priority="3">
      <formula>$J$3="Нпл-АВ"</formula>
    </cfRule>
    <cfRule type="expression" dxfId="4" priority="9">
      <formula>IF($A$2&lt;1,IF(AND($F$27&gt;$K$3,$H$21&gt;1),TRUE))</formula>
    </cfRule>
  </conditionalFormatting>
  <conditionalFormatting sqref="B4:K18">
    <cfRule type="expression" dxfId="3" priority="5">
      <formula>IF($A$2&gt;0,IF(AND($K$24="AVIS"),TRUE))</formula>
    </cfRule>
  </conditionalFormatting>
  <conditionalFormatting sqref="B2:J2 D20 D27:D29 F27:H29 I21:K22">
    <cfRule type="expression" dxfId="2" priority="2">
      <formula>$J$3="Нпл-АВ"</formula>
    </cfRule>
    <cfRule type="expression" dxfId="1" priority="4">
      <formula>IF($A$2&gt;0,IF(AND($K$24="AVIS"),TRUE))</formula>
    </cfRule>
    <cfRule type="expression" dxfId="0" priority="6">
      <formula>IF($A$2&gt;0,IF(AND($K$24="EMS"),TRUE))</formula>
    </cfRule>
  </conditionalFormatting>
  <hyperlinks>
    <hyperlink ref="B3" location="Прайс!A1" display="Списание" xr:uid="{FC9DF696-ACF6-8940-ABFB-941ED7A1A2A9}"/>
    <hyperlink ref="D3" location="'В наличии'!A1" display="Наименование товара" xr:uid="{1813A786-CEEF-104E-BB81-635BF322F9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Ковалёв</dc:creator>
  <cp:lastModifiedBy>Elena</cp:lastModifiedBy>
  <dcterms:created xsi:type="dcterms:W3CDTF">2021-11-29T09:10:25Z</dcterms:created>
  <dcterms:modified xsi:type="dcterms:W3CDTF">2021-11-29T14:05:51Z</dcterms:modified>
</cp:coreProperties>
</file>