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defaultThemeVersion="124226"/>
  <xr:revisionPtr revIDLastSave="0" documentId="13_ncr:1_{E3C02C60-7327-4F1F-8D80-F64A1DB16E71}" xr6:coauthVersionLast="47" xr6:coauthVersionMax="47" xr10:uidLastSave="{00000000-0000-0000-0000-000000000000}"/>
  <bookViews>
    <workbookView xWindow="-120" yWindow="-120" windowWidth="15600" windowHeight="11310" activeTab="3" xr2:uid="{00000000-000D-0000-FFFF-FFFF00000000}"/>
  </bookViews>
  <sheets>
    <sheet name="поступления" sheetId="1" r:id="rId1"/>
    <sheet name="2019" sheetId="2" state="hidden" r:id="rId2"/>
    <sheet name="2020" sheetId="3" state="hidden" r:id="rId3"/>
    <sheet name="2021" sheetId="4" r:id="rId4"/>
    <sheet name="для АА" sheetId="5" state="hidden" r:id="rId5"/>
    <sheet name="Лист2" sheetId="6" state="hidden" r:id="rId6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4" l="1"/>
  <c r="Y9" i="4"/>
  <c r="Y7" i="4"/>
  <c r="Y6" i="4"/>
  <c r="Y5" i="4"/>
  <c r="M10" i="1"/>
  <c r="M9" i="1"/>
  <c r="M7" i="1"/>
  <c r="M6" i="1"/>
  <c r="M5" i="1"/>
  <c r="J16" i="1"/>
  <c r="Y8" i="4"/>
  <c r="M8" i="1"/>
  <c r="Y13" i="4" l="1"/>
  <c r="M13" i="1"/>
  <c r="Y12" i="4" l="1"/>
  <c r="M12" i="1"/>
  <c r="AA28" i="4" l="1"/>
  <c r="X13" i="4" l="1"/>
  <c r="X6" i="4"/>
  <c r="X5" i="4"/>
  <c r="J15" i="1"/>
  <c r="X8" i="4" l="1"/>
  <c r="X7" i="4"/>
  <c r="X12" i="4"/>
  <c r="X9" i="4" l="1"/>
  <c r="Q22" i="5" l="1"/>
  <c r="Q21" i="5"/>
  <c r="Q20" i="5"/>
  <c r="Q19" i="5"/>
  <c r="Q18" i="5"/>
  <c r="Q17" i="5"/>
  <c r="Q23" i="5" s="1"/>
  <c r="R7" i="5"/>
  <c r="R9" i="5"/>
  <c r="Q12" i="5"/>
  <c r="Q8" i="5"/>
  <c r="Q6" i="5"/>
  <c r="Q5" i="5"/>
  <c r="Q13" i="5" s="1"/>
  <c r="W27" i="4" l="1"/>
  <c r="W21" i="4"/>
  <c r="W20" i="4"/>
  <c r="W19" i="4"/>
  <c r="W18" i="4"/>
  <c r="Z18" i="4" s="1"/>
  <c r="W12" i="4"/>
  <c r="W7" i="4"/>
  <c r="W6" i="4"/>
  <c r="W5" i="4"/>
  <c r="J14" i="1"/>
  <c r="W13" i="4" l="1"/>
  <c r="W8" i="4"/>
  <c r="AN13" i="4" l="1"/>
  <c r="AM13" i="4"/>
  <c r="AL13" i="4"/>
  <c r="AK13" i="4"/>
  <c r="AJ13" i="4"/>
  <c r="AI13" i="4"/>
  <c r="AH13" i="4"/>
  <c r="AG13" i="4"/>
  <c r="AD13" i="4"/>
  <c r="AC13" i="4"/>
  <c r="AN12" i="4"/>
  <c r="AM12" i="4"/>
  <c r="AL12" i="4"/>
  <c r="AK12" i="4"/>
  <c r="AJ12" i="4"/>
  <c r="AI12" i="4"/>
  <c r="AH12" i="4"/>
  <c r="AG12" i="4"/>
  <c r="AF12" i="4"/>
  <c r="AD12" i="4"/>
  <c r="AC12" i="4"/>
  <c r="AN11" i="4"/>
  <c r="AO11" i="4" s="1"/>
  <c r="AM11" i="4"/>
  <c r="AL11" i="4"/>
  <c r="AK11" i="4"/>
  <c r="AH11" i="4"/>
  <c r="AL8" i="4"/>
  <c r="AM8" i="4"/>
  <c r="AN8" i="4"/>
  <c r="AE8" i="4"/>
  <c r="AL7" i="4"/>
  <c r="AM7" i="4"/>
  <c r="AN7" i="4"/>
  <c r="AF7" i="4"/>
  <c r="AE7" i="4"/>
  <c r="AN5" i="4"/>
  <c r="AM5" i="4"/>
  <c r="AL5" i="4"/>
  <c r="AK5" i="4"/>
  <c r="AJ5" i="4"/>
  <c r="AI5" i="4"/>
  <c r="AH5" i="4"/>
  <c r="AG5" i="4"/>
  <c r="AF5" i="4"/>
  <c r="AE5" i="4"/>
  <c r="AE14" i="4" s="1"/>
  <c r="AD5" i="4"/>
  <c r="AC5" i="4"/>
  <c r="AO13" i="4" l="1"/>
  <c r="AN14" i="4"/>
  <c r="AM14" i="4"/>
  <c r="AO12" i="4"/>
  <c r="AL14" i="4"/>
  <c r="AO5" i="4"/>
  <c r="J25" i="1"/>
  <c r="R20" i="5" l="1"/>
  <c r="R21" i="5"/>
  <c r="P22" i="5"/>
  <c r="P21" i="5"/>
  <c r="P19" i="5"/>
  <c r="P18" i="5"/>
  <c r="P17" i="5"/>
  <c r="P23" i="5" s="1"/>
  <c r="P5" i="5"/>
  <c r="P13" i="5" s="1"/>
  <c r="P12" i="5"/>
  <c r="P8" i="5"/>
  <c r="P6" i="5"/>
  <c r="O22" i="5"/>
  <c r="O21" i="5"/>
  <c r="O19" i="5"/>
  <c r="O18" i="5"/>
  <c r="O23" i="5" s="1"/>
  <c r="O17" i="5"/>
  <c r="I19" i="5"/>
  <c r="I17" i="5"/>
  <c r="I5" i="5"/>
  <c r="H22" i="5"/>
  <c r="H17" i="5"/>
  <c r="H5" i="5"/>
  <c r="G22" i="5"/>
  <c r="R22" i="5" s="1"/>
  <c r="G21" i="5"/>
  <c r="G19" i="5"/>
  <c r="G17" i="5"/>
  <c r="G8" i="5"/>
  <c r="G5" i="5"/>
  <c r="F19" i="5"/>
  <c r="F17" i="5"/>
  <c r="F8" i="5"/>
  <c r="F5" i="5"/>
  <c r="E19" i="5"/>
  <c r="E17" i="5"/>
  <c r="E8" i="5"/>
  <c r="E5" i="5"/>
  <c r="D19" i="5"/>
  <c r="R19" i="5" s="1"/>
  <c r="D17" i="5"/>
  <c r="D8" i="5"/>
  <c r="D5" i="5"/>
  <c r="C19" i="5"/>
  <c r="C17" i="5"/>
  <c r="R17" i="5" s="1"/>
  <c r="C23" i="5"/>
  <c r="C8" i="5"/>
  <c r="C5" i="5"/>
  <c r="V13" i="4"/>
  <c r="V12" i="4"/>
  <c r="V8" i="4"/>
  <c r="AK8" i="4" s="1"/>
  <c r="V7" i="4"/>
  <c r="V5" i="4"/>
  <c r="AK7" i="4" s="1"/>
  <c r="AK14" i="4" s="1"/>
  <c r="O8" i="5"/>
  <c r="O5" i="5"/>
  <c r="R5" i="5" l="1"/>
  <c r="O13" i="5"/>
  <c r="J13" i="1"/>
  <c r="V11" i="4" l="1"/>
  <c r="V6" i="4"/>
  <c r="M11" i="1"/>
  <c r="C6" i="5" l="1"/>
  <c r="D6" i="5"/>
  <c r="E6" i="5"/>
  <c r="F6" i="5"/>
  <c r="G6" i="5"/>
  <c r="H6" i="5"/>
  <c r="I6" i="5"/>
  <c r="H8" i="5"/>
  <c r="R8" i="5" s="1"/>
  <c r="I8" i="5"/>
  <c r="H10" i="5"/>
  <c r="R10" i="5" s="1"/>
  <c r="C11" i="5"/>
  <c r="D11" i="5"/>
  <c r="F11" i="5"/>
  <c r="G11" i="5"/>
  <c r="H11" i="5"/>
  <c r="H13" i="5" s="1"/>
  <c r="I11" i="5"/>
  <c r="C12" i="5"/>
  <c r="D12" i="5"/>
  <c r="G12" i="5"/>
  <c r="H12" i="5"/>
  <c r="I12" i="5"/>
  <c r="J13" i="5"/>
  <c r="K13" i="5"/>
  <c r="L13" i="5"/>
  <c r="M13" i="5"/>
  <c r="N13" i="5"/>
  <c r="G18" i="5"/>
  <c r="R18" i="5" s="1"/>
  <c r="U23" i="4"/>
  <c r="U27" i="4"/>
  <c r="U26" i="4"/>
  <c r="U21" i="4"/>
  <c r="U20" i="4"/>
  <c r="U19" i="4"/>
  <c r="R11" i="5" l="1"/>
  <c r="R12" i="5"/>
  <c r="R6" i="5"/>
  <c r="F13" i="5"/>
  <c r="D13" i="5"/>
  <c r="I13" i="5"/>
  <c r="E13" i="5"/>
  <c r="G13" i="5"/>
  <c r="C13" i="5" l="1"/>
  <c r="R13" i="5" s="1"/>
  <c r="S14" i="5" s="1"/>
  <c r="U8" i="4"/>
  <c r="U7" i="4"/>
  <c r="U6" i="4"/>
  <c r="U5" i="4"/>
  <c r="AJ7" i="4" s="1"/>
  <c r="J12" i="1"/>
  <c r="U13" i="4" l="1"/>
  <c r="U9" i="4" l="1"/>
  <c r="AJ8" i="4" s="1"/>
  <c r="AJ14" i="4" s="1"/>
  <c r="U12" i="4" l="1"/>
  <c r="J11" i="1" l="1"/>
  <c r="M23" i="5" l="1"/>
  <c r="L23" i="5"/>
  <c r="K23" i="5"/>
  <c r="J23" i="5"/>
  <c r="I23" i="5"/>
  <c r="H23" i="5"/>
  <c r="F23" i="5"/>
  <c r="E23" i="5"/>
  <c r="D23" i="5"/>
  <c r="T12" i="4"/>
  <c r="T8" i="4"/>
  <c r="AI8" i="4" s="1"/>
  <c r="T7" i="4"/>
  <c r="T6" i="4"/>
  <c r="T5" i="4"/>
  <c r="AI7" i="4" s="1"/>
  <c r="AI14" i="4" s="1"/>
  <c r="G23" i="5" l="1"/>
  <c r="R23" i="5" s="1"/>
  <c r="S24" i="5" s="1"/>
  <c r="T13" i="4"/>
  <c r="J24" i="1" l="1"/>
  <c r="J10" i="1" l="1"/>
  <c r="S7" i="4"/>
  <c r="S6" i="4"/>
  <c r="S5" i="4"/>
  <c r="AH7" i="4" l="1"/>
  <c r="S13" i="4"/>
  <c r="S11" i="4"/>
  <c r="S8" i="4"/>
  <c r="AH8" i="4" s="1"/>
  <c r="AH14" i="4" l="1"/>
  <c r="S12" i="4"/>
  <c r="P6" i="4" l="1"/>
  <c r="J7" i="1"/>
  <c r="R27" i="4" l="1"/>
  <c r="R26" i="4"/>
  <c r="R21" i="4"/>
  <c r="R20" i="4"/>
  <c r="R19" i="4"/>
  <c r="R13" i="4"/>
  <c r="R12" i="4"/>
  <c r="R9" i="4"/>
  <c r="R7" i="4"/>
  <c r="R6" i="4"/>
  <c r="R5" i="4"/>
  <c r="AG7" i="4" s="1"/>
  <c r="J9" i="1"/>
  <c r="R8" i="4" l="1"/>
  <c r="AG8" i="4" s="1"/>
  <c r="AG14" i="4" s="1"/>
  <c r="Y30" i="3" l="1"/>
  <c r="P14" i="4" l="1"/>
  <c r="J8" i="1" l="1"/>
  <c r="Q12" i="4" l="1"/>
  <c r="Q8" i="4"/>
  <c r="Q6" i="4"/>
  <c r="Q9" i="4" l="1"/>
  <c r="Q10" i="4" l="1"/>
  <c r="AF8" i="4" s="1"/>
  <c r="AF14" i="4" s="1"/>
  <c r="J23" i="1" l="1"/>
  <c r="O13" i="4" l="1"/>
  <c r="O10" i="4"/>
  <c r="O7" i="4"/>
  <c r="O5" i="4"/>
  <c r="AD7" i="4" s="1"/>
  <c r="J6" i="1"/>
  <c r="O9" i="4" l="1"/>
  <c r="O6" i="4" l="1"/>
  <c r="O12" i="4" l="1"/>
  <c r="O8" i="4" l="1"/>
  <c r="AD8" i="4" s="1"/>
  <c r="AD14" i="4" s="1"/>
  <c r="I5" i="1" l="1"/>
  <c r="N9" i="4" l="1"/>
  <c r="N8" i="4"/>
  <c r="N6" i="4"/>
  <c r="N5" i="4"/>
  <c r="J5" i="1"/>
  <c r="N13" i="4" l="1"/>
  <c r="N10" i="4"/>
  <c r="AC8" i="4" s="1"/>
  <c r="AO8" i="4" s="1"/>
  <c r="N7" i="4"/>
  <c r="AC7" i="4" s="1"/>
  <c r="AC14" i="4" l="1"/>
  <c r="AO7" i="4"/>
  <c r="AO14" i="4" s="1"/>
  <c r="N12" i="4"/>
  <c r="Z6" i="4" l="1"/>
  <c r="F6" i="4" s="1"/>
  <c r="X28" i="4"/>
  <c r="W28" i="4"/>
  <c r="V28" i="4"/>
  <c r="U28" i="4"/>
  <c r="T28" i="4"/>
  <c r="S28" i="4"/>
  <c r="Q28" i="4"/>
  <c r="P28" i="4"/>
  <c r="N28" i="4"/>
  <c r="Z27" i="4"/>
  <c r="Z26" i="4"/>
  <c r="Z25" i="4"/>
  <c r="Z24" i="4"/>
  <c r="Z23" i="4"/>
  <c r="Z22" i="4"/>
  <c r="Z21" i="4"/>
  <c r="Z20" i="4"/>
  <c r="Z19" i="4"/>
  <c r="O28" i="4"/>
  <c r="C14" i="4"/>
  <c r="Z13" i="4"/>
  <c r="F13" i="4" s="1"/>
  <c r="Z12" i="4"/>
  <c r="F12" i="4" s="1"/>
  <c r="Z11" i="4"/>
  <c r="F11" i="4" s="1"/>
  <c r="Z10" i="4"/>
  <c r="F10" i="4" s="1"/>
  <c r="Z9" i="4"/>
  <c r="F9" i="4" s="1"/>
  <c r="D14" i="4"/>
  <c r="Z8" i="4"/>
  <c r="F8" i="4" s="1"/>
  <c r="Z7" i="4"/>
  <c r="F7" i="4" s="1"/>
  <c r="Y14" i="4"/>
  <c r="U14" i="4"/>
  <c r="Q14" i="4"/>
  <c r="X14" i="4"/>
  <c r="W14" i="4"/>
  <c r="V14" i="4"/>
  <c r="T14" i="4"/>
  <c r="S14" i="4"/>
  <c r="R14" i="4"/>
  <c r="O14" i="4"/>
  <c r="Z5" i="4"/>
  <c r="F5" i="4" s="1"/>
  <c r="J17" i="1"/>
  <c r="J22" i="1"/>
  <c r="M14" i="1"/>
  <c r="M15" i="1" l="1"/>
  <c r="F14" i="4"/>
  <c r="F17" i="4" s="1"/>
  <c r="E14" i="4"/>
  <c r="E17" i="4" s="1"/>
  <c r="Z28" i="4"/>
  <c r="Z14" i="4"/>
  <c r="D17" i="4"/>
  <c r="N14" i="4"/>
  <c r="R28" i="4"/>
  <c r="I16" i="1"/>
  <c r="Y11" i="3"/>
  <c r="Y6" i="3"/>
  <c r="Y15" i="3" l="1"/>
  <c r="Y8" i="3"/>
  <c r="Y7" i="3"/>
  <c r="Y5" i="3"/>
  <c r="Y14" i="3" l="1"/>
  <c r="P14" i="1"/>
  <c r="Y10" i="3"/>
  <c r="X29" i="3" l="1"/>
  <c r="X30" i="3" l="1"/>
  <c r="I15" i="1" l="1"/>
  <c r="X15" i="3"/>
  <c r="X7" i="3"/>
  <c r="X5" i="3"/>
  <c r="X6" i="3" l="1"/>
  <c r="X8" i="3" l="1"/>
  <c r="X14" i="3" l="1"/>
  <c r="I14" i="1" l="1"/>
  <c r="W8" i="3"/>
  <c r="W7" i="3"/>
  <c r="W5" i="3"/>
  <c r="W15" i="3" l="1"/>
  <c r="W6" i="3" l="1"/>
  <c r="W14" i="3" l="1"/>
  <c r="V5" i="3" l="1"/>
  <c r="I13" i="1"/>
  <c r="I12" i="1" l="1"/>
  <c r="I11" i="1"/>
  <c r="U5" i="3"/>
  <c r="U6" i="3"/>
  <c r="T7" i="3"/>
  <c r="V11" i="3" l="1"/>
  <c r="V6" i="3"/>
  <c r="V14" i="3" l="1"/>
  <c r="V10" i="3" l="1"/>
  <c r="V8" i="3"/>
  <c r="I25" i="1" l="1"/>
  <c r="P5" i="3" l="1"/>
  <c r="I7" i="1"/>
  <c r="U7" i="3" l="1"/>
  <c r="U8" i="3"/>
  <c r="U14" i="3" l="1"/>
  <c r="U15" i="3" l="1"/>
  <c r="U10" i="3" l="1"/>
  <c r="I10" i="1" l="1"/>
  <c r="T5" i="3"/>
  <c r="T6" i="3"/>
  <c r="T15" i="3" l="1"/>
  <c r="T8" i="3"/>
  <c r="S6" i="3" l="1"/>
  <c r="R8" i="3"/>
  <c r="T14" i="3" l="1"/>
  <c r="T10" i="3" l="1"/>
  <c r="I24" i="1" l="1"/>
  <c r="S15" i="3" l="1"/>
  <c r="S14" i="3"/>
  <c r="S7" i="3"/>
  <c r="S5" i="3"/>
  <c r="S10" i="3" l="1"/>
  <c r="S8" i="3" l="1"/>
  <c r="S11" i="3" l="1"/>
  <c r="R20" i="3" l="1"/>
  <c r="I9" i="1" l="1"/>
  <c r="R6" i="3"/>
  <c r="R5" i="3"/>
  <c r="R14" i="3" l="1"/>
  <c r="R7" i="3"/>
  <c r="R15" i="3" l="1"/>
  <c r="Q15" i="3" l="1"/>
  <c r="Q14" i="3"/>
  <c r="Q8" i="3"/>
  <c r="Q7" i="3"/>
  <c r="Q6" i="3"/>
  <c r="Q5" i="3"/>
  <c r="I8" i="1"/>
  <c r="Q11" i="3" l="1"/>
  <c r="Q10" i="3" l="1"/>
  <c r="I23" i="1" l="1"/>
  <c r="P15" i="3"/>
  <c r="P11" i="3"/>
  <c r="P8" i="3"/>
  <c r="P7" i="3"/>
  <c r="P10" i="3" l="1"/>
  <c r="P6" i="3"/>
  <c r="O20" i="3" l="1"/>
  <c r="P14" i="3"/>
  <c r="O26" i="3" l="1"/>
  <c r="O22" i="3"/>
  <c r="O6" i="3" l="1"/>
  <c r="O5" i="3"/>
  <c r="I6" i="1"/>
  <c r="O14" i="3" l="1"/>
  <c r="O11" i="3"/>
  <c r="O8" i="3"/>
  <c r="O7" i="3"/>
  <c r="O15" i="3" l="1"/>
  <c r="O10" i="3"/>
  <c r="N11" i="3" l="1"/>
  <c r="N6" i="3"/>
  <c r="N7" i="3" l="1"/>
  <c r="N5" i="3"/>
  <c r="N15" i="3" l="1"/>
  <c r="Z15" i="3" s="1"/>
  <c r="E15" i="3" s="1"/>
  <c r="N10" i="3"/>
  <c r="N8" i="3"/>
  <c r="W31" i="2" l="1"/>
  <c r="X31" i="2"/>
  <c r="N14" i="3" l="1"/>
  <c r="I22" i="1" l="1"/>
  <c r="T16" i="3"/>
  <c r="Z7" i="3"/>
  <c r="E7" i="3" s="1"/>
  <c r="Z23" i="3"/>
  <c r="Z28" i="3"/>
  <c r="W30" i="3"/>
  <c r="V30" i="3"/>
  <c r="U30" i="3"/>
  <c r="S30" i="3"/>
  <c r="Q30" i="3"/>
  <c r="P30" i="3"/>
  <c r="O30" i="3"/>
  <c r="N30" i="3"/>
  <c r="Z29" i="3"/>
  <c r="Z27" i="3"/>
  <c r="Z26" i="3"/>
  <c r="Z25" i="3"/>
  <c r="Z24" i="3"/>
  <c r="Z21" i="3"/>
  <c r="G20" i="3"/>
  <c r="C16" i="3"/>
  <c r="Z13" i="3"/>
  <c r="E13" i="3" s="1"/>
  <c r="Z12" i="3"/>
  <c r="E12" i="3" s="1"/>
  <c r="Z9" i="3"/>
  <c r="D9" i="3" s="1"/>
  <c r="X16" i="3"/>
  <c r="W16" i="3"/>
  <c r="S16" i="3"/>
  <c r="P16" i="3"/>
  <c r="O16" i="3"/>
  <c r="P16" i="1"/>
  <c r="I17" i="1"/>
  <c r="G5" i="1"/>
  <c r="G6" i="1"/>
  <c r="G7" i="1"/>
  <c r="G8" i="1"/>
  <c r="G9" i="1"/>
  <c r="G10" i="1"/>
  <c r="G11" i="1"/>
  <c r="G12" i="1"/>
  <c r="G13" i="1"/>
  <c r="G14" i="1"/>
  <c r="G15" i="1"/>
  <c r="G16" i="1"/>
  <c r="G25" i="1" l="1"/>
  <c r="E9" i="3"/>
  <c r="Z10" i="3"/>
  <c r="E10" i="3" s="1"/>
  <c r="R30" i="3"/>
  <c r="U16" i="3"/>
  <c r="Y16" i="3"/>
  <c r="Z11" i="3"/>
  <c r="E11" i="3" s="1"/>
  <c r="T30" i="3"/>
  <c r="N16" i="3"/>
  <c r="R16" i="3"/>
  <c r="V16" i="3"/>
  <c r="Z6" i="3"/>
  <c r="E6" i="3" s="1"/>
  <c r="Z14" i="3"/>
  <c r="E14" i="3" s="1"/>
  <c r="Z20" i="3"/>
  <c r="Z8" i="3"/>
  <c r="E8" i="3" s="1"/>
  <c r="Q16" i="3"/>
  <c r="Z5" i="3"/>
  <c r="Z22" i="3"/>
  <c r="G17" i="1"/>
  <c r="G24" i="1"/>
  <c r="G22" i="1"/>
  <c r="G23" i="1"/>
  <c r="X8" i="2"/>
  <c r="X7" i="2"/>
  <c r="X6" i="2"/>
  <c r="U8" i="1"/>
  <c r="U7" i="1"/>
  <c r="U6" i="1"/>
  <c r="U5" i="1"/>
  <c r="H16" i="1"/>
  <c r="Z16" i="3" l="1"/>
  <c r="E5" i="3"/>
  <c r="E16" i="3" s="1"/>
  <c r="E19" i="3" s="1"/>
  <c r="Z30" i="3"/>
  <c r="X15" i="2"/>
  <c r="X14" i="2"/>
  <c r="X11" i="2"/>
  <c r="X5" i="2"/>
  <c r="U15" i="1"/>
  <c r="U14" i="1"/>
  <c r="U11" i="1"/>
  <c r="D16" i="3" l="1"/>
  <c r="U10" i="1"/>
  <c r="X10" i="2"/>
  <c r="G19" i="3" l="1"/>
  <c r="D19" i="3"/>
  <c r="X16" i="2" l="1"/>
  <c r="W7" i="2" l="1"/>
  <c r="W6" i="2"/>
  <c r="H15" i="1"/>
  <c r="W5" i="2" l="1"/>
  <c r="W14" i="2" l="1"/>
  <c r="W8" i="2" l="1"/>
  <c r="W15" i="2" l="1"/>
  <c r="U31" i="2" l="1"/>
  <c r="T31" i="2"/>
  <c r="R31" i="2"/>
  <c r="W11" i="2" l="1"/>
  <c r="W16" i="2" l="1"/>
  <c r="V31" i="2" l="1"/>
  <c r="V5" i="2"/>
  <c r="V6" i="2"/>
  <c r="V15" i="2" l="1"/>
  <c r="V14" i="2"/>
  <c r="V11" i="2"/>
  <c r="V8" i="2"/>
  <c r="H14" i="1"/>
  <c r="V10" i="2" l="1"/>
  <c r="V16" i="2" l="1"/>
  <c r="H25" i="1"/>
  <c r="U8" i="2" l="1"/>
  <c r="U15" i="2" l="1"/>
  <c r="U11" i="2"/>
  <c r="U6" i="2"/>
  <c r="H13" i="1"/>
  <c r="U5" i="2" l="1"/>
  <c r="U14" i="2" l="1"/>
  <c r="U16" i="2" l="1"/>
  <c r="H12" i="1"/>
  <c r="T5" i="2"/>
  <c r="T7" i="2" l="1"/>
  <c r="T6" i="2"/>
  <c r="T15" i="2" l="1"/>
  <c r="T14" i="2"/>
  <c r="T12" i="2" l="1"/>
  <c r="T10" i="2"/>
  <c r="T8" i="2"/>
  <c r="U12" i="1" l="1"/>
  <c r="S25" i="2" l="1"/>
  <c r="S29" i="2"/>
  <c r="S23" i="2"/>
  <c r="S22" i="2"/>
  <c r="S20" i="2"/>
  <c r="T16" i="2"/>
  <c r="S31" i="2" l="1"/>
  <c r="S14" i="2"/>
  <c r="S7" i="2"/>
  <c r="S5" i="2"/>
  <c r="H11" i="1"/>
  <c r="S6" i="2" l="1"/>
  <c r="D5" i="1"/>
  <c r="D22" i="1" s="1"/>
  <c r="C17" i="1"/>
  <c r="C22" i="1"/>
  <c r="C23" i="1"/>
  <c r="D23" i="1"/>
  <c r="C24" i="1"/>
  <c r="D24" i="1"/>
  <c r="C25" i="1"/>
  <c r="D25" i="1"/>
  <c r="C34" i="1"/>
  <c r="C35" i="1"/>
  <c r="C36" i="1"/>
  <c r="C37" i="1"/>
  <c r="C38" i="1"/>
  <c r="C39" i="1"/>
  <c r="C40" i="1"/>
  <c r="C41" i="1"/>
  <c r="C42" i="1"/>
  <c r="C43" i="1"/>
  <c r="C44" i="1"/>
  <c r="D45" i="1"/>
  <c r="D17" i="1" l="1"/>
  <c r="C45" i="1"/>
  <c r="S15" i="2"/>
  <c r="S8" i="2" l="1"/>
  <c r="S10" i="2" l="1"/>
  <c r="S16" i="2" s="1"/>
  <c r="H24" i="1"/>
  <c r="R15" i="2" l="1"/>
  <c r="R8" i="2"/>
  <c r="R7" i="2"/>
  <c r="R6" i="2"/>
  <c r="R5" i="2"/>
  <c r="H10" i="1"/>
  <c r="Q30" i="2" l="1"/>
  <c r="Y30" i="2" s="1"/>
  <c r="Q29" i="2"/>
  <c r="Y29" i="2" s="1"/>
  <c r="Q23" i="2"/>
  <c r="Y23" i="2" s="1"/>
  <c r="Q22" i="2"/>
  <c r="Q21" i="2"/>
  <c r="Y21" i="2" s="1"/>
  <c r="Q20" i="2"/>
  <c r="Y28" i="2"/>
  <c r="Y27" i="2"/>
  <c r="Y26" i="2"/>
  <c r="Y25" i="2"/>
  <c r="Y24" i="2"/>
  <c r="P31" i="2"/>
  <c r="N31" i="2"/>
  <c r="M31" i="2"/>
  <c r="Q31" i="2" l="1"/>
  <c r="O31" i="2"/>
  <c r="Y31" i="2"/>
  <c r="R14" i="2" l="1"/>
  <c r="R10" i="2" l="1"/>
  <c r="R16" i="2" s="1"/>
  <c r="Q7" i="2" l="1"/>
  <c r="Q5" i="2"/>
  <c r="H9" i="1"/>
  <c r="Q15" i="2" l="1"/>
  <c r="Q14" i="2"/>
  <c r="Q6" i="2"/>
  <c r="Q8" i="2" l="1"/>
  <c r="Q10" i="2" l="1"/>
  <c r="Q16" i="2" l="1"/>
  <c r="P15" i="2" l="1"/>
  <c r="P14" i="2"/>
  <c r="P8" i="2"/>
  <c r="P7" i="2"/>
  <c r="P6" i="2"/>
  <c r="P5" i="2"/>
  <c r="H8" i="1"/>
  <c r="P12" i="2" l="1"/>
  <c r="P10" i="2" l="1"/>
  <c r="H23" i="1" l="1"/>
  <c r="P16" i="2" l="1"/>
  <c r="O15" i="2" l="1"/>
  <c r="O8" i="2"/>
  <c r="O6" i="2"/>
  <c r="O5" i="2"/>
  <c r="H7" i="1"/>
  <c r="O14" i="2" l="1"/>
  <c r="O10" i="2"/>
  <c r="O7" i="2"/>
  <c r="O11" i="2" l="1"/>
  <c r="O16" i="2" l="1"/>
  <c r="N15" i="2" l="1"/>
  <c r="N14" i="2"/>
  <c r="N11" i="2"/>
  <c r="N8" i="2"/>
  <c r="N7" i="2"/>
  <c r="N6" i="2"/>
  <c r="N5" i="2"/>
  <c r="H6" i="1"/>
  <c r="N10" i="2" l="1"/>
  <c r="F20" i="2" l="1"/>
  <c r="M15" i="2" l="1"/>
  <c r="Y15" i="2" s="1"/>
  <c r="N16" i="2" l="1"/>
  <c r="M14" i="2" l="1"/>
  <c r="M11" i="2"/>
  <c r="M10" i="2"/>
  <c r="M7" i="2"/>
  <c r="M6" i="2"/>
  <c r="M5" i="2"/>
  <c r="H5" i="1"/>
  <c r="H17" i="1" s="1"/>
  <c r="M8" i="2" l="1"/>
  <c r="M13" i="2" l="1"/>
  <c r="U13" i="1"/>
  <c r="U16" i="1" s="1"/>
  <c r="U17" i="1" l="1"/>
  <c r="T15" i="1"/>
  <c r="T13" i="1"/>
  <c r="T11" i="1"/>
  <c r="T10" i="1"/>
  <c r="T8" i="1"/>
  <c r="T7" i="1"/>
  <c r="T6" i="1"/>
  <c r="T5" i="1"/>
  <c r="T16" i="1" l="1"/>
  <c r="Y8" i="2"/>
  <c r="D8" i="2" s="1"/>
  <c r="E8" i="2" s="1"/>
  <c r="Y14" i="2"/>
  <c r="D14" i="2" s="1"/>
  <c r="E14" i="2" s="1"/>
  <c r="D15" i="2"/>
  <c r="E15" i="2" s="1"/>
  <c r="Y13" i="2"/>
  <c r="D13" i="2" s="1"/>
  <c r="E13" i="2" s="1"/>
  <c r="Y12" i="2"/>
  <c r="D12" i="2" s="1"/>
  <c r="E12" i="2" s="1"/>
  <c r="Y11" i="2"/>
  <c r="D11" i="2" s="1"/>
  <c r="E11" i="2" s="1"/>
  <c r="Y10" i="2"/>
  <c r="D10" i="2" s="1"/>
  <c r="E10" i="2" s="1"/>
  <c r="Y7" i="2"/>
  <c r="D7" i="2" s="1"/>
  <c r="E7" i="2" s="1"/>
  <c r="Y6" i="2"/>
  <c r="D6" i="2" s="1"/>
  <c r="E6" i="2" s="1"/>
  <c r="Y5" i="2"/>
  <c r="M16" i="2"/>
  <c r="H22" i="1"/>
  <c r="D5" i="2" l="1"/>
  <c r="E5" i="2" s="1"/>
  <c r="C16" i="2"/>
  <c r="Y9" i="2" l="1"/>
  <c r="Y16" i="2" s="1"/>
  <c r="D9" i="2" l="1"/>
  <c r="D16" i="2" l="1"/>
  <c r="E9" i="2"/>
  <c r="C18" i="2"/>
  <c r="E16" i="2"/>
  <c r="D19" i="2"/>
  <c r="F19" i="2"/>
  <c r="F16" i="1" l="1"/>
  <c r="F15" i="1" l="1"/>
  <c r="F14" i="1" l="1"/>
  <c r="F25" i="1" l="1"/>
  <c r="F13" i="1" l="1"/>
  <c r="F12" i="1" l="1"/>
  <c r="F11" i="1" l="1"/>
  <c r="F24" i="1" l="1"/>
  <c r="F10" i="1" l="1"/>
  <c r="F9" i="1" l="1"/>
  <c r="F8" i="1" l="1"/>
  <c r="F23" i="1" l="1"/>
  <c r="F7" i="1" l="1"/>
  <c r="F22" i="1" s="1"/>
  <c r="F17" i="1" l="1"/>
  <c r="E25" i="1" l="1"/>
  <c r="E24" i="1" l="1"/>
  <c r="E23" i="1" l="1"/>
  <c r="E22" i="1"/>
  <c r="E17" i="1"/>
</calcChain>
</file>

<file path=xl/sharedStrings.xml><?xml version="1.0" encoding="utf-8"?>
<sst xmlns="http://schemas.openxmlformats.org/spreadsheetml/2006/main" count="378" uniqueCount="64">
  <si>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</si>
  <si>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</si>
  <si>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</si>
  <si>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</si>
  <si>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</si>
  <si>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</si>
  <si>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</si>
  <si>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</si>
  <si>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</si>
  <si>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</si>
  <si>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</si>
  <si>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</si>
  <si>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 квартал</t>
  </si>
  <si>
    <t>2 квартал</t>
  </si>
  <si>
    <t>3 квартал</t>
  </si>
  <si>
    <t>4 квартал</t>
  </si>
  <si>
    <t>ИТОГО</t>
  </si>
  <si>
    <t>Отдел</t>
  </si>
  <si>
    <t>ОАКВ</t>
  </si>
  <si>
    <t>ОАКВА</t>
  </si>
  <si>
    <t>ОАКПО</t>
  </si>
  <si>
    <t>ОПНД</t>
  </si>
  <si>
    <t>ИОА</t>
  </si>
  <si>
    <t>Расчет платы</t>
  </si>
  <si>
    <t>Семинар</t>
  </si>
  <si>
    <t>Метрология</t>
  </si>
  <si>
    <t>Оплата, поступившая за период</t>
  </si>
  <si>
    <t>Ирбит</t>
  </si>
  <si>
    <t>Краснотурьинс</t>
  </si>
  <si>
    <t>Н.Тагил</t>
  </si>
  <si>
    <t>с 01.01.18 по 29.12.2018</t>
  </si>
  <si>
    <t>2018 оригинал</t>
  </si>
  <si>
    <t>касса</t>
  </si>
  <si>
    <t xml:space="preserve">июнь </t>
  </si>
  <si>
    <t>отдел</t>
  </si>
  <si>
    <t>итого</t>
  </si>
  <si>
    <t>п/п ОТО №</t>
  </si>
  <si>
    <t>план</t>
  </si>
  <si>
    <t>погрешность</t>
  </si>
  <si>
    <t>Кассовое поступление 2019</t>
  </si>
  <si>
    <t>Реализация 2019</t>
  </si>
  <si>
    <t>поступления на 31.12.19</t>
  </si>
  <si>
    <t>с 01.01 по 31.12.19</t>
  </si>
  <si>
    <t>Кассовое поступление 2020</t>
  </si>
  <si>
    <t>Реализация 2020</t>
  </si>
  <si>
    <t>погрешность, перебила</t>
  </si>
  <si>
    <t>планПДД2021 от ОТО на 22.10.2020</t>
  </si>
  <si>
    <t>с 01.01. по 31.12.2020</t>
  </si>
  <si>
    <t>поступления на 31.12.2020</t>
  </si>
  <si>
    <t>Расчет плата (АП)</t>
  </si>
  <si>
    <t>КРТ</t>
  </si>
  <si>
    <t>НТ</t>
  </si>
  <si>
    <t>Кассовое поступление 2021</t>
  </si>
  <si>
    <t>Реализация 2021</t>
  </si>
  <si>
    <t>от бух.</t>
  </si>
  <si>
    <t>ОХАК</t>
  </si>
  <si>
    <t>ОПНД/ ОКМС / семинар</t>
  </si>
  <si>
    <t>см. 1-й кв.</t>
  </si>
  <si>
    <t xml:space="preserve">ОХАК </t>
  </si>
  <si>
    <t>АА</t>
  </si>
  <si>
    <t>Касса</t>
  </si>
  <si>
    <t>реально</t>
  </si>
  <si>
    <t>поступления на 27.12.2021</t>
  </si>
  <si>
    <t>с 01.01. по 27.12.2021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</si>
</sst>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color rgb="FFFF5050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4" fillId="0" borderId="0"/>
  </cellStyleXfs>
  <cellXfs count="252"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4" fontId="0" fillId="2" borderId="0" xfId="0" applyNumberFormat="1" applyFill="1" applyBorder="1"/>
    <xf numFmtId="4" fontId="0" fillId="0" borderId="0" xfId="0" applyNumberFormat="1"/>
    <xf numFmtId="0" fontId="0" fillId="2" borderId="16" xfId="0" applyFill="1" applyBorder="1"/>
    <xf numFmtId="0" fontId="0" fillId="2" borderId="18" xfId="0" applyFill="1" applyBorder="1"/>
    <xf numFmtId="0" fontId="0" fillId="2" borderId="19" xfId="0" applyFill="1" applyBorder="1"/>
    <xf numFmtId="4" fontId="0" fillId="2" borderId="0" xfId="0" applyNumberFormat="1" applyFill="1"/>
    <xf numFmtId="4" fontId="2" fillId="2" borderId="0" xfId="0" applyNumberFormat="1" applyFont="1" applyFill="1"/>
    <xf numFmtId="4" fontId="4" fillId="2" borderId="0" xfId="0" applyNumberFormat="1" applyFont="1" applyFill="1"/>
    <xf numFmtId="4" fontId="0" fillId="0" borderId="0" xfId="0" applyNumberFormat="1" applyBorder="1"/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6" xfId="0" applyFont="1" applyFill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0" fontId="5" fillId="0" borderId="0" xfId="0" applyFont="1"/>
    <xf numFmtId="0" fontId="5" fillId="6" borderId="20" xfId="0" applyFont="1" applyFill="1" applyBorder="1"/>
    <xf numFmtId="4" fontId="5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20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4" fontId="0" fillId="0" borderId="0" xfId="0" applyNumberFormat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7" fillId="3" borderId="16" xfId="0" applyNumberFormat="1" applyFont="1" applyFill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8" fillId="3" borderId="7" xfId="0" applyNumberFormat="1" applyFont="1" applyFill="1" applyBorder="1" applyAlignment="1">
      <alignment horizontal="center"/>
    </xf>
    <xf numFmtId="4" fontId="8" fillId="3" borderId="9" xfId="0" applyNumberFormat="1" applyFont="1" applyFill="1" applyBorder="1" applyAlignment="1">
      <alignment horizontal="center"/>
    </xf>
    <xf numFmtId="4" fontId="5" fillId="3" borderId="11" xfId="0" applyNumberFormat="1" applyFont="1" applyFill="1" applyBorder="1" applyAlignment="1">
      <alignment horizontal="center"/>
    </xf>
    <xf numFmtId="4" fontId="5" fillId="3" borderId="30" xfId="0" applyNumberFormat="1" applyFont="1" applyFill="1" applyBorder="1" applyAlignment="1">
      <alignment horizontal="center"/>
    </xf>
    <xf numFmtId="4" fontId="7" fillId="3" borderId="12" xfId="0" applyNumberFormat="1" applyFont="1" applyFill="1" applyBorder="1" applyAlignment="1">
      <alignment horizontal="center"/>
    </xf>
    <xf numFmtId="4" fontId="9" fillId="5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9" fillId="2" borderId="31" xfId="0" applyFont="1" applyFill="1" applyBorder="1"/>
    <xf numFmtId="4" fontId="10" fillId="2" borderId="0" xfId="0" applyNumberFormat="1" applyFont="1" applyFill="1"/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7" fillId="3" borderId="11" xfId="0" applyNumberFormat="1" applyFont="1" applyFill="1" applyBorder="1" applyAlignment="1">
      <alignment horizontal="center"/>
    </xf>
    <xf numFmtId="4" fontId="3" fillId="3" borderId="0" xfId="0" applyNumberFormat="1" applyFont="1" applyFill="1" applyAlignment="1">
      <alignment horizontal="center"/>
    </xf>
    <xf numFmtId="4" fontId="0" fillId="2" borderId="7" xfId="0" applyNumberFormat="1" applyFill="1" applyBorder="1"/>
    <xf numFmtId="4" fontId="2" fillId="2" borderId="9" xfId="0" applyNumberFormat="1" applyFont="1" applyFill="1" applyBorder="1"/>
    <xf numFmtId="4" fontId="0" fillId="2" borderId="9" xfId="0" applyNumberFormat="1" applyFill="1" applyBorder="1"/>
    <xf numFmtId="4" fontId="11" fillId="2" borderId="0" xfId="0" applyNumberFormat="1" applyFont="1" applyFill="1" applyBorder="1"/>
    <xf numFmtId="4" fontId="2" fillId="2" borderId="0" xfId="0" applyNumberFormat="1" applyFont="1" applyFill="1" applyBorder="1"/>
    <xf numFmtId="0" fontId="2" fillId="7" borderId="0" xfId="0" applyFont="1" applyFill="1"/>
    <xf numFmtId="0" fontId="2" fillId="7" borderId="16" xfId="0" applyFont="1" applyFill="1" applyBorder="1"/>
    <xf numFmtId="0" fontId="12" fillId="7" borderId="16" xfId="0" applyFont="1" applyFill="1" applyBorder="1" applyAlignment="1">
      <alignment horizontal="center"/>
    </xf>
    <xf numFmtId="0" fontId="2" fillId="7" borderId="18" xfId="0" applyFont="1" applyFill="1" applyBorder="1"/>
    <xf numFmtId="4" fontId="2" fillId="7" borderId="18" xfId="0" applyNumberFormat="1" applyFont="1" applyFill="1" applyBorder="1"/>
    <xf numFmtId="0" fontId="2" fillId="7" borderId="19" xfId="0" applyFont="1" applyFill="1" applyBorder="1"/>
    <xf numFmtId="4" fontId="2" fillId="7" borderId="19" xfId="0" applyNumberFormat="1" applyFont="1" applyFill="1" applyBorder="1"/>
    <xf numFmtId="4" fontId="2" fillId="7" borderId="25" xfId="0" applyNumberFormat="1" applyFont="1" applyFill="1" applyBorder="1"/>
    <xf numFmtId="0" fontId="2" fillId="7" borderId="20" xfId="0" applyFont="1" applyFill="1" applyBorder="1"/>
    <xf numFmtId="4" fontId="2" fillId="7" borderId="16" xfId="0" applyNumberFormat="1" applyFont="1" applyFill="1" applyBorder="1"/>
    <xf numFmtId="0" fontId="5" fillId="0" borderId="32" xfId="0" applyFont="1" applyBorder="1" applyAlignment="1">
      <alignment horizontal="center"/>
    </xf>
    <xf numFmtId="0" fontId="1" fillId="2" borderId="33" xfId="0" applyFont="1" applyFill="1" applyBorder="1"/>
    <xf numFmtId="0" fontId="1" fillId="2" borderId="34" xfId="0" applyFont="1" applyFill="1" applyBorder="1"/>
    <xf numFmtId="0" fontId="5" fillId="3" borderId="35" xfId="0" applyFont="1" applyFill="1" applyBorder="1"/>
    <xf numFmtId="0" fontId="9" fillId="2" borderId="36" xfId="0" applyFont="1" applyFill="1" applyBorder="1"/>
    <xf numFmtId="0" fontId="5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4" fontId="10" fillId="0" borderId="0" xfId="0" applyNumberFormat="1" applyFont="1" applyBorder="1"/>
    <xf numFmtId="0" fontId="0" fillId="0" borderId="0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4" fontId="15" fillId="0" borderId="26" xfId="0" applyNumberFormat="1" applyFont="1" applyBorder="1" applyAlignment="1">
      <alignment horizontal="center"/>
    </xf>
    <xf numFmtId="4" fontId="13" fillId="0" borderId="27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24" xfId="0" applyNumberFormat="1" applyFont="1" applyBorder="1" applyAlignment="1">
      <alignment horizontal="center"/>
    </xf>
    <xf numFmtId="4" fontId="13" fillId="0" borderId="18" xfId="0" applyNumberFormat="1" applyFont="1" applyBorder="1" applyAlignment="1">
      <alignment horizontal="center"/>
    </xf>
    <xf numFmtId="4" fontId="13" fillId="0" borderId="19" xfId="0" applyNumberFormat="1" applyFont="1" applyBorder="1" applyAlignment="1">
      <alignment horizontal="center"/>
    </xf>
    <xf numFmtId="4" fontId="13" fillId="0" borderId="28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center"/>
    </xf>
    <xf numFmtId="4" fontId="15" fillId="0" borderId="20" xfId="0" applyNumberFormat="1" applyFont="1" applyBorder="1" applyAlignment="1">
      <alignment horizontal="center"/>
    </xf>
    <xf numFmtId="4" fontId="14" fillId="3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17" fillId="2" borderId="0" xfId="0" applyNumberFormat="1" applyFont="1" applyFill="1" applyAlignment="1">
      <alignment horizontal="center"/>
    </xf>
    <xf numFmtId="0" fontId="1" fillId="8" borderId="0" xfId="0" applyFont="1" applyFill="1"/>
    <xf numFmtId="0" fontId="9" fillId="8" borderId="0" xfId="0" applyFont="1" applyFill="1" applyAlignment="1">
      <alignment horizontal="center"/>
    </xf>
    <xf numFmtId="0" fontId="18" fillId="8" borderId="16" xfId="0" applyFont="1" applyFill="1" applyBorder="1" applyAlignment="1">
      <alignment horizontal="center"/>
    </xf>
    <xf numFmtId="4" fontId="18" fillId="3" borderId="16" xfId="0" applyNumberFormat="1" applyFont="1" applyFill="1" applyBorder="1" applyAlignment="1">
      <alignment horizontal="center"/>
    </xf>
    <xf numFmtId="4" fontId="10" fillId="3" borderId="7" xfId="0" applyNumberFormat="1" applyFont="1" applyFill="1" applyBorder="1" applyAlignment="1">
      <alignment horizontal="center"/>
    </xf>
    <xf numFmtId="4" fontId="10" fillId="3" borderId="9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2" fillId="3" borderId="11" xfId="0" applyNumberFormat="1" applyFont="1" applyFill="1" applyBorder="1" applyAlignment="1">
      <alignment horizontal="center"/>
    </xf>
    <xf numFmtId="0" fontId="1" fillId="5" borderId="19" xfId="0" applyFont="1" applyFill="1" applyBorder="1"/>
    <xf numFmtId="4" fontId="2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5" borderId="29" xfId="0" applyNumberFormat="1" applyFill="1" applyBorder="1" applyAlignment="1">
      <alignment horizontal="center"/>
    </xf>
    <xf numFmtId="4" fontId="8" fillId="5" borderId="9" xfId="0" applyNumberFormat="1" applyFon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0" fontId="1" fillId="5" borderId="34" xfId="0" applyFont="1" applyFill="1" applyBorder="1"/>
    <xf numFmtId="4" fontId="19" fillId="5" borderId="1" xfId="0" applyNumberFormat="1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0" fontId="19" fillId="2" borderId="18" xfId="0" applyFont="1" applyFill="1" applyBorder="1"/>
    <xf numFmtId="4" fontId="8" fillId="0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9" fillId="2" borderId="19" xfId="0" applyFont="1" applyFill="1" applyBorder="1"/>
    <xf numFmtId="0" fontId="7" fillId="3" borderId="20" xfId="0" applyFont="1" applyFill="1" applyBorder="1"/>
    <xf numFmtId="4" fontId="8" fillId="5" borderId="1" xfId="0" applyNumberFormat="1" applyFont="1" applyFill="1" applyBorder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15" fillId="4" borderId="0" xfId="0" applyNumberFormat="1" applyFont="1" applyFill="1" applyAlignment="1">
      <alignment horizont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/>
    <xf numFmtId="4" fontId="0" fillId="2" borderId="2" xfId="0" applyNumberFormat="1" applyFill="1" applyBorder="1"/>
    <xf numFmtId="0" fontId="0" fillId="2" borderId="8" xfId="0" applyFill="1" applyBorder="1"/>
    <xf numFmtId="4" fontId="0" fillId="2" borderId="1" xfId="0" applyNumberFormat="1" applyFill="1" applyBorder="1"/>
    <xf numFmtId="4" fontId="11" fillId="2" borderId="9" xfId="0" applyNumberFormat="1" applyFont="1" applyFill="1" applyBorder="1"/>
    <xf numFmtId="4" fontId="0" fillId="2" borderId="11" xfId="0" applyNumberFormat="1" applyFill="1" applyBorder="1"/>
    <xf numFmtId="4" fontId="0" fillId="2" borderId="12" xfId="0" applyNumberForma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0" xfId="0" applyFill="1" applyBorder="1"/>
    <xf numFmtId="0" fontId="1" fillId="2" borderId="0" xfId="0" applyFont="1" applyFill="1" applyBorder="1" applyAlignment="1">
      <alignment horizontal="center"/>
    </xf>
    <xf numFmtId="4" fontId="0" fillId="2" borderId="38" xfId="0" applyNumberFormat="1" applyFill="1" applyBorder="1"/>
    <xf numFmtId="4" fontId="0" fillId="2" borderId="39" xfId="0" applyNumberFormat="1" applyFill="1" applyBorder="1"/>
    <xf numFmtId="0" fontId="1" fillId="9" borderId="37" xfId="0" applyFont="1" applyFill="1" applyBorder="1"/>
    <xf numFmtId="4" fontId="1" fillId="9" borderId="4" xfId="0" applyNumberFormat="1" applyFont="1" applyFill="1" applyBorder="1"/>
    <xf numFmtId="4" fontId="1" fillId="9" borderId="5" xfId="0" applyNumberFormat="1" applyFont="1" applyFill="1" applyBorder="1"/>
    <xf numFmtId="4" fontId="1" fillId="2" borderId="0" xfId="0" applyNumberFormat="1" applyFont="1" applyFill="1" applyBorder="1"/>
    <xf numFmtId="4" fontId="0" fillId="2" borderId="9" xfId="0" applyNumberFormat="1" applyFill="1" applyBorder="1" applyAlignment="1">
      <alignment horizontal="center"/>
    </xf>
    <xf numFmtId="0" fontId="9" fillId="2" borderId="0" xfId="0" applyFont="1" applyFill="1" applyBorder="1"/>
    <xf numFmtId="0" fontId="5" fillId="2" borderId="0" xfId="0" applyFont="1" applyFill="1" applyBorder="1"/>
    <xf numFmtId="4" fontId="18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/>
    <xf numFmtId="4" fontId="10" fillId="0" borderId="0" xfId="0" applyNumberFormat="1" applyFont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4" fontId="20" fillId="0" borderId="26" xfId="0" applyNumberFormat="1" applyFont="1" applyBorder="1" applyAlignment="1">
      <alignment horizontal="center"/>
    </xf>
    <xf numFmtId="4" fontId="21" fillId="0" borderId="16" xfId="0" applyNumberFormat="1" applyFont="1" applyBorder="1" applyAlignment="1">
      <alignment horizontal="center"/>
    </xf>
    <xf numFmtId="4" fontId="21" fillId="0" borderId="18" xfId="0" applyNumberFormat="1" applyFont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4" fontId="20" fillId="0" borderId="20" xfId="0" applyNumberFormat="1" applyFont="1" applyBorder="1" applyAlignment="1">
      <alignment horizontal="center"/>
    </xf>
    <xf numFmtId="0" fontId="20" fillId="2" borderId="0" xfId="0" applyFont="1" applyFill="1"/>
    <xf numFmtId="0" fontId="20" fillId="7" borderId="0" xfId="0" applyFont="1" applyFill="1"/>
    <xf numFmtId="0" fontId="11" fillId="0" borderId="0" xfId="0" applyFont="1"/>
    <xf numFmtId="0" fontId="22" fillId="2" borderId="4" xfId="0" applyFont="1" applyFill="1" applyBorder="1" applyAlignment="1">
      <alignment horizontal="center"/>
    </xf>
    <xf numFmtId="4" fontId="11" fillId="2" borderId="2" xfId="0" applyNumberFormat="1" applyFont="1" applyFill="1" applyBorder="1"/>
    <xf numFmtId="4" fontId="11" fillId="2" borderId="1" xfId="0" applyNumberFormat="1" applyFont="1" applyFill="1" applyBorder="1"/>
    <xf numFmtId="4" fontId="11" fillId="2" borderId="38" xfId="0" applyNumberFormat="1" applyFont="1" applyFill="1" applyBorder="1"/>
    <xf numFmtId="4" fontId="22" fillId="9" borderId="3" xfId="0" applyNumberFormat="1" applyFont="1" applyFill="1" applyBorder="1"/>
    <xf numFmtId="0" fontId="11" fillId="2" borderId="0" xfId="0" applyFont="1" applyFill="1" applyBorder="1"/>
    <xf numFmtId="0" fontId="11" fillId="2" borderId="0" xfId="0" applyFont="1" applyFill="1"/>
    <xf numFmtId="0" fontId="22" fillId="2" borderId="14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11" fillId="7" borderId="0" xfId="0" applyFont="1" applyFill="1"/>
    <xf numFmtId="0" fontId="23" fillId="7" borderId="0" xfId="0" applyFont="1" applyFill="1"/>
    <xf numFmtId="0" fontId="11" fillId="7" borderId="21" xfId="0" applyFont="1" applyFill="1" applyBorder="1"/>
    <xf numFmtId="4" fontId="11" fillId="7" borderId="22" xfId="0" applyNumberFormat="1" applyFont="1" applyFill="1" applyBorder="1" applyAlignment="1">
      <alignment horizontal="center"/>
    </xf>
    <xf numFmtId="4" fontId="11" fillId="7" borderId="23" xfId="0" applyNumberFormat="1" applyFont="1" applyFill="1" applyBorder="1" applyAlignment="1">
      <alignment horizontal="center"/>
    </xf>
    <xf numFmtId="4" fontId="20" fillId="10" borderId="0" xfId="0" applyNumberFormat="1" applyFont="1" applyFill="1" applyAlignment="1">
      <alignment horizontal="center"/>
    </xf>
    <xf numFmtId="4" fontId="18" fillId="0" borderId="4" xfId="0" applyNumberFormat="1" applyFont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41" xfId="0" applyNumberFormat="1" applyBorder="1" applyAlignment="1">
      <alignment horizontal="center"/>
    </xf>
    <xf numFmtId="4" fontId="9" fillId="2" borderId="0" xfId="0" applyNumberFormat="1" applyFont="1" applyFill="1"/>
    <xf numFmtId="4" fontId="2" fillId="0" borderId="0" xfId="0" applyNumberFormat="1" applyFont="1"/>
    <xf numFmtId="0" fontId="2" fillId="0" borderId="0" xfId="0" applyFont="1"/>
    <xf numFmtId="0" fontId="4" fillId="2" borderId="18" xfId="0" applyFont="1" applyFill="1" applyBorder="1"/>
    <xf numFmtId="4" fontId="2" fillId="2" borderId="1" xfId="0" applyNumberFormat="1" applyFont="1" applyFill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3" borderId="7" xfId="0" applyNumberFormat="1" applyFont="1" applyFill="1" applyBorder="1" applyAlignment="1">
      <alignment horizontal="center"/>
    </xf>
    <xf numFmtId="0" fontId="4" fillId="2" borderId="19" xfId="0" applyFont="1" applyFill="1" applyBorder="1"/>
    <xf numFmtId="4" fontId="2" fillId="0" borderId="4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4" fillId="2" borderId="19" xfId="0" applyFont="1" applyFill="1" applyBorder="1" applyAlignment="1">
      <alignment wrapText="1"/>
    </xf>
    <xf numFmtId="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0" borderId="21" xfId="0" applyNumberFormat="1" applyFont="1" applyBorder="1" applyAlignment="1">
      <alignment horizontal="center"/>
    </xf>
    <xf numFmtId="4" fontId="12" fillId="3" borderId="16" xfId="0" applyNumberFormat="1" applyFont="1" applyFill="1" applyBorder="1" applyAlignment="1">
      <alignment horizontal="center"/>
    </xf>
    <xf numFmtId="4" fontId="4" fillId="3" borderId="7" xfId="0" applyNumberFormat="1" applyFont="1" applyFill="1" applyBorder="1" applyAlignment="1">
      <alignment horizontal="center"/>
    </xf>
    <xf numFmtId="0" fontId="12" fillId="0" borderId="0" xfId="0" applyFont="1"/>
    <xf numFmtId="0" fontId="12" fillId="3" borderId="20" xfId="0" applyFont="1" applyFill="1" applyBorder="1"/>
    <xf numFmtId="4" fontId="12" fillId="3" borderId="30" xfId="0" applyNumberFormat="1" applyFont="1" applyFill="1" applyBorder="1" applyAlignment="1">
      <alignment horizontal="center"/>
    </xf>
    <xf numFmtId="4" fontId="12" fillId="3" borderId="12" xfId="0" applyNumberFormat="1" applyFont="1" applyFill="1" applyBorder="1" applyAlignment="1">
      <alignment horizontal="center"/>
    </xf>
    <xf numFmtId="4" fontId="12" fillId="0" borderId="4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4" fontId="12" fillId="2" borderId="1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32" xfId="0" applyNumberFormat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5" fillId="3" borderId="37" xfId="0" applyFont="1" applyFill="1" applyBorder="1"/>
    <xf numFmtId="4" fontId="0" fillId="0" borderId="2" xfId="0" applyNumberFormat="1" applyBorder="1"/>
    <xf numFmtId="4" fontId="0" fillId="0" borderId="1" xfId="0" applyNumberFormat="1" applyBorder="1"/>
    <xf numFmtId="4" fontId="19" fillId="3" borderId="9" xfId="0" applyNumberFormat="1" applyFont="1" applyFill="1" applyBorder="1" applyAlignment="1">
      <alignment horizontal="center"/>
    </xf>
    <xf numFmtId="4" fontId="5" fillId="3" borderId="1" xfId="0" applyNumberFormat="1" applyFont="1" applyFill="1" applyBorder="1"/>
    <xf numFmtId="0" fontId="5" fillId="3" borderId="24" xfId="0" applyFont="1" applyFill="1" applyBorder="1" applyAlignment="1">
      <alignment horizontal="center" wrapText="1"/>
    </xf>
    <xf numFmtId="0" fontId="1" fillId="3" borderId="24" xfId="0" applyFont="1" applyFill="1" applyBorder="1"/>
    <xf numFmtId="4" fontId="2" fillId="0" borderId="41" xfId="0" applyNumberFormat="1" applyFont="1" applyFill="1" applyBorder="1" applyAlignment="1">
      <alignment horizontal="center"/>
    </xf>
    <xf numFmtId="4" fontId="19" fillId="3" borderId="7" xfId="0" applyNumberFormat="1" applyFont="1" applyFill="1" applyBorder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4" fontId="2" fillId="0" borderId="46" xfId="0" applyNumberFormat="1" applyFont="1" applyFill="1" applyBorder="1" applyAlignment="1">
      <alignment horizontal="center"/>
    </xf>
    <xf numFmtId="4" fontId="19" fillId="3" borderId="44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4" fontId="2" fillId="0" borderId="9" xfId="0" applyNumberFormat="1" applyFont="1" applyBorder="1" applyAlignment="1">
      <alignment horizontal="center"/>
    </xf>
    <xf numFmtId="4" fontId="26" fillId="3" borderId="12" xfId="0" applyNumberFormat="1" applyFont="1" applyFill="1" applyBorder="1" applyAlignment="1">
      <alignment horizontal="center"/>
    </xf>
    <xf numFmtId="4" fontId="11" fillId="0" borderId="0" xfId="0" applyNumberFormat="1" applyFont="1"/>
    <xf numFmtId="4" fontId="27" fillId="0" borderId="0" xfId="0" applyNumberFormat="1" applyFont="1" applyFill="1" applyBorder="1" applyAlignment="1">
      <alignment horizontal="center"/>
    </xf>
    <xf numFmtId="4" fontId="27" fillId="0" borderId="0" xfId="0" applyNumberFormat="1" applyFont="1"/>
    <xf numFmtId="4" fontId="9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" xfId="0" applyBorder="1" applyAlignment="1">
      <alignment horizontal="center"/>
    </xf>
    <xf numFmtId="4" fontId="19" fillId="3" borderId="39" xfId="0" applyNumberFormat="1" applyFont="1" applyFill="1" applyBorder="1" applyAlignment="1">
      <alignment horizontal="center"/>
    </xf>
    <xf numFmtId="4" fontId="19" fillId="3" borderId="45" xfId="0" applyNumberFormat="1" applyFont="1" applyFill="1" applyBorder="1" applyAlignment="1">
      <alignment horizontal="center"/>
    </xf>
    <xf numFmtId="4" fontId="19" fillId="3" borderId="7" xfId="0" applyNumberFormat="1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7" fillId="8" borderId="16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F5050"/>
      <color rgb="FFFFFF99"/>
      <color rgb="FFFF9999"/>
      <color rgb="FFFFFFCC"/>
      <color rgb="FFFFCCFF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46"/>
  <sheetViews>
    <sheetView topLeftCell="I1" zoomScaleNormal="100" workbookViewId="0">
      <selection activeCell="M5" sqref="M5"/>
    </sheetView>
  </sheetViews>
  <sheetFormatPr defaultRowHeight="15" x14ac:dyDescent="0.25"/>
  <cols>
    <col min="1" max="1" width="5.140625" customWidth="1"/>
    <col min="2" max="2" width="14.5703125" customWidth="1"/>
    <col min="3" max="3" width="14.7109375" style="163" hidden="1" customWidth="1"/>
    <col min="4" max="4" width="15.85546875" customWidth="1"/>
    <col min="5" max="5" width="14.85546875" customWidth="1"/>
    <col min="6" max="6" width="13.5703125" bestFit="1" customWidth="1"/>
    <col min="7" max="7" width="13.5703125" customWidth="1"/>
    <col min="8" max="10" width="15.5703125" customWidth="1"/>
    <col min="11" max="11" width="14.140625" customWidth="1"/>
    <col min="12" max="12" width="17.42578125" customWidth="1"/>
    <col min="13" max="13" width="27.85546875" customWidth="1"/>
    <col min="14" max="14" width="8.85546875" customWidth="1"/>
    <col min="15" max="15" width="15.5703125" customWidth="1"/>
    <col min="16" max="16" width="28.28515625" customWidth="1"/>
    <col min="17" max="17" width="10.28515625" style="2" customWidth="1"/>
    <col min="18" max="18" width="14.85546875" style="2" customWidth="1"/>
    <col min="19" max="19" width="18.140625" customWidth="1"/>
    <col min="20" max="20" width="22.5703125" style="10" hidden="1" customWidth="1"/>
    <col min="21" max="21" width="27.85546875" customWidth="1"/>
  </cols>
  <sheetData>
    <row r="3" spans="1:21" ht="19.5" thickBot="1" x14ac:dyDescent="0.35">
      <c r="L3" s="250">
        <v>2021</v>
      </c>
      <c r="M3" s="250"/>
      <c r="O3" s="236">
        <v>2020</v>
      </c>
      <c r="P3" s="236"/>
      <c r="S3" s="236">
        <v>2019</v>
      </c>
      <c r="T3" s="236"/>
      <c r="U3" s="236"/>
    </row>
    <row r="4" spans="1:21" ht="15.75" customHeight="1" thickBot="1" x14ac:dyDescent="0.3">
      <c r="A4" s="2"/>
      <c r="B4" s="128"/>
      <c r="C4" s="164">
        <v>2013</v>
      </c>
      <c r="D4" s="129">
        <v>2015</v>
      </c>
      <c r="E4" s="129">
        <v>2016</v>
      </c>
      <c r="F4" s="130">
        <v>2017</v>
      </c>
      <c r="G4" s="130">
        <v>2018</v>
      </c>
      <c r="H4" s="130">
        <v>2019</v>
      </c>
      <c r="I4" s="130">
        <v>2020</v>
      </c>
      <c r="J4" s="130">
        <v>2021</v>
      </c>
      <c r="K4" s="142"/>
      <c r="L4" s="26" t="s">
        <v>34</v>
      </c>
      <c r="M4" s="249" t="s">
        <v>62</v>
      </c>
      <c r="N4" s="24"/>
      <c r="O4" s="26" t="s">
        <v>34</v>
      </c>
      <c r="P4" s="102" t="s">
        <v>48</v>
      </c>
      <c r="Q4" s="77"/>
      <c r="R4" s="77"/>
      <c r="S4" s="72" t="s">
        <v>34</v>
      </c>
      <c r="T4" s="37" t="s">
        <v>0</v>
      </c>
      <c r="U4" s="14" t="s">
        <v>41</v>
      </c>
    </row>
    <row r="5" spans="1:21" x14ac:dyDescent="0.25">
      <c r="A5" s="2"/>
      <c r="B5" s="131" t="s">
        <v>0</v>
      </c>
      <c r="C5" s="165">
        <v>1512614.55</v>
      </c>
      <c r="D5" s="132">
        <f>2961280.6</f>
        <v>2961280.6</v>
      </c>
      <c r="E5" s="132">
        <v>3150688.01</v>
      </c>
      <c r="F5" s="57">
        <v>4235676.3600000003</v>
      </c>
      <c r="G5" s="57">
        <f>683582.25+507897.43+522317.74+826515.45+2265425.28</f>
        <v>4805738.1500000004</v>
      </c>
      <c r="H5" s="57">
        <f>1173051.19+2638713.69+598083.92+84727+742158.23+532092+725759.88</f>
        <v>6494585.9099999992</v>
      </c>
      <c r="I5" s="57">
        <f>497367.89+412494.4+583120.41+456084.84+280119.94+937315.57+964234.59</f>
        <v>4130737.64</v>
      </c>
      <c r="J5" s="57">
        <f>1448783.69+212351.57+185127.47+337821.01+494503.22+100948.72+213258.99+852129.4+50060.21+2924201.6+300857.87</f>
        <v>7120043.75</v>
      </c>
      <c r="K5" s="4"/>
      <c r="L5" s="28" t="s">
        <v>18</v>
      </c>
      <c r="M5" s="82">
        <f>11247894.01+14917.2+827216.2+21146.98+29646.49+41024.34+274071.35+67410.6+931437.19+18125.44+115402.76+31855.47+7058.52+36283.36+27205.92+25032.68+36201.85+1249.69+26228.57+113222.68+7374.96+146397.8+63700.43+9449.27+47950.44+4172.93+21580.16+6366.05+3388.65+474338.86+6525.14+312167</f>
        <v>14996042.989999996</v>
      </c>
      <c r="N5" s="4"/>
      <c r="O5" s="28" t="s">
        <v>18</v>
      </c>
      <c r="P5" s="82">
        <v>11483546.630000001</v>
      </c>
      <c r="Q5" s="78"/>
      <c r="R5" s="78"/>
      <c r="S5" s="73" t="s">
        <v>18</v>
      </c>
      <c r="T5" s="34">
        <f>257640.35+832244.6</f>
        <v>1089884.95</v>
      </c>
      <c r="U5" s="34">
        <f>257640.35+832224.6+273827.31+13878.48+48765.35+33389.06+50459.29+13878.48+72610.75+3687.48+17352.47+46329.3+33068.04+186854.41+58764.46+212636.6+50251.4+130904.38+87773.52+15651.48+56264.66+147253.66+50415.56+56707.89+133502.91+91722.67+424922.82+3149249.4+53383.77+47818.76+235202.13+199522.91+273872.54+184957.9+105903.08+131447.6+112135.33+18899.52+71685.48+25655.71+93152.68+62067.55+104047.75+57237.15+58280.71+41692.06+191067.37+38822.86+161811.62+1901150.39+49102.85+39939.32+152214.64+54395.04+28147.2+123282.22+144473.66+37377.98+154904.72+99517.74+59962.62+247861.05+52020.28+114977.48+194117.97+145756.46+107146+45992.93+18283.42+116215.48+118816.09+138718.2+11086.42+28961+27897.16+90679.57+132918.59+979496.2+283031.02+55461.06+51007.81+504096.36+5184.7+47225.49+96314.35+142698.93+156578.96+7673.04+20148.84+60262.92+114531.4+34615.8+85049.55+1430706.82-510269.54+63776.19+114254.64+72690.09+19667.15+181250.92+27840.12+43936.58+85305.11+20857.92+9076.56+16899.77-243700.66+170267.4+81485.28+23444.54</f>
        <v>17505433.059999999</v>
      </c>
    </row>
    <row r="6" spans="1:21" x14ac:dyDescent="0.25">
      <c r="A6" s="2"/>
      <c r="B6" s="133" t="s">
        <v>1</v>
      </c>
      <c r="C6" s="166">
        <v>3819296.85</v>
      </c>
      <c r="D6" s="134">
        <v>3691538.43</v>
      </c>
      <c r="E6" s="134">
        <v>4777119.1500000004</v>
      </c>
      <c r="F6" s="59">
        <v>3389427.23</v>
      </c>
      <c r="G6" s="59">
        <f>987998.29+546847.23+231754.05+276815.68+785815.35+204249.54+703950.33</f>
        <v>3737430.47</v>
      </c>
      <c r="H6" s="135">
        <f>240814.02+69224.86+457990.99+33357.7+111234.35+116670.27+126865.73+350807.38+90177.97+428549.35</f>
        <v>2025692.6199999996</v>
      </c>
      <c r="I6" s="58">
        <f>819478.86+68426.93+327048.64+218189.79+441225.79+454704.61+558753.11+69187.4</f>
        <v>2957015.13</v>
      </c>
      <c r="J6" s="58">
        <f>472363.17+448831.85+517256.08+9103.6+219802.2+141147.69+142178.18+22590.71+61404.84+348231.71+123787.42+97216.03+267031.05+36532.89+58810.51+58169.65+153091.29</f>
        <v>3177548.8699999996</v>
      </c>
      <c r="K6" s="61"/>
      <c r="L6" s="29" t="s">
        <v>19</v>
      </c>
      <c r="M6" s="230">
        <f>8580550.12+198239.04+69931.24+86066.42+23328.33+215699.57+10748.52+246080.08+282124.3+165205.38+556027.79+91462.01+147309.62+174725.01+139144.27+125218.37+369765.74+93402.41+238475.84+115906.87+683416.84+648508.95+108675.03+120281.73+114600.5+23328.33+165205.4+28884.31+533807.3+12403.79+48779.11+40.51+126140.82+180018.72+43025.17+160.97+3.15+35.69+157002.3+115.8+176.32+127.22+36000+216131.2+36.48+24536.62+206.28+81908.52+463595.83+72048.37+31751.64+31616.04+259273.46+40395.12+49497.68+82939.54+18069.46+86547.31+257549.5+196824.4+571043.95+87237.07+72488.48+1183159.58+49417.57+237853.58+48763.8+1466340.36+27832.98+247808.08+404494.36+10403.09+51797.59+244206.92+54762.93+88870.86+96444.29+105049.18+114639.31+166245.47+247808.09+258361.68+707804.93+141662.63</f>
        <v>23557573.119999986</v>
      </c>
      <c r="N6" s="60"/>
      <c r="O6" s="29" t="s">
        <v>19</v>
      </c>
      <c r="P6" s="82">
        <v>29893257.039999999</v>
      </c>
      <c r="Q6" s="78"/>
      <c r="R6" s="78"/>
      <c r="S6" s="74" t="s">
        <v>19</v>
      </c>
      <c r="T6" s="34">
        <f>373074.08+1424676.51</f>
        <v>1797750.59</v>
      </c>
      <c r="U6" s="34">
        <f>373074.08+1424676.51+5202.96+56239.57+266922.79+37320.1+500936.6+3606.02+37825.49+206501.64+24087.22+2930.91+54253.98+32544.41+45186.81+66205.3+1235.32+100434.29+124352.97+154184.15+30168.33+667.96+210528.16+243006.9+165235.64+27582.56+149529.99+674935.7+549431.12+480871.76+2777.93+216331.38+284301.69+48704.22+44425.36+141.99+12358.08+249762.79+17090.25+1232005.89+66876.84+1075771.58+506338.03+77912.9+59.36+36591.04+74963.16+663136.99+208777.76+97720.21+823047.84+93211.01+141407.76+207306.43+71360.25+45616.41+392518.83+115451.24+87881.38+412205.16+184483.76+220927+749162.2556+105250.42+35693.92+496055.65+145065.04+186193.98+253081.74+100070.26+180259.22+500188.08+147551.08+18822.03+339168+912234.21+12063.18+2202224.6+10039.4+192645.81+82971.18+940074.55+24760.33+33968.84+77048.36+80654.9+16180.15+346041.6+167764.62+73950.52+2466433.54+47336.32+136104.19+21660.91+12063.18+167473.82+352402.89+40447.69+183941.76+62050.08+72488.47+215851.74+288063.29+500000+31751.64+89253.5+597293.06+364012.1+67079.86+131760.12+1058505.49</f>
        <v>29096301.335599996</v>
      </c>
    </row>
    <row r="7" spans="1:21" x14ac:dyDescent="0.25">
      <c r="A7" s="2"/>
      <c r="B7" s="133" t="s">
        <v>2</v>
      </c>
      <c r="C7" s="166">
        <v>4793568.87</v>
      </c>
      <c r="D7" s="134">
        <v>4442928.5199999996</v>
      </c>
      <c r="E7" s="134">
        <v>4626894.2</v>
      </c>
      <c r="F7" s="58">
        <f>1109220.94+1034637.48+1395354.53+1095458.85+149516.43</f>
        <v>4784188.2300000004</v>
      </c>
      <c r="G7" s="58">
        <f>274974.81+653404.91+543548.68+971347.07+427574.49+740031.42</f>
        <v>3610881.38</v>
      </c>
      <c r="H7" s="58">
        <f>68518.61+599238.43+373733.21+212661.93+156912.83+121410.84+482516.57+658487.36+371077.82</f>
        <v>3044557.6</v>
      </c>
      <c r="I7" s="58">
        <f>666683.86+685194.37+68659.38+509983.39+489347.9+363091.79+1532739.93+222852.52-40510.38</f>
        <v>4498042.76</v>
      </c>
      <c r="J7" s="58">
        <f>3293065.93</f>
        <v>3293065.93</v>
      </c>
      <c r="K7" s="61"/>
      <c r="L7" s="29" t="s">
        <v>20</v>
      </c>
      <c r="M7" s="230">
        <f>11267983.74+5363.06+20877.73+101754.24+10934.71+6648.84+2782.92+125949.18+46605.75+33264.24+39459.26+3670.79+59995.12+26746.56+80640.13+2735.4+9110.7+3975.6+23203.96+44094.84+9143.88+77671.83+5167.68+35389.89+10337.71+19353.6+40381.58+7519.2+12707.98+30614.89+113005.13+9980.86+37338.05+6188.01+30661.24+1570817.99+18828.13+23871.78</f>
        <v>13974776.200000005</v>
      </c>
      <c r="N7" s="61"/>
      <c r="O7" s="29" t="s">
        <v>20</v>
      </c>
      <c r="P7" s="82">
        <v>16378744.380000001</v>
      </c>
      <c r="Q7" s="78"/>
      <c r="R7" s="78"/>
      <c r="S7" s="74" t="s">
        <v>20</v>
      </c>
      <c r="T7" s="34">
        <f>501765.04+34733.67</f>
        <v>536498.71</v>
      </c>
      <c r="U7" s="34">
        <f>501765.04+34733.67+20579.39+172798.74+81793.43+18637.8+40703.16+50452.8+90099.02+18995.91+19371.36+2735.4+321242.32+42102.33+14049.48+68974.91+38207.92+25179.28+116497.9+100283+68196.5+25749.32+712076.92+28244.21+42807.36+99745.02+3517.04+164347.2+98507.49+40066.12+40998.56+657672.25+87022.18+132338.66+150016.96+31465.2+57839.89+122834.11+192781.9+26022.54+59114.65+287565.59+101928.43+89804.95+308089.14+270832.25+30944.24+217520.7+170364.64+87714.85+49562.92+211461.85+107646.17+42093.04+56625.85+18768.18+155630.48+342225.08+96295.6+170518.55+199420.33+176057.71+86604.76+60021.97+68295.78+371532.18+3975.6+304172.92+117685.95+92707.45+478942.9+8746.32+156217.01-2259.66+1010402.75+44013.18+29604.88+23508.78+42250.67+5184.7+191478.56+27939.28+57444.32+52328.77+82723.2-20148.84+100877.7+80225.77+93807.36+119422.71+151059.27+1482379.79+510269.54+5499.51+66746.65+118260.47+10405.2+72722.15+37685.16+145630.08+101976.66+2000+183546.22+90991.82+54695.1+124393.74+201117.4+32441.68+11975.6+3980.75+35499.51</f>
        <v>14942620.759999996</v>
      </c>
    </row>
    <row r="8" spans="1:21" x14ac:dyDescent="0.25">
      <c r="A8" s="2"/>
      <c r="B8" s="133" t="s">
        <v>3</v>
      </c>
      <c r="C8" s="166">
        <v>5154766.62</v>
      </c>
      <c r="D8" s="134">
        <v>6348021.1500000004</v>
      </c>
      <c r="E8" s="134">
        <v>4308490.07</v>
      </c>
      <c r="F8" s="59">
        <f>935862.92+892561.05+153444.15+674819.15+383798.77+481233.72</f>
        <v>3521719.76</v>
      </c>
      <c r="G8" s="59">
        <f>1050472.21+460424.13+352665.11+1120640.37+492122.76+647640.5+361524.15+509575.5</f>
        <v>4995064.7300000004</v>
      </c>
      <c r="H8" s="59">
        <f>255948.58+357573.92+1215618.21+1772900.17+3834716.19+205888.16+630743.41+564860.19+482005.46</f>
        <v>9320254.290000001</v>
      </c>
      <c r="I8" s="59">
        <f>429541.58+220707.13+133009.31+344093.63+501279.65+132861.18+204469.62+251137.04+464305.96+331488.8+298924.23</f>
        <v>3311818.1299999994</v>
      </c>
      <c r="J8" s="59">
        <f>251096.88+23531.67+1227250.44+28427.76+509198.7+418004.61+32928.55+324599.62+389218.37+176628.17+82702.92+366066.22+386194.18+85444.48+774370.44+113081.81+239413.28+226041.58+99444.87+598821.88+98503.89</f>
        <v>6450970.3199999994</v>
      </c>
      <c r="K8" s="4"/>
      <c r="L8" s="29" t="s">
        <v>21</v>
      </c>
      <c r="M8" s="82">
        <f>3841988.44+52592.2+61670+15652.44+38818.05+20869.92+25043.91+160988.48+90784.15+90219.38+41531.14+37565.86+20869.92+139828.46+153414.78+144524.2+95271.18+749628.73+125000+144524.19+472301.72+127618.54+419276.69+6260.98+49983.5+80349.19+25878.7+149846.03+88488.46+333814.37+8347.97+79827.44+122715.13+49357.36+39736.33+63131.51+59881.24+10434.96+99445.17+208479.68+99549.52+16695.94+191898.91+372684.6+99549.51</f>
        <v>9326338.8800000008</v>
      </c>
      <c r="N8" s="4"/>
      <c r="O8" s="29" t="s">
        <v>21</v>
      </c>
      <c r="P8" s="82">
        <v>7662691.6299999999</v>
      </c>
      <c r="Q8" s="78"/>
      <c r="R8" s="78"/>
      <c r="S8" s="74" t="s">
        <v>21</v>
      </c>
      <c r="T8" s="34">
        <f>245136.34</f>
        <v>245136.34</v>
      </c>
      <c r="U8" s="34">
        <f>245136.34+128211.75+38598.51+309536.01+162329.72+6354.89+18059.44+38609.35+42118.11+20687.3+13565.45+121045.54+45287.73+359943.51+176350.82+1656.55+99393+27548.29+18601.48+22956.91+169046.35+388104.99+32974.47+149846.03+16226.36+76158.25+79806.58+30835.3+173701.91+66313.93+100060.83+224454.15+443309.04+512171.1+77400+300151.2+280909.11+50661.74+2259.66+9182.76+565992.23+48087.08+154124.36+71949.05+525219.66+80349.19+119078.4+241448.65+123151.64+354788.64+243700.66+75131.71</f>
        <v>7682585.7300000023</v>
      </c>
    </row>
    <row r="9" spans="1:21" x14ac:dyDescent="0.25">
      <c r="A9" s="2"/>
      <c r="B9" s="133" t="s">
        <v>4</v>
      </c>
      <c r="C9" s="166">
        <v>4119977.96</v>
      </c>
      <c r="D9" s="134">
        <v>5936699.6799999997</v>
      </c>
      <c r="E9" s="134">
        <v>5060545</v>
      </c>
      <c r="F9" s="59">
        <f>234347.88+711947.77+1133288.18+4493574.27+1075548.26</f>
        <v>7648706.3599999994</v>
      </c>
      <c r="G9" s="59">
        <f>442034.66+1456393.96+937695.22+408534.78+1029272.41+1775763.58+962904.6</f>
        <v>7012599.21</v>
      </c>
      <c r="H9" s="59">
        <f>458545.28+324759.05+200908.32+1187835.59+497689.69+1771349.06+417845.98+57120.91</f>
        <v>4916053.8800000008</v>
      </c>
      <c r="I9" s="59">
        <f>208259.05+627575.43+251171.21+97505.03+32583.12+79549.82+214701.19+1472431.63+158302.58+49272.02+161907.75</f>
        <v>3353258.83</v>
      </c>
      <c r="J9" s="59">
        <f>4621619.98</f>
        <v>4621619.9800000004</v>
      </c>
      <c r="K9" s="4"/>
      <c r="L9" s="29" t="s">
        <v>49</v>
      </c>
      <c r="M9" s="82">
        <f>785286.99+103306.11+63653.26+9391.46+47583.42+11478.46+13565.45+17739.44</f>
        <v>1052004.5899999999</v>
      </c>
      <c r="N9" s="4"/>
      <c r="O9" s="29" t="s">
        <v>22</v>
      </c>
      <c r="P9" s="82"/>
      <c r="Q9" s="78"/>
      <c r="R9" s="78"/>
      <c r="S9" s="74" t="s">
        <v>22</v>
      </c>
      <c r="T9" s="34">
        <v>0</v>
      </c>
      <c r="U9" s="34">
        <v>0</v>
      </c>
    </row>
    <row r="10" spans="1:21" ht="18" customHeight="1" x14ac:dyDescent="0.25">
      <c r="A10" s="2"/>
      <c r="B10" s="133" t="s">
        <v>5</v>
      </c>
      <c r="C10" s="166">
        <v>5418714.6699999999</v>
      </c>
      <c r="D10" s="134">
        <v>5952068.2400000002</v>
      </c>
      <c r="E10" s="134">
        <v>5810601.0599999996</v>
      </c>
      <c r="F10" s="59">
        <f>2032883.92+844480.88+706606.05+1414156+110964.93</f>
        <v>5109091.7799999993</v>
      </c>
      <c r="G10" s="59">
        <f>899842.51+638168.89+1044965.47+451346.38+555005.54+1916863.51+175302.29</f>
        <v>5681494.5899999999</v>
      </c>
      <c r="H10" s="59">
        <f>1807593.27+758309.17+539554.7+83319.05+258599.84+145830.78+1225973.44+425687.3+541816.1</f>
        <v>5786683.6499999985</v>
      </c>
      <c r="I10" s="59">
        <f>8002786.63</f>
        <v>8002786.6299999999</v>
      </c>
      <c r="J10" s="59">
        <f>233014.31+313718.43+184845.09+156886.13+184857.07+79313.8+263195.45+327308.22+96434.29+336048.74+584414.02+434511.96+321852.77+772917.68+68019.34+203271.9+94013.77+279547.46+429288.51+223347.59</f>
        <v>5586806.5299999993</v>
      </c>
      <c r="K10" s="4"/>
      <c r="L10" s="29" t="s">
        <v>24</v>
      </c>
      <c r="M10" s="82">
        <f>216128+22560+33840+5640+28200+39480+50760+28200+16920+28200+15792+11280</f>
        <v>497000</v>
      </c>
      <c r="N10" s="4"/>
      <c r="O10" s="29" t="s">
        <v>23</v>
      </c>
      <c r="P10" s="82">
        <v>729560.21</v>
      </c>
      <c r="Q10" s="78"/>
      <c r="R10" s="78"/>
      <c r="S10" s="74" t="s">
        <v>23</v>
      </c>
      <c r="T10" s="34">
        <f>58435.78</f>
        <v>58435.78</v>
      </c>
      <c r="U10" s="34">
        <f>58435.78+78262.19+14608.95+23374.31+56035.73+26817.85+2086.99+0.81+2086.99+5217.48+12417.6+3130.49+3130.49+67096.79+53218.3+6260.98+26087.4+14608.94+41739.89+2086.99+2504.39+35478.86+14191.55+20869.92+208.7+22280.32+17739.43+6260.98+63392.39+5217.48+40174.6</f>
        <v>725023.57</v>
      </c>
    </row>
    <row r="11" spans="1:21" x14ac:dyDescent="0.25">
      <c r="A11" s="2"/>
      <c r="B11" s="133" t="s">
        <v>6</v>
      </c>
      <c r="C11" s="166">
        <v>11025855.060000001</v>
      </c>
      <c r="D11" s="134">
        <v>7115241.7000000002</v>
      </c>
      <c r="E11" s="134">
        <v>5710696.9100000001</v>
      </c>
      <c r="F11" s="59">
        <f>905928.81+1526938.19+934634.92+1175660.84+1071582.23</f>
        <v>5614744.9900000002</v>
      </c>
      <c r="G11" s="59">
        <f>695524.17+453538.56+636392.55+412638.19+867682.97+767990.56+182518.89-400+841185.42</f>
        <v>4857071.3100000005</v>
      </c>
      <c r="H11" s="59">
        <f>3227728.01+709253.79+328219.58+587135.1+661105.18+300776.21+841485.37+382569.35+262550.89+260194.2</f>
        <v>7561017.6799999988</v>
      </c>
      <c r="I11" s="59">
        <f>10999205.75-2735.4</f>
        <v>10996470.35</v>
      </c>
      <c r="J11" s="59">
        <f>6128079.4</f>
        <v>6128079.4000000004</v>
      </c>
      <c r="K11" s="4"/>
      <c r="L11" s="29" t="s">
        <v>25</v>
      </c>
      <c r="M11" s="82">
        <f>12000+12000</f>
        <v>24000</v>
      </c>
      <c r="N11" s="4"/>
      <c r="O11" s="29" t="s">
        <v>24</v>
      </c>
      <c r="P11" s="82">
        <v>572599.80000000005</v>
      </c>
      <c r="Q11" s="78"/>
      <c r="R11" s="78"/>
      <c r="S11" s="74" t="s">
        <v>24</v>
      </c>
      <c r="T11" s="34">
        <f>11834+5569</f>
        <v>17403</v>
      </c>
      <c r="U11" s="34">
        <f>11834+5569+35502+5583+22332+11166+44664+5583+50247+5583+10607.7+44664+11166+11152+5583+5583+6767-8746.32+6767+20301+87971+20301+20301+27068+20301+40602+33835+20301+6767+6767+13534+6767+6767+13534+18339+30565+6113+41874.05+36825.98-6260.98+18339+42791+91695+42791+16994.14+10881.14+4768.14+6113</f>
        <v>998551.85000000009</v>
      </c>
    </row>
    <row r="12" spans="1:21" ht="18" customHeight="1" x14ac:dyDescent="0.25">
      <c r="A12" s="2"/>
      <c r="B12" s="133" t="s">
        <v>7</v>
      </c>
      <c r="C12" s="166">
        <v>6379343.2800000003</v>
      </c>
      <c r="D12" s="134">
        <v>5916610.5300000003</v>
      </c>
      <c r="E12" s="134">
        <v>5697161.6100000003</v>
      </c>
      <c r="F12" s="59">
        <f>1073697.26+833717.06+1034778.1+1378557.08+1335235.05+349832.22</f>
        <v>6005816.7699999996</v>
      </c>
      <c r="G12" s="59">
        <f>598340.91+2834286.33-36280.58+497966.71+861163.84+503287.06+859485.77+333059.15+1689998.89+402026.26</f>
        <v>8543334.3399999999</v>
      </c>
      <c r="H12" s="59">
        <f>209363.83+942942.66+506028.11+1177302.64+518695.14+482848.01+1326449.78+415216.36+291082.16</f>
        <v>5869928.6900000013</v>
      </c>
      <c r="I12" s="59">
        <f>212290.34+740082.11+468524.08+506144.98+382688.07+419062.47+516337.07+510321.12+296517.25+458861.08+191420.03+268000.05+339125.1+328375.71+104248.98+130243.37-21667.8</f>
        <v>5850574.0099999998</v>
      </c>
      <c r="J12" s="59">
        <f>101809.46+204376.4+14920.05+396974.09+153937.78+54760.54+848204.16+834078.17+147011.08+64944.6+225707.04+133530.91+568209.96+288509.14+44332.36+23021.24+98530.01+276905.9+528664.14+328601.7+160.97+248488.71</f>
        <v>5585678.4100000001</v>
      </c>
      <c r="K12" s="4"/>
      <c r="L12" s="29" t="s">
        <v>50</v>
      </c>
      <c r="M12" s="82">
        <f>939397.86+80186.4+93747.96+48451.82+102581.82+222323.93+76187.7+59542.58+8453.52+23579.8-6950.26+6907.02+123241.81+53906.9+16629.54+21576.3+118239.66+201858.86+79933.92+16785.54+2971.5+21576.3+23244.05+111873.35+49526.14+3039.92+14089.2+190938.42+271618.01+3381.54+80648.04+200388.29+217943.17+11271.36+14089.2+20011.08+7331.64+8453.52+6907.02+93747.96+25080.3+52566.06+24215.81</f>
        <v>3741494.5600000005</v>
      </c>
      <c r="N12" s="4"/>
      <c r="O12" s="29" t="s">
        <v>25</v>
      </c>
      <c r="P12" s="82"/>
      <c r="Q12" s="78"/>
      <c r="R12" s="78"/>
      <c r="S12" s="74" t="s">
        <v>25</v>
      </c>
      <c r="T12" s="34">
        <v>0</v>
      </c>
      <c r="U12" s="34">
        <f>11448+11448</f>
        <v>22896</v>
      </c>
    </row>
    <row r="13" spans="1:21" x14ac:dyDescent="0.25">
      <c r="A13" s="2"/>
      <c r="B13" s="133" t="s">
        <v>8</v>
      </c>
      <c r="C13" s="166">
        <v>5480781.8799999999</v>
      </c>
      <c r="D13" s="134">
        <v>9651699.1899999995</v>
      </c>
      <c r="E13" s="134">
        <v>6463819.8600000003</v>
      </c>
      <c r="F13" s="59">
        <f>602354.67+1124358.92+690935.16+1534941.61+2658776.44</f>
        <v>6611366.8000000007</v>
      </c>
      <c r="G13" s="59">
        <f>544726.79+675456.89+521865.01+398298.98+248664.11+909959.18+309723.53+381905.02+634417.84+599387.1+1105595.54</f>
        <v>6329999.9900000002</v>
      </c>
      <c r="H13" s="59">
        <f>448610.04+305265.75+1170802.64+551806.66+487452+326008.4+898610.72+1895484.62+281063.48</f>
        <v>6365104.3100000005</v>
      </c>
      <c r="I13" s="59">
        <f>7443181.31</f>
        <v>7443181.3099999996</v>
      </c>
      <c r="J13" s="59">
        <f>295351.84+791217.43+282969.1+358499.35+490184.32+14608.78+81871.49+75058.76+539566.9+63983.06+119773.44+239492.7+135772.1+260264.93+476795.85+282118.82+1723388.84+130281.58+23412+57509.9+321355.76+585493.89</f>
        <v>7348970.8399999999</v>
      </c>
      <c r="K13" s="4"/>
      <c r="L13" s="29" t="s">
        <v>51</v>
      </c>
      <c r="M13" s="149">
        <f>1034647.16+31319.85+21731.43+23142.98+8715.05+156437.11+23597.52+149635.55+16812.78+79891.16+16584.87+17541.81+65878.44+65022.42+15101.82+79891.16+18657.98+15000+3789.69+19622.46+87375.69+101685.46+27103.78+4966.11+14507.06+22926.12+65878.44+152601.56+12713.63+126773.73+11587.59+23980.47+12188.57+7103.78+8842.61+9313.97+81904.9+19147.47+29954.82+76960.78+73173.43+14511.75+147836.25+6496.38+54000.3+20428.82+28494.79+34318.08+107000.78</f>
        <v>3246798.3599999989</v>
      </c>
      <c r="N13" s="4"/>
      <c r="O13" s="109" t="s">
        <v>27</v>
      </c>
      <c r="P13" s="114"/>
      <c r="Q13" s="78"/>
      <c r="R13" s="78"/>
      <c r="S13" s="115" t="s">
        <v>27</v>
      </c>
      <c r="T13" s="111">
        <f>28737.72</f>
        <v>28737.72</v>
      </c>
      <c r="U13" s="111">
        <f>28737.72+28727.72</f>
        <v>57465.440000000002</v>
      </c>
    </row>
    <row r="14" spans="1:21" ht="16.5" thickBot="1" x14ac:dyDescent="0.3">
      <c r="A14" s="2"/>
      <c r="B14" s="133" t="s">
        <v>9</v>
      </c>
      <c r="C14" s="166">
        <v>6147181.5499999998</v>
      </c>
      <c r="D14" s="134">
        <v>10423336.300000001</v>
      </c>
      <c r="E14" s="134">
        <v>6885496.6799999997</v>
      </c>
      <c r="F14" s="59">
        <f>710681.64+1391831.04+1453421.18+1252964.72+2363548.25</f>
        <v>7172446.8300000001</v>
      </c>
      <c r="G14" s="59">
        <f>2018020.65+1255721.4+255681.3+290770.75+336825.97+630542.8+1378333.77+510047.32</f>
        <v>6675943.959999999</v>
      </c>
      <c r="H14" s="135">
        <f>227889.5+4345842.16+469732.59+287463.4+1306603.92+1199079.6+197242.88+421296.72+338432.69+177818.14+390324.53+679593.93+872872.29+384726.46+590121.76</f>
        <v>11889040.569999998</v>
      </c>
      <c r="I14" s="58">
        <f>53237.22+1082886.54+149088.33+36435.4+42455.6+648457.95+89119.36+394520.87+780419.51+152301+119216.08+410874.98+339175.18+202927.85+13698+327079.18+216882.14+1606628.06+55555.44+207342.66+178906.14+159100.11</f>
        <v>7266307.6000000006</v>
      </c>
      <c r="J14" s="58">
        <f>613665.13+101960.97+343903.05+76031.16+274190.66+268147.01+99944.3+258140.48+182054.09+332260.88+32270.51+76634.9+248978.53+382878.36+389569.64+73648.7+371921.29+70433.67+434859.32+791182.72+357965.2</f>
        <v>5780640.5699999994</v>
      </c>
      <c r="K14" s="61"/>
      <c r="L14" s="27" t="s">
        <v>16</v>
      </c>
      <c r="M14" s="45">
        <f>SUM(M5:M13)</f>
        <v>70416028.699999988</v>
      </c>
      <c r="N14" s="60"/>
      <c r="O14" s="29" t="s">
        <v>28</v>
      </c>
      <c r="P14" s="82">
        <f>2987628.13+9480.36+114432+34075.69+124468.01+50436+195657.54+1510.14+22643.01+2446.99+106117.09+29510.91+74579.71+132980.52+182635.04+214978.17+134668.17</f>
        <v>4418247.4799999995</v>
      </c>
      <c r="Q14" s="78"/>
      <c r="R14" s="78"/>
      <c r="S14" s="74" t="s">
        <v>28</v>
      </c>
      <c r="T14" s="34">
        <v>0</v>
      </c>
      <c r="U14" s="34">
        <f>27442.46+50933.98+129200.16+12246.48+32771.7+32374.95+38845.3+32771.72+192999.34+23642.39+156007.25+26371.37+97506.05+41648.6+113284.54+13469.28+109732.52+243288.54+23464.48+29175.56+14190.37+65897.76+17143.22+49614.33+98109.42+23464.48+233067.88+118583.42+4893.98+18562.93+7130.52+63670.2+23642.4+330142.2+161603.26+50970.78+2446.99+26938.56+30898.48+75582.6+14190.37+142062.43+49857.47+36218.05+21574.56+75582.6+50970.78+42597.56+89895.48+95739.26</f>
        <v>3462419.0100000002</v>
      </c>
    </row>
    <row r="15" spans="1:21" x14ac:dyDescent="0.25">
      <c r="A15" s="2"/>
      <c r="B15" s="133" t="s">
        <v>10</v>
      </c>
      <c r="C15" s="166">
        <v>4098408.18</v>
      </c>
      <c r="D15" s="134">
        <v>8853756.0199999996</v>
      </c>
      <c r="E15" s="134">
        <v>6084590.4400000004</v>
      </c>
      <c r="F15" s="59">
        <f>820628.45+1043243.46+1067181.22+267946.86+449465.4+797987.06</f>
        <v>4446452.4499999993</v>
      </c>
      <c r="G15" s="59">
        <f>3212351.82+1090646.32+455718.98+502571.1+1129724.32+733616.79+962644.15+576588.59+826241.44</f>
        <v>9490103.5099999998</v>
      </c>
      <c r="H15" s="59">
        <f>6243432.52+52835.83</f>
        <v>6296268.3499999996</v>
      </c>
      <c r="I15" s="59">
        <f>533492.69+43504.4+539933.81+203121.33+80294.41+214551.33+184083.8+84694.2+133272.16+97353.47+494848.71+76542.91+373726.6+120309.13+121713.01+1776337.84+134192.82+741379.37+171274.88+69651.28</f>
        <v>6194278.1500000004</v>
      </c>
      <c r="J15" s="59">
        <f>20877.73+188059.22+2121106+77213.39+41820.87+367361.81+776473.85+78681.96+82028.04+970896.45+147159.98+1641432.78+169982.3+536927.89+407229.76+40966.17+84207.55+77222.05+237159.62+417075.85</f>
        <v>8483883.2699999996</v>
      </c>
      <c r="K15" s="4"/>
      <c r="L15" s="150" t="s">
        <v>38</v>
      </c>
      <c r="M15" s="154">
        <f>J17-M14</f>
        <v>-3999.9999999850988</v>
      </c>
      <c r="N15" s="4"/>
      <c r="O15" s="29" t="s">
        <v>29</v>
      </c>
      <c r="P15" s="82">
        <v>3847868.37</v>
      </c>
      <c r="Q15" s="78"/>
      <c r="R15" s="78"/>
      <c r="S15" s="74" t="s">
        <v>29</v>
      </c>
      <c r="T15" s="34">
        <f>37937.79</f>
        <v>37937.79</v>
      </c>
      <c r="U15" s="34">
        <f>37937.79+35820.14+105262.55+64993.46+115576.8+14000+14291.04+52407.6+49306.68+84796.64+6344.52+25015.68+86469.31+105262.55+14291.04+24458.28+12711.5+98926.3+19534.18+302061.72+43605+14966.12+88387.08+70013.12+112672.74+63228.72+105262.55+10093.33+166815-28147.2+20698.25+21862.08+18278.28+39654.12+95330.66+48732.96+108839.6+46338.96+24458.28+19290.85+18083.62+72750.84+36556.56+24933.72+68199.49+55354.55+130970.62+82441.32+8642.88+7626.92+105262.55+32175.6+52112.4+125261.16+29902.68+48732.96+59283.94+282068.24+18759.84+28382.46+12853.44+75652.6+28614.96+21278.53+6426.72+137542.35+12853.44+24284.88+28908.35+36063.7+43439.76+22725.43</f>
        <v>4097994.790000001</v>
      </c>
    </row>
    <row r="16" spans="1:21" ht="16.5" thickBot="1" x14ac:dyDescent="0.3">
      <c r="A16" s="2"/>
      <c r="B16" s="133" t="s">
        <v>11</v>
      </c>
      <c r="C16" s="167">
        <v>9160860.4000000004</v>
      </c>
      <c r="D16" s="143">
        <v>7217471</v>
      </c>
      <c r="E16" s="143">
        <v>6754944.3499999996</v>
      </c>
      <c r="F16" s="144">
        <f>922442.76+529357.11+173723.52+333259.25+1855819.21+1607921.38+495088.31+4815752.41+453470.97</f>
        <v>11186834.92</v>
      </c>
      <c r="G16" s="144">
        <f>74789.64+3738960.11+758025.63+866389.86+1600315.23+605439.34+258681.23+649199.5+980234.14+1670668.85+574192.88+400541.89-11410.05</f>
        <v>12166028.250000002</v>
      </c>
      <c r="H16" s="144">
        <f>301959.87+232080.03+48855.82+430103.21+110375.25+600872.13+397093.36+293477.48+149860.71+350258.17+353269.14+854589.82+310007.85+555644.44+288824.4+60659.99+665117.24+651402.65+712388.88+195985.65+279782.35+1169136.71</f>
        <v>9011745.1500000004</v>
      </c>
      <c r="I16" s="144">
        <f>285725.87+216215.35+115247.14+109073.71+69870.43+1090488.54+546102.89+81783.62+244117.7+103217.9+433224.19+201102.69+642159.84+60582.9+461525.58+138929.58+66271.36+611130.91+1365223.92+529518.34+268121.61+2221996.75+461917.17</f>
        <v>10323547.99</v>
      </c>
      <c r="J16" s="144">
        <f>100108.66+167792.38+37892.63+265703.91+72231.87+60873.65+357650.31+104082.01+502371.44+221095.25+285390.23+255287.08+321870.7+138173+99287.95+309331.57+2888162.56+140694.78+506720.85</f>
        <v>6834720.8300000001</v>
      </c>
      <c r="K16" s="4"/>
      <c r="L16" s="151"/>
      <c r="M16" s="152"/>
      <c r="N16" s="4"/>
      <c r="O16" s="27" t="s">
        <v>16</v>
      </c>
      <c r="P16" s="45">
        <f>SUM(P5:P15)</f>
        <v>74986515.540000007</v>
      </c>
      <c r="Q16" s="79" t="s">
        <v>54</v>
      </c>
      <c r="R16" s="79"/>
      <c r="S16" s="75" t="s">
        <v>16</v>
      </c>
      <c r="T16" s="43">
        <f>SUM(T5:T15)</f>
        <v>3811784.88</v>
      </c>
      <c r="U16" s="43">
        <f>SUM(U5:U15)</f>
        <v>78591291.545599982</v>
      </c>
    </row>
    <row r="17" spans="1:21" ht="15.75" thickBot="1" x14ac:dyDescent="0.3">
      <c r="A17" s="2"/>
      <c r="B17" s="145" t="s">
        <v>16</v>
      </c>
      <c r="C17" s="168">
        <f t="shared" ref="C17:G17" si="0">SUM(C5:C16)</f>
        <v>67111369.870000005</v>
      </c>
      <c r="D17" s="146">
        <f t="shared" si="0"/>
        <v>78510651.359999999</v>
      </c>
      <c r="E17" s="146">
        <f t="shared" si="0"/>
        <v>65331047.339999996</v>
      </c>
      <c r="F17" s="147">
        <f t="shared" si="0"/>
        <v>69726472.480000004</v>
      </c>
      <c r="G17" s="147">
        <f t="shared" si="0"/>
        <v>77905689.890000015</v>
      </c>
      <c r="H17" s="147">
        <f>SUM(H5:H16)</f>
        <v>78580932.700000018</v>
      </c>
      <c r="I17" s="147">
        <f>SUM(I5:I16)</f>
        <v>74328018.530000001</v>
      </c>
      <c r="J17" s="147">
        <f>SUM(J5:J16)</f>
        <v>70412028.700000003</v>
      </c>
      <c r="K17" s="148"/>
      <c r="L17" s="150"/>
      <c r="M17" s="153"/>
      <c r="N17" s="4"/>
      <c r="O17" s="49" t="s">
        <v>38</v>
      </c>
      <c r="P17" s="51"/>
      <c r="Q17" s="80"/>
      <c r="R17" s="80"/>
      <c r="S17" s="76" t="s">
        <v>38</v>
      </c>
      <c r="T17" s="50"/>
      <c r="U17" s="51">
        <f>H17-U16</f>
        <v>-10358.845599964261</v>
      </c>
    </row>
    <row r="18" spans="1:21" s="1" customFormat="1" x14ac:dyDescent="0.25">
      <c r="B18" s="3"/>
      <c r="C18" s="60"/>
      <c r="D18" s="4"/>
      <c r="E18" s="4"/>
      <c r="F18" s="3"/>
      <c r="G18" s="3"/>
      <c r="I18" s="185"/>
      <c r="J18" s="9"/>
      <c r="K18" s="9"/>
      <c r="L18" s="9"/>
      <c r="M18" s="9"/>
      <c r="Q18" s="3"/>
      <c r="R18" s="3"/>
      <c r="T18" s="11"/>
      <c r="U18" s="9"/>
    </row>
    <row r="19" spans="1:21" x14ac:dyDescent="0.25">
      <c r="B19" s="3"/>
      <c r="C19" s="169"/>
      <c r="D19" s="3"/>
      <c r="E19" s="4"/>
      <c r="F19" s="3"/>
      <c r="G19" s="4"/>
      <c r="H19" s="9"/>
      <c r="I19" s="9"/>
      <c r="J19" s="9"/>
      <c r="K19" s="9"/>
      <c r="L19" s="9"/>
      <c r="M19" s="9"/>
      <c r="N19" s="5"/>
      <c r="O19" s="5"/>
      <c r="P19" s="1"/>
      <c r="Q19" s="3"/>
      <c r="R19" s="3"/>
      <c r="S19" s="9"/>
    </row>
    <row r="20" spans="1:21" ht="15.75" thickBot="1" x14ac:dyDescent="0.3">
      <c r="B20" s="1"/>
      <c r="C20" s="170"/>
      <c r="D20" s="1"/>
      <c r="E20" s="1"/>
      <c r="F20" s="1"/>
      <c r="G20" s="1"/>
      <c r="H20" s="1"/>
      <c r="I20" s="1"/>
      <c r="J20" s="1"/>
      <c r="K20" s="1"/>
      <c r="L20" s="1"/>
      <c r="M20" s="1"/>
      <c r="S20" s="5"/>
    </row>
    <row r="21" spans="1:21" s="13" customFormat="1" x14ac:dyDescent="0.25">
      <c r="A21" s="24"/>
      <c r="B21" s="138"/>
      <c r="C21" s="171">
        <v>2013</v>
      </c>
      <c r="D21" s="139">
        <v>2015</v>
      </c>
      <c r="E21" s="139">
        <v>2016</v>
      </c>
      <c r="F21" s="140">
        <v>2017</v>
      </c>
      <c r="G21" s="140">
        <v>2018</v>
      </c>
      <c r="H21" s="140">
        <v>2019</v>
      </c>
      <c r="I21" s="140">
        <v>2020</v>
      </c>
      <c r="J21" s="140">
        <v>2021</v>
      </c>
      <c r="K21" s="142"/>
      <c r="L21" s="142"/>
      <c r="M21" s="142"/>
      <c r="N21" s="24"/>
      <c r="O21" s="24"/>
      <c r="Q21" s="81"/>
      <c r="R21" s="81"/>
      <c r="T21" s="25"/>
    </row>
    <row r="22" spans="1:21" x14ac:dyDescent="0.25">
      <c r="A22" s="2"/>
      <c r="B22" s="133" t="s">
        <v>12</v>
      </c>
      <c r="C22" s="166">
        <f>SUM(C5:C7)</f>
        <v>10125480.27</v>
      </c>
      <c r="D22" s="134">
        <f>SUM(D5:D7)</f>
        <v>11095747.550000001</v>
      </c>
      <c r="E22" s="134">
        <f>SUM(E5:E7)</f>
        <v>12554701.359999999</v>
      </c>
      <c r="F22" s="59">
        <f>F5+F6+F7</f>
        <v>12409291.82</v>
      </c>
      <c r="G22" s="59">
        <f>G5+G6+G7</f>
        <v>12154050</v>
      </c>
      <c r="H22" s="59">
        <f>H5+H6+H7</f>
        <v>11564836.129999999</v>
      </c>
      <c r="I22" s="59">
        <f>I5+I6+I7</f>
        <v>11585795.529999999</v>
      </c>
      <c r="J22" s="58">
        <f>J5+J6+J7</f>
        <v>13590658.549999999</v>
      </c>
      <c r="K22" s="4"/>
      <c r="L22" s="4"/>
      <c r="M22" s="4"/>
      <c r="N22" s="12"/>
      <c r="O22" s="12"/>
      <c r="P22" s="5"/>
      <c r="Q22" s="12"/>
      <c r="R22" s="12"/>
    </row>
    <row r="23" spans="1:21" x14ac:dyDescent="0.25">
      <c r="A23" s="2"/>
      <c r="B23" s="133" t="s">
        <v>13</v>
      </c>
      <c r="C23" s="166">
        <f>SUM(C8:C10)</f>
        <v>14693459.25</v>
      </c>
      <c r="D23" s="134">
        <f>SUM(D8:D10)</f>
        <v>18236789.07</v>
      </c>
      <c r="E23" s="134">
        <f>SUM(E8:E10)</f>
        <v>15179636.129999999</v>
      </c>
      <c r="F23" s="59">
        <f>F8+F9+F10</f>
        <v>16279517.899999999</v>
      </c>
      <c r="G23" s="59">
        <f>G8+G9+G10</f>
        <v>17689158.530000001</v>
      </c>
      <c r="H23" s="59">
        <f>H8+H9+H10</f>
        <v>20022991.82</v>
      </c>
      <c r="I23" s="59">
        <f>I8+I9+I10</f>
        <v>14667863.59</v>
      </c>
      <c r="J23" s="59">
        <f>J8+J9+J10</f>
        <v>16659396.83</v>
      </c>
      <c r="K23" s="4"/>
      <c r="L23" s="4"/>
      <c r="M23" s="4"/>
      <c r="N23" s="12"/>
      <c r="O23" s="12"/>
      <c r="P23" s="5"/>
      <c r="Q23" s="12"/>
      <c r="R23" s="12"/>
    </row>
    <row r="24" spans="1:21" x14ac:dyDescent="0.25">
      <c r="A24" s="2"/>
      <c r="B24" s="133" t="s">
        <v>14</v>
      </c>
      <c r="C24" s="166">
        <f>SUM(C11:C13)</f>
        <v>22885980.219999999</v>
      </c>
      <c r="D24" s="134">
        <f>SUM(D11:D13)</f>
        <v>22683551.420000002</v>
      </c>
      <c r="E24" s="134">
        <f>E13+E12+E11</f>
        <v>17871678.380000003</v>
      </c>
      <c r="F24" s="59">
        <f>F11+F12+F13</f>
        <v>18231928.560000002</v>
      </c>
      <c r="G24" s="59">
        <f>G11+G12+G13</f>
        <v>19730405.640000001</v>
      </c>
      <c r="H24" s="59">
        <f>H11+H12+H13</f>
        <v>19796050.68</v>
      </c>
      <c r="I24" s="59">
        <f>I11+I12+I13</f>
        <v>24290225.669999998</v>
      </c>
      <c r="J24" s="59">
        <f>J11+J12+J13</f>
        <v>19062728.649999999</v>
      </c>
      <c r="K24" s="4"/>
      <c r="L24" s="4"/>
      <c r="M24" s="4"/>
      <c r="N24" s="12"/>
      <c r="O24" s="12"/>
      <c r="S24" s="5"/>
    </row>
    <row r="25" spans="1:21" ht="15.75" thickBot="1" x14ac:dyDescent="0.3">
      <c r="A25" s="2"/>
      <c r="B25" s="141" t="s">
        <v>15</v>
      </c>
      <c r="C25" s="172">
        <f>SUM(C14:C16)</f>
        <v>19406450.130000003</v>
      </c>
      <c r="D25" s="136">
        <f>SUM(D14:D16)</f>
        <v>26494563.32</v>
      </c>
      <c r="E25" s="136">
        <f t="shared" ref="E25:J25" si="1">E14+E15+E16</f>
        <v>19725031.469999999</v>
      </c>
      <c r="F25" s="137">
        <f t="shared" si="1"/>
        <v>22805734.199999999</v>
      </c>
      <c r="G25" s="137">
        <f t="shared" si="1"/>
        <v>28332075.719999999</v>
      </c>
      <c r="H25" s="137">
        <f t="shared" si="1"/>
        <v>27197054.07</v>
      </c>
      <c r="I25" s="137">
        <f t="shared" si="1"/>
        <v>23784133.740000002</v>
      </c>
      <c r="J25" s="137">
        <f t="shared" si="1"/>
        <v>21099244.670000002</v>
      </c>
      <c r="K25" s="4"/>
      <c r="L25" s="4"/>
      <c r="M25" s="4"/>
      <c r="N25" s="12"/>
      <c r="O25" s="12"/>
    </row>
    <row r="27" spans="1:21" x14ac:dyDescent="0.25">
      <c r="H27" s="5"/>
      <c r="I27" s="5"/>
      <c r="J27" s="5"/>
      <c r="K27" s="5"/>
      <c r="L27" s="5"/>
      <c r="M27" s="5"/>
      <c r="N27" s="5"/>
      <c r="O27" s="5"/>
    </row>
    <row r="31" spans="1:21" x14ac:dyDescent="0.25">
      <c r="B31" s="62"/>
      <c r="C31" s="173"/>
      <c r="D31" s="62"/>
    </row>
    <row r="32" spans="1:21" ht="19.5" thickBot="1" x14ac:dyDescent="0.35">
      <c r="B32" s="62"/>
      <c r="C32" s="174" t="s">
        <v>30</v>
      </c>
      <c r="D32" s="62"/>
    </row>
    <row r="33" spans="2:4" ht="16.5" thickBot="1" x14ac:dyDescent="0.3">
      <c r="B33" s="63" t="s">
        <v>17</v>
      </c>
      <c r="C33" s="175" t="s">
        <v>26</v>
      </c>
      <c r="D33" s="64" t="s">
        <v>31</v>
      </c>
    </row>
    <row r="34" spans="2:4" x14ac:dyDescent="0.25">
      <c r="B34" s="65" t="s">
        <v>18</v>
      </c>
      <c r="C34" s="176">
        <f>9456383.04+539953.83+529175.89-34660.59-15133.5+80633.22+80595.39+202216.85+71971.15+205807.82+132167.7+576365.22+329771.21+159953.58+19225.98+191768.2+360384.53+44324.65+59171.87+61743.24+43966.85+1109933.56+8806.1+133290.28+82345.76+186114.75+41315.1+61708.25+22992.63+64305.52+28897.66+81325.22</f>
        <v>14916820.960000001</v>
      </c>
      <c r="D34" s="66">
        <v>14996936.640000001</v>
      </c>
    </row>
    <row r="35" spans="2:4" x14ac:dyDescent="0.25">
      <c r="B35" s="67" t="s">
        <v>19</v>
      </c>
      <c r="C35" s="176">
        <f>16930710.89+605204.85+381949.71+34660.59+15133.5+59338.48+18633.97+164267.28+463574.17+157870.63+1095575.59+66616.56+19916.49+204334.33+282251.93+90478.15+576434.73+14513.02+685288.43+30822.79+1061682.33+373074.09+628764.97+75663.05+1350.6+16892.46+426344.15+424495.3+1117570.88+313148.91+98765.61</f>
        <v>26435328.439999994</v>
      </c>
      <c r="D35" s="68">
        <v>26447056.460000001</v>
      </c>
    </row>
    <row r="36" spans="2:4" x14ac:dyDescent="0.25">
      <c r="B36" s="67" t="s">
        <v>20</v>
      </c>
      <c r="C36" s="176">
        <f>9315168.04+412618.34+217517.11+36985.49+142318.22+28901.98+284352.46+328719.94+72746.81+719444.36+546547.56+78675.09+64258.05+319297.45+148369.87+78468.9+57411.83+79209.77+1375603.02+52992.6+341512.31+74749.61+175649.75+32645.66+12248.05+67806.4+128443.83+192826.59+32061.29+56381.39</f>
        <v>15473931.77</v>
      </c>
      <c r="D36" s="68">
        <v>15276102.869999999</v>
      </c>
    </row>
    <row r="37" spans="2:4" x14ac:dyDescent="0.25">
      <c r="B37" s="67" t="s">
        <v>21</v>
      </c>
      <c r="C37" s="176">
        <f>5048520.19+258744.95+33810.14+30783.13+180594.37+32630.12+57627.67+19239.46+126533.99+17238.55+23805.62+41659.84+820966.65+73746.99+186084.03+74495.35+15041.22+14104.42+131751.8+1202725.28+89732.83+6836.92+120471.61+179363.22+115314.18+125184.74</f>
        <v>9027007.2699999996</v>
      </c>
      <c r="D37" s="68">
        <v>9027007.2699999996</v>
      </c>
    </row>
    <row r="38" spans="2:4" x14ac:dyDescent="0.25">
      <c r="B38" s="67" t="s">
        <v>22</v>
      </c>
      <c r="C38" s="176">
        <f>0</f>
        <v>0</v>
      </c>
      <c r="D38" s="68">
        <v>0</v>
      </c>
    </row>
    <row r="39" spans="2:4" x14ac:dyDescent="0.25">
      <c r="B39" s="67" t="s">
        <v>23</v>
      </c>
      <c r="C39" s="176">
        <f>568338.51+20932.45+12313.25+17530.71+6156.63+20932.46+11287.15+28730.89</f>
        <v>686222.04999999993</v>
      </c>
      <c r="D39" s="68">
        <v>686222.05</v>
      </c>
    </row>
    <row r="40" spans="2:4" x14ac:dyDescent="0.25">
      <c r="B40" s="67" t="s">
        <v>24</v>
      </c>
      <c r="C40" s="176">
        <f>312751.59+214305+16485+5495+10990+10990+5495+5569+11138+54019.31+38983+61259+71840.1+5917+5917+29585+41419+82838+151075.05+5917+5917+11834+17403</f>
        <v>1177142.05</v>
      </c>
      <c r="D40" s="68">
        <v>1177142.05</v>
      </c>
    </row>
    <row r="41" spans="2:4" x14ac:dyDescent="0.25">
      <c r="B41" s="67" t="s">
        <v>25</v>
      </c>
      <c r="C41" s="176">
        <f>16257.2+11257.2+11257.2</f>
        <v>38771.600000000006</v>
      </c>
      <c r="D41" s="68">
        <v>38771.599999999999</v>
      </c>
    </row>
    <row r="42" spans="2:4" x14ac:dyDescent="0.25">
      <c r="B42" s="67" t="s">
        <v>27</v>
      </c>
      <c r="C42" s="176">
        <f>930707.89+53710.06+50650.32+40699.38+57475.44+11041.26+51219.08+30051.06+55129.6+19744.94+103293.66+20954.44+12692.08+48482.66+34379.3+38359.44+19744.94</f>
        <v>1578335.5499999998</v>
      </c>
      <c r="D42" s="68">
        <v>1578335.55</v>
      </c>
    </row>
    <row r="43" spans="2:4" x14ac:dyDescent="0.25">
      <c r="B43" s="67" t="s">
        <v>28</v>
      </c>
      <c r="C43" s="176">
        <f>1818105.34+275265.53+42775.24+14904.58+119344.52+11574.38+10223.16+47734.54+63712.88+130204.22+242041.11+33778.09+16186.41+27442.46+43649.33+39872.48+29150.83+11574.38+64602.17+276839.4+10521.31+120046.38+21357.27+27442.46+47734.54+39892.96</f>
        <v>3585975.97</v>
      </c>
      <c r="D43" s="68">
        <v>3585975.97</v>
      </c>
    </row>
    <row r="44" spans="2:4" ht="15.75" thickBot="1" x14ac:dyDescent="0.3">
      <c r="B44" s="67" t="s">
        <v>29</v>
      </c>
      <c r="C44" s="176">
        <f>1773269.59+270399.74+115687.23+69801.32+77577.97+10268.05+52167.79+161182.5+22925.8+117384.25+191944.55+76430.51+53314.88+40836.03+108316.33+30136.68+31280.76+112176.57+20894.56+50627.47+27474.88+67857.14+39885.77+19147.74+237065.7+147262.18+40696.31+149761.91+196317.7+80360.02+89072.04+48328.65+5191.65+52992.6+28716.13+7012.39+92711.12+24157.02+22589.62+172296.09+57034.1+27474.88+27474.8</f>
        <v>5047503.0199999986</v>
      </c>
      <c r="D44" s="69">
        <v>5047503.0999999996</v>
      </c>
    </row>
    <row r="45" spans="2:4" ht="15.75" thickBot="1" x14ac:dyDescent="0.3">
      <c r="B45" s="70" t="s">
        <v>16</v>
      </c>
      <c r="C45" s="177">
        <f>SUM(C34:C44)</f>
        <v>77967038.679999962</v>
      </c>
      <c r="D45" s="71">
        <f>SUM(D34:D44)</f>
        <v>77861053.559999973</v>
      </c>
    </row>
    <row r="46" spans="2:4" x14ac:dyDescent="0.25">
      <c r="B46" s="62"/>
      <c r="C46" s="173"/>
      <c r="D46" s="62"/>
    </row>
  </sheetData>
  <mergeCells count="3">
    <mergeCell ref="L3:M3"/>
    <mergeCell ref="O3:P3"/>
    <mergeCell ref="S3:U3"/>
  </mergeCells>
  <pageMargins left="0.25" right="0.25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B1:Y33"/>
  <sheetViews>
    <sheetView zoomScaleNormal="100" workbookViewId="0">
      <selection activeCell="M7" sqref="M7:U7"/>
    </sheetView>
  </sheetViews>
  <sheetFormatPr defaultRowHeight="15" x14ac:dyDescent="0.25"/>
  <cols>
    <col min="2" max="2" width="18.28515625" customWidth="1"/>
    <col min="3" max="3" width="17.5703125" style="13" customWidth="1"/>
    <col min="4" max="4" width="19.42578125" style="30" customWidth="1"/>
    <col min="5" max="5" width="21.42578125" customWidth="1"/>
    <col min="6" max="6" width="2.28515625" customWidth="1"/>
    <col min="7" max="11" width="9.140625" hidden="1" customWidth="1"/>
    <col min="12" max="12" width="15.42578125" customWidth="1"/>
    <col min="13" max="13" width="13.7109375" style="30" customWidth="1"/>
    <col min="14" max="14" width="13.28515625" style="30" customWidth="1"/>
    <col min="15" max="15" width="13.42578125" style="30" customWidth="1"/>
    <col min="16" max="16" width="13" style="30" customWidth="1"/>
    <col min="17" max="17" width="13.85546875" style="30" customWidth="1"/>
    <col min="18" max="18" width="14.42578125" style="30" customWidth="1"/>
    <col min="19" max="19" width="14.140625" style="30" customWidth="1"/>
    <col min="20" max="20" width="15" style="30" customWidth="1"/>
    <col min="21" max="21" width="13.42578125" style="30" customWidth="1"/>
    <col min="22" max="22" width="14.7109375" style="30" customWidth="1"/>
    <col min="23" max="23" width="15.7109375" style="30" customWidth="1"/>
    <col min="24" max="24" width="14.7109375" style="30" customWidth="1"/>
    <col min="25" max="25" width="14.85546875" style="30" customWidth="1"/>
  </cols>
  <sheetData>
    <row r="1" spans="2:25" ht="9.75" customHeight="1" x14ac:dyDescent="0.25"/>
    <row r="2" spans="2:25" ht="19.5" thickBot="1" x14ac:dyDescent="0.35">
      <c r="D2" s="46" t="s">
        <v>42</v>
      </c>
      <c r="L2" s="237" t="s">
        <v>39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2:25" ht="16.5" customHeight="1" thickBot="1" x14ac:dyDescent="0.3">
      <c r="B3" s="15"/>
      <c r="C3" s="17">
        <v>2018</v>
      </c>
      <c r="D3" s="17">
        <v>2019</v>
      </c>
      <c r="E3" s="16"/>
      <c r="L3" t="s">
        <v>36</v>
      </c>
      <c r="M3" s="47">
        <v>1</v>
      </c>
      <c r="N3" s="47">
        <v>2</v>
      </c>
      <c r="O3" s="47">
        <v>3</v>
      </c>
      <c r="P3" s="47">
        <v>4</v>
      </c>
      <c r="Q3" s="47">
        <v>5</v>
      </c>
      <c r="R3" s="47">
        <v>6</v>
      </c>
      <c r="S3" s="47"/>
      <c r="T3" s="47"/>
      <c r="U3" s="47"/>
      <c r="V3" s="47"/>
      <c r="W3" s="47"/>
      <c r="X3" s="47"/>
      <c r="Y3" s="48"/>
    </row>
    <row r="4" spans="2:25" ht="27.75" customHeight="1" thickBot="1" x14ac:dyDescent="0.3">
      <c r="B4" s="6" t="s">
        <v>17</v>
      </c>
      <c r="C4" s="14" t="s">
        <v>32</v>
      </c>
      <c r="D4" s="31" t="s">
        <v>32</v>
      </c>
      <c r="L4" s="26" t="s">
        <v>34</v>
      </c>
      <c r="M4" s="37" t="s">
        <v>0</v>
      </c>
      <c r="N4" s="37" t="s">
        <v>1</v>
      </c>
      <c r="O4" s="37" t="s">
        <v>2</v>
      </c>
      <c r="P4" s="37" t="s">
        <v>3</v>
      </c>
      <c r="Q4" s="37" t="s">
        <v>4</v>
      </c>
      <c r="R4" s="37" t="s">
        <v>33</v>
      </c>
      <c r="S4" s="37" t="s">
        <v>6</v>
      </c>
      <c r="T4" s="37" t="s">
        <v>7</v>
      </c>
      <c r="U4" s="37" t="s">
        <v>8</v>
      </c>
      <c r="V4" s="37" t="s">
        <v>9</v>
      </c>
      <c r="W4" s="37" t="s">
        <v>10</v>
      </c>
      <c r="X4" s="38" t="s">
        <v>11</v>
      </c>
      <c r="Y4" s="39" t="s">
        <v>35</v>
      </c>
    </row>
    <row r="5" spans="2:25" ht="27.75" customHeight="1" thickBot="1" x14ac:dyDescent="0.3">
      <c r="B5" s="7" t="s">
        <v>18</v>
      </c>
      <c r="C5" s="18">
        <v>14996936.640000001</v>
      </c>
      <c r="D5" s="36">
        <f t="shared" ref="D5:D15" si="0">Y5</f>
        <v>17505979.059999999</v>
      </c>
      <c r="E5" s="5">
        <f>C5-D5</f>
        <v>-2509042.4199999981</v>
      </c>
      <c r="F5" s="5"/>
      <c r="L5" s="28" t="s">
        <v>18</v>
      </c>
      <c r="M5" s="53">
        <f>257640.35+832224.6+273827.31+13878.48+48765.35+33389.06</f>
        <v>1459725.1500000001</v>
      </c>
      <c r="N5" s="54">
        <f>50459.29+13878.48+72610.75+3687.48+17352.47+46329.3+33068.04+186854.41+58764.46+212636.6</f>
        <v>695641.28</v>
      </c>
      <c r="O5" s="34">
        <f>50251.4+130904.38+87773.52+15651.48+56264.66+147253.66+50415.56</f>
        <v>538514.65999999992</v>
      </c>
      <c r="P5" s="34">
        <f>56707.89+133502.91+91722.67+424922.82+3149249.4+53383.77+47818.76+235202.13+199522.91</f>
        <v>4392033.26</v>
      </c>
      <c r="Q5" s="34">
        <f>273872.54+184957.9+105903.08+131447.6+112135.33+18899.52+71685.48+25655.71</f>
        <v>924557.1599999998</v>
      </c>
      <c r="R5" s="34">
        <f>93152.68+62067.55+104047.75+57237.15+58280.71+41692.06+191067.37+38822.86+161811.62</f>
        <v>808179.75</v>
      </c>
      <c r="S5" s="34">
        <f>1901150.39+49102.85+39939.32+152214.64+54395.04+28147.2+123828.22+144473.66+37377.98+154904.72+99517.74</f>
        <v>2785051.7600000012</v>
      </c>
      <c r="T5" s="34">
        <f>59962.62+247861.05+52020.28+114977.48+194117.97+145756.46+107146+45992.93+18283.42</f>
        <v>986118.21</v>
      </c>
      <c r="U5" s="34">
        <f>116215.48+118816.09+138718.2+11086.42+28961+27897.16+90679.57+132918.59</f>
        <v>665292.50999999989</v>
      </c>
      <c r="V5" s="34">
        <f>55461.06+979496.2+283031.02+51007.81+504096.36+5184.7+47225.49+96314.35+142698.93+156578.96+7673.04+20148.84+60262.92+114531.4+34615.8+85049.55</f>
        <v>2643376.4299999997</v>
      </c>
      <c r="W5" s="34">
        <f>1430706.82-510269.54</f>
        <v>920437.28</v>
      </c>
      <c r="X5" s="40">
        <f>63776.19+114254.64+72690.09+19667.15+181250.92+27840.12+43936.58+85305.11+20857.92+9076.56+16899.77-243700.66+170267.4+81485.28+23444.54</f>
        <v>687051.61000000022</v>
      </c>
      <c r="Y5" s="41">
        <f>SUM(M5:X5)</f>
        <v>17505979.059999999</v>
      </c>
    </row>
    <row r="6" spans="2:25" ht="27.75" customHeight="1" x14ac:dyDescent="0.25">
      <c r="B6" s="8" t="s">
        <v>19</v>
      </c>
      <c r="C6" s="19">
        <v>26447056.460000001</v>
      </c>
      <c r="D6" s="35">
        <f t="shared" si="0"/>
        <v>29096301.890000001</v>
      </c>
      <c r="E6" s="5">
        <f t="shared" ref="E6:E16" si="1">C6-D6</f>
        <v>-2649245.4299999997</v>
      </c>
      <c r="L6" s="29" t="s">
        <v>19</v>
      </c>
      <c r="M6" s="53">
        <f>373074.08+1424676.51+5202.96+56239.57+266922.79+37320.1+500936.6</f>
        <v>2664372.6100000003</v>
      </c>
      <c r="N6" s="34">
        <f>3606.02+37825.49+206501.64+24087.22+2930.91+54253.98+32544.41+45186.81+66205.3</f>
        <v>473141.77999999991</v>
      </c>
      <c r="O6" s="34">
        <f>1235.32+100434.29+124352.97+154184.15+30168.33+667.96+210528.16+243006.9+165235.64</f>
        <v>1029813.7200000001</v>
      </c>
      <c r="P6" s="34">
        <f>27582.56+149529.99+674935.7+549431.12+480871.76+2777.93+216331.38+284301.69+48704.22</f>
        <v>2434466.35</v>
      </c>
      <c r="Q6" s="34">
        <f>44425.36+141.99+12358.08+249762.79+17090.25+1232005.89+66876.84</f>
        <v>1622661.2</v>
      </c>
      <c r="R6" s="34">
        <f>1075771.58+506338.03+77912.9+59.36+36591.04+74963.16+663136.99+208777.76+97720.21</f>
        <v>2741271.0300000003</v>
      </c>
      <c r="S6" s="34">
        <f>823047.84+93211.01+141407.76+207306.43+71360.25+45616.41+392518.83+115451.24</f>
        <v>1889919.7699999998</v>
      </c>
      <c r="T6" s="34">
        <f>87881.38+412205.16+184483.76+220927.56+105250.42+35693.92+496055.65+145065.04+186193.98</f>
        <v>1873756.87</v>
      </c>
      <c r="U6" s="34">
        <f>253081.74+100070.26+180259.22+500188.08+147551.08+18822.03+339168+912234.21+12063.18</f>
        <v>2463437.8000000003</v>
      </c>
      <c r="V6" s="34">
        <f>2202224.6+10039.4+192645.81+82971.18+940074.55+24760.33+33968.84+77048.36+80654.9+16180.15+346041.6+749162.25+167764.62+73950.52</f>
        <v>4997487.1099999994</v>
      </c>
      <c r="W6" s="34">
        <f>2466433.54+47336.32</f>
        <v>2513769.86</v>
      </c>
      <c r="X6" s="40">
        <f>136104.19+21660.91+12063.18+167473.82+352402.89+40447.69+183941.76+62050.08+72488.47+215851.74+288063.29+500000+31751.64+89253.5+597293.06+364012.1+67079.86+131760.12+1058505.49</f>
        <v>4392203.79</v>
      </c>
      <c r="Y6" s="42">
        <f>SUM(M6:X6)</f>
        <v>29096301.890000001</v>
      </c>
    </row>
    <row r="7" spans="2:25" ht="27.75" customHeight="1" x14ac:dyDescent="0.25">
      <c r="B7" s="8" t="s">
        <v>20</v>
      </c>
      <c r="C7" s="19">
        <v>15276102.869999999</v>
      </c>
      <c r="D7" s="32">
        <f t="shared" si="0"/>
        <v>14932251.359999999</v>
      </c>
      <c r="E7" s="5">
        <f t="shared" si="1"/>
        <v>343851.50999999978</v>
      </c>
      <c r="L7" s="29" t="s">
        <v>20</v>
      </c>
      <c r="M7" s="34">
        <f>501765.04+34733.67+20579.39+172798.74+81793.43</f>
        <v>811670.27</v>
      </c>
      <c r="N7" s="34">
        <f>18637.8+40703.16+50452.8+90099.02+18995.91+19371.36</f>
        <v>238260.05000000005</v>
      </c>
      <c r="O7" s="34">
        <f>2735.4+321242.32+42102.33+14049.48+68974.91+38207.92+25179.28+116497.9</f>
        <v>628989.54</v>
      </c>
      <c r="P7" s="34">
        <f>100283+68196.5+25749.32+712076.92+28244.21+42807.36+99745.02+3517.04+164347.2</f>
        <v>1244966.5699999998</v>
      </c>
      <c r="Q7" s="34">
        <f>98507.49+40066.12+40998.56+657672.25+87022.18+132338.66+150016.96+31465.2</f>
        <v>1238087.42</v>
      </c>
      <c r="R7" s="34">
        <f>57839.89+122834.11+192781.9+26022.54+59114.65+287565.59+101928.43+89804.95</f>
        <v>937892.06</v>
      </c>
      <c r="S7" s="34">
        <f>308089.14+270832.25+30944.24+217520.7+170364.64+87714.85+49562.92+211461.85+107646.17+42093.04</f>
        <v>1496229.8</v>
      </c>
      <c r="T7" s="34">
        <f>56625.85+18768.18+155630.48+342225.08+96295.6+170518.55+199420.33+176057.71+86604.76</f>
        <v>1302146.54</v>
      </c>
      <c r="U7" s="34">
        <v>1660038.42</v>
      </c>
      <c r="V7" s="34">
        <v>2081753.66</v>
      </c>
      <c r="W7" s="34">
        <f>1482379.79+510269.54+5499.51</f>
        <v>1998148.84</v>
      </c>
      <c r="X7" s="40">
        <f>66746.65+118260.47+10405.2+72722.15+37685.16+145630.08+101976.66+2000+183546.22+90991.82+54695.1+124393.74+201117.4+32441.68+11975.6+3980.75+35499.51</f>
        <v>1294068.19</v>
      </c>
      <c r="Y7" s="42">
        <f>SUM(M7:X7)</f>
        <v>14932251.359999999</v>
      </c>
    </row>
    <row r="8" spans="2:25" ht="27.75" customHeight="1" x14ac:dyDescent="0.25">
      <c r="B8" s="8" t="s">
        <v>21</v>
      </c>
      <c r="C8" s="19">
        <v>9027007.2699999996</v>
      </c>
      <c r="D8" s="32">
        <f t="shared" si="0"/>
        <v>7682585.7299999995</v>
      </c>
      <c r="E8" s="5">
        <f t="shared" si="1"/>
        <v>1344421.54</v>
      </c>
      <c r="L8" s="29" t="s">
        <v>21</v>
      </c>
      <c r="M8" s="34">
        <f>245136.34+128211.75+38598.51+309536.01</f>
        <v>721482.61</v>
      </c>
      <c r="N8" s="34">
        <f>162329.72+6354.89+18059.44+38609.35</f>
        <v>225353.40000000002</v>
      </c>
      <c r="O8" s="34">
        <f>42118.11+20687.3+13565.45+121045.54</f>
        <v>197416.4</v>
      </c>
      <c r="P8" s="34">
        <f>45287.73+359943.51+176350.82+1656.55+99393+27548.29+18601.48</f>
        <v>728781.38000000012</v>
      </c>
      <c r="Q8" s="34">
        <f>22956.91+169046.35+388104.99</f>
        <v>580108.25</v>
      </c>
      <c r="R8" s="34">
        <f>32974.47+149846.03+16226.36+76158.25+79806.58</f>
        <v>355011.69</v>
      </c>
      <c r="S8" s="34">
        <f>30835.3+173701.91+66313.93+100060.83</f>
        <v>370911.97000000003</v>
      </c>
      <c r="T8" s="34">
        <f>224454.15+443309.04+512171.1</f>
        <v>1179934.29</v>
      </c>
      <c r="U8" s="34">
        <f>77400+300151.2+280909.11+50661.74+2259.66</f>
        <v>711381.71000000008</v>
      </c>
      <c r="V8" s="34">
        <f>9182.76+565992.23+48087.08+154124.36+71949.05</f>
        <v>849335.48</v>
      </c>
      <c r="W8" s="34">
        <f>7304.47+16695.94+379208.68+86975.4+22513.22+12521.95</f>
        <v>525219.65999999992</v>
      </c>
      <c r="X8" s="40">
        <f>80349.19+119078.4+241448.65+123151.64+354788.64+243700.66+75131.71</f>
        <v>1237648.8899999999</v>
      </c>
      <c r="Y8" s="42">
        <f>SUM(M8:X8)</f>
        <v>7682585.7299999995</v>
      </c>
    </row>
    <row r="9" spans="2:25" ht="27.75" customHeight="1" x14ac:dyDescent="0.25">
      <c r="B9" s="8" t="s">
        <v>22</v>
      </c>
      <c r="C9" s="19">
        <v>0</v>
      </c>
      <c r="D9" s="32">
        <f t="shared" si="0"/>
        <v>0</v>
      </c>
      <c r="E9" s="5">
        <f t="shared" si="1"/>
        <v>0</v>
      </c>
      <c r="L9" s="29" t="s">
        <v>22</v>
      </c>
      <c r="M9" s="34">
        <v>0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40"/>
      <c r="Y9" s="42">
        <f t="shared" ref="Y9" si="2">SUM(O9:X9)</f>
        <v>0</v>
      </c>
    </row>
    <row r="10" spans="2:25" ht="27.75" customHeight="1" x14ac:dyDescent="0.25">
      <c r="B10" s="8" t="s">
        <v>23</v>
      </c>
      <c r="C10" s="19">
        <v>686222.05</v>
      </c>
      <c r="D10" s="32">
        <f t="shared" si="0"/>
        <v>702743.25000000012</v>
      </c>
      <c r="E10" s="5">
        <f t="shared" si="1"/>
        <v>-16521.20000000007</v>
      </c>
      <c r="L10" s="29" t="s">
        <v>23</v>
      </c>
      <c r="M10" s="34">
        <f>58435.78+78262.19+14608.95+23374.31+56035.73+26817.85</f>
        <v>257534.81000000003</v>
      </c>
      <c r="N10" s="34">
        <f>2086.99+0.81+2086.99+5217.48+12417.6</f>
        <v>21809.87</v>
      </c>
      <c r="O10" s="34">
        <f>3130.49+3130.49+67096.79+53218.3+6260.98</f>
        <v>132837.04999999999</v>
      </c>
      <c r="P10" s="34">
        <f>26087.4+14608.94</f>
        <v>40696.340000000004</v>
      </c>
      <c r="Q10" s="34">
        <f>41739.89+2086.99</f>
        <v>43826.879999999997</v>
      </c>
      <c r="R10" s="34">
        <f>2504.39</f>
        <v>2504.39</v>
      </c>
      <c r="S10" s="34">
        <f>35478.86</f>
        <v>35478.86</v>
      </c>
      <c r="T10" s="34">
        <f>14191.55+20869.92+208.7</f>
        <v>35270.17</v>
      </c>
      <c r="U10" s="34"/>
      <c r="V10" s="34">
        <f>17739.43+0</f>
        <v>17739.43</v>
      </c>
      <c r="W10" s="34"/>
      <c r="X10" s="40">
        <f>6260.98+63392.39+5217.48+40174.6</f>
        <v>115045.44999999998</v>
      </c>
      <c r="Y10" s="42">
        <f t="shared" ref="Y10:Y14" si="3">SUM(M10:X10)</f>
        <v>702743.25000000012</v>
      </c>
    </row>
    <row r="11" spans="2:25" ht="27.75" customHeight="1" x14ac:dyDescent="0.25">
      <c r="B11" s="8" t="s">
        <v>24</v>
      </c>
      <c r="C11" s="19">
        <v>1177142.05</v>
      </c>
      <c r="D11" s="32">
        <f t="shared" si="0"/>
        <v>1020833.15</v>
      </c>
      <c r="E11" s="5">
        <f t="shared" si="1"/>
        <v>156308.90000000002</v>
      </c>
      <c r="L11" s="29" t="s">
        <v>24</v>
      </c>
      <c r="M11" s="34">
        <f>11834+5569+35502+5583</f>
        <v>58488</v>
      </c>
      <c r="N11" s="34">
        <f>22332+11166+44664+5583+50247+5583+10607.7+44664</f>
        <v>194846.7</v>
      </c>
      <c r="O11" s="34">
        <f>11166+11152+5583+5583</f>
        <v>33484</v>
      </c>
      <c r="P11" s="34"/>
      <c r="Q11" s="34"/>
      <c r="R11" s="34"/>
      <c r="S11" s="34"/>
      <c r="T11" s="34"/>
      <c r="U11" s="34">
        <f>6767+22280.32-8746.32+6767</f>
        <v>27068</v>
      </c>
      <c r="V11" s="34">
        <f>20301+20301+20301+87971+27068+20301+40602+33835+20301+6767+6767+13534+6767</f>
        <v>324816</v>
      </c>
      <c r="W11" s="34">
        <f>6767</f>
        <v>6767</v>
      </c>
      <c r="X11" s="40">
        <f>13534+18339+30565+6113+41874.05+36825.98-6260+18339+42791+91695+42791+16994.14+10881.14+4768.14+6113</f>
        <v>375363.45000000007</v>
      </c>
      <c r="Y11" s="42">
        <f t="shared" si="3"/>
        <v>1020833.15</v>
      </c>
    </row>
    <row r="12" spans="2:25" ht="27.75" customHeight="1" x14ac:dyDescent="0.25">
      <c r="B12" s="8" t="s">
        <v>25</v>
      </c>
      <c r="C12" s="19">
        <v>38771.599999999999</v>
      </c>
      <c r="D12" s="32">
        <f t="shared" si="0"/>
        <v>22896</v>
      </c>
      <c r="E12" s="5">
        <f t="shared" si="1"/>
        <v>15875.599999999999</v>
      </c>
      <c r="L12" s="29" t="s">
        <v>25</v>
      </c>
      <c r="M12" s="34">
        <v>0</v>
      </c>
      <c r="N12" s="34"/>
      <c r="O12" s="34"/>
      <c r="P12" s="34">
        <f>11448</f>
        <v>11448</v>
      </c>
      <c r="Q12" s="34"/>
      <c r="R12" s="34"/>
      <c r="S12" s="34"/>
      <c r="T12" s="34">
        <f>11448</f>
        <v>11448</v>
      </c>
      <c r="U12" s="34"/>
      <c r="V12" s="34"/>
      <c r="W12" s="34"/>
      <c r="X12" s="40"/>
      <c r="Y12" s="42">
        <f t="shared" si="3"/>
        <v>22896</v>
      </c>
    </row>
    <row r="13" spans="2:25" ht="27.75" customHeight="1" x14ac:dyDescent="0.25">
      <c r="B13" s="8" t="s">
        <v>27</v>
      </c>
      <c r="C13" s="19">
        <v>1578335.55</v>
      </c>
      <c r="D13" s="32">
        <f t="shared" si="0"/>
        <v>57465.440000000002</v>
      </c>
      <c r="E13" s="5">
        <f t="shared" si="1"/>
        <v>1520870.11</v>
      </c>
      <c r="L13" s="29" t="s">
        <v>27</v>
      </c>
      <c r="M13" s="34">
        <f>28737.72+28727.72</f>
        <v>57465.440000000002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40"/>
      <c r="Y13" s="42">
        <f t="shared" si="3"/>
        <v>57465.440000000002</v>
      </c>
    </row>
    <row r="14" spans="2:25" ht="27.75" customHeight="1" x14ac:dyDescent="0.25">
      <c r="B14" s="8" t="s">
        <v>28</v>
      </c>
      <c r="C14" s="19">
        <v>3585975.97</v>
      </c>
      <c r="D14" s="32">
        <f t="shared" si="0"/>
        <v>3599961.3600000008</v>
      </c>
      <c r="E14" s="5">
        <f t="shared" si="1"/>
        <v>-13985.390000000596</v>
      </c>
      <c r="L14" s="29" t="s">
        <v>28</v>
      </c>
      <c r="M14" s="34">
        <f>27442.46+50933.98+129200.16+12246.48</f>
        <v>219823.08000000002</v>
      </c>
      <c r="N14" s="34">
        <f>32771.7</f>
        <v>32771.699999999997</v>
      </c>
      <c r="O14" s="34">
        <f>32374.95+38845.3+32771.72+192999.34</f>
        <v>296991.31</v>
      </c>
      <c r="P14" s="34">
        <f>23642.39+156007.25+26371.37</f>
        <v>206021.01</v>
      </c>
      <c r="Q14" s="34">
        <f>97506.05+41648.6+113284.54+13469.28+109732.52</f>
        <v>375640.99000000005</v>
      </c>
      <c r="R14" s="34">
        <f>243288.54+23464.48+29175.56+14190.37</f>
        <v>310118.95</v>
      </c>
      <c r="S14" s="34">
        <f>65897.76+17143.22+49614.33+98109.42+23464.48+233067.88+118583.42</f>
        <v>605880.51</v>
      </c>
      <c r="T14" s="34">
        <f>4893.98+18562.93+7130.52+63670.2+23642.4</f>
        <v>117900.03</v>
      </c>
      <c r="U14" s="34">
        <f>330142.2+161603.26+50970.78</f>
        <v>542716.24</v>
      </c>
      <c r="V14" s="34">
        <f>30898.48+2446.99+26938.56+75582.6+14190.37+142062.43</f>
        <v>292119.43</v>
      </c>
      <c r="W14" s="34">
        <f>49857.47</f>
        <v>49857.47</v>
      </c>
      <c r="X14" s="40">
        <f>36218.05+21574.56+75582.6+50970.78+42597.56+137542.35+89895.48+95739.26</f>
        <v>550120.64</v>
      </c>
      <c r="Y14" s="42">
        <f t="shared" si="3"/>
        <v>3599961.3600000008</v>
      </c>
    </row>
    <row r="15" spans="2:25" ht="27.75" customHeight="1" thickBot="1" x14ac:dyDescent="0.3">
      <c r="B15" s="8" t="s">
        <v>29</v>
      </c>
      <c r="C15" s="20">
        <v>5047503.0999999996</v>
      </c>
      <c r="D15" s="32">
        <f t="shared" si="0"/>
        <v>3960452.44</v>
      </c>
      <c r="E15" s="5">
        <f t="shared" si="1"/>
        <v>1087050.6599999997</v>
      </c>
      <c r="L15" s="29" t="s">
        <v>29</v>
      </c>
      <c r="M15" s="34">
        <f>37937.79+35820.14+105262.55+64993.46</f>
        <v>244013.93999999997</v>
      </c>
      <c r="N15" s="34">
        <f>115576.8+14000+14291.04</f>
        <v>143867.84</v>
      </c>
      <c r="O15" s="34">
        <f>52407.6+49306.68+84796.64</f>
        <v>186510.91999999998</v>
      </c>
      <c r="P15" s="34">
        <f>6344.52+25015.68+86469.31+105262.55+14291.04+24458.28</f>
        <v>261841.38</v>
      </c>
      <c r="Q15" s="34">
        <f>12711.5+98926.3+19534.18</f>
        <v>131171.98000000001</v>
      </c>
      <c r="R15" s="34">
        <f>302061.72+43605+14966.12+88387.08+70013.12+112672.74</f>
        <v>631705.78</v>
      </c>
      <c r="S15" s="34">
        <f>63228.72+105262.55+10093.33+166815-28147.2+20698.25+21862.08+18278.28</f>
        <v>378091.01</v>
      </c>
      <c r="T15" s="34">
        <f>39654.12+95330.66+48732.96+108839.6+46338.96+24458.28</f>
        <v>363354.57999999996</v>
      </c>
      <c r="U15" s="34">
        <f>19290.85+18083.62+72750.84+36556.56+24933.72+68199.49+55354.55</f>
        <v>295169.63</v>
      </c>
      <c r="V15" s="34">
        <f>8642.88+130970.62+82441.32+7626.92+105262.55+32175.6+52112.4+125261.16+29902.68+48732.96+59283.94</f>
        <v>682413.03</v>
      </c>
      <c r="W15" s="34">
        <f>76343.77+60127.99+15425.28+68204.28+61966.92</f>
        <v>282068.24</v>
      </c>
      <c r="X15" s="40">
        <f>18759.84+28382.46+12853.44+75652.6+28614.96+21278.53+6426.72+12853.44+24284.88+28908.35+36063.7+43439.76+22725.43</f>
        <v>360244.11000000004</v>
      </c>
      <c r="Y15" s="42">
        <f>SUM(M15:X15)</f>
        <v>3960452.44</v>
      </c>
    </row>
    <row r="16" spans="2:25" s="21" customFormat="1" ht="27.75" customHeight="1" thickBot="1" x14ac:dyDescent="0.3">
      <c r="B16" s="22" t="s">
        <v>16</v>
      </c>
      <c r="C16" s="23">
        <f>SUM(C5:C15)</f>
        <v>77861053.559999973</v>
      </c>
      <c r="D16" s="33">
        <f>SUM(D5:D15)</f>
        <v>78581469.680000007</v>
      </c>
      <c r="E16" s="5">
        <f t="shared" si="1"/>
        <v>-720416.12000003457</v>
      </c>
      <c r="L16" s="27" t="s">
        <v>16</v>
      </c>
      <c r="M16" s="43">
        <f t="shared" ref="M16:R16" si="4">SUM(M5:M15)</f>
        <v>6494575.910000002</v>
      </c>
      <c r="N16" s="43">
        <f t="shared" si="4"/>
        <v>2025692.6200000003</v>
      </c>
      <c r="O16" s="43">
        <f t="shared" si="4"/>
        <v>3044557.5999999996</v>
      </c>
      <c r="P16" s="43">
        <f t="shared" si="4"/>
        <v>9320254.290000001</v>
      </c>
      <c r="Q16" s="43">
        <f t="shared" si="4"/>
        <v>4916053.88</v>
      </c>
      <c r="R16" s="43">
        <f t="shared" si="4"/>
        <v>5786683.6500000004</v>
      </c>
      <c r="S16" s="43">
        <f t="shared" ref="S16:Y16" si="5">SUM(S5:S15)</f>
        <v>7561563.6800000006</v>
      </c>
      <c r="T16" s="43">
        <f t="shared" si="5"/>
        <v>5869928.6900000004</v>
      </c>
      <c r="U16" s="43">
        <f t="shared" si="5"/>
        <v>6365104.3100000005</v>
      </c>
      <c r="V16" s="55">
        <f t="shared" si="5"/>
        <v>11889040.569999998</v>
      </c>
      <c r="W16" s="43">
        <f t="shared" si="5"/>
        <v>6296268.3499999996</v>
      </c>
      <c r="X16" s="44">
        <f t="shared" si="5"/>
        <v>9011746.129999999</v>
      </c>
      <c r="Y16" s="45">
        <f t="shared" si="5"/>
        <v>78581469.680000007</v>
      </c>
    </row>
    <row r="17" spans="3:25" x14ac:dyDescent="0.25">
      <c r="D17" s="30" t="s">
        <v>37</v>
      </c>
    </row>
    <row r="18" spans="3:25" ht="19.5" thickBot="1" x14ac:dyDescent="0.35">
      <c r="C18" s="30">
        <f>C16-D16</f>
        <v>-720416.12000003457</v>
      </c>
      <c r="D18" s="30">
        <v>72000000</v>
      </c>
      <c r="L18" s="237" t="s">
        <v>40</v>
      </c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</row>
    <row r="19" spans="3:25" ht="19.5" thickBot="1" x14ac:dyDescent="0.35">
      <c r="D19" s="56">
        <f>D18-D16</f>
        <v>-6581469.6800000072</v>
      </c>
      <c r="F19" s="5">
        <f>D16-F20</f>
        <v>71174261.850000009</v>
      </c>
      <c r="L19" s="26" t="s">
        <v>34</v>
      </c>
      <c r="M19" s="37" t="s">
        <v>0</v>
      </c>
      <c r="N19" s="37" t="s">
        <v>1</v>
      </c>
      <c r="O19" s="37" t="s">
        <v>2</v>
      </c>
      <c r="P19" s="37" t="s">
        <v>3</v>
      </c>
      <c r="Q19" s="37" t="s">
        <v>4</v>
      </c>
      <c r="R19" s="37" t="s">
        <v>33</v>
      </c>
      <c r="S19" s="37" t="s">
        <v>6</v>
      </c>
      <c r="T19" s="37" t="s">
        <v>7</v>
      </c>
      <c r="U19" s="37" t="s">
        <v>8</v>
      </c>
      <c r="V19" s="37" t="s">
        <v>9</v>
      </c>
      <c r="W19" s="37" t="s">
        <v>10</v>
      </c>
      <c r="X19" s="38" t="s">
        <v>11</v>
      </c>
      <c r="Y19" s="103" t="s">
        <v>35</v>
      </c>
    </row>
    <row r="20" spans="3:25" x14ac:dyDescent="0.25">
      <c r="F20">
        <f>7407207.83</f>
        <v>7407207.8300000001</v>
      </c>
      <c r="L20" s="28" t="s">
        <v>18</v>
      </c>
      <c r="M20" s="53">
        <v>44552.91</v>
      </c>
      <c r="N20" s="54">
        <v>369301.57</v>
      </c>
      <c r="O20" s="34">
        <v>2179645.5099999998</v>
      </c>
      <c r="P20" s="34">
        <v>568577.34</v>
      </c>
      <c r="Q20" s="34">
        <f>778036.07</f>
        <v>778036.07</v>
      </c>
      <c r="R20" s="34">
        <v>2505637.8199999998</v>
      </c>
      <c r="S20" s="34">
        <f>873252.57</f>
        <v>873252.57</v>
      </c>
      <c r="T20" s="34">
        <v>1941829.19</v>
      </c>
      <c r="U20" s="34">
        <v>2651113.61</v>
      </c>
      <c r="V20" s="34">
        <v>1423643.37</v>
      </c>
      <c r="W20" s="34">
        <v>947483.91</v>
      </c>
      <c r="X20" s="40">
        <v>1396173.54</v>
      </c>
      <c r="Y20" s="104">
        <v>15705567.57</v>
      </c>
    </row>
    <row r="21" spans="3:25" x14ac:dyDescent="0.25">
      <c r="D21" s="52"/>
      <c r="L21" s="29" t="s">
        <v>19</v>
      </c>
      <c r="M21" s="53">
        <v>629421.9</v>
      </c>
      <c r="N21" s="34">
        <v>1742827.01</v>
      </c>
      <c r="O21" s="34">
        <v>988944.06</v>
      </c>
      <c r="P21" s="34">
        <v>1687871.7</v>
      </c>
      <c r="Q21" s="34">
        <f>917272.88</f>
        <v>917272.88</v>
      </c>
      <c r="R21" s="34">
        <v>1409404.95</v>
      </c>
      <c r="S21" s="34">
        <v>951991.11</v>
      </c>
      <c r="T21" s="34">
        <v>5364156.2699999996</v>
      </c>
      <c r="U21" s="34">
        <v>2004938.27</v>
      </c>
      <c r="V21" s="34">
        <v>3595826.95</v>
      </c>
      <c r="W21" s="34">
        <v>2405372.46</v>
      </c>
      <c r="X21" s="40">
        <v>7869373.5300000003</v>
      </c>
      <c r="Y21" s="42">
        <f>SUM(M21:X21)</f>
        <v>29567401.09</v>
      </c>
    </row>
    <row r="22" spans="3:25" x14ac:dyDescent="0.25">
      <c r="L22" s="29" t="s">
        <v>20</v>
      </c>
      <c r="M22" s="34">
        <v>304213.46000000002</v>
      </c>
      <c r="N22" s="34">
        <v>150995.92000000001</v>
      </c>
      <c r="O22" s="34">
        <v>1018708.12</v>
      </c>
      <c r="P22" s="34">
        <v>489572.51</v>
      </c>
      <c r="Q22" s="34">
        <f>439965.35</f>
        <v>439965.35</v>
      </c>
      <c r="R22" s="34">
        <v>427689.03</v>
      </c>
      <c r="S22" s="34">
        <f>2437443.4</f>
        <v>2437443.4</v>
      </c>
      <c r="T22" s="34">
        <v>3318925.32</v>
      </c>
      <c r="U22" s="34">
        <v>1115573.1200000001</v>
      </c>
      <c r="V22" s="34">
        <v>3444108.09</v>
      </c>
      <c r="W22" s="34">
        <v>1663567.68</v>
      </c>
      <c r="X22" s="40">
        <v>2575733.4500000002</v>
      </c>
      <c r="Y22" s="105">
        <v>17287503.390000001</v>
      </c>
    </row>
    <row r="23" spans="3:25" x14ac:dyDescent="0.25">
      <c r="L23" s="29" t="s">
        <v>21</v>
      </c>
      <c r="M23" s="34">
        <v>0</v>
      </c>
      <c r="N23" s="34">
        <v>39131.1</v>
      </c>
      <c r="O23" s="34">
        <v>528441.25</v>
      </c>
      <c r="P23" s="34">
        <v>590332.93000000005</v>
      </c>
      <c r="Q23" s="34">
        <f>129735.38</f>
        <v>129735.38</v>
      </c>
      <c r="R23" s="34">
        <v>12521.96</v>
      </c>
      <c r="S23" s="34">
        <f>1489366.73</f>
        <v>1489366.73</v>
      </c>
      <c r="T23" s="34">
        <v>33539.72</v>
      </c>
      <c r="U23" s="34">
        <v>1368179.2</v>
      </c>
      <c r="V23" s="34">
        <v>908561.69</v>
      </c>
      <c r="W23" s="34">
        <v>650760.48</v>
      </c>
      <c r="X23" s="40">
        <v>973829.72</v>
      </c>
      <c r="Y23" s="42">
        <f>SUM(M23:X23)</f>
        <v>6724400.1600000011</v>
      </c>
    </row>
    <row r="24" spans="3:25" x14ac:dyDescent="0.25">
      <c r="L24" s="29" t="s">
        <v>22</v>
      </c>
      <c r="M24" s="34">
        <v>0</v>
      </c>
      <c r="N24" s="34"/>
      <c r="O24" s="34"/>
      <c r="P24" s="34"/>
      <c r="Q24" s="34">
        <v>0</v>
      </c>
      <c r="R24" s="34"/>
      <c r="S24" s="34">
        <v>0</v>
      </c>
      <c r="T24" s="34"/>
      <c r="U24" s="34"/>
      <c r="V24" s="34"/>
      <c r="W24" s="34"/>
      <c r="X24" s="40"/>
      <c r="Y24" s="105">
        <f t="shared" ref="Y24" si="6">SUM(O24:X24)</f>
        <v>0</v>
      </c>
    </row>
    <row r="25" spans="3:25" x14ac:dyDescent="0.25">
      <c r="L25" s="29" t="s">
        <v>23</v>
      </c>
      <c r="M25" s="34">
        <v>169046.36</v>
      </c>
      <c r="N25" s="34">
        <v>206987.84</v>
      </c>
      <c r="O25" s="34">
        <v>93914.64</v>
      </c>
      <c r="P25" s="34">
        <v>49044.31</v>
      </c>
      <c r="Q25" s="34">
        <v>0</v>
      </c>
      <c r="R25" s="34">
        <v>54261.84</v>
      </c>
      <c r="S25" s="34">
        <f>35478.86</f>
        <v>35478.86</v>
      </c>
      <c r="T25" s="34">
        <v>8347.9699999999993</v>
      </c>
      <c r="U25" s="34"/>
      <c r="V25" s="34"/>
      <c r="W25" s="34">
        <v>8347.9699999999993</v>
      </c>
      <c r="X25" s="40">
        <v>32348.38</v>
      </c>
      <c r="Y25" s="42">
        <f t="shared" ref="Y25:Y30" si="7">SUM(M25:X25)</f>
        <v>657778.16999999993</v>
      </c>
    </row>
    <row r="26" spans="3:25" x14ac:dyDescent="0.25">
      <c r="L26" s="29" t="s">
        <v>24</v>
      </c>
      <c r="M26" s="34">
        <v>0</v>
      </c>
      <c r="N26" s="34">
        <v>228344.7</v>
      </c>
      <c r="O26" s="34"/>
      <c r="P26" s="34"/>
      <c r="Q26" s="34">
        <v>0</v>
      </c>
      <c r="R26" s="34"/>
      <c r="S26" s="34">
        <v>0</v>
      </c>
      <c r="T26" s="34"/>
      <c r="U26" s="34"/>
      <c r="V26" s="34">
        <v>358651</v>
      </c>
      <c r="W26" s="34"/>
      <c r="X26" s="40">
        <v>453523.47</v>
      </c>
      <c r="Y26" s="42">
        <f t="shared" si="7"/>
        <v>1040519.1699999999</v>
      </c>
    </row>
    <row r="27" spans="3:25" x14ac:dyDescent="0.25">
      <c r="L27" s="29" t="s">
        <v>25</v>
      </c>
      <c r="M27" s="34">
        <v>0</v>
      </c>
      <c r="N27" s="34"/>
      <c r="O27" s="34"/>
      <c r="P27" s="34">
        <v>11448</v>
      </c>
      <c r="Q27" s="34">
        <v>0</v>
      </c>
      <c r="R27" s="34"/>
      <c r="S27" s="34">
        <v>0</v>
      </c>
      <c r="T27" s="34">
        <v>11448</v>
      </c>
      <c r="U27" s="34"/>
      <c r="V27" s="34"/>
      <c r="W27" s="34"/>
      <c r="X27" s="40"/>
      <c r="Y27" s="42">
        <f t="shared" si="7"/>
        <v>22896</v>
      </c>
    </row>
    <row r="28" spans="3:25" x14ac:dyDescent="0.25">
      <c r="L28" s="29" t="s">
        <v>27</v>
      </c>
      <c r="M28" s="34">
        <v>0</v>
      </c>
      <c r="N28" s="34"/>
      <c r="O28" s="34"/>
      <c r="P28" s="34"/>
      <c r="Q28" s="34">
        <v>0</v>
      </c>
      <c r="R28" s="34"/>
      <c r="S28" s="34">
        <v>0</v>
      </c>
      <c r="T28" s="34"/>
      <c r="U28" s="34"/>
      <c r="V28" s="34"/>
      <c r="W28" s="34"/>
      <c r="X28" s="40"/>
      <c r="Y28" s="105">
        <f t="shared" si="7"/>
        <v>0</v>
      </c>
    </row>
    <row r="29" spans="3:25" x14ac:dyDescent="0.25">
      <c r="L29" s="29" t="s">
        <v>28</v>
      </c>
      <c r="M29" s="34">
        <v>38894.959999999999</v>
      </c>
      <c r="N29" s="34">
        <v>45018.2</v>
      </c>
      <c r="O29" s="34">
        <v>347495.32</v>
      </c>
      <c r="P29" s="34">
        <v>395824.19</v>
      </c>
      <c r="Q29" s="34">
        <f>177813.94</f>
        <v>177813.94</v>
      </c>
      <c r="R29" s="34">
        <v>376147.33</v>
      </c>
      <c r="S29" s="34">
        <f>482423.49</f>
        <v>482423.49</v>
      </c>
      <c r="T29" s="34">
        <v>439582.93</v>
      </c>
      <c r="U29" s="34">
        <v>385578.76</v>
      </c>
      <c r="V29" s="34">
        <v>312426.8</v>
      </c>
      <c r="W29" s="34">
        <v>407225.29</v>
      </c>
      <c r="X29" s="40">
        <v>495862.48</v>
      </c>
      <c r="Y29" s="42">
        <f t="shared" si="7"/>
        <v>3904293.69</v>
      </c>
    </row>
    <row r="30" spans="3:25" x14ac:dyDescent="0.25">
      <c r="L30" s="29" t="s">
        <v>29</v>
      </c>
      <c r="M30" s="34">
        <v>107189.03</v>
      </c>
      <c r="N30" s="34">
        <v>109812.32</v>
      </c>
      <c r="O30" s="34">
        <v>143092.53</v>
      </c>
      <c r="P30" s="34">
        <v>668987.91</v>
      </c>
      <c r="Q30" s="34">
        <f>443505.32</f>
        <v>443505.32</v>
      </c>
      <c r="R30" s="34">
        <v>230357.76000000001</v>
      </c>
      <c r="S30" s="34">
        <v>240356.83</v>
      </c>
      <c r="T30" s="34">
        <v>324050.2</v>
      </c>
      <c r="U30" s="34">
        <v>492880.75</v>
      </c>
      <c r="V30" s="34">
        <v>766440.77</v>
      </c>
      <c r="W30" s="34">
        <v>136947.6</v>
      </c>
      <c r="X30" s="40">
        <v>411402.74</v>
      </c>
      <c r="Y30" s="42">
        <f t="shared" si="7"/>
        <v>4075023.7600000007</v>
      </c>
    </row>
    <row r="31" spans="3:25" ht="16.5" thickBot="1" x14ac:dyDescent="0.3">
      <c r="L31" s="27" t="s">
        <v>16</v>
      </c>
      <c r="M31" s="43">
        <f t="shared" ref="M31:Q31" si="8">SUM(M20:M30)</f>
        <v>1293318.6199999999</v>
      </c>
      <c r="N31" s="43">
        <f t="shared" si="8"/>
        <v>2892418.66</v>
      </c>
      <c r="O31" s="43">
        <f t="shared" si="8"/>
        <v>5300241.43</v>
      </c>
      <c r="P31" s="43">
        <f t="shared" si="8"/>
        <v>4461658.8899999997</v>
      </c>
      <c r="Q31" s="43">
        <f t="shared" si="8"/>
        <v>2886328.9399999995</v>
      </c>
      <c r="R31" s="43">
        <f t="shared" ref="R31:Y31" si="9">SUM(R20:R30)</f>
        <v>5016020.6899999995</v>
      </c>
      <c r="S31" s="43">
        <f t="shared" si="9"/>
        <v>6510312.9900000012</v>
      </c>
      <c r="T31" s="43">
        <f t="shared" si="9"/>
        <v>11441879.6</v>
      </c>
      <c r="U31" s="43">
        <f t="shared" si="9"/>
        <v>8018263.71</v>
      </c>
      <c r="V31" s="43">
        <f t="shared" si="9"/>
        <v>10809658.67</v>
      </c>
      <c r="W31" s="43">
        <f t="shared" si="9"/>
        <v>6219705.3899999987</v>
      </c>
      <c r="X31" s="44">
        <f t="shared" si="9"/>
        <v>14208247.310000002</v>
      </c>
      <c r="Y31" s="45">
        <f t="shared" si="9"/>
        <v>78985383</v>
      </c>
    </row>
    <row r="33" spans="25:25" x14ac:dyDescent="0.25">
      <c r="Y33" s="30" t="s">
        <v>45</v>
      </c>
    </row>
  </sheetData>
  <mergeCells count="2">
    <mergeCell ref="L2:Y2"/>
    <mergeCell ref="L18:Y18"/>
  </mergeCells>
  <printOptions horizontalCentered="1" verticalCentered="1"/>
  <pageMargins left="0.25" right="0.25" top="0.75" bottom="0.75" header="0.3" footer="0.3"/>
  <pageSetup paperSize="9" scale="49" fitToHeight="0" orientation="landscape" r:id="rId1"/>
  <colBreaks count="1" manualBreakCount="1">
    <brk id="11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5050"/>
    <pageSetUpPr fitToPage="1"/>
  </sheetPr>
  <dimension ref="B1:Z30"/>
  <sheetViews>
    <sheetView topLeftCell="C1" workbookViewId="0">
      <selection activeCell="Y32" sqref="Y32"/>
    </sheetView>
  </sheetViews>
  <sheetFormatPr defaultRowHeight="15" x14ac:dyDescent="0.25"/>
  <cols>
    <col min="1" max="1" width="3.7109375" customWidth="1"/>
    <col min="2" max="2" width="10.42578125" customWidth="1"/>
    <col min="3" max="3" width="17.42578125" style="83" customWidth="1"/>
    <col min="4" max="4" width="17.42578125" style="84" customWidth="1"/>
    <col min="5" max="5" width="21.42578125" customWidth="1"/>
    <col min="6" max="6" width="6" customWidth="1"/>
    <col min="7" max="7" width="2.28515625" customWidth="1"/>
    <col min="8" max="12" width="9.140625" hidden="1" customWidth="1"/>
    <col min="13" max="13" width="15.42578125" customWidth="1"/>
    <col min="14" max="14" width="13.7109375" style="30" customWidth="1"/>
    <col min="15" max="15" width="13.28515625" style="30" customWidth="1"/>
    <col min="16" max="16" width="13.42578125" style="30" customWidth="1"/>
    <col min="17" max="17" width="14.140625" style="30" customWidth="1"/>
    <col min="18" max="18" width="13.85546875" style="30" customWidth="1"/>
    <col min="19" max="19" width="14.42578125" style="30" customWidth="1"/>
    <col min="20" max="20" width="14.140625" style="30" customWidth="1"/>
    <col min="21" max="21" width="13.140625" style="30" customWidth="1"/>
    <col min="22" max="22" width="14.28515625" style="30" customWidth="1"/>
    <col min="23" max="23" width="13.42578125" style="30" customWidth="1"/>
    <col min="24" max="24" width="13" style="30" customWidth="1"/>
    <col min="25" max="25" width="14.42578125" style="30" customWidth="1"/>
    <col min="26" max="26" width="14.85546875" style="30" customWidth="1"/>
  </cols>
  <sheetData>
    <row r="1" spans="2:26" ht="9.75" customHeight="1" x14ac:dyDescent="0.25"/>
    <row r="2" spans="2:26" ht="19.5" thickBot="1" x14ac:dyDescent="0.35">
      <c r="D2" s="99" t="s">
        <v>42</v>
      </c>
      <c r="E2" s="100" t="s">
        <v>47</v>
      </c>
      <c r="M2" s="237" t="s">
        <v>43</v>
      </c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</row>
    <row r="3" spans="2:26" ht="16.5" customHeight="1" thickBot="1" x14ac:dyDescent="0.3">
      <c r="B3" s="15"/>
      <c r="C3" s="85">
        <v>2018</v>
      </c>
      <c r="D3" s="85">
        <v>2019</v>
      </c>
      <c r="E3" s="17">
        <v>2020</v>
      </c>
      <c r="F3" s="97"/>
      <c r="M3" t="s">
        <v>36</v>
      </c>
      <c r="N3" s="47">
        <v>1</v>
      </c>
      <c r="O3" s="47">
        <v>2</v>
      </c>
      <c r="P3" s="47">
        <v>3</v>
      </c>
      <c r="Q3" s="47">
        <v>4</v>
      </c>
      <c r="R3" s="47">
        <v>5</v>
      </c>
      <c r="S3" s="47">
        <v>6</v>
      </c>
      <c r="T3" s="47"/>
      <c r="U3" s="47"/>
      <c r="V3" s="47"/>
      <c r="W3" s="47"/>
      <c r="X3" s="47"/>
      <c r="Y3" s="47"/>
      <c r="Z3" s="48"/>
    </row>
    <row r="4" spans="2:26" ht="27.75" customHeight="1" thickBot="1" x14ac:dyDescent="0.3">
      <c r="B4" s="6" t="s">
        <v>17</v>
      </c>
      <c r="C4" s="86" t="s">
        <v>32</v>
      </c>
      <c r="D4" s="87" t="s">
        <v>32</v>
      </c>
      <c r="E4" s="31" t="s">
        <v>32</v>
      </c>
      <c r="F4" s="98"/>
      <c r="M4" s="26" t="s">
        <v>34</v>
      </c>
      <c r="N4" s="37" t="s">
        <v>0</v>
      </c>
      <c r="O4" s="37" t="s">
        <v>1</v>
      </c>
      <c r="P4" s="37" t="s">
        <v>2</v>
      </c>
      <c r="Q4" s="37" t="s">
        <v>3</v>
      </c>
      <c r="R4" s="118" t="s">
        <v>4</v>
      </c>
      <c r="S4" s="37" t="s">
        <v>33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8" t="s">
        <v>11</v>
      </c>
      <c r="Z4" s="39" t="s">
        <v>35</v>
      </c>
    </row>
    <row r="5" spans="2:26" ht="27.75" customHeight="1" thickBot="1" x14ac:dyDescent="0.3">
      <c r="B5" s="7" t="s">
        <v>18</v>
      </c>
      <c r="C5" s="88">
        <v>14996936.640000001</v>
      </c>
      <c r="D5" s="89">
        <v>17505979.059999999</v>
      </c>
      <c r="E5" s="36">
        <f>Z5</f>
        <v>11564856.220000001</v>
      </c>
      <c r="F5" s="78"/>
      <c r="G5" s="5"/>
      <c r="M5" s="28" t="s">
        <v>18</v>
      </c>
      <c r="N5" s="106">
        <f>20191.78+7691.76+32380.2+38210.39+153748.08</f>
        <v>252222.21</v>
      </c>
      <c r="O5" s="54">
        <f>100442+19652.04+10674.09+105815.51+20471.38+158665.98+51652.1</f>
        <v>467373.1</v>
      </c>
      <c r="P5" s="34">
        <f>263864.05+89572.07+40510.38+118375.86+19968.79+33370.15+101226.68-40510.38</f>
        <v>626377.6</v>
      </c>
      <c r="Q5" s="34">
        <f>54926.89+8982.79+91027.94+78560.19+797.36+98224.86+74300.31+168633.38+125930.55+39889.66</f>
        <v>741273.93</v>
      </c>
      <c r="R5" s="122">
        <f>43068.4+101091.08+73071.38+51527.46+38689.2+44608.69+131743.21+100755.43+27135.88+26297.04</f>
        <v>637987.77000000014</v>
      </c>
      <c r="S5" s="34">
        <f>64345.75+5059.34+66883.82+56773.53+44129.97+11153.28+36161.86+16316.06+34753.63+36566.86+99368.33+187951.07+55959.07+96045.13+135211.49+33370.15+8955.36</f>
        <v>989004.7</v>
      </c>
      <c r="T5" s="107">
        <f>1972176.3</f>
        <v>1972176.3</v>
      </c>
      <c r="U5" s="34">
        <f>28317.24+99489.42+173727.28+30621.4+98763.96+35625.65+152544.46+57565.04+165257.88+17634.22+167172.96+163708.96+5006.76+44283.46+48501.67-21667.8</f>
        <v>1266552.5599999998</v>
      </c>
      <c r="V5" s="34">
        <f>1611134.27</f>
        <v>1611134.27</v>
      </c>
      <c r="W5" s="34">
        <f>20191.78+23705.46+10934.48+5555.16+26208+18805.04+47533.17+175593.44+41898.24+12288.12+12669.6+91374.04+61797.74+19652.04+127124.54+33238.73+25392.41+9826.56+11918.65</f>
        <v>775707.20000000019</v>
      </c>
      <c r="X5" s="34">
        <f>16316.06+46053.7+10560+13684.56+77237+12825.32+44506.67+55834.22+88524.57+11456.64+11395+68617.07+1020.08+63923.93+18125.42</f>
        <v>540080.24000000011</v>
      </c>
      <c r="Y5" s="40">
        <f>179916.85+4211.13+49199.04+383082.38+8422.19+67352.78+107147.46+151629.39+39849.34+26410.28+51527.46+26410.26+9365.34+108801.2+471641.24</f>
        <v>1684966.34</v>
      </c>
      <c r="Z5" s="41">
        <f>SUM(N5:Y5)</f>
        <v>11564856.220000001</v>
      </c>
    </row>
    <row r="6" spans="2:26" ht="27.75" customHeight="1" x14ac:dyDescent="0.25">
      <c r="B6" s="8" t="s">
        <v>19</v>
      </c>
      <c r="C6" s="90">
        <v>26447056.460000001</v>
      </c>
      <c r="D6" s="91">
        <v>29096301.890000001</v>
      </c>
      <c r="E6" s="35">
        <f t="shared" ref="E6:E14" si="0">Z6</f>
        <v>29486521.039999999</v>
      </c>
      <c r="F6" s="78"/>
      <c r="M6" s="29" t="s">
        <v>19</v>
      </c>
      <c r="N6" s="106">
        <f>1634772.92</f>
        <v>1634772.92</v>
      </c>
      <c r="O6" s="34">
        <f>601936.78+49024.45+28506.14+146503.95+321513.04+256530.75+17535.3</f>
        <v>1421550.4100000001</v>
      </c>
      <c r="P6" s="34">
        <f>167855.76+210472.64+44457.25+377376.84+22047.17+29093.44</f>
        <v>851303.1</v>
      </c>
      <c r="Q6" s="34">
        <f>146397.99+165205.39+1734.61+136979.72+26866.17+38411.38+78054.89+18939+2116.63</f>
        <v>614705.77999999991</v>
      </c>
      <c r="R6" s="122">
        <f>24377.63+157627.6+99902.99+25600.92+1121967.22+91411.49+27503.28</f>
        <v>1548391.13</v>
      </c>
      <c r="S6" s="34">
        <f>4397766.1</f>
        <v>4397766.0999999996</v>
      </c>
      <c r="T6" s="107">
        <f>113908.42+61781.6+112732.15+114049.81+77349.28+8560.57+353393.61+247687.02+73460.35+117655.62+573057.6+432307.28+32.62+2710043.25+243426.93</f>
        <v>5239446.1100000003</v>
      </c>
      <c r="U6" s="34">
        <f>166082.9+656237.53+99508.87+87166.91+244811.28+202853.56+247687.02+349848+7216.04+27396.81+2094.45+103845.38+79047.11+25530.15+67774.98</f>
        <v>2367100.9899999998</v>
      </c>
      <c r="V6" s="34">
        <f>134034+62251.79+95986.37+163601.76+27503.28+46793.92+319862.39+86066.42+141246.24+373499.81+634435.52+15731.56+622274.77</f>
        <v>2723287.83</v>
      </c>
      <c r="W6" s="34">
        <f>22358.84+970822.17+33700+4914.02+88334.35+404494.38+95986.36+218236.54+39807.89+48995.5+1572.56+163333.49+181950.25</f>
        <v>2274506.3500000006</v>
      </c>
      <c r="X6" s="34">
        <f>215.14+250.39+133981.63+28760.47+25950.47+234424.4+241738.71+1702959.18+20103.63+717876.31+48995.49</f>
        <v>3155255.82</v>
      </c>
      <c r="Y6" s="40">
        <f>157693.3+36298.5+32067.12+22583.76+657406.16+455244.51+105557.76+1420.97+48758.8+18895.76+1428.3+94556.5+709.49+29229.1+88264.73+52911.57+159901.24+72821.44+766084.32+456601.17</f>
        <v>3258434.5</v>
      </c>
      <c r="Z6" s="42">
        <f>SUM(N6:Y6)</f>
        <v>29486521.039999999</v>
      </c>
    </row>
    <row r="7" spans="2:26" ht="27.75" customHeight="1" x14ac:dyDescent="0.25">
      <c r="B7" s="8" t="s">
        <v>20</v>
      </c>
      <c r="C7" s="90">
        <v>15276102.869999999</v>
      </c>
      <c r="D7" s="92">
        <v>14392251.359999999</v>
      </c>
      <c r="E7" s="32">
        <f t="shared" si="0"/>
        <v>16258909.25</v>
      </c>
      <c r="F7" s="78"/>
      <c r="M7" s="29" t="s">
        <v>20</v>
      </c>
      <c r="N7" s="107">
        <f>19483+6404.73+67915.99+241527.13+190047.49+22405.6+303625.27</f>
        <v>851409.21</v>
      </c>
      <c r="O7" s="34">
        <f>25234.52+9595.32+197059.08+72557.86+18047.64+2735.4+50442.19</f>
        <v>375672.01</v>
      </c>
      <c r="P7" s="34">
        <f>63166.32+30545.95+18905.51+308540.9+13602.46+139006.25+1399289.32+114140.27</f>
        <v>2087196.9800000002</v>
      </c>
      <c r="Q7" s="34">
        <f>205470.8+122291.91+76714.87+79126.55+17431.88+40302.18+41096.86+33750.4+71874.53+34504.6</f>
        <v>722564.58</v>
      </c>
      <c r="R7" s="122">
        <f>61965.6+178254.8+67761.88+45977.57+32583.12+37330.85+218721.2+57547.15+21157.35</f>
        <v>721299.52</v>
      </c>
      <c r="S7" s="34">
        <f>6181.69+94956.12+69886.64+29571.36+119234.71+51278.11+24950.15+4177.56+160461.5+69552.17+670955.88+167669.59+82792.32+46295.89+78175.51+27700.08+7687.01+7384.28</f>
        <v>1718910.5700000003</v>
      </c>
      <c r="T7" s="107">
        <f>75216.38+27746.76+16823.4+25644.15+143427.23+45347.21+18791.76+69411.46+28108.53+9310.08+475662.52+16453.15+104830.64+1262604.3-2735.4</f>
        <v>2316642.1700000004</v>
      </c>
      <c r="U7" s="34">
        <f>17890.2+83844.58+14388.66+178988.79+107255.39+96273.07+134872.84+7928.66+37414.46+137482.07+13186.74+98732.64+71570.76+115931.43+13966.72</f>
        <v>1129727.01</v>
      </c>
      <c r="V7" s="34">
        <v>1717259.23</v>
      </c>
      <c r="W7" s="34">
        <f>10686.6+78878.55+23721.85+2735.4+36900.44+602050.55+33406.68+224577.66+200331.69+45226.8+10941.6+55500.83+49896.33+67743.83+46369.65+1241939.15+14459.71+73092+116659.2</f>
        <v>2935118.5200000005</v>
      </c>
      <c r="X7" s="34">
        <f>43289.26+20294.68+69861.6+6869.7+20829.56+24404.94+20089.32+27798.9+39446.06+61988.88+26420.23+18822.24+2735.4+20109+29819.68+19482.98+10422.83+3975.6</f>
        <v>466660.86</v>
      </c>
      <c r="Y7" s="40">
        <f>37357.02+47333.76+6140.76+20671.39+50000+14430.84+31412.48+8091.19+361859.84+114277.8+12264.37+356051.97+20075.04+50000+86482.13</f>
        <v>1216448.5899999999</v>
      </c>
      <c r="Z7" s="42">
        <f>SUM(N7:Y7)</f>
        <v>16258909.25</v>
      </c>
    </row>
    <row r="8" spans="2:26" ht="27.75" customHeight="1" x14ac:dyDescent="0.25">
      <c r="B8" s="8" t="s">
        <v>21</v>
      </c>
      <c r="C8" s="90">
        <v>9027007.2699999996</v>
      </c>
      <c r="D8" s="92">
        <v>7682585.7300000004</v>
      </c>
      <c r="E8" s="32">
        <f t="shared" si="0"/>
        <v>7662691.629999999</v>
      </c>
      <c r="F8" s="78"/>
      <c r="M8" s="29" t="s">
        <v>21</v>
      </c>
      <c r="N8" s="107">
        <f>102273.67+164375.39+53913.96+338572.44</f>
        <v>659135.46</v>
      </c>
      <c r="O8" s="34">
        <f>30522.26+87392.79+36000</f>
        <v>153915.04999999999</v>
      </c>
      <c r="P8" s="34">
        <f>111393.21+301831.22+1361.59+55513.99</f>
        <v>470100.01</v>
      </c>
      <c r="Q8" s="34">
        <f>5801.9+176350.82+99548.71+148698.18</f>
        <v>430399.61</v>
      </c>
      <c r="R8" s="122">
        <f>105705.91</f>
        <v>105705.91</v>
      </c>
      <c r="S8" s="34">
        <f>40696.35+154854.82+66313.92</f>
        <v>261865.09000000003</v>
      </c>
      <c r="T8" s="107">
        <f>43826.83+87392.79+148698.17+61983.66+211134.03</f>
        <v>553035.4800000001</v>
      </c>
      <c r="U8" s="34">
        <f>131480.49+57914.03+172410.87+133202.26+34435.37</f>
        <v>529443.02</v>
      </c>
      <c r="V8" s="34">
        <f>20869.92+50087.81+40957.22+75479.54+144524.2+85044.91+16695.94</f>
        <v>433659.54</v>
      </c>
      <c r="W8" s="34">
        <f>210466.04+119480.29+72720.74+30522.26</f>
        <v>433189.33</v>
      </c>
      <c r="X8" s="34">
        <f>494533.62+471138.44+49649.54+59740.15+59740.14+40957.22+64604.88+124029.93+40696.34+61983.66+15652.44</f>
        <v>1482726.3599999996</v>
      </c>
      <c r="Y8" s="40">
        <f>80349.19+96579.46+121201.24+87058.87+178437+354788.64+757775.86+473326.51</f>
        <v>2149516.77</v>
      </c>
      <c r="Z8" s="42">
        <f>SUM(N8:Y8)</f>
        <v>7662691.629999999</v>
      </c>
    </row>
    <row r="9" spans="2:26" ht="27.75" customHeight="1" x14ac:dyDescent="0.25">
      <c r="B9" s="8" t="s">
        <v>22</v>
      </c>
      <c r="C9" s="90">
        <v>0</v>
      </c>
      <c r="D9" s="92">
        <f t="shared" ref="D9" si="1">Z9</f>
        <v>0</v>
      </c>
      <c r="E9" s="32">
        <f t="shared" si="0"/>
        <v>0</v>
      </c>
      <c r="F9" s="78"/>
      <c r="M9" s="116" t="s">
        <v>22</v>
      </c>
      <c r="N9" s="107"/>
      <c r="O9" s="34"/>
      <c r="P9" s="34"/>
      <c r="Q9" s="34"/>
      <c r="R9" s="122"/>
      <c r="S9" s="34"/>
      <c r="T9" s="107"/>
      <c r="U9" s="34"/>
      <c r="V9" s="34"/>
      <c r="W9" s="34"/>
      <c r="X9" s="34"/>
      <c r="Y9" s="40"/>
      <c r="Z9" s="42">
        <f t="shared" ref="Z9" si="2">SUM(P9:Y9)</f>
        <v>0</v>
      </c>
    </row>
    <row r="10" spans="2:26" ht="27.75" customHeight="1" x14ac:dyDescent="0.25">
      <c r="B10" s="8" t="s">
        <v>23</v>
      </c>
      <c r="C10" s="90">
        <v>686222.05</v>
      </c>
      <c r="D10" s="92">
        <v>702743.25</v>
      </c>
      <c r="E10" s="32">
        <f t="shared" si="0"/>
        <v>729560.20999999985</v>
      </c>
      <c r="F10" s="78"/>
      <c r="M10" s="29" t="s">
        <v>23</v>
      </c>
      <c r="N10" s="107">
        <f>12521.95+10434.96+8139.27+59479.29+28591.8+26087.41</f>
        <v>145254.68</v>
      </c>
      <c r="O10" s="34">
        <f>3130.49+44192.06+5217.48+3130.49</f>
        <v>55670.52</v>
      </c>
      <c r="P10" s="34">
        <f>12104.56+3130.49+38609.38+6261+77166.54+3130.49</f>
        <v>140402.45999999996</v>
      </c>
      <c r="Q10" s="34">
        <f>67566.37</f>
        <v>67566.37</v>
      </c>
      <c r="R10" s="122"/>
      <c r="S10" s="34">
        <f>25043.9+14365.4</f>
        <v>39409.300000000003</v>
      </c>
      <c r="T10" s="107">
        <f>31304.88+2086.99</f>
        <v>33391.870000000003</v>
      </c>
      <c r="U10" s="34">
        <f>8347.97</f>
        <v>8347.9699999999993</v>
      </c>
      <c r="V10" s="34">
        <f>31304.88+14365.4</f>
        <v>45670.28</v>
      </c>
      <c r="W10" s="34"/>
      <c r="X10" s="34"/>
      <c r="Y10" s="40">
        <f>14365.4+6260.98+82436.19+5217.47+16695.94+0.01+48522.6+5217.48+15130.69</f>
        <v>193846.76</v>
      </c>
      <c r="Z10" s="42">
        <f t="shared" ref="Z10:Z14" si="3">SUM(N10:Y10)</f>
        <v>729560.20999999985</v>
      </c>
    </row>
    <row r="11" spans="2:26" ht="27.75" customHeight="1" x14ac:dyDescent="0.25">
      <c r="B11" s="8" t="s">
        <v>24</v>
      </c>
      <c r="C11" s="90">
        <v>1177142.05</v>
      </c>
      <c r="D11" s="92">
        <v>1020833.15</v>
      </c>
      <c r="E11" s="32">
        <f t="shared" si="0"/>
        <v>520847.8</v>
      </c>
      <c r="F11" s="78"/>
      <c r="M11" s="29" t="s">
        <v>24</v>
      </c>
      <c r="N11" s="107">
        <f>6113+6113+6113+18339+30565</f>
        <v>67243</v>
      </c>
      <c r="O11" s="34">
        <f>5648+16944+67776+22592+5648</f>
        <v>118608</v>
      </c>
      <c r="P11" s="34">
        <f>10448.8+6113+11296+5648</f>
        <v>33505.800000000003</v>
      </c>
      <c r="Q11" s="34">
        <f>16944+5648+16944+5648</f>
        <v>45184</v>
      </c>
      <c r="R11" s="122"/>
      <c r="S11" s="34">
        <f>5648</f>
        <v>5648</v>
      </c>
      <c r="T11" s="107"/>
      <c r="U11" s="34"/>
      <c r="V11" s="34">
        <f>6113</f>
        <v>6113</v>
      </c>
      <c r="W11" s="34"/>
      <c r="X11" s="34"/>
      <c r="Y11" s="40">
        <f>10632+10632+15948+10632+47844+74424+10632+10632+10632+10632+10632+15958+5316</f>
        <v>244546</v>
      </c>
      <c r="Z11" s="42">
        <f t="shared" si="3"/>
        <v>520847.8</v>
      </c>
    </row>
    <row r="12" spans="2:26" ht="27.75" customHeight="1" x14ac:dyDescent="0.25">
      <c r="B12" s="8" t="s">
        <v>25</v>
      </c>
      <c r="C12" s="90">
        <v>38771.599999999999</v>
      </c>
      <c r="D12" s="92">
        <v>22896</v>
      </c>
      <c r="E12" s="32">
        <f t="shared" si="0"/>
        <v>0</v>
      </c>
      <c r="F12" s="78"/>
      <c r="M12" s="29" t="s">
        <v>25</v>
      </c>
      <c r="N12" s="107"/>
      <c r="O12" s="34"/>
      <c r="P12" s="34"/>
      <c r="Q12" s="34"/>
      <c r="R12" s="122"/>
      <c r="S12" s="34"/>
      <c r="T12" s="107"/>
      <c r="U12" s="34"/>
      <c r="V12" s="34"/>
      <c r="W12" s="34"/>
      <c r="X12" s="34"/>
      <c r="Y12" s="40"/>
      <c r="Z12" s="42">
        <f t="shared" si="3"/>
        <v>0</v>
      </c>
    </row>
    <row r="13" spans="2:26" ht="27.75" customHeight="1" x14ac:dyDescent="0.25">
      <c r="B13" s="8" t="s">
        <v>27</v>
      </c>
      <c r="C13" s="90">
        <v>1578335.55</v>
      </c>
      <c r="D13" s="92">
        <v>57465.440000000002</v>
      </c>
      <c r="E13" s="32">
        <f t="shared" si="0"/>
        <v>0</v>
      </c>
      <c r="F13" s="78"/>
      <c r="M13" s="109" t="s">
        <v>27</v>
      </c>
      <c r="N13" s="110"/>
      <c r="O13" s="111"/>
      <c r="P13" s="111"/>
      <c r="Q13" s="111"/>
      <c r="R13" s="125"/>
      <c r="S13" s="111"/>
      <c r="T13" s="110"/>
      <c r="U13" s="111"/>
      <c r="V13" s="111"/>
      <c r="W13" s="111"/>
      <c r="X13" s="111"/>
      <c r="Y13" s="112"/>
      <c r="Z13" s="113">
        <f t="shared" si="3"/>
        <v>0</v>
      </c>
    </row>
    <row r="14" spans="2:26" ht="27.75" customHeight="1" x14ac:dyDescent="0.25">
      <c r="B14" s="8" t="s">
        <v>28</v>
      </c>
      <c r="C14" s="90">
        <v>3585975.97</v>
      </c>
      <c r="D14" s="92">
        <v>3599961.36</v>
      </c>
      <c r="E14" s="32">
        <f t="shared" si="0"/>
        <v>4253864.0100000007</v>
      </c>
      <c r="F14" s="78"/>
      <c r="M14" s="29" t="s">
        <v>28</v>
      </c>
      <c r="N14" s="107">
        <f>167705.96+176626.64</f>
        <v>344332.6</v>
      </c>
      <c r="O14" s="34">
        <f>31125.05+51466.19</f>
        <v>82591.240000000005</v>
      </c>
      <c r="P14" s="34">
        <f>60404.52+23115.36+44206.67+20200.09</f>
        <v>147926.64000000001</v>
      </c>
      <c r="Q14" s="34">
        <f>189669.19+183867.29+114744.72+31003.56</f>
        <v>519284.75999999995</v>
      </c>
      <c r="R14" s="122">
        <f>56934.24+140748.21+978.79</f>
        <v>198661.24</v>
      </c>
      <c r="S14" s="34">
        <f>66958.08+186077.62+44206.67+11582.4+7259.52</f>
        <v>316084.29000000004</v>
      </c>
      <c r="T14" s="107">
        <f>63342.72+81595.8+29535.36+195657.54+45257.03+46571.54+59633.34</f>
        <v>521593.33000000007</v>
      </c>
      <c r="U14" s="34">
        <f>68330.45+21171.88+44206.67+128390.41</f>
        <v>262099.41</v>
      </c>
      <c r="V14" s="34">
        <f>141220.68+14918.4+23110.2+41104.8+81595.8+21171.88+44206.67+63342.72</f>
        <v>430671.15</v>
      </c>
      <c r="W14" s="34">
        <f>9480.36+114432+34075.69+124468.01+50436+195657.54+1510.14</f>
        <v>530059.74</v>
      </c>
      <c r="X14" s="34">
        <f>22643.01+2446.99+106117.09+29510.91</f>
        <v>160718</v>
      </c>
      <c r="Y14" s="40">
        <f>74579.71+132980.52+182635.04+214978.17+134668.17</f>
        <v>739841.6100000001</v>
      </c>
      <c r="Z14" s="42">
        <f t="shared" si="3"/>
        <v>4253864.0100000007</v>
      </c>
    </row>
    <row r="15" spans="2:26" ht="27.75" customHeight="1" thickBot="1" x14ac:dyDescent="0.3">
      <c r="B15" s="8" t="s">
        <v>29</v>
      </c>
      <c r="C15" s="93">
        <v>5047503.0999999996</v>
      </c>
      <c r="D15" s="92">
        <v>3960452.44</v>
      </c>
      <c r="E15" s="32">
        <f>Z15</f>
        <v>3847868.37</v>
      </c>
      <c r="F15" s="78"/>
      <c r="M15" s="29" t="s">
        <v>29</v>
      </c>
      <c r="N15" s="107">
        <f>27981+24202.65+124183.91</f>
        <v>176367.56</v>
      </c>
      <c r="O15" s="34">
        <f>91865.56+36049.08+53767.96+99952.2</f>
        <v>281634.8</v>
      </c>
      <c r="P15" s="34">
        <f>7103.77+16636.14+69940+47550.26</f>
        <v>141230.17000000001</v>
      </c>
      <c r="Q15" s="34">
        <f>49853.74+20199.4+21883.2+36191.16+42711.6</f>
        <v>170839.1</v>
      </c>
      <c r="R15" s="122">
        <f>49853.74+20199.4+71160.12</f>
        <v>141213.26</v>
      </c>
      <c r="S15" s="34">
        <f>20795.18+7103.77+139533.1+18869.4+24641.08+63246.05</f>
        <v>274188.58</v>
      </c>
      <c r="T15" s="107">
        <f>15250.56+3735+18571.28+13455.76+7634.51+152145.66+13199.68+11456.64+20199.4+47550.26+56986.34</f>
        <v>360185.08999999997</v>
      </c>
      <c r="U15" s="34">
        <f>55326.19+98151.56+29126.88+104698.42</f>
        <v>287303.05</v>
      </c>
      <c r="V15" s="34">
        <v>475386.01</v>
      </c>
      <c r="W15" s="34">
        <f>20199.4+31993.62+65175.96+39004.92+43809.98+13698+7857+95987.58</f>
        <v>317726.46000000002</v>
      </c>
      <c r="X15" s="34">
        <f>72799.8+12724.17+66697.47+13400.74+18571.28+50122.68+24641.08+31396.76+47932.63+47550.26</f>
        <v>385836.87</v>
      </c>
      <c r="Y15" s="40">
        <f>76310.15+25374.15+139533.1+12724.17+25416.84+4.26+148080.2+408514.55</f>
        <v>835957.42</v>
      </c>
      <c r="Z15" s="42">
        <f>SUM(N15:Y15)</f>
        <v>3847868.37</v>
      </c>
    </row>
    <row r="16" spans="2:26" s="21" customFormat="1" ht="27.75" customHeight="1" thickBot="1" x14ac:dyDescent="0.3">
      <c r="B16" s="22" t="s">
        <v>16</v>
      </c>
      <c r="C16" s="94">
        <f>SUM(C5:C15)</f>
        <v>77861053.559999973</v>
      </c>
      <c r="D16" s="95">
        <f>SUM(D5:D15)</f>
        <v>78041469.680000007</v>
      </c>
      <c r="E16" s="33">
        <f>SUM(E5:E15)</f>
        <v>74325118.530000001</v>
      </c>
      <c r="F16" s="98"/>
      <c r="M16" s="27" t="s">
        <v>16</v>
      </c>
      <c r="N16" s="108">
        <f t="shared" ref="N16:Y16" si="4">SUM(N5:N15)</f>
        <v>4130737.64</v>
      </c>
      <c r="O16" s="43">
        <f t="shared" si="4"/>
        <v>2957015.1300000004</v>
      </c>
      <c r="P16" s="43">
        <f t="shared" si="4"/>
        <v>4498042.76</v>
      </c>
      <c r="Q16" s="43">
        <f t="shared" si="4"/>
        <v>3311818.13</v>
      </c>
      <c r="R16" s="55">
        <f t="shared" si="4"/>
        <v>3353258.83</v>
      </c>
      <c r="S16" s="43">
        <f t="shared" si="4"/>
        <v>8002876.6299999999</v>
      </c>
      <c r="T16" s="108">
        <f t="shared" si="4"/>
        <v>10996470.35</v>
      </c>
      <c r="U16" s="43">
        <f t="shared" si="4"/>
        <v>5850574.0099999998</v>
      </c>
      <c r="V16" s="43">
        <f t="shared" si="4"/>
        <v>7443181.3100000005</v>
      </c>
      <c r="W16" s="55">
        <f t="shared" si="4"/>
        <v>7266307.6000000015</v>
      </c>
      <c r="X16" s="43">
        <f t="shared" si="4"/>
        <v>6191278.1499999994</v>
      </c>
      <c r="Y16" s="44">
        <f t="shared" si="4"/>
        <v>10323557.989999998</v>
      </c>
      <c r="Z16" s="45">
        <f>SUM(Z5:Z15)</f>
        <v>74325118.530000001</v>
      </c>
    </row>
    <row r="17" spans="3:26" x14ac:dyDescent="0.25">
      <c r="D17" s="84" t="s">
        <v>37</v>
      </c>
      <c r="E17" s="101" t="s">
        <v>37</v>
      </c>
      <c r="N17" s="52"/>
    </row>
    <row r="18" spans="3:26" ht="19.5" thickBot="1" x14ac:dyDescent="0.35">
      <c r="C18" s="84"/>
      <c r="D18" s="84">
        <v>72000000</v>
      </c>
      <c r="E18" s="84">
        <v>73900000</v>
      </c>
      <c r="M18" s="237" t="s">
        <v>44</v>
      </c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</row>
    <row r="19" spans="3:26" ht="16.5" thickBot="1" x14ac:dyDescent="0.3">
      <c r="D19" s="96">
        <f>D18-D16</f>
        <v>-6041469.6800000072</v>
      </c>
      <c r="E19" s="5">
        <f>E16-E18</f>
        <v>425118.53000000119</v>
      </c>
      <c r="G19" s="5">
        <f>D16-G20</f>
        <v>70634261.850000009</v>
      </c>
      <c r="M19" s="117" t="s">
        <v>34</v>
      </c>
      <c r="N19" s="118" t="s">
        <v>0</v>
      </c>
      <c r="O19" s="118" t="s">
        <v>1</v>
      </c>
      <c r="P19" s="118" t="s">
        <v>2</v>
      </c>
      <c r="Q19" s="118" t="s">
        <v>3</v>
      </c>
      <c r="R19" s="118" t="s">
        <v>4</v>
      </c>
      <c r="S19" s="37" t="s">
        <v>33</v>
      </c>
      <c r="T19" s="37" t="s">
        <v>6</v>
      </c>
      <c r="U19" s="37" t="s">
        <v>7</v>
      </c>
      <c r="V19" s="37" t="s">
        <v>8</v>
      </c>
      <c r="W19" s="37" t="s">
        <v>9</v>
      </c>
      <c r="X19" s="37" t="s">
        <v>10</v>
      </c>
      <c r="Y19" s="38" t="s">
        <v>11</v>
      </c>
      <c r="Z19" s="39" t="s">
        <v>35</v>
      </c>
    </row>
    <row r="20" spans="3:26" x14ac:dyDescent="0.25">
      <c r="G20">
        <f>7407207.83</f>
        <v>7407207.8300000001</v>
      </c>
      <c r="M20" s="119" t="s">
        <v>18</v>
      </c>
      <c r="N20" s="120">
        <v>30313.74</v>
      </c>
      <c r="O20" s="121">
        <f>46054.37</f>
        <v>46054.37</v>
      </c>
      <c r="P20" s="122">
        <v>348123.93</v>
      </c>
      <c r="Q20" s="122">
        <v>771997.57</v>
      </c>
      <c r="R20" s="122">
        <f>405615.48</f>
        <v>405615.48</v>
      </c>
      <c r="S20" s="34">
        <v>1742228.96</v>
      </c>
      <c r="T20" s="34">
        <v>1711127.63</v>
      </c>
      <c r="U20" s="34">
        <v>1203353.8899999999</v>
      </c>
      <c r="V20" s="34">
        <v>1190768.6200000001</v>
      </c>
      <c r="W20" s="34">
        <v>1355757.32</v>
      </c>
      <c r="X20" s="34">
        <v>1279139.6200000001</v>
      </c>
      <c r="Y20" s="40">
        <v>1808536.23</v>
      </c>
      <c r="Z20" s="41">
        <f>SUM(N20:Y20)</f>
        <v>11893017.359999999</v>
      </c>
    </row>
    <row r="21" spans="3:26" ht="26.25" x14ac:dyDescent="0.25">
      <c r="D21" s="126" t="s">
        <v>46</v>
      </c>
      <c r="E21" s="127">
        <v>76500000</v>
      </c>
      <c r="M21" s="123" t="s">
        <v>19</v>
      </c>
      <c r="N21" s="120">
        <v>1178463.93</v>
      </c>
      <c r="O21" s="122">
        <v>2805123.54</v>
      </c>
      <c r="P21" s="122">
        <v>1355512.55</v>
      </c>
      <c r="Q21" s="122">
        <v>1655639.88</v>
      </c>
      <c r="R21" s="122">
        <v>940511.4</v>
      </c>
      <c r="S21" s="34">
        <v>2291414.77</v>
      </c>
      <c r="T21" s="34">
        <v>3003336.23</v>
      </c>
      <c r="U21" s="34">
        <v>2042348.65</v>
      </c>
      <c r="V21" s="34">
        <v>2105688.41</v>
      </c>
      <c r="W21" s="34">
        <v>3430151.9</v>
      </c>
      <c r="X21" s="34">
        <v>2123336.7799999998</v>
      </c>
      <c r="Y21" s="40">
        <v>6153550.4500000002</v>
      </c>
      <c r="Z21" s="42">
        <f>SUM(N21:Y21)</f>
        <v>29085078.489999998</v>
      </c>
    </row>
    <row r="22" spans="3:26" x14ac:dyDescent="0.25">
      <c r="M22" s="123" t="s">
        <v>20</v>
      </c>
      <c r="N22" s="122">
        <v>1030257.15</v>
      </c>
      <c r="O22" s="122">
        <f>43072.2</f>
        <v>43072.2</v>
      </c>
      <c r="P22" s="122">
        <v>357205.6</v>
      </c>
      <c r="Q22" s="122">
        <v>446780.55</v>
      </c>
      <c r="R22" s="122">
        <v>1081349.67</v>
      </c>
      <c r="S22" s="34">
        <v>505353.55</v>
      </c>
      <c r="T22" s="34">
        <v>2213701.4</v>
      </c>
      <c r="U22" s="34">
        <v>1646356.56</v>
      </c>
      <c r="V22" s="34">
        <v>1988232.76</v>
      </c>
      <c r="W22" s="34">
        <v>1571144.38</v>
      </c>
      <c r="X22" s="34">
        <v>2397147.5099999998</v>
      </c>
      <c r="Y22" s="40">
        <v>993395.28</v>
      </c>
      <c r="Z22" s="42">
        <f>SUM(N22:Y22)</f>
        <v>14273996.609999999</v>
      </c>
    </row>
    <row r="23" spans="3:26" x14ac:dyDescent="0.25">
      <c r="M23" s="123" t="s">
        <v>21</v>
      </c>
      <c r="N23" s="122">
        <v>0</v>
      </c>
      <c r="O23" s="122">
        <v>117695.4</v>
      </c>
      <c r="P23" s="122">
        <v>248161.78</v>
      </c>
      <c r="Q23" s="122">
        <v>473747.17</v>
      </c>
      <c r="R23" s="122">
        <v>267343.69</v>
      </c>
      <c r="S23" s="34">
        <v>322788.09999999998</v>
      </c>
      <c r="T23" s="34">
        <v>215631.34</v>
      </c>
      <c r="U23" s="34">
        <v>518613.43</v>
      </c>
      <c r="V23" s="34">
        <v>299483.34999999998</v>
      </c>
      <c r="W23" s="34">
        <v>2392965.89</v>
      </c>
      <c r="X23" s="34">
        <v>1096190.3</v>
      </c>
      <c r="Y23" s="40">
        <v>3218491.14</v>
      </c>
      <c r="Z23" s="42">
        <f>SUM(N23:Y23)</f>
        <v>9171111.5899999999</v>
      </c>
    </row>
    <row r="24" spans="3:26" x14ac:dyDescent="0.25">
      <c r="M24" s="123" t="s">
        <v>22</v>
      </c>
      <c r="N24" s="122">
        <v>0</v>
      </c>
      <c r="O24" s="122">
        <v>0</v>
      </c>
      <c r="P24" s="122">
        <v>0</v>
      </c>
      <c r="Q24" s="122"/>
      <c r="R24" s="122"/>
      <c r="S24" s="34"/>
      <c r="T24" s="34"/>
      <c r="U24" s="34"/>
      <c r="V24" s="34"/>
      <c r="W24" s="34"/>
      <c r="X24" s="34"/>
      <c r="Y24" s="40"/>
      <c r="Z24" s="42">
        <f t="shared" ref="Z24" si="5">SUM(P24:Y24)</f>
        <v>0</v>
      </c>
    </row>
    <row r="25" spans="3:26" x14ac:dyDescent="0.25">
      <c r="M25" s="123" t="s">
        <v>23</v>
      </c>
      <c r="N25" s="122">
        <v>128871.78</v>
      </c>
      <c r="O25" s="122">
        <v>31304.880000000001</v>
      </c>
      <c r="P25" s="122">
        <v>363762.79</v>
      </c>
      <c r="Q25" s="122">
        <v>6261</v>
      </c>
      <c r="R25" s="122"/>
      <c r="S25" s="34"/>
      <c r="T25" s="34"/>
      <c r="U25" s="34">
        <v>64696.75</v>
      </c>
      <c r="V25" s="34">
        <v>28730.799999999999</v>
      </c>
      <c r="W25" s="34"/>
      <c r="X25" s="34"/>
      <c r="Y25" s="40">
        <v>40452.81</v>
      </c>
      <c r="Z25" s="42">
        <f t="shared" ref="Z25:Z29" si="6">SUM(N25:Y25)</f>
        <v>664080.81000000006</v>
      </c>
    </row>
    <row r="26" spans="3:26" x14ac:dyDescent="0.25">
      <c r="M26" s="123" t="s">
        <v>24</v>
      </c>
      <c r="N26" s="122">
        <v>0</v>
      </c>
      <c r="O26" s="122">
        <f>236368.8</f>
        <v>236368.8</v>
      </c>
      <c r="P26" s="122">
        <v>0</v>
      </c>
      <c r="Q26" s="122"/>
      <c r="R26" s="122"/>
      <c r="S26" s="34"/>
      <c r="T26" s="34"/>
      <c r="U26" s="34"/>
      <c r="V26" s="34"/>
      <c r="W26" s="34"/>
      <c r="X26" s="34"/>
      <c r="Y26" s="40">
        <v>265800</v>
      </c>
      <c r="Z26" s="42">
        <f t="shared" si="6"/>
        <v>502168.8</v>
      </c>
    </row>
    <row r="27" spans="3:26" x14ac:dyDescent="0.25">
      <c r="M27" s="123" t="s">
        <v>25</v>
      </c>
      <c r="N27" s="122">
        <v>0</v>
      </c>
      <c r="O27" s="122">
        <v>0</v>
      </c>
      <c r="P27" s="122">
        <v>0</v>
      </c>
      <c r="Q27" s="122"/>
      <c r="R27" s="122"/>
      <c r="S27" s="34"/>
      <c r="T27" s="34"/>
      <c r="U27" s="34"/>
      <c r="V27" s="34"/>
      <c r="W27" s="34"/>
      <c r="X27" s="34"/>
      <c r="Y27" s="40"/>
      <c r="Z27" s="42">
        <f t="shared" si="6"/>
        <v>0</v>
      </c>
    </row>
    <row r="28" spans="3:26" x14ac:dyDescent="0.25">
      <c r="M28" s="123" t="s">
        <v>28</v>
      </c>
      <c r="N28" s="122">
        <v>44206.67</v>
      </c>
      <c r="O28" s="122">
        <v>87522.12</v>
      </c>
      <c r="P28" s="122">
        <v>294883.86</v>
      </c>
      <c r="Q28" s="122">
        <v>479621.29</v>
      </c>
      <c r="R28" s="122">
        <v>208518.47</v>
      </c>
      <c r="S28" s="34">
        <v>691452.68</v>
      </c>
      <c r="T28" s="34">
        <v>331992.46999999997</v>
      </c>
      <c r="U28" s="34">
        <v>269794.93</v>
      </c>
      <c r="V28" s="34">
        <v>673157.53</v>
      </c>
      <c r="W28" s="34">
        <v>228918.09</v>
      </c>
      <c r="X28" s="34">
        <v>397974.34</v>
      </c>
      <c r="Y28" s="40">
        <v>426793.46</v>
      </c>
      <c r="Z28" s="42">
        <f t="shared" si="6"/>
        <v>4134835.9099999992</v>
      </c>
    </row>
    <row r="29" spans="3:26" x14ac:dyDescent="0.25">
      <c r="M29" s="123" t="s">
        <v>29</v>
      </c>
      <c r="N29" s="122">
        <v>296038.34999999998</v>
      </c>
      <c r="O29" s="122">
        <v>85375.360000000001</v>
      </c>
      <c r="P29" s="122">
        <v>193615.45</v>
      </c>
      <c r="Q29" s="122">
        <v>308101.62</v>
      </c>
      <c r="R29" s="122">
        <v>260703.58</v>
      </c>
      <c r="S29" s="34">
        <v>353745.13</v>
      </c>
      <c r="T29" s="34">
        <v>269513.39</v>
      </c>
      <c r="U29" s="34">
        <v>260374.75</v>
      </c>
      <c r="V29" s="34">
        <v>323111.36</v>
      </c>
      <c r="W29" s="34">
        <v>532060.01</v>
      </c>
      <c r="X29" s="34">
        <f>572197.24+8640.88</f>
        <v>580838.12</v>
      </c>
      <c r="Y29" s="40">
        <v>317691.15000000002</v>
      </c>
      <c r="Z29" s="42">
        <f t="shared" si="6"/>
        <v>3781168.27</v>
      </c>
    </row>
    <row r="30" spans="3:26" ht="16.5" thickBot="1" x14ac:dyDescent="0.3">
      <c r="M30" s="124" t="s">
        <v>16</v>
      </c>
      <c r="N30" s="55">
        <f t="shared" ref="N30:R30" si="7">SUM(N20:N29)</f>
        <v>2708151.6199999996</v>
      </c>
      <c r="O30" s="55">
        <f t="shared" si="7"/>
        <v>3452516.67</v>
      </c>
      <c r="P30" s="55">
        <f t="shared" si="7"/>
        <v>3161265.96</v>
      </c>
      <c r="Q30" s="55">
        <f t="shared" si="7"/>
        <v>4142149.0799999996</v>
      </c>
      <c r="R30" s="55">
        <f t="shared" si="7"/>
        <v>3164042.29</v>
      </c>
      <c r="S30" s="43">
        <f t="shared" ref="S30:X30" si="8">SUM(S20:S29)</f>
        <v>5906983.1899999995</v>
      </c>
      <c r="T30" s="43">
        <f t="shared" si="8"/>
        <v>7745302.459999999</v>
      </c>
      <c r="U30" s="43">
        <f t="shared" si="8"/>
        <v>6005538.959999999</v>
      </c>
      <c r="V30" s="43">
        <f t="shared" si="8"/>
        <v>6609172.8300000001</v>
      </c>
      <c r="W30" s="43">
        <f t="shared" si="8"/>
        <v>9510997.5899999999</v>
      </c>
      <c r="X30" s="43">
        <f t="shared" si="8"/>
        <v>7874626.6699999999</v>
      </c>
      <c r="Y30" s="44">
        <f>SUM(Y20:Y29)</f>
        <v>13224710.520000001</v>
      </c>
      <c r="Z30" s="45">
        <f>SUM(Z20:Z29)</f>
        <v>73505457.839999989</v>
      </c>
    </row>
  </sheetData>
  <mergeCells count="2">
    <mergeCell ref="M2:Z2"/>
    <mergeCell ref="M18:Z18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1:AO28"/>
  <sheetViews>
    <sheetView tabSelected="1" zoomScale="90" zoomScaleNormal="90" workbookViewId="0">
      <selection activeCell="M2" sqref="M2:Z2"/>
    </sheetView>
  </sheetViews>
  <sheetFormatPr defaultRowHeight="15.75" x14ac:dyDescent="0.25"/>
  <cols>
    <col min="1" max="1" width="3.7109375" customWidth="1"/>
    <col min="2" max="2" width="10.42578125" customWidth="1"/>
    <col min="3" max="3" width="17.42578125" style="83" customWidth="1"/>
    <col min="4" max="4" width="17.42578125" style="84" customWidth="1"/>
    <col min="5" max="6" width="21.42578125" customWidth="1"/>
    <col min="7" max="7" width="16.5703125" customWidth="1"/>
    <col min="8" max="12" width="9.140625" hidden="1" customWidth="1"/>
    <col min="13" max="13" width="15.42578125" customWidth="1"/>
    <col min="14" max="14" width="13.7109375" style="30" customWidth="1"/>
    <col min="15" max="15" width="13.28515625" style="30" customWidth="1"/>
    <col min="16" max="16" width="15.28515625" style="30" customWidth="1"/>
    <col min="17" max="17" width="14.140625" style="30" customWidth="1"/>
    <col min="18" max="18" width="13.85546875" style="30" customWidth="1"/>
    <col min="19" max="19" width="14.42578125" style="30" customWidth="1"/>
    <col min="20" max="20" width="14.140625" style="30" customWidth="1"/>
    <col min="21" max="21" width="13.140625" style="30" customWidth="1"/>
    <col min="22" max="22" width="14.28515625" style="30" customWidth="1"/>
    <col min="23" max="23" width="13.42578125" style="30" customWidth="1"/>
    <col min="24" max="24" width="13" style="30" customWidth="1"/>
    <col min="25" max="25" width="14.42578125" style="30" customWidth="1"/>
    <col min="26" max="26" width="14.85546875" style="30" customWidth="1"/>
    <col min="27" max="27" width="13.28515625" style="232" customWidth="1"/>
    <col min="28" max="28" width="14" style="213" customWidth="1"/>
    <col min="29" max="40" width="13.28515625" customWidth="1"/>
    <col min="41" max="41" width="13.85546875" customWidth="1"/>
  </cols>
  <sheetData>
    <row r="1" spans="2:41" ht="9.75" customHeight="1" x14ac:dyDescent="0.25"/>
    <row r="2" spans="2:41" ht="19.5" thickBot="1" x14ac:dyDescent="0.35">
      <c r="D2" s="99" t="s">
        <v>42</v>
      </c>
      <c r="E2" s="161" t="s">
        <v>47</v>
      </c>
      <c r="F2" s="162" t="s">
        <v>63</v>
      </c>
      <c r="M2" s="251" t="s">
        <v>52</v>
      </c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</row>
    <row r="3" spans="2:41" ht="16.5" customHeight="1" thickBot="1" x14ac:dyDescent="0.3">
      <c r="B3" s="15"/>
      <c r="C3" s="85">
        <v>2018</v>
      </c>
      <c r="D3" s="85">
        <v>2019</v>
      </c>
      <c r="E3" s="155">
        <v>2020</v>
      </c>
      <c r="F3" s="17">
        <v>2021</v>
      </c>
      <c r="M3" t="s">
        <v>36</v>
      </c>
      <c r="N3" s="47">
        <v>1</v>
      </c>
      <c r="O3" s="47">
        <v>2</v>
      </c>
      <c r="P3" s="47">
        <v>3</v>
      </c>
      <c r="Q3" s="47">
        <v>4</v>
      </c>
      <c r="R3" s="47">
        <v>5</v>
      </c>
      <c r="S3" s="47">
        <v>6</v>
      </c>
      <c r="T3" s="47">
        <v>7</v>
      </c>
      <c r="U3" s="47"/>
      <c r="V3" s="47"/>
      <c r="W3" s="47"/>
      <c r="X3" s="47"/>
      <c r="Y3" s="47"/>
      <c r="Z3" s="48"/>
      <c r="AB3" s="215" t="s">
        <v>59</v>
      </c>
      <c r="AC3" s="247" t="s">
        <v>60</v>
      </c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</row>
    <row r="4" spans="2:41" ht="27.75" customHeight="1" thickBot="1" x14ac:dyDescent="0.3">
      <c r="B4" s="6" t="s">
        <v>17</v>
      </c>
      <c r="C4" s="86" t="s">
        <v>32</v>
      </c>
      <c r="D4" s="87" t="s">
        <v>32</v>
      </c>
      <c r="E4" s="156" t="s">
        <v>32</v>
      </c>
      <c r="F4" s="156" t="s">
        <v>32</v>
      </c>
      <c r="M4" s="26" t="s">
        <v>34</v>
      </c>
      <c r="N4" s="37" t="s">
        <v>0</v>
      </c>
      <c r="O4" s="37" t="s">
        <v>1</v>
      </c>
      <c r="P4" s="37" t="s">
        <v>2</v>
      </c>
      <c r="Q4" s="179" t="s">
        <v>3</v>
      </c>
      <c r="R4" s="118" t="s">
        <v>4</v>
      </c>
      <c r="S4" s="37" t="s">
        <v>33</v>
      </c>
      <c r="T4" s="37" t="s">
        <v>6</v>
      </c>
      <c r="U4" s="37" t="s">
        <v>7</v>
      </c>
      <c r="V4" s="37" t="s">
        <v>8</v>
      </c>
      <c r="W4" s="37" t="s">
        <v>9</v>
      </c>
      <c r="X4" s="37" t="s">
        <v>10</v>
      </c>
      <c r="Y4" s="38" t="s">
        <v>11</v>
      </c>
      <c r="Z4" s="39" t="s">
        <v>35</v>
      </c>
      <c r="AA4" s="233"/>
      <c r="AB4" s="229" t="s">
        <v>34</v>
      </c>
      <c r="AC4" s="214" t="s">
        <v>0</v>
      </c>
      <c r="AD4" s="37" t="s">
        <v>1</v>
      </c>
      <c r="AE4" s="37" t="s">
        <v>2</v>
      </c>
      <c r="AF4" s="179" t="s">
        <v>3</v>
      </c>
      <c r="AG4" s="118" t="s">
        <v>4</v>
      </c>
      <c r="AH4" s="37" t="s">
        <v>33</v>
      </c>
      <c r="AI4" s="37" t="s">
        <v>6</v>
      </c>
      <c r="AJ4" s="37" t="s">
        <v>7</v>
      </c>
      <c r="AK4" s="37" t="s">
        <v>8</v>
      </c>
      <c r="AL4" s="37" t="s">
        <v>9</v>
      </c>
      <c r="AM4" s="37" t="s">
        <v>10</v>
      </c>
      <c r="AN4" s="38" t="s">
        <v>11</v>
      </c>
      <c r="AO4" s="39" t="s">
        <v>35</v>
      </c>
    </row>
    <row r="5" spans="2:41" ht="27.75" customHeight="1" thickBot="1" x14ac:dyDescent="0.3">
      <c r="B5" s="7" t="s">
        <v>18</v>
      </c>
      <c r="C5" s="88">
        <v>14996936.640000001</v>
      </c>
      <c r="D5" s="89">
        <v>17505979.059999999</v>
      </c>
      <c r="E5" s="157">
        <v>11564856.220000001</v>
      </c>
      <c r="F5" s="36">
        <f t="shared" ref="F5:F13" si="0">Z5</f>
        <v>14979918.98</v>
      </c>
      <c r="G5" s="5"/>
      <c r="M5" s="28" t="s">
        <v>18</v>
      </c>
      <c r="N5" s="106">
        <f>21146.98+17544.24+37493.34+27027.79+198147.03+261863.48+36201.85+547367.23+48429.96</f>
        <v>1195221.8999999999</v>
      </c>
      <c r="O5" s="54">
        <f>58958.09+165627.84+257316+16723.62+107662.06+137050.18+19690.2+28182.99+6877.25+23705.46+19761.57+2864.16</f>
        <v>844419.41999999993</v>
      </c>
      <c r="P5" s="34">
        <v>772986.02</v>
      </c>
      <c r="Q5" s="122">
        <v>926163.24</v>
      </c>
      <c r="R5" s="122">
        <f>1229278.93</f>
        <v>1229278.93</v>
      </c>
      <c r="S5" s="34">
        <f>63284.84+27365.47+8013.04+14997.96+11434.99+7146.88+46173.47+35378.52+38640.29+84714.58+5397.12+117909.94+2551.76+88042.41+156203.81+33882.91</f>
        <v>741137.99000000011</v>
      </c>
      <c r="T5" s="107">
        <f>59403.82+7058.52+159904.08+147522.61+184866.7+18994.77+16469.88+29655.12+47410.92+32378.4+41749.52+221855.54+5059.34+1415.36+122810.98+124229.09+181180.75</f>
        <v>1401965.4000000001</v>
      </c>
      <c r="U5" s="34">
        <f>60901.48+8013.03+12340.72+23168.62+39553.51+56837.37+134607.29+16165.49+18994.75+9372.58+19635.55+40542.67+23021.24+75637.49+36283.36+60687.76</f>
        <v>635762.91</v>
      </c>
      <c r="V5" s="34">
        <f>26048.02+93556.97+164170.89+164091.16+39303.19+8347.8+18165.8+40184.78+43457.22+18125.42+50941.58+43345.53+38104.13+145779.2+27393+60512.52+707467.43+7353.36+10698.37+19896.86+102376.8+51661.92</f>
        <v>1880981.9500000004</v>
      </c>
      <c r="W5" s="34">
        <f>1603852.24+14917.2</f>
        <v>1618769.44</v>
      </c>
      <c r="X5" s="34">
        <f>827216.2+21146.98+29646.49+41024.34+274071.35+67410.6+931437.19+18125.44+115402.76+31855.47+7058.52+36283.36+27205.92+25032.68</f>
        <v>2452917.2999999998</v>
      </c>
      <c r="Y5" s="40">
        <f>36201.85+1249.69+26228.57+113222.68+7374.96+146397.8+63700.43+9449.27+47950.44+4172.93+21580.16+6366.05+3388.65+474338.86+6525.14+312167</f>
        <v>1280314.48</v>
      </c>
      <c r="Z5" s="41">
        <f>SUM(N5:Y5)</f>
        <v>14979918.98</v>
      </c>
      <c r="AB5" s="244" t="s">
        <v>19</v>
      </c>
      <c r="AC5" s="226">
        <f t="shared" ref="AC5" si="1">1210908.61+59506.5+4502.38+119815.62+413902.13+165205.4+1179490.99+96216.55</f>
        <v>3249548.1799999997</v>
      </c>
      <c r="AD5" s="226">
        <f t="shared" ref="AD5" si="2">14588.41+189767.88+210548.88+193412.58+29655.64</f>
        <v>637973.39</v>
      </c>
      <c r="AE5" s="226">
        <f t="shared" ref="AE5" si="3">915531.17</f>
        <v>915531.17</v>
      </c>
      <c r="AF5" s="226">
        <f t="shared" ref="AF5" si="4">1188621.72+22895.4+245967.35+119883.22+102882.12+28919.4+31442.53+49107.81+435857.6+67707.22+49965.26+216516.56+391013.46</f>
        <v>2950779.65</v>
      </c>
      <c r="AG5" s="226">
        <f t="shared" ref="AG5" si="5">856373.37</f>
        <v>856373.37</v>
      </c>
      <c r="AH5" s="226">
        <f t="shared" ref="AH5" si="6">198239.04+69931.24+86066.42+23328.33+215699.57+10748.52+246080.08+282124.3+165205.38+556027.79+91462.01+147309.62+174725.01</f>
        <v>2266947.3099999996</v>
      </c>
      <c r="AI5" s="226">
        <f t="shared" ref="AI5" si="7">139144.27+125218.37+369765.74+93402.41+238475.84+115906.87+683416.84+648508.95+108675.03+120281.73+114600.5+23328.33</f>
        <v>2780724.88</v>
      </c>
      <c r="AJ5" s="226">
        <f t="shared" ref="AJ5" si="8">165205.4+28884.31+533807.3+12403.79+48779.11+40.51+97906.62+126140.82+180018.72+43025.17+160.97+3.15</f>
        <v>1236375.8699999999</v>
      </c>
      <c r="AK5" s="226">
        <f t="shared" ref="AK5" si="9">35.69+157002.3+115.8+176.32+127.22+36000+216131.2+36.48+24536.62+206.28+81908.52+463595.83+73048.37</f>
        <v>1052920.6299999999</v>
      </c>
      <c r="AL5" s="226">
        <f>W6</f>
        <v>1712745.17</v>
      </c>
      <c r="AM5" s="226">
        <f>X6</f>
        <v>4173298.4899999998</v>
      </c>
      <c r="AN5" s="227">
        <f>Y6</f>
        <v>1981649.37</v>
      </c>
      <c r="AO5" s="228">
        <f t="shared" ref="AO5" si="10">SUM(AC5:AN5)</f>
        <v>23814867.479999997</v>
      </c>
    </row>
    <row r="6" spans="2:41" ht="27.75" customHeight="1" x14ac:dyDescent="0.25">
      <c r="B6" s="8" t="s">
        <v>19</v>
      </c>
      <c r="C6" s="90">
        <v>26447056.460000001</v>
      </c>
      <c r="D6" s="91">
        <v>29096301.890000001</v>
      </c>
      <c r="E6" s="158">
        <v>29486521.039999999</v>
      </c>
      <c r="F6" s="35">
        <f t="shared" si="0"/>
        <v>23814867.479999997</v>
      </c>
      <c r="M6" s="29" t="s">
        <v>19</v>
      </c>
      <c r="N6" s="106">
        <f>1210908.61+59506.5+4502.38+119815.62+413902.13+165205.4+1179490.99+96216.55</f>
        <v>3249548.1799999997</v>
      </c>
      <c r="O6" s="34">
        <f>14588.41+189767.88+210548.88+193412.58+29655.64</f>
        <v>637973.39</v>
      </c>
      <c r="P6" s="34">
        <f>915531.17</f>
        <v>915531.17</v>
      </c>
      <c r="Q6" s="34">
        <f>1188621.72+22895.4+245967.35+119883.22+102882.12+28919.4+31442.53+49107.81+435857.6+67707.22+49965.26+216516.56+391013.46</f>
        <v>2950779.65</v>
      </c>
      <c r="R6" s="122">
        <f>856373.37</f>
        <v>856373.37</v>
      </c>
      <c r="S6" s="34">
        <f>198239.04+69931.24+86066.42+23328.33+215699.57+10748.52+246080.08+282124.3+165205.38+556027.79+91462.01+147309.62+174725.01</f>
        <v>2266947.3099999996</v>
      </c>
      <c r="T6" s="107">
        <f>139144.27+125218.37+369765.74+93402.41+238475.84+115906.87+683416.84+648508.95+108675.03+120281.73+114600.5+23328.33</f>
        <v>2780724.88</v>
      </c>
      <c r="U6" s="34">
        <f>165205.4+28884.31+533807.3+12403.79+48779.11+40.51+97906.62+126140.82+180018.72+43025.17+160.97+3.15</f>
        <v>1236375.8699999999</v>
      </c>
      <c r="V6" s="34">
        <f>35.69+157002.3+115.8+176.32+127.22+36000+216131.2+36.48+24536.62+206.28+81908.52+463595.83+73048.37</f>
        <v>1052920.6299999999</v>
      </c>
      <c r="W6" s="34">
        <f>1712745.17</f>
        <v>1712745.17</v>
      </c>
      <c r="X6" s="34">
        <f>72488.48+1183159.58+49417.57+2782.92+125949.18+237853.58+48763.8+1466340.36+27832.98+247808.08+404494.36+10403.09+51797.59+244206.92</f>
        <v>4173298.4899999998</v>
      </c>
      <c r="Y6" s="40">
        <f>54762.93+88870.86+96444.29+105049.18+114639.31+166245.47+247808.09+258361.68+707804.93+141662.63</f>
        <v>1981649.37</v>
      </c>
      <c r="Z6" s="42">
        <f>SUM(N6:Y6)</f>
        <v>23814867.479999997</v>
      </c>
      <c r="AB6" s="244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23"/>
      <c r="AO6" s="225"/>
    </row>
    <row r="7" spans="2:41" ht="27.75" customHeight="1" x14ac:dyDescent="0.25">
      <c r="B7" s="8" t="s">
        <v>20</v>
      </c>
      <c r="C7" s="90">
        <v>15276102.869999999</v>
      </c>
      <c r="D7" s="92">
        <v>14392251.359999999</v>
      </c>
      <c r="E7" s="159">
        <v>16258909.25</v>
      </c>
      <c r="F7" s="32">
        <f t="shared" si="0"/>
        <v>13730405.85</v>
      </c>
      <c r="M7" s="29" t="s">
        <v>20</v>
      </c>
      <c r="N7" s="107">
        <f>169978.57+9167.52+9894.48+412016.82+81076.63</f>
        <v>682134.02</v>
      </c>
      <c r="O7" s="34">
        <f>6648.84+12311.88+254812.08+3975.6+17922.67+12334.71+5630.64+107347.1+90383.82+39076.83+40119.48+35105.05+28151.64+2735.4</f>
        <v>656555.74000000011</v>
      </c>
      <c r="P7" s="34">
        <v>488850.52</v>
      </c>
      <c r="Q7" s="34">
        <v>619862.34</v>
      </c>
      <c r="R7" s="122">
        <f>1820122.51</f>
        <v>1820122.51</v>
      </c>
      <c r="S7" s="34">
        <f>5631.02+2735.4+38439.18+13422+17167.42+263195.45+79303.74+30087.07+41327.23+106480.7+114533.46+60888.55+55987.61+62622.22+5470.8+44195.43+83511.35+14739.67</f>
        <v>1039738.3</v>
      </c>
      <c r="T7" s="107">
        <f>71188.92+14957.52+21626.82+33547.43+81774.75+80586.91+24594.07+149025.06+13779.67+14703.31+51832.42+40117.14+6950.26+45858.11+2735.4+6425.13+3881.06+312552.75+45401.11</f>
        <v>1021537.8400000001</v>
      </c>
      <c r="U7" s="34">
        <f>40907.98+39171+129208.08+46325.88+31391.92+11479.63+228433.5+68453.52+558837.38+24493.11+78907.55+75047.04+121978.98+22607.71+43273.61</f>
        <v>1520516.8900000004</v>
      </c>
      <c r="V7" s="34">
        <f>189334.21+51570.9+118682.41+39509.55+28505.72+27705.69+13297.68+251768.32+31314.1+21369.12+34290.32+17318.78+22522.31+296801.29+139697.78+402479.55+38879.85+37613.04+130490.5+23717.73</f>
        <v>1916868.85</v>
      </c>
      <c r="W7" s="34">
        <f>1391521.54</f>
        <v>1391521.54</v>
      </c>
      <c r="X7" s="34">
        <f>20877.73+101754.24+10934.71+6648.84+46605.75+33264.24+39459.26+3670.79+59995.12+26746.56+80640.13+2735.4+9110.7+3975.6+23203.96+44094.84</f>
        <v>513717.87</v>
      </c>
      <c r="Y7" s="40">
        <f>9143.88+77671.83+5167.68+35389.89+10337.71+19353.6+40381.58+7519.2+12707.98+30614.89+113005.13+9980.86+37338.05+6188.01+30661.24+1570817.99+18828.13+23871.78</f>
        <v>2058979.43</v>
      </c>
      <c r="Z7" s="42">
        <f>SUM(N7:Y7)</f>
        <v>13730405.85</v>
      </c>
      <c r="AB7" s="221" t="s">
        <v>58</v>
      </c>
      <c r="AC7" s="217">
        <f>N5+N7</f>
        <v>1877355.92</v>
      </c>
      <c r="AD7" s="218">
        <f>O5+O7</f>
        <v>1500975.1600000001</v>
      </c>
      <c r="AE7" s="218">
        <f>P5+P7</f>
        <v>1261836.54</v>
      </c>
      <c r="AF7" s="218">
        <f>Q5+Q7</f>
        <v>1546025.58</v>
      </c>
      <c r="AG7" s="218">
        <f t="shared" ref="AG7:AN7" si="11">R5+R7</f>
        <v>3049401.44</v>
      </c>
      <c r="AH7" s="218">
        <f t="shared" si="11"/>
        <v>1780876.29</v>
      </c>
      <c r="AI7" s="218">
        <f t="shared" si="11"/>
        <v>2423503.2400000002</v>
      </c>
      <c r="AJ7" s="218">
        <f t="shared" si="11"/>
        <v>2156279.8000000003</v>
      </c>
      <c r="AK7" s="218">
        <f t="shared" si="11"/>
        <v>3797850.8000000007</v>
      </c>
      <c r="AL7" s="218">
        <f>W5+W7</f>
        <v>3010290.98</v>
      </c>
      <c r="AM7" s="218">
        <f t="shared" si="11"/>
        <v>2966635.17</v>
      </c>
      <c r="AN7" s="218">
        <f t="shared" si="11"/>
        <v>3339293.91</v>
      </c>
      <c r="AO7" s="224">
        <f>SUM(AC7:AN7)</f>
        <v>28710324.830000002</v>
      </c>
    </row>
    <row r="8" spans="2:41" ht="27.75" customHeight="1" x14ac:dyDescent="0.25">
      <c r="B8" s="8" t="s">
        <v>21</v>
      </c>
      <c r="C8" s="90">
        <v>9027007.2699999996</v>
      </c>
      <c r="D8" s="92">
        <v>7682585.7300000004</v>
      </c>
      <c r="E8" s="159">
        <v>7662691.6299999999</v>
      </c>
      <c r="F8" s="32">
        <f t="shared" si="0"/>
        <v>9326429.879999999</v>
      </c>
      <c r="M8" s="29" t="s">
        <v>21</v>
      </c>
      <c r="N8" s="107">
        <f>79827.44+42957.26+123132.53+88339.81+1079990.75+143689.4</f>
        <v>1557937.19</v>
      </c>
      <c r="O8" s="34">
        <f>387039.83+197950.58</f>
        <v>584990.41</v>
      </c>
      <c r="P8" s="34">
        <v>592568.5</v>
      </c>
      <c r="Q8" s="34">
        <f>153958.92+57809.68+16695.94+179690.01+213499.29+175829.07+50347.97+48480.5</f>
        <v>896311.38000000012</v>
      </c>
      <c r="R8" s="122">
        <f>143063.3+50087.81+17029.85</f>
        <v>210180.96</v>
      </c>
      <c r="S8" s="34">
        <f>52592.2+61670+15652.44+38818.05+20869.92+25043.91+160988.48</f>
        <v>375635</v>
      </c>
      <c r="T8" s="107">
        <f>90784.15+90219.38+41531.14+37565.86+20869.92+139828.46+153414.78</f>
        <v>574213.68999999994</v>
      </c>
      <c r="U8" s="34">
        <f>144524.2+95271.18+749628.73+125000+144524.19</f>
        <v>1258948.2999999998</v>
      </c>
      <c r="V8" s="34">
        <f>472301.72+127618.54+419276.69+6260.98+49983.5+80349.19+25878.7+149846.03+88488.46+333814.37</f>
        <v>1753818.1799999997</v>
      </c>
      <c r="W8" s="34">
        <f>8347.97+79827.44+122715.13+49357.36+39736.33+63131.51+59881.24</f>
        <v>422996.98000000004</v>
      </c>
      <c r="X8" s="34">
        <f>10434.96+99445.17+208479.68+99549.52</f>
        <v>417909.33</v>
      </c>
      <c r="Y8" s="40">
        <f>16695.94+191989.91+372684.6+99549.51</f>
        <v>680919.96</v>
      </c>
      <c r="Z8" s="42">
        <f>SUM(N8:Y8)</f>
        <v>9326429.879999999</v>
      </c>
      <c r="AB8" s="245" t="s">
        <v>56</v>
      </c>
      <c r="AC8" s="238">
        <f>N8+N9+N10</f>
        <v>1813367.91</v>
      </c>
      <c r="AD8" s="238">
        <f>O8+O9+O10</f>
        <v>821990.87</v>
      </c>
      <c r="AE8" s="238">
        <f>P8+P9+P10</f>
        <v>653627.92000000004</v>
      </c>
      <c r="AF8" s="238">
        <f t="shared" ref="AF8:AN8" si="12">Q8+Q9+Q10</f>
        <v>1223164.07</v>
      </c>
      <c r="AG8" s="238">
        <f t="shared" si="12"/>
        <v>331252.65999999997</v>
      </c>
      <c r="AH8" s="238">
        <f t="shared" si="12"/>
        <v>375635</v>
      </c>
      <c r="AI8" s="238">
        <f t="shared" si="12"/>
        <v>574213.68999999994</v>
      </c>
      <c r="AJ8" s="238">
        <f t="shared" si="12"/>
        <v>1425907.67</v>
      </c>
      <c r="AK8" s="238">
        <f t="shared" si="12"/>
        <v>1753818.1799999997</v>
      </c>
      <c r="AL8" s="238">
        <f t="shared" si="12"/>
        <v>422996.98000000004</v>
      </c>
      <c r="AM8" s="238">
        <f t="shared" si="12"/>
        <v>427300.79000000004</v>
      </c>
      <c r="AN8" s="238">
        <f t="shared" si="12"/>
        <v>1052158.73</v>
      </c>
      <c r="AO8" s="241">
        <f>SUM(AC8:AN8)</f>
        <v>10875434.469999999</v>
      </c>
    </row>
    <row r="9" spans="2:41" ht="27.75" customHeight="1" x14ac:dyDescent="0.25">
      <c r="B9" s="8" t="s">
        <v>23</v>
      </c>
      <c r="C9" s="90">
        <v>686222.05</v>
      </c>
      <c r="D9" s="92">
        <v>702743.25</v>
      </c>
      <c r="E9" s="159">
        <v>729560.21</v>
      </c>
      <c r="F9" s="32">
        <f t="shared" si="0"/>
        <v>1052004.5899999999</v>
      </c>
      <c r="M9" s="29" t="s">
        <v>23</v>
      </c>
      <c r="N9" s="107">
        <f>55304.86+87027.57+22956.92+5217.48+11043.67+12608.91+5217.48+13043.7+5217.48+4382.69+12521.96</f>
        <v>234542.72000000003</v>
      </c>
      <c r="O9" s="34">
        <f>65740.25+10434.96+4695.73+1913.08+0.44</f>
        <v>82784.459999999992</v>
      </c>
      <c r="P9" s="34">
        <v>30291.42</v>
      </c>
      <c r="Q9" s="34">
        <f>111027.98+122089.02+83479.69</f>
        <v>316596.69</v>
      </c>
      <c r="R9" s="122">
        <f>121071.7</f>
        <v>121071.7</v>
      </c>
      <c r="S9" s="34"/>
      <c r="T9" s="107"/>
      <c r="U9" s="34">
        <f>103306.11+63653.26</f>
        <v>166959.37</v>
      </c>
      <c r="V9" s="34"/>
      <c r="W9" s="34"/>
      <c r="X9" s="34">
        <f>9391.46</f>
        <v>9391.4599999999991</v>
      </c>
      <c r="Y9" s="40">
        <f>47583.42+11478.46+13565.45+17739.44</f>
        <v>90366.77</v>
      </c>
      <c r="Z9" s="42">
        <f t="shared" ref="Z9:Z12" si="13">SUM(N9:Y9)</f>
        <v>1052004.5899999999</v>
      </c>
      <c r="AB9" s="244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42"/>
    </row>
    <row r="10" spans="2:41" ht="27.75" customHeight="1" x14ac:dyDescent="0.25">
      <c r="B10" s="8" t="s">
        <v>24</v>
      </c>
      <c r="C10" s="90">
        <v>1177142.05</v>
      </c>
      <c r="D10" s="92">
        <v>1020833.15</v>
      </c>
      <c r="E10" s="159">
        <v>520847.8</v>
      </c>
      <c r="F10" s="32">
        <f t="shared" si="0"/>
        <v>497000</v>
      </c>
      <c r="M10" s="29" t="s">
        <v>24</v>
      </c>
      <c r="N10" s="107">
        <f>5316+5316+10256</f>
        <v>20888</v>
      </c>
      <c r="O10" s="34">
        <f>5128+15384+5128+5128+5128+5128+5128+10256+36084+25640+15384+5316+10256+5128</f>
        <v>154216</v>
      </c>
      <c r="P10" s="34">
        <v>30768</v>
      </c>
      <c r="Q10" s="34">
        <f>5128+5128</f>
        <v>10256</v>
      </c>
      <c r="R10" s="122"/>
      <c r="S10" s="34"/>
      <c r="T10" s="107"/>
      <c r="U10" s="34"/>
      <c r="V10" s="34"/>
      <c r="W10" s="34"/>
      <c r="X10" s="34"/>
      <c r="Y10" s="40">
        <f>22560+33840+5640+28200+39480+50760+28200+16920+28200+15792+11280</f>
        <v>280872</v>
      </c>
      <c r="Z10" s="42">
        <f t="shared" si="13"/>
        <v>497000</v>
      </c>
      <c r="AB10" s="246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3"/>
    </row>
    <row r="11" spans="2:41" ht="27.75" customHeight="1" x14ac:dyDescent="0.25">
      <c r="B11" s="8" t="s">
        <v>25</v>
      </c>
      <c r="C11" s="90">
        <v>38771.599999999999</v>
      </c>
      <c r="D11" s="92">
        <v>22896</v>
      </c>
      <c r="E11" s="159">
        <v>0</v>
      </c>
      <c r="F11" s="32">
        <f t="shared" si="0"/>
        <v>24000</v>
      </c>
      <c r="M11" s="29" t="s">
        <v>25</v>
      </c>
      <c r="N11" s="107"/>
      <c r="O11" s="34"/>
      <c r="P11" s="34"/>
      <c r="Q11" s="34"/>
      <c r="R11" s="122"/>
      <c r="S11" s="34">
        <f>12000</f>
        <v>12000</v>
      </c>
      <c r="T11" s="107"/>
      <c r="U11" s="34"/>
      <c r="V11" s="34">
        <f>12000</f>
        <v>12000</v>
      </c>
      <c r="W11" s="34"/>
      <c r="X11" s="34"/>
      <c r="Y11" s="40"/>
      <c r="Z11" s="42">
        <f t="shared" si="13"/>
        <v>24000</v>
      </c>
      <c r="AB11" s="222" t="s">
        <v>25</v>
      </c>
      <c r="AC11" s="107"/>
      <c r="AD11" s="34"/>
      <c r="AE11" s="34"/>
      <c r="AF11" s="34"/>
      <c r="AG11" s="122"/>
      <c r="AH11" s="34">
        <f>12000</f>
        <v>12000</v>
      </c>
      <c r="AI11" s="107"/>
      <c r="AJ11" s="34"/>
      <c r="AK11" s="34">
        <f>12000</f>
        <v>12000</v>
      </c>
      <c r="AL11" s="218">
        <f t="shared" ref="AL11:AN13" si="14">W11</f>
        <v>0</v>
      </c>
      <c r="AM11" s="218">
        <f t="shared" si="14"/>
        <v>0</v>
      </c>
      <c r="AN11" s="218">
        <f t="shared" si="14"/>
        <v>0</v>
      </c>
      <c r="AO11" s="219">
        <f>SUM(AC11:AN11)</f>
        <v>24000</v>
      </c>
    </row>
    <row r="12" spans="2:41" ht="27.75" customHeight="1" x14ac:dyDescent="0.25">
      <c r="B12" s="8" t="s">
        <v>28</v>
      </c>
      <c r="C12" s="90">
        <v>3585975.97</v>
      </c>
      <c r="D12" s="92">
        <v>3599961.36</v>
      </c>
      <c r="E12" s="159">
        <v>4253864.01</v>
      </c>
      <c r="F12" s="32">
        <f t="shared" si="0"/>
        <v>3741494.5599999991</v>
      </c>
      <c r="M12" s="29" t="s">
        <v>28</v>
      </c>
      <c r="N12" s="107">
        <f>81595.8+34535.64</f>
        <v>116131.44</v>
      </c>
      <c r="O12" s="34">
        <f>31490.52</f>
        <v>31490.52</v>
      </c>
      <c r="P12" s="34">
        <v>371598.09</v>
      </c>
      <c r="Q12" s="34">
        <f>26788.79+14663.28+119378.16+38673+16907.04+7331.64+98007.58</f>
        <v>321749.49000000005</v>
      </c>
      <c r="R12" s="122">
        <f>98428.32</f>
        <v>98428.32</v>
      </c>
      <c r="S12" s="34">
        <f>80186.4+93747.96+48451.82+102581.82+222323.93+76187.7</f>
        <v>623479.62999999989</v>
      </c>
      <c r="T12" s="107">
        <f>106201.94</f>
        <v>106201.94</v>
      </c>
      <c r="U12" s="34">
        <f>6907.02+123241.81+53906.9+16629.54+118239.66+201858.86</f>
        <v>520783.79000000004</v>
      </c>
      <c r="V12" s="34">
        <f>79933.92+16785.54+2971.5+21576.3+23244.05+111873.35+49526.14</f>
        <v>305910.8</v>
      </c>
      <c r="W12" s="34">
        <f>479685.55</f>
        <v>479685.55</v>
      </c>
      <c r="X12" s="34">
        <f>3381.54+80648.04+200388.29+217943.17+11271.36+14089.2+20011.08+7331.64</f>
        <v>555064.31999999995</v>
      </c>
      <c r="Y12" s="40">
        <f>8453.52+6907.02+93747.96+25080.3+52566.06+24215.81</f>
        <v>210970.66999999998</v>
      </c>
      <c r="Z12" s="42">
        <f t="shared" si="13"/>
        <v>3741494.5599999991</v>
      </c>
      <c r="AB12" s="222" t="s">
        <v>28</v>
      </c>
      <c r="AC12" s="107">
        <f>81595.8+34535.64</f>
        <v>116131.44</v>
      </c>
      <c r="AD12" s="34">
        <f>31490.52</f>
        <v>31490.52</v>
      </c>
      <c r="AE12" s="34">
        <v>371598.09</v>
      </c>
      <c r="AF12" s="34">
        <f>26788.79+14663.28+119378.16+38673+16907.04+7331.64+98007.58</f>
        <v>321749.49000000005</v>
      </c>
      <c r="AG12" s="122">
        <f>98428.32</f>
        <v>98428.32</v>
      </c>
      <c r="AH12" s="34">
        <f>80186.4+93747.96+48451.82+102581.82+222323.93+76187.7</f>
        <v>623479.62999999989</v>
      </c>
      <c r="AI12" s="107">
        <f>106201.94</f>
        <v>106201.94</v>
      </c>
      <c r="AJ12" s="34">
        <f>6907.02+123241.81+53906.9+16629.54+118239.66+201858.86</f>
        <v>520783.79000000004</v>
      </c>
      <c r="AK12" s="34">
        <f>79933.92+16785.54+2971.5+21576.3+23244.05+111873.35+49526.14</f>
        <v>305910.8</v>
      </c>
      <c r="AL12" s="218">
        <f t="shared" si="14"/>
        <v>479685.55</v>
      </c>
      <c r="AM12" s="218">
        <f t="shared" si="14"/>
        <v>555064.31999999995</v>
      </c>
      <c r="AN12" s="218">
        <f t="shared" si="14"/>
        <v>210970.66999999998</v>
      </c>
      <c r="AO12" s="219">
        <f>SUM(AC12:AN12)</f>
        <v>3741494.5599999991</v>
      </c>
    </row>
    <row r="13" spans="2:41" ht="27.75" customHeight="1" thickBot="1" x14ac:dyDescent="0.3">
      <c r="B13" s="8" t="s">
        <v>29</v>
      </c>
      <c r="C13" s="93">
        <v>5047503.0999999996</v>
      </c>
      <c r="D13" s="92">
        <v>3960452.44</v>
      </c>
      <c r="E13" s="159">
        <v>3847868.37</v>
      </c>
      <c r="F13" s="32">
        <f t="shared" si="0"/>
        <v>3246798.36</v>
      </c>
      <c r="M13" s="29" t="s">
        <v>29</v>
      </c>
      <c r="N13" s="107">
        <f>33362.11+8640.88+21637.31</f>
        <v>63640.3</v>
      </c>
      <c r="O13" s="34">
        <f>42755.2+142363.73</f>
        <v>185118.93</v>
      </c>
      <c r="P13" s="34">
        <v>90472.21</v>
      </c>
      <c r="Q13" s="34">
        <v>409251.53</v>
      </c>
      <c r="R13" s="122">
        <f>286164.19</f>
        <v>286164.19</v>
      </c>
      <c r="S13" s="34">
        <f>31319.85+21731.43+23142.98+8715.05+156437.11+23597.52+149635.55+16812.78+79891.16+16584.87</f>
        <v>527868.30000000005</v>
      </c>
      <c r="T13" s="107">
        <f>17541.81+65878.44+65022.42+15101.82+79891.16</f>
        <v>243435.65</v>
      </c>
      <c r="U13" s="34">
        <f>18657.98+15000+3789.69+19622.46+87375.69+101685.46</f>
        <v>246131.28000000003</v>
      </c>
      <c r="V13" s="34">
        <f>27103.78+4966.11+14507.06+22926.12+65878.44+152601.56+12713.63+126773.73</f>
        <v>427470.43</v>
      </c>
      <c r="W13" s="34">
        <f>11587.59+23980.47+12188.57+7103.78+8842.61+9313.97+81904.9</f>
        <v>154921.88999999998</v>
      </c>
      <c r="X13" s="34">
        <f>19147.47+29954.82+76960.78+73173.43+14511.75+147836.25</f>
        <v>361584.5</v>
      </c>
      <c r="Y13" s="40">
        <f>6496.38+54000.3+20428.82+28494.79+34318.08+107000.78</f>
        <v>250739.15</v>
      </c>
      <c r="Z13" s="42">
        <f>SUM(N13:Y13)</f>
        <v>3246798.36</v>
      </c>
      <c r="AB13" s="222" t="s">
        <v>29</v>
      </c>
      <c r="AC13" s="107">
        <f>33362.11+8640.88+21637.31</f>
        <v>63640.3</v>
      </c>
      <c r="AD13" s="34">
        <f>42755.2+142363.73</f>
        <v>185118.93</v>
      </c>
      <c r="AE13" s="34">
        <v>90472.21</v>
      </c>
      <c r="AF13" s="34">
        <v>409251.53</v>
      </c>
      <c r="AG13" s="122">
        <f>286164.19</f>
        <v>286164.19</v>
      </c>
      <c r="AH13" s="34">
        <f>31319.85+21731.43+23142.98+8715.05+156437.11+23597.52+149635.55+16812.78+79891.16+16584.87</f>
        <v>527868.30000000005</v>
      </c>
      <c r="AI13" s="107">
        <f>17541.81+65878.44+65022.42+15101.82+79891.16</f>
        <v>243435.65</v>
      </c>
      <c r="AJ13" s="34">
        <f>18657.98+15000+3789.69+19622.46+87375.69+101685.46</f>
        <v>246131.28000000003</v>
      </c>
      <c r="AK13" s="34">
        <f>27103.78+4966.11+14507.06+22926.12+65878.44+152601.56+12713.63+126773.73</f>
        <v>427470.43</v>
      </c>
      <c r="AL13" s="218">
        <f t="shared" si="14"/>
        <v>154921.88999999998</v>
      </c>
      <c r="AM13" s="218">
        <f t="shared" si="14"/>
        <v>361584.5</v>
      </c>
      <c r="AN13" s="218">
        <f t="shared" si="14"/>
        <v>250739.15</v>
      </c>
      <c r="AO13" s="219">
        <f>SUM(AC13:AN13)</f>
        <v>3246798.36</v>
      </c>
    </row>
    <row r="14" spans="2:41" s="21" customFormat="1" ht="27.75" customHeight="1" thickBot="1" x14ac:dyDescent="0.3">
      <c r="B14" s="22" t="s">
        <v>16</v>
      </c>
      <c r="C14" s="94">
        <f>SUM(C5:C13)</f>
        <v>76282718.009999976</v>
      </c>
      <c r="D14" s="95">
        <f>SUM(D5:D13)</f>
        <v>77984004.24000001</v>
      </c>
      <c r="E14" s="160">
        <f>SUM(E5:E13)</f>
        <v>74325118.530000001</v>
      </c>
      <c r="F14" s="33">
        <f>SUM(F5:F13)</f>
        <v>70412919.700000003</v>
      </c>
      <c r="M14" s="27" t="s">
        <v>16</v>
      </c>
      <c r="N14" s="108">
        <f t="shared" ref="N14:Z14" si="15">SUM(N5:N13)</f>
        <v>7120043.7499999991</v>
      </c>
      <c r="O14" s="43">
        <f t="shared" si="15"/>
        <v>3177548.8700000006</v>
      </c>
      <c r="P14" s="43">
        <f t="shared" si="15"/>
        <v>3293065.9299999997</v>
      </c>
      <c r="Q14" s="43">
        <f t="shared" si="15"/>
        <v>6450970.3200000003</v>
      </c>
      <c r="R14" s="55">
        <f t="shared" si="15"/>
        <v>4621619.9800000004</v>
      </c>
      <c r="S14" s="43">
        <f t="shared" si="15"/>
        <v>5586806.5299999993</v>
      </c>
      <c r="T14" s="108">
        <f t="shared" si="15"/>
        <v>6128079.4000000013</v>
      </c>
      <c r="U14" s="43">
        <f t="shared" si="15"/>
        <v>5585478.4100000001</v>
      </c>
      <c r="V14" s="43">
        <f t="shared" si="15"/>
        <v>7349970.8399999989</v>
      </c>
      <c r="W14" s="55">
        <f t="shared" si="15"/>
        <v>5780640.5700000003</v>
      </c>
      <c r="X14" s="43">
        <f t="shared" si="15"/>
        <v>8483883.2699999996</v>
      </c>
      <c r="Y14" s="44">
        <f t="shared" si="15"/>
        <v>6834811.8300000001</v>
      </c>
      <c r="Z14" s="231">
        <f t="shared" si="15"/>
        <v>70412919.700000003</v>
      </c>
      <c r="AA14" s="234"/>
      <c r="AB14" s="216" t="s">
        <v>16</v>
      </c>
      <c r="AC14" s="220">
        <f>SUM(AC5:AC13)</f>
        <v>7120043.75</v>
      </c>
      <c r="AD14" s="220">
        <f>SUM(AD5:AD13)</f>
        <v>3177548.8700000006</v>
      </c>
      <c r="AE14" s="220">
        <f t="shared" ref="AE14:AN14" si="16">SUM(AE5:AE13)</f>
        <v>3293065.9299999997</v>
      </c>
      <c r="AF14" s="220">
        <f t="shared" si="16"/>
        <v>6450970.3200000012</v>
      </c>
      <c r="AG14" s="220">
        <f t="shared" si="16"/>
        <v>4621619.9800000004</v>
      </c>
      <c r="AH14" s="220">
        <f t="shared" si="16"/>
        <v>5586806.5299999993</v>
      </c>
      <c r="AI14" s="220">
        <f t="shared" si="16"/>
        <v>6128079.4000000013</v>
      </c>
      <c r="AJ14" s="220">
        <f t="shared" si="16"/>
        <v>5585478.4100000001</v>
      </c>
      <c r="AK14" s="220">
        <f t="shared" si="16"/>
        <v>7349970.8399999999</v>
      </c>
      <c r="AL14" s="220">
        <f t="shared" si="16"/>
        <v>5780640.5700000003</v>
      </c>
      <c r="AM14" s="220">
        <f t="shared" si="16"/>
        <v>8483883.2699999996</v>
      </c>
      <c r="AN14" s="220">
        <f t="shared" si="16"/>
        <v>6834811.8300000001</v>
      </c>
      <c r="AO14" s="219">
        <f>SUM(AO5:AO13)</f>
        <v>70412919.700000003</v>
      </c>
    </row>
    <row r="15" spans="2:41" x14ac:dyDescent="0.25">
      <c r="D15" s="84" t="s">
        <v>37</v>
      </c>
      <c r="E15" s="101" t="s">
        <v>37</v>
      </c>
      <c r="F15" s="101"/>
      <c r="N15" s="52"/>
    </row>
    <row r="16" spans="2:41" ht="19.5" thickBot="1" x14ac:dyDescent="0.35">
      <c r="C16" s="84"/>
      <c r="D16" s="84">
        <v>72000000</v>
      </c>
      <c r="E16" s="84">
        <v>73900000</v>
      </c>
      <c r="F16" s="178">
        <v>73920000</v>
      </c>
      <c r="M16" s="237" t="s">
        <v>53</v>
      </c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</row>
    <row r="17" spans="4:28" customFormat="1" ht="16.5" thickBot="1" x14ac:dyDescent="0.3">
      <c r="D17" s="96">
        <f>D16-D14</f>
        <v>-5984004.2400000095</v>
      </c>
      <c r="E17" s="5">
        <f>E14-E16</f>
        <v>425118.53000000119</v>
      </c>
      <c r="F17" s="5">
        <f>F16-F14</f>
        <v>3507080.299999997</v>
      </c>
      <c r="G17" s="5"/>
      <c r="M17" s="117" t="s">
        <v>34</v>
      </c>
      <c r="N17" s="118" t="s">
        <v>0</v>
      </c>
      <c r="O17" s="118" t="s">
        <v>1</v>
      </c>
      <c r="P17" s="118" t="s">
        <v>2</v>
      </c>
      <c r="Q17" s="118" t="s">
        <v>3</v>
      </c>
      <c r="R17" s="118" t="s">
        <v>4</v>
      </c>
      <c r="S17" s="37" t="s">
        <v>33</v>
      </c>
      <c r="T17" s="37" t="s">
        <v>6</v>
      </c>
      <c r="U17" s="37" t="s">
        <v>7</v>
      </c>
      <c r="V17" s="37" t="s">
        <v>8</v>
      </c>
      <c r="W17" s="37" t="s">
        <v>9</v>
      </c>
      <c r="X17" s="37" t="s">
        <v>10</v>
      </c>
      <c r="Y17" s="38" t="s">
        <v>11</v>
      </c>
      <c r="Z17" s="39" t="s">
        <v>35</v>
      </c>
      <c r="AA17" s="39" t="s">
        <v>61</v>
      </c>
      <c r="AB17" s="213"/>
    </row>
    <row r="18" spans="4:28" customFormat="1" x14ac:dyDescent="0.25">
      <c r="D18" s="84"/>
      <c r="M18" s="119" t="s">
        <v>18</v>
      </c>
      <c r="N18" s="180">
        <v>155521.79999999999</v>
      </c>
      <c r="O18" s="181">
        <v>431688.27</v>
      </c>
      <c r="P18" s="182">
        <v>504941.87</v>
      </c>
      <c r="Q18" s="182">
        <v>971543.17</v>
      </c>
      <c r="R18" s="182">
        <v>527099.06000000006</v>
      </c>
      <c r="S18" s="182">
        <v>1210382.01</v>
      </c>
      <c r="T18" s="182">
        <v>1396134</v>
      </c>
      <c r="U18" s="182">
        <v>1598020.84</v>
      </c>
      <c r="V18" s="183">
        <v>719673.64</v>
      </c>
      <c r="W18" s="183">
        <f>2150211.02</f>
        <v>2150211.02</v>
      </c>
      <c r="X18" s="183">
        <v>1086213.97</v>
      </c>
      <c r="Y18" s="184"/>
      <c r="Z18" s="41">
        <f>SUM(N18:Y18)</f>
        <v>10751429.65</v>
      </c>
      <c r="AA18" s="232">
        <v>10661381.130000001</v>
      </c>
      <c r="AB18" s="213"/>
    </row>
    <row r="19" spans="4:28" customFormat="1" ht="26.25" x14ac:dyDescent="0.25">
      <c r="D19" s="126" t="s">
        <v>46</v>
      </c>
      <c r="E19" s="127">
        <v>76500000</v>
      </c>
      <c r="F19" s="127"/>
      <c r="M19" s="123" t="s">
        <v>19</v>
      </c>
      <c r="N19" s="120">
        <v>598348.07999999996</v>
      </c>
      <c r="O19" s="122">
        <v>2647735.69</v>
      </c>
      <c r="P19" s="182">
        <v>763594.21</v>
      </c>
      <c r="Q19" s="182">
        <v>838515.89</v>
      </c>
      <c r="R19" s="182">
        <f>1372994.56</f>
        <v>1372994.5600000001</v>
      </c>
      <c r="S19" s="182">
        <v>2063280.79</v>
      </c>
      <c r="T19" s="182">
        <v>835421.16</v>
      </c>
      <c r="U19" s="182">
        <f>1897376.63</f>
        <v>1897376.63</v>
      </c>
      <c r="V19" s="183">
        <v>2286062.31</v>
      </c>
      <c r="W19" s="182">
        <f>2909085.47</f>
        <v>2909085.47</v>
      </c>
      <c r="X19" s="34">
        <v>1709837.45</v>
      </c>
      <c r="Y19" s="40"/>
      <c r="Z19" s="42">
        <f>SUM(N19:Y19)</f>
        <v>17922252.239999998</v>
      </c>
      <c r="AA19" s="232">
        <v>17966161.489999998</v>
      </c>
      <c r="AB19" s="213"/>
    </row>
    <row r="20" spans="4:28" customFormat="1" x14ac:dyDescent="0.25">
      <c r="D20" s="84"/>
      <c r="M20" s="123" t="s">
        <v>20</v>
      </c>
      <c r="N20" s="122">
        <v>516213.38</v>
      </c>
      <c r="O20" s="122">
        <v>394899.98</v>
      </c>
      <c r="P20" s="182">
        <v>533680.81000000006</v>
      </c>
      <c r="Q20" s="182">
        <v>1006292.27</v>
      </c>
      <c r="R20" s="182">
        <f>358430.42</f>
        <v>358430.42</v>
      </c>
      <c r="S20" s="182">
        <v>1418624.42</v>
      </c>
      <c r="T20" s="182">
        <v>605841.27</v>
      </c>
      <c r="U20" s="182">
        <f>2464412.11</f>
        <v>2464412.11</v>
      </c>
      <c r="V20" s="183">
        <v>1611272.06</v>
      </c>
      <c r="W20" s="182">
        <f>730177.21</f>
        <v>730177.21</v>
      </c>
      <c r="X20" s="34">
        <v>3035621.49</v>
      </c>
      <c r="Y20" s="40"/>
      <c r="Z20" s="42">
        <f>SUM(N20:Y20)</f>
        <v>12675465.42</v>
      </c>
      <c r="AA20" s="232">
        <v>12693531.17</v>
      </c>
      <c r="AB20" s="213"/>
    </row>
    <row r="21" spans="4:28" customFormat="1" x14ac:dyDescent="0.25">
      <c r="D21" s="84"/>
      <c r="M21" s="123" t="s">
        <v>21</v>
      </c>
      <c r="N21" s="122">
        <v>344400.25</v>
      </c>
      <c r="O21" s="122"/>
      <c r="P21" s="182">
        <v>325934.8</v>
      </c>
      <c r="Q21" s="182">
        <v>490232.78</v>
      </c>
      <c r="R21" s="182">
        <f>136801.72</f>
        <v>136801.72</v>
      </c>
      <c r="S21" s="182">
        <v>466338.82</v>
      </c>
      <c r="T21" s="182">
        <v>1872511.83</v>
      </c>
      <c r="U21" s="182">
        <f>1459760.96</f>
        <v>1459760.96</v>
      </c>
      <c r="V21" s="183">
        <v>896347.63</v>
      </c>
      <c r="W21" s="182">
        <f>189916.27</f>
        <v>189916.27</v>
      </c>
      <c r="X21" s="34">
        <v>1154336.25</v>
      </c>
      <c r="Y21" s="40"/>
      <c r="Z21" s="42">
        <f>SUM(N21:Y21)</f>
        <v>7336581.3099999996</v>
      </c>
      <c r="AA21" s="232">
        <v>7473592.3300000001</v>
      </c>
      <c r="AB21" s="213"/>
    </row>
    <row r="22" spans="4:28" customFormat="1" x14ac:dyDescent="0.25">
      <c r="D22" s="84"/>
      <c r="M22" s="123" t="s">
        <v>22</v>
      </c>
      <c r="N22" s="122"/>
      <c r="O22" s="122"/>
      <c r="P22" s="182"/>
      <c r="Q22" s="182"/>
      <c r="R22" s="182"/>
      <c r="S22" s="182"/>
      <c r="T22" s="182"/>
      <c r="U22" s="182"/>
      <c r="V22" s="183"/>
      <c r="W22" s="182"/>
      <c r="X22" s="34"/>
      <c r="Y22" s="40"/>
      <c r="Z22" s="42">
        <f t="shared" ref="Z22" si="17">SUM(P22:Y22)</f>
        <v>0</v>
      </c>
      <c r="AA22" s="232"/>
      <c r="AB22" s="213"/>
    </row>
    <row r="23" spans="4:28" customFormat="1" x14ac:dyDescent="0.25">
      <c r="D23" s="84"/>
      <c r="M23" s="123" t="s">
        <v>23</v>
      </c>
      <c r="N23" s="122">
        <v>73566.48</v>
      </c>
      <c r="O23" s="122">
        <v>188872.8</v>
      </c>
      <c r="P23" s="182">
        <v>470095</v>
      </c>
      <c r="Q23" s="182">
        <v>21913.439999999999</v>
      </c>
      <c r="R23" s="182"/>
      <c r="S23" s="182"/>
      <c r="T23" s="182">
        <v>137011.01999999999</v>
      </c>
      <c r="U23" s="182">
        <f>50113.97</f>
        <v>50113.97</v>
      </c>
      <c r="V23" s="183"/>
      <c r="W23" s="182"/>
      <c r="X23" s="34">
        <v>80349.19</v>
      </c>
      <c r="Y23" s="40"/>
      <c r="Z23" s="42">
        <f t="shared" ref="Z23:Z27" si="18">SUM(N23:Y23)</f>
        <v>1021921.8999999999</v>
      </c>
      <c r="AA23" s="232">
        <v>884910.88</v>
      </c>
      <c r="AB23" s="213"/>
    </row>
    <row r="24" spans="4:28" customFormat="1" x14ac:dyDescent="0.25">
      <c r="D24" s="84"/>
      <c r="M24" s="123" t="s">
        <v>24</v>
      </c>
      <c r="N24" s="122"/>
      <c r="O24" s="122">
        <v>194864</v>
      </c>
      <c r="P24" s="182"/>
      <c r="Q24" s="182"/>
      <c r="R24" s="182"/>
      <c r="S24" s="182"/>
      <c r="T24" s="182"/>
      <c r="U24" s="182"/>
      <c r="V24" s="34"/>
      <c r="W24" s="34"/>
      <c r="X24" s="34"/>
      <c r="Y24" s="40"/>
      <c r="Z24" s="42">
        <f t="shared" si="18"/>
        <v>194864</v>
      </c>
      <c r="AA24" s="232">
        <v>194864</v>
      </c>
      <c r="AB24" s="213"/>
    </row>
    <row r="25" spans="4:28" customFormat="1" x14ac:dyDescent="0.25">
      <c r="D25" s="84"/>
      <c r="M25" s="123" t="s">
        <v>25</v>
      </c>
      <c r="N25" s="122"/>
      <c r="O25" s="122"/>
      <c r="P25" s="182"/>
      <c r="Q25" s="182"/>
      <c r="R25" s="182"/>
      <c r="S25" s="182"/>
      <c r="T25" s="182">
        <v>12000</v>
      </c>
      <c r="U25" s="182"/>
      <c r="V25" s="34"/>
      <c r="W25" s="34">
        <v>12000</v>
      </c>
      <c r="X25" s="34"/>
      <c r="Y25" s="40"/>
      <c r="Z25" s="42">
        <f t="shared" si="18"/>
        <v>24000</v>
      </c>
      <c r="AA25" s="232">
        <v>24000</v>
      </c>
      <c r="AB25" s="213"/>
    </row>
    <row r="26" spans="4:28" customFormat="1" x14ac:dyDescent="0.25">
      <c r="D26" s="84"/>
      <c r="M26" s="123" t="s">
        <v>28</v>
      </c>
      <c r="N26" s="122">
        <v>38673</v>
      </c>
      <c r="O26" s="122">
        <v>218539.54</v>
      </c>
      <c r="P26" s="182">
        <v>393350.2</v>
      </c>
      <c r="Q26" s="182">
        <v>77142.880000000005</v>
      </c>
      <c r="R26" s="182">
        <f>643800.79</f>
        <v>643800.79</v>
      </c>
      <c r="S26" s="182">
        <v>142768.9</v>
      </c>
      <c r="T26" s="182">
        <v>257547.34</v>
      </c>
      <c r="U26" s="182">
        <f>301679.86</f>
        <v>301679.86</v>
      </c>
      <c r="V26" s="34">
        <v>265237.44</v>
      </c>
      <c r="W26" s="34">
        <v>1090928.8500000001</v>
      </c>
      <c r="X26" s="34">
        <v>114832.25</v>
      </c>
      <c r="Y26" s="40"/>
      <c r="Z26" s="42">
        <f t="shared" si="18"/>
        <v>3544501.0500000003</v>
      </c>
      <c r="AA26" s="232">
        <v>3544501.05</v>
      </c>
      <c r="AB26" s="213"/>
    </row>
    <row r="27" spans="4:28" customFormat="1" x14ac:dyDescent="0.25">
      <c r="D27" s="84"/>
      <c r="M27" s="123" t="s">
        <v>29</v>
      </c>
      <c r="N27" s="122">
        <v>11915.04</v>
      </c>
      <c r="O27" s="122">
        <v>280089.71999999997</v>
      </c>
      <c r="P27" s="182">
        <v>180700.11</v>
      </c>
      <c r="Q27" s="182">
        <v>372924.79</v>
      </c>
      <c r="R27" s="182">
        <f>366348.87</f>
        <v>366348.87</v>
      </c>
      <c r="S27" s="182">
        <v>570770.16</v>
      </c>
      <c r="T27" s="182">
        <v>106033.67</v>
      </c>
      <c r="U27" s="182">
        <f>81904.9</f>
        <v>81904.899999999994</v>
      </c>
      <c r="V27" s="34">
        <v>371055.03</v>
      </c>
      <c r="W27" s="34">
        <f>248090.21</f>
        <v>248090.21</v>
      </c>
      <c r="X27" s="34">
        <v>169516.45</v>
      </c>
      <c r="Y27" s="40"/>
      <c r="Z27" s="42">
        <f t="shared" si="18"/>
        <v>2759348.95</v>
      </c>
      <c r="AA27" s="232">
        <v>2821949.88</v>
      </c>
      <c r="AB27" s="213"/>
    </row>
    <row r="28" spans="4:28" customFormat="1" ht="16.5" thickBot="1" x14ac:dyDescent="0.3">
      <c r="D28" s="84"/>
      <c r="M28" s="124" t="s">
        <v>16</v>
      </c>
      <c r="N28" s="55">
        <f t="shared" ref="N28:R28" si="19">SUM(N18:N27)</f>
        <v>1738638.0299999998</v>
      </c>
      <c r="O28" s="55">
        <f t="shared" si="19"/>
        <v>4356690</v>
      </c>
      <c r="P28" s="55">
        <f t="shared" si="19"/>
        <v>3172297</v>
      </c>
      <c r="Q28" s="55">
        <f t="shared" si="19"/>
        <v>3778565.22</v>
      </c>
      <c r="R28" s="55">
        <f t="shared" si="19"/>
        <v>3405475.4200000004</v>
      </c>
      <c r="S28" s="43">
        <f t="shared" ref="S28:X28" si="20">SUM(S18:S27)</f>
        <v>5872165.1000000006</v>
      </c>
      <c r="T28" s="43">
        <f t="shared" si="20"/>
        <v>5222500.2899999991</v>
      </c>
      <c r="U28" s="43">
        <f t="shared" si="20"/>
        <v>7853269.2700000005</v>
      </c>
      <c r="V28" s="43">
        <f t="shared" si="20"/>
        <v>6149648.1100000003</v>
      </c>
      <c r="W28" s="43">
        <f t="shared" si="20"/>
        <v>7330409.0300000003</v>
      </c>
      <c r="X28" s="43">
        <f t="shared" si="20"/>
        <v>7350707.0500000007</v>
      </c>
      <c r="Y28" s="44"/>
      <c r="Z28" s="231">
        <f>SUM(Z18:Z27)</f>
        <v>56230364.520000003</v>
      </c>
      <c r="AA28" s="235">
        <f>SUM(AA18:AA27)</f>
        <v>56264891.93</v>
      </c>
      <c r="AB28" s="213"/>
    </row>
  </sheetData>
  <mergeCells count="18">
    <mergeCell ref="AF8:AF10"/>
    <mergeCell ref="AG8:AG10"/>
    <mergeCell ref="AM8:AM10"/>
    <mergeCell ref="AN8:AN10"/>
    <mergeCell ref="AO8:AO10"/>
    <mergeCell ref="M2:Z2"/>
    <mergeCell ref="M16:Z16"/>
    <mergeCell ref="AB5:AB6"/>
    <mergeCell ref="AB8:AB10"/>
    <mergeCell ref="AC3:AO3"/>
    <mergeCell ref="AH8:AH10"/>
    <mergeCell ref="AI8:AI10"/>
    <mergeCell ref="AJ8:AJ10"/>
    <mergeCell ref="AK8:AK10"/>
    <mergeCell ref="AL8:AL10"/>
    <mergeCell ref="AC8:AC10"/>
    <mergeCell ref="AD8:AD10"/>
    <mergeCell ref="AE8:AE10"/>
  </mergeCell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5"/>
  <sheetViews>
    <sheetView workbookViewId="0">
      <selection activeCell="S14" sqref="S14"/>
    </sheetView>
  </sheetViews>
  <sheetFormatPr defaultRowHeight="15" x14ac:dyDescent="0.25"/>
  <cols>
    <col min="1" max="1" width="6" style="187" customWidth="1"/>
    <col min="2" max="2" width="15.42578125" style="187" customWidth="1"/>
    <col min="3" max="3" width="13.7109375" style="196" customWidth="1"/>
    <col min="4" max="4" width="13.28515625" style="196" customWidth="1"/>
    <col min="5" max="5" width="15.28515625" style="196" customWidth="1"/>
    <col min="6" max="6" width="14.140625" style="196" customWidth="1"/>
    <col min="7" max="7" width="13.85546875" style="196" customWidth="1"/>
    <col min="8" max="8" width="14.42578125" style="196" customWidth="1"/>
    <col min="9" max="9" width="14.140625" style="196" customWidth="1"/>
    <col min="10" max="10" width="13.140625" style="196" hidden="1" customWidth="1"/>
    <col min="11" max="11" width="14.28515625" style="196" hidden="1" customWidth="1"/>
    <col min="12" max="12" width="13.42578125" style="196" hidden="1" customWidth="1"/>
    <col min="13" max="13" width="13" style="196" hidden="1" customWidth="1"/>
    <col min="14" max="14" width="14.42578125" style="196" hidden="1" customWidth="1"/>
    <col min="15" max="17" width="14.42578125" style="196" customWidth="1"/>
    <col min="18" max="18" width="14.85546875" style="196" customWidth="1"/>
    <col min="19" max="19" width="20.140625" style="187" customWidth="1"/>
    <col min="20" max="16384" width="9.140625" style="187"/>
  </cols>
  <sheetData>
    <row r="1" spans="1:20" ht="9.75" customHeight="1" x14ac:dyDescent="0.25"/>
    <row r="2" spans="1:20" ht="18.75" x14ac:dyDescent="0.3">
      <c r="B2" s="248" t="s">
        <v>52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0" ht="16.5" customHeight="1" thickBot="1" x14ac:dyDescent="0.3">
      <c r="B3" s="187" t="s">
        <v>36</v>
      </c>
      <c r="C3" s="197">
        <v>1</v>
      </c>
      <c r="D3" s="197">
        <v>2</v>
      </c>
      <c r="E3" s="197">
        <v>3</v>
      </c>
      <c r="F3" s="197">
        <v>4</v>
      </c>
      <c r="G3" s="197">
        <v>5</v>
      </c>
      <c r="H3" s="197">
        <v>6</v>
      </c>
      <c r="I3" s="197">
        <v>7</v>
      </c>
      <c r="J3" s="197"/>
      <c r="K3" s="197"/>
      <c r="L3" s="197"/>
      <c r="M3" s="197"/>
      <c r="N3" s="197"/>
      <c r="O3" s="197">
        <v>8</v>
      </c>
      <c r="P3" s="197">
        <v>9</v>
      </c>
      <c r="Q3" s="197">
        <v>10</v>
      </c>
      <c r="R3" s="198"/>
    </row>
    <row r="4" spans="1:20" ht="27.75" customHeight="1" thickBot="1" x14ac:dyDescent="0.3">
      <c r="B4" s="199" t="s">
        <v>34</v>
      </c>
      <c r="C4" s="200" t="s">
        <v>0</v>
      </c>
      <c r="D4" s="200" t="s">
        <v>1</v>
      </c>
      <c r="E4" s="200" t="s">
        <v>2</v>
      </c>
      <c r="F4" s="200" t="s">
        <v>3</v>
      </c>
      <c r="G4" s="200" t="s">
        <v>4</v>
      </c>
      <c r="H4" s="200" t="s">
        <v>33</v>
      </c>
      <c r="I4" s="200" t="s">
        <v>6</v>
      </c>
      <c r="J4" s="200" t="s">
        <v>7</v>
      </c>
      <c r="K4" s="200" t="s">
        <v>8</v>
      </c>
      <c r="L4" s="200" t="s">
        <v>9</v>
      </c>
      <c r="M4" s="200" t="s">
        <v>10</v>
      </c>
      <c r="N4" s="201" t="s">
        <v>11</v>
      </c>
      <c r="O4" s="200" t="s">
        <v>7</v>
      </c>
      <c r="P4" s="202" t="s">
        <v>8</v>
      </c>
      <c r="Q4" s="201" t="s">
        <v>9</v>
      </c>
      <c r="R4" s="203" t="s">
        <v>35</v>
      </c>
    </row>
    <row r="5" spans="1:20" ht="27.75" customHeight="1" x14ac:dyDescent="0.25">
      <c r="B5" s="188" t="s">
        <v>55</v>
      </c>
      <c r="C5" s="106">
        <f>1195221.9+682134.02</f>
        <v>1877355.92</v>
      </c>
      <c r="D5" s="189">
        <f>844419.42+656555.74</f>
        <v>1500975.1600000001</v>
      </c>
      <c r="E5" s="107">
        <f>772986.02+488850.52</f>
        <v>1261836.54</v>
      </c>
      <c r="F5" s="107">
        <f>926163.24+619862.34</f>
        <v>1546025.58</v>
      </c>
      <c r="G5" s="107">
        <f>1229278.93+1820122.51</f>
        <v>3049401.44</v>
      </c>
      <c r="H5" s="107">
        <f>741137.99+1039738.3</f>
        <v>1780876.29</v>
      </c>
      <c r="I5" s="107">
        <f>1401965.4+1021537.84</f>
        <v>2423503.2399999998</v>
      </c>
      <c r="J5" s="107"/>
      <c r="K5" s="107"/>
      <c r="L5" s="107"/>
      <c r="M5" s="107"/>
      <c r="N5" s="190"/>
      <c r="O5" s="193">
        <f>635762.91+1520516.89</f>
        <v>2156279.7999999998</v>
      </c>
      <c r="P5" s="193">
        <f>1880981.95+1916868.85</f>
        <v>3797850.8</v>
      </c>
      <c r="Q5" s="193">
        <f>1603852.24+14917.2+1391521.54</f>
        <v>3010290.98</v>
      </c>
      <c r="R5" s="204">
        <f>SUM(C5:Q5)</f>
        <v>22404395.75</v>
      </c>
    </row>
    <row r="6" spans="1:20" ht="27.75" customHeight="1" x14ac:dyDescent="0.25">
      <c r="A6" s="186"/>
      <c r="B6" s="192" t="s">
        <v>19</v>
      </c>
      <c r="C6" s="106">
        <f>1210908.61+59506.5+4502.38+119815.62+413902.13+165205.4+1179490.99+96216.55</f>
        <v>3249548.1799999997</v>
      </c>
      <c r="D6" s="107">
        <f>14588.41+189767.88+210548.88+193412.58+29655.64</f>
        <v>637973.39</v>
      </c>
      <c r="E6" s="107">
        <f>915531.17</f>
        <v>915531.17</v>
      </c>
      <c r="F6" s="107">
        <f>1188621.72+22895.4+245967.35+119883.22+102882.12+28919.4+31442.53+49107.81+435857.6+67707.22+49965.26+216516.56+391013.46</f>
        <v>2950779.65</v>
      </c>
      <c r="G6" s="107">
        <f>856373.37</f>
        <v>856373.37</v>
      </c>
      <c r="H6" s="107">
        <f>198239.04+69931.24+86066.42+23328.33+215699.57+10748.52+246080.08+282124.3+165205.38+556027.79+91462.01+147309.62+174725.01</f>
        <v>2266947.3099999996</v>
      </c>
      <c r="I6" s="107">
        <f>139144.27+125218.37+369765.74+93402.41+238475.84+115906.87+683416.84+648508.95+108675.03+120281.73+114600.5+23328.33</f>
        <v>2780724.88</v>
      </c>
      <c r="J6" s="107"/>
      <c r="K6" s="107"/>
      <c r="L6" s="107"/>
      <c r="M6" s="107"/>
      <c r="N6" s="190"/>
      <c r="O6" s="190">
        <v>1236375.8700000001</v>
      </c>
      <c r="P6" s="190">
        <f>1052920.63</f>
        <v>1052920.6299999999</v>
      </c>
      <c r="Q6" s="190">
        <f>1712745.17</f>
        <v>1712745.17</v>
      </c>
      <c r="R6" s="204">
        <f t="shared" ref="R6:R12" si="0">SUM(C6:Q6)</f>
        <v>17659919.619999997</v>
      </c>
    </row>
    <row r="7" spans="1:20" ht="27.75" hidden="1" customHeight="1" x14ac:dyDescent="0.25">
      <c r="B7" s="192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90"/>
      <c r="O7" s="190"/>
      <c r="P7" s="190"/>
      <c r="Q7" s="190"/>
      <c r="R7" s="204">
        <f t="shared" si="0"/>
        <v>0</v>
      </c>
    </row>
    <row r="8" spans="1:20" ht="27.75" customHeight="1" x14ac:dyDescent="0.25">
      <c r="B8" s="195" t="s">
        <v>56</v>
      </c>
      <c r="C8" s="107">
        <f>1557937.19+234542.72+20888</f>
        <v>1813367.91</v>
      </c>
      <c r="D8" s="107">
        <f>854990.41+82784.46+154216</f>
        <v>1091990.8700000001</v>
      </c>
      <c r="E8" s="107">
        <f>592568.5+30291.42+30768</f>
        <v>653627.92000000004</v>
      </c>
      <c r="F8" s="107">
        <f>896311.38+316596.69+10256</f>
        <v>1223164.07</v>
      </c>
      <c r="G8" s="107">
        <f>210180.96+121071.7</f>
        <v>331252.65999999997</v>
      </c>
      <c r="H8" s="107">
        <f>52592.2+61670+15652.44+38818.05+20869.92+25043.91+160988.48</f>
        <v>375635</v>
      </c>
      <c r="I8" s="107">
        <f>90784.15+90219.38+41531.14+37565.86+20869.92+139828.46+153414.78</f>
        <v>574213.68999999994</v>
      </c>
      <c r="J8" s="107"/>
      <c r="K8" s="107"/>
      <c r="L8" s="107"/>
      <c r="M8" s="107"/>
      <c r="N8" s="190"/>
      <c r="O8" s="190">
        <f>1258948.3+166959.37</f>
        <v>1425907.67</v>
      </c>
      <c r="P8" s="190">
        <f>1753818.18</f>
        <v>1753818.18</v>
      </c>
      <c r="Q8" s="190">
        <f>422996.98</f>
        <v>422996.98</v>
      </c>
      <c r="R8" s="204">
        <f t="shared" si="0"/>
        <v>9665974.9500000011</v>
      </c>
    </row>
    <row r="9" spans="1:20" ht="27.75" hidden="1" customHeight="1" x14ac:dyDescent="0.25">
      <c r="B9" s="192" t="s">
        <v>23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90"/>
      <c r="O9" s="190"/>
      <c r="P9" s="190"/>
      <c r="Q9" s="190"/>
      <c r="R9" s="204">
        <f t="shared" si="0"/>
        <v>0</v>
      </c>
    </row>
    <row r="10" spans="1:20" ht="27.75" customHeight="1" x14ac:dyDescent="0.25">
      <c r="B10" s="192" t="s">
        <v>25</v>
      </c>
      <c r="C10" s="107"/>
      <c r="D10" s="107"/>
      <c r="E10" s="107"/>
      <c r="F10" s="107"/>
      <c r="G10" s="107"/>
      <c r="H10" s="107">
        <f>12000</f>
        <v>12000</v>
      </c>
      <c r="I10" s="107"/>
      <c r="J10" s="107"/>
      <c r="K10" s="107"/>
      <c r="L10" s="107"/>
      <c r="M10" s="107"/>
      <c r="N10" s="190"/>
      <c r="O10" s="190">
        <v>0</v>
      </c>
      <c r="P10" s="190">
        <v>12000</v>
      </c>
      <c r="Q10" s="190">
        <v>0</v>
      </c>
      <c r="R10" s="204">
        <f t="shared" si="0"/>
        <v>24000</v>
      </c>
    </row>
    <row r="11" spans="1:20" ht="27.75" customHeight="1" x14ac:dyDescent="0.25">
      <c r="B11" s="192" t="s">
        <v>28</v>
      </c>
      <c r="C11" s="107">
        <f>81595.8+34535.64</f>
        <v>116131.44</v>
      </c>
      <c r="D11" s="107">
        <f>31490.52</f>
        <v>31490.52</v>
      </c>
      <c r="E11" s="107">
        <v>371598.09</v>
      </c>
      <c r="F11" s="107">
        <f>26788.79+14663.28+119378.16+38673+16907.04+7331.64+98007.58</f>
        <v>321749.49000000005</v>
      </c>
      <c r="G11" s="107">
        <f>98428.32</f>
        <v>98428.32</v>
      </c>
      <c r="H11" s="107">
        <f>80186.4+93747.96+48451.82+102581.82+222323.93+76187.7</f>
        <v>623479.62999999989</v>
      </c>
      <c r="I11" s="107">
        <f>106201.94</f>
        <v>106201.94</v>
      </c>
      <c r="J11" s="107"/>
      <c r="K11" s="107"/>
      <c r="L11" s="107"/>
      <c r="M11" s="107"/>
      <c r="N11" s="190"/>
      <c r="O11" s="190">
        <v>520783.79</v>
      </c>
      <c r="P11" s="190">
        <v>305910.8</v>
      </c>
      <c r="Q11" s="190">
        <v>479685.55</v>
      </c>
      <c r="R11" s="204">
        <f t="shared" si="0"/>
        <v>2975459.5699999994</v>
      </c>
    </row>
    <row r="12" spans="1:20" ht="27.75" customHeight="1" x14ac:dyDescent="0.25">
      <c r="B12" s="192" t="s">
        <v>29</v>
      </c>
      <c r="C12" s="107">
        <f>33362.11+8640.88+21637.31</f>
        <v>63640.3</v>
      </c>
      <c r="D12" s="107">
        <f>42755.2+142363.73</f>
        <v>185118.93</v>
      </c>
      <c r="E12" s="107">
        <v>90472.21</v>
      </c>
      <c r="F12" s="107">
        <v>409251.53</v>
      </c>
      <c r="G12" s="107">
        <f>286164.19</f>
        <v>286164.19</v>
      </c>
      <c r="H12" s="107">
        <f>31319.85+21731.43+23142.98+8715.05+156437.11+23597.52+149635.55+16812.78+79891.16+16584.87</f>
        <v>527868.30000000005</v>
      </c>
      <c r="I12" s="107">
        <f>17541.81+65878.44+65022.42+15101.82+79891.16</f>
        <v>243435.65</v>
      </c>
      <c r="J12" s="107"/>
      <c r="K12" s="107"/>
      <c r="L12" s="107"/>
      <c r="M12" s="107"/>
      <c r="N12" s="190"/>
      <c r="O12" s="190">
        <v>246131.28</v>
      </c>
      <c r="P12" s="190">
        <f>427470.43</f>
        <v>427470.43</v>
      </c>
      <c r="Q12" s="190">
        <f>154921.89</f>
        <v>154921.89000000001</v>
      </c>
      <c r="R12" s="204">
        <f t="shared" si="0"/>
        <v>2634474.71</v>
      </c>
    </row>
    <row r="13" spans="1:20" s="205" customFormat="1" ht="27.75" customHeight="1" thickBot="1" x14ac:dyDescent="0.3">
      <c r="B13" s="206" t="s">
        <v>16</v>
      </c>
      <c r="C13" s="108">
        <f t="shared" ref="C13:P13" si="1">SUM(C5:C12)</f>
        <v>7120043.75</v>
      </c>
      <c r="D13" s="108">
        <f t="shared" si="1"/>
        <v>3447548.8700000006</v>
      </c>
      <c r="E13" s="108">
        <f t="shared" si="1"/>
        <v>3293065.9299999997</v>
      </c>
      <c r="F13" s="108">
        <f t="shared" si="1"/>
        <v>6450970.3200000012</v>
      </c>
      <c r="G13" s="108">
        <f t="shared" si="1"/>
        <v>4621619.9800000004</v>
      </c>
      <c r="H13" s="108">
        <f t="shared" si="1"/>
        <v>5586806.5299999993</v>
      </c>
      <c r="I13" s="108">
        <f t="shared" si="1"/>
        <v>6128079.3999999994</v>
      </c>
      <c r="J13" s="108">
        <f t="shared" si="1"/>
        <v>0</v>
      </c>
      <c r="K13" s="108">
        <f t="shared" si="1"/>
        <v>0</v>
      </c>
      <c r="L13" s="108">
        <f t="shared" si="1"/>
        <v>0</v>
      </c>
      <c r="M13" s="108">
        <f t="shared" si="1"/>
        <v>0</v>
      </c>
      <c r="N13" s="207">
        <f t="shared" si="1"/>
        <v>0</v>
      </c>
      <c r="O13" s="207">
        <f t="shared" si="1"/>
        <v>5585478.4100000001</v>
      </c>
      <c r="P13" s="207">
        <f t="shared" si="1"/>
        <v>7349970.8399999989</v>
      </c>
      <c r="Q13" s="207">
        <f>SUM(Q5:Q12)</f>
        <v>5780640.5700000003</v>
      </c>
      <c r="R13" s="208">
        <f>SUM(C13:Q13)</f>
        <v>55364224.599999994</v>
      </c>
      <c r="S13" s="212">
        <v>55097424.600000001</v>
      </c>
    </row>
    <row r="14" spans="1:20" x14ac:dyDescent="0.25">
      <c r="S14" s="186">
        <f>R13-S13</f>
        <v>266799.99999999255</v>
      </c>
      <c r="T14" s="187" t="s">
        <v>57</v>
      </c>
    </row>
    <row r="15" spans="1:20" ht="19.5" thickBot="1" x14ac:dyDescent="0.35">
      <c r="B15" s="248" t="s">
        <v>53</v>
      </c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187" t="s">
        <v>38</v>
      </c>
    </row>
    <row r="16" spans="1:20" ht="16.5" thickBot="1" x14ac:dyDescent="0.3">
      <c r="B16" s="199" t="s">
        <v>34</v>
      </c>
      <c r="C16" s="200" t="s">
        <v>0</v>
      </c>
      <c r="D16" s="200" t="s">
        <v>1</v>
      </c>
      <c r="E16" s="200" t="s">
        <v>2</v>
      </c>
      <c r="F16" s="200" t="s">
        <v>3</v>
      </c>
      <c r="G16" s="200" t="s">
        <v>4</v>
      </c>
      <c r="H16" s="200" t="s">
        <v>33</v>
      </c>
      <c r="I16" s="200" t="s">
        <v>6</v>
      </c>
      <c r="J16" s="200" t="s">
        <v>7</v>
      </c>
      <c r="K16" s="200" t="s">
        <v>8</v>
      </c>
      <c r="L16" s="200" t="s">
        <v>9</v>
      </c>
      <c r="M16" s="200" t="s">
        <v>10</v>
      </c>
      <c r="N16" s="201" t="s">
        <v>11</v>
      </c>
      <c r="O16" s="209" t="s">
        <v>7</v>
      </c>
      <c r="P16" s="202" t="s">
        <v>8</v>
      </c>
      <c r="Q16" s="201" t="s">
        <v>9</v>
      </c>
      <c r="R16" s="203" t="s">
        <v>35</v>
      </c>
    </row>
    <row r="17" spans="2:19" x14ac:dyDescent="0.25">
      <c r="B17" s="188" t="s">
        <v>55</v>
      </c>
      <c r="C17" s="210">
        <f>155521.8+516213.38</f>
        <v>671735.17999999993</v>
      </c>
      <c r="D17" s="211">
        <f>431688.27+394899.98</f>
        <v>826588.25</v>
      </c>
      <c r="E17" s="194">
        <f>504941.87+533680.81</f>
        <v>1038622.68</v>
      </c>
      <c r="F17" s="194">
        <f>971543.17+1006292.27</f>
        <v>1977835.44</v>
      </c>
      <c r="G17" s="194">
        <f>527099.06+358430.42</f>
        <v>885529.48</v>
      </c>
      <c r="H17" s="194">
        <f>1210382.01+1418624.42</f>
        <v>2629006.4299999997</v>
      </c>
      <c r="I17" s="194">
        <f>1396134+605841.27</f>
        <v>2001975.27</v>
      </c>
      <c r="J17" s="194"/>
      <c r="K17" s="194"/>
      <c r="L17" s="194"/>
      <c r="M17" s="194"/>
      <c r="N17" s="193"/>
      <c r="O17" s="193">
        <f>1598020.84+2464412.11</f>
        <v>4062432.95</v>
      </c>
      <c r="P17" s="193">
        <f>719673.64+1611272.06</f>
        <v>2330945.7000000002</v>
      </c>
      <c r="Q17" s="193">
        <f>2150211.02+730177.21</f>
        <v>2880388.23</v>
      </c>
      <c r="R17" s="191">
        <f>SUM(C17:P17)</f>
        <v>16424671.379999999</v>
      </c>
    </row>
    <row r="18" spans="2:19" x14ac:dyDescent="0.25">
      <c r="B18" s="192" t="s">
        <v>19</v>
      </c>
      <c r="C18" s="106">
        <v>598348.07999999996</v>
      </c>
      <c r="D18" s="107">
        <v>2647735.69</v>
      </c>
      <c r="E18" s="194">
        <v>763594.21</v>
      </c>
      <c r="F18" s="194">
        <v>838515.89</v>
      </c>
      <c r="G18" s="194">
        <f>1372994.56</f>
        <v>1372994.5600000001</v>
      </c>
      <c r="H18" s="194">
        <v>2063280.79</v>
      </c>
      <c r="I18" s="194">
        <v>835421.16</v>
      </c>
      <c r="J18" s="194"/>
      <c r="K18" s="194"/>
      <c r="L18" s="194"/>
      <c r="M18" s="107"/>
      <c r="N18" s="190"/>
      <c r="O18" s="190">
        <f>1897376.63</f>
        <v>1897376.63</v>
      </c>
      <c r="P18" s="190">
        <f>2286062.31</f>
        <v>2286062.31</v>
      </c>
      <c r="Q18" s="193">
        <f>2909085.47</f>
        <v>2909085.47</v>
      </c>
      <c r="R18" s="191">
        <f t="shared" ref="R18:R22" si="2">SUM(C18:P18)</f>
        <v>13303329.319999998</v>
      </c>
    </row>
    <row r="19" spans="2:19" ht="30" x14ac:dyDescent="0.25">
      <c r="B19" s="195" t="s">
        <v>56</v>
      </c>
      <c r="C19" s="107">
        <f>344400.25+73566.48</f>
        <v>417966.73</v>
      </c>
      <c r="D19" s="107">
        <f>188872.8+194864</f>
        <v>383736.8</v>
      </c>
      <c r="E19" s="194">
        <f>325934.8+470095</f>
        <v>796029.8</v>
      </c>
      <c r="F19" s="194">
        <f>490232.78+21913.44</f>
        <v>512146.22000000003</v>
      </c>
      <c r="G19" s="194">
        <f>136801.72</f>
        <v>136801.72</v>
      </c>
      <c r="H19" s="194">
        <v>466338.82</v>
      </c>
      <c r="I19" s="194">
        <f>1872511.83+137011.02</f>
        <v>2009522.85</v>
      </c>
      <c r="J19" s="194"/>
      <c r="K19" s="194"/>
      <c r="L19" s="194"/>
      <c r="M19" s="107"/>
      <c r="N19" s="190"/>
      <c r="O19" s="190">
        <f>1459760.96+50113.97</f>
        <v>1509874.93</v>
      </c>
      <c r="P19" s="190">
        <f>896347.63</f>
        <v>896347.63</v>
      </c>
      <c r="Q19" s="193">
        <f>189916.27</f>
        <v>189916.27</v>
      </c>
      <c r="R19" s="191">
        <f t="shared" si="2"/>
        <v>7128765.5</v>
      </c>
    </row>
    <row r="20" spans="2:19" x14ac:dyDescent="0.25">
      <c r="B20" s="192" t="s">
        <v>25</v>
      </c>
      <c r="C20" s="107"/>
      <c r="D20" s="107"/>
      <c r="E20" s="194"/>
      <c r="F20" s="194"/>
      <c r="G20" s="194"/>
      <c r="H20" s="194"/>
      <c r="I20" s="194">
        <v>12000</v>
      </c>
      <c r="J20" s="194"/>
      <c r="K20" s="107"/>
      <c r="L20" s="107"/>
      <c r="M20" s="107"/>
      <c r="N20" s="190"/>
      <c r="O20" s="190"/>
      <c r="P20" s="190"/>
      <c r="Q20" s="193">
        <f>12000</f>
        <v>12000</v>
      </c>
      <c r="R20" s="191">
        <f t="shared" si="2"/>
        <v>12000</v>
      </c>
    </row>
    <row r="21" spans="2:19" x14ac:dyDescent="0.25">
      <c r="B21" s="192" t="s">
        <v>28</v>
      </c>
      <c r="C21" s="107">
        <v>38973</v>
      </c>
      <c r="D21" s="107">
        <v>218539.54</v>
      </c>
      <c r="E21" s="194">
        <v>393350.2</v>
      </c>
      <c r="F21" s="194">
        <v>77142.880000000005</v>
      </c>
      <c r="G21" s="194">
        <f>643800.79</f>
        <v>643800.79</v>
      </c>
      <c r="H21" s="194">
        <v>142768.9</v>
      </c>
      <c r="I21" s="194">
        <v>257547.34</v>
      </c>
      <c r="J21" s="194"/>
      <c r="K21" s="107"/>
      <c r="L21" s="107"/>
      <c r="M21" s="107"/>
      <c r="N21" s="190"/>
      <c r="O21" s="190">
        <f>301679.86</f>
        <v>301679.86</v>
      </c>
      <c r="P21" s="190">
        <f>265237.44</f>
        <v>265237.44</v>
      </c>
      <c r="Q21" s="193">
        <f>1090928.85</f>
        <v>1090928.8500000001</v>
      </c>
      <c r="R21" s="191">
        <f t="shared" si="2"/>
        <v>2339039.9500000002</v>
      </c>
    </row>
    <row r="22" spans="2:19" x14ac:dyDescent="0.25">
      <c r="B22" s="192" t="s">
        <v>29</v>
      </c>
      <c r="C22" s="107">
        <v>11915.04</v>
      </c>
      <c r="D22" s="107">
        <v>280089.71999999997</v>
      </c>
      <c r="E22" s="194">
        <v>180700.11</v>
      </c>
      <c r="F22" s="194">
        <v>372924.79</v>
      </c>
      <c r="G22" s="194">
        <f>366348.87</f>
        <v>366348.87</v>
      </c>
      <c r="H22" s="194">
        <f>570770.16</f>
        <v>570770.16</v>
      </c>
      <c r="I22" s="194">
        <v>106033.67</v>
      </c>
      <c r="J22" s="194"/>
      <c r="K22" s="107"/>
      <c r="L22" s="107"/>
      <c r="M22" s="107"/>
      <c r="N22" s="190"/>
      <c r="O22" s="190">
        <f>81904.9</f>
        <v>81904.899999999994</v>
      </c>
      <c r="P22" s="190">
        <f>371055.03</f>
        <v>371055.03</v>
      </c>
      <c r="Q22" s="193">
        <f>248090.21</f>
        <v>248090.21</v>
      </c>
      <c r="R22" s="191">
        <f t="shared" si="2"/>
        <v>2341742.29</v>
      </c>
    </row>
    <row r="23" spans="2:19" ht="20.25" customHeight="1" thickBot="1" x14ac:dyDescent="0.3">
      <c r="B23" s="206" t="s">
        <v>16</v>
      </c>
      <c r="C23" s="108">
        <f t="shared" ref="C23:M23" si="3">SUM(C17:C22)</f>
        <v>1738938.0299999998</v>
      </c>
      <c r="D23" s="108">
        <f t="shared" si="3"/>
        <v>4356690</v>
      </c>
      <c r="E23" s="108">
        <f t="shared" si="3"/>
        <v>3172297.0000000005</v>
      </c>
      <c r="F23" s="108">
        <f t="shared" si="3"/>
        <v>3778565.22</v>
      </c>
      <c r="G23" s="108">
        <f t="shared" si="3"/>
        <v>3405475.4200000004</v>
      </c>
      <c r="H23" s="108">
        <f t="shared" si="3"/>
        <v>5872165.1000000006</v>
      </c>
      <c r="I23" s="108">
        <f t="shared" si="3"/>
        <v>5222500.29</v>
      </c>
      <c r="J23" s="108">
        <f t="shared" si="3"/>
        <v>0</v>
      </c>
      <c r="K23" s="108">
        <f t="shared" si="3"/>
        <v>0</v>
      </c>
      <c r="L23" s="108">
        <f t="shared" si="3"/>
        <v>0</v>
      </c>
      <c r="M23" s="108">
        <f t="shared" si="3"/>
        <v>0</v>
      </c>
      <c r="N23" s="207"/>
      <c r="O23" s="207">
        <f>SUM(O17:O22)</f>
        <v>7853269.2700000005</v>
      </c>
      <c r="P23" s="207">
        <f>SUM(P17:P22)</f>
        <v>6149648.1100000003</v>
      </c>
      <c r="Q23" s="207">
        <f>SUM(Q17:Q22)</f>
        <v>7330409.0300000003</v>
      </c>
      <c r="R23" s="208">
        <f>SUM(C23:Q23)</f>
        <v>48879957.469999999</v>
      </c>
      <c r="S23" s="212">
        <v>48914184.880000003</v>
      </c>
    </row>
    <row r="24" spans="2:19" x14ac:dyDescent="0.25">
      <c r="S24" s="186">
        <f>R23-S23</f>
        <v>-34227.410000003874</v>
      </c>
    </row>
    <row r="25" spans="2:19" x14ac:dyDescent="0.25">
      <c r="S25" s="187" t="s">
        <v>38</v>
      </c>
    </row>
  </sheetData>
  <mergeCells count="2">
    <mergeCell ref="B2:R2"/>
    <mergeCell ref="B15:R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N4"/>
    </sheetView>
  </sheetViews>
  <sheetFormatPr defaultRowHeight="15" x14ac:dyDescent="0.25"/>
  <cols>
    <col min="8" max="8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поступления</vt:lpstr>
      <vt:lpstr>2019</vt:lpstr>
      <vt:lpstr>2020</vt:lpstr>
      <vt:lpstr>2021</vt:lpstr>
      <vt:lpstr>для АА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2021-12-28T16:59:03Z</dcterms:modified>
</cp:coreProperties>
</file>