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tables/table7.xml" ContentType="application/vnd.openxmlformats-officedocument.spreadsheetml.table+xml"/>
  <Override PartName="/xl/charts/chart1.xml" ContentType="application/vnd.openxmlformats-officedocument.drawingml.chart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990" firstSheet="2" activeTab="2"/>
  </bookViews>
  <sheets>
    <sheet name="Вычисление" sheetId="1" state="hidden" r:id="rId1"/>
    <sheet name="Итоги Мотивации" sheetId="2" state="hidden" r:id="rId2"/>
    <sheet name="Данные" sheetId="3" r:id="rId3"/>
    <sheet name="Яхья" sheetId="4" state="hidden" r:id="rId4"/>
    <sheet name="Абдула" sheetId="5" state="hidden" r:id="rId5"/>
    <sheet name="Темерханов Расул" sheetId="6" state="hidden" r:id="rId6"/>
    <sheet name="Аятула Отчет" sheetId="7" state="hidden" r:id="rId7"/>
    <sheet name="Мирзакулов Улугбек" sheetId="8" state="hidden" r:id="rId8"/>
    <sheet name="Атаев Наиб" sheetId="9" state="hidden" r:id="rId9"/>
    <sheet name="Ашурбеков Иса" sheetId="10" state="hidden" r:id="rId10"/>
    <sheet name="Магомедов Камиль" sheetId="11" state="hidden" r:id="rId11"/>
    <sheet name="Магомедов Арсен" sheetId="12" state="hidden" r:id="rId12"/>
    <sheet name="Муртузалиев Алиасхаб" sheetId="13" state="hidden" r:id="rId13"/>
  </sheets>
  <calcPr calcId="162913"/>
</workbook>
</file>

<file path=xl/calcChain.xml><?xml version="1.0" encoding="utf-8"?>
<calcChain xmlns="http://schemas.openxmlformats.org/spreadsheetml/2006/main">
  <c r="E36" i="13" l="1"/>
  <c r="F36" i="13" s="1"/>
  <c r="D36" i="13"/>
  <c r="D35" i="13"/>
  <c r="E35" i="13" s="1"/>
  <c r="F35" i="13" s="1"/>
  <c r="F34" i="13"/>
  <c r="E34" i="13"/>
  <c r="D34" i="13"/>
  <c r="E33" i="13"/>
  <c r="D33" i="13"/>
  <c r="D32" i="13"/>
  <c r="E32" i="13" s="1"/>
  <c r="F32" i="13" s="1"/>
  <c r="F31" i="13"/>
  <c r="E31" i="13"/>
  <c r="D31" i="13"/>
  <c r="F30" i="13"/>
  <c r="E30" i="13"/>
  <c r="D30" i="13"/>
  <c r="E29" i="13"/>
  <c r="F29" i="13" s="1"/>
  <c r="D29" i="13"/>
  <c r="D28" i="13"/>
  <c r="E28" i="13" s="1"/>
  <c r="F28" i="13" s="1"/>
  <c r="F27" i="13"/>
  <c r="E27" i="13"/>
  <c r="D27" i="13"/>
  <c r="E26" i="13"/>
  <c r="D26" i="13"/>
  <c r="D25" i="13"/>
  <c r="E25" i="13" s="1"/>
  <c r="F25" i="13" s="1"/>
  <c r="F24" i="13"/>
  <c r="E24" i="13"/>
  <c r="D24" i="13"/>
  <c r="F23" i="13"/>
  <c r="E23" i="13"/>
  <c r="D23" i="13"/>
  <c r="E22" i="13"/>
  <c r="F22" i="13" s="1"/>
  <c r="D22" i="13"/>
  <c r="D21" i="13"/>
  <c r="E21" i="13" s="1"/>
  <c r="F21" i="13" s="1"/>
  <c r="D20" i="13"/>
  <c r="E20" i="13" s="1"/>
  <c r="F20" i="13" s="1"/>
  <c r="E19" i="13"/>
  <c r="D19" i="13"/>
  <c r="D18" i="13"/>
  <c r="E18" i="13" s="1"/>
  <c r="F18" i="13" s="1"/>
  <c r="F17" i="13"/>
  <c r="E17" i="13"/>
  <c r="D17" i="13"/>
  <c r="F16" i="13"/>
  <c r="E16" i="13"/>
  <c r="D16" i="13"/>
  <c r="E15" i="13"/>
  <c r="F15" i="13" s="1"/>
  <c r="D15" i="13"/>
  <c r="D14" i="13"/>
  <c r="E14" i="13" s="1"/>
  <c r="F14" i="13" s="1"/>
  <c r="D13" i="13"/>
  <c r="E13" i="13" s="1"/>
  <c r="F13" i="13" s="1"/>
  <c r="E12" i="13"/>
  <c r="D12" i="13"/>
  <c r="D11" i="13"/>
  <c r="E11" i="13" s="1"/>
  <c r="F11" i="13" s="1"/>
  <c r="D10" i="13"/>
  <c r="E10" i="13" s="1"/>
  <c r="F10" i="13" s="1"/>
  <c r="F9" i="13"/>
  <c r="E9" i="13"/>
  <c r="D9" i="13"/>
  <c r="D8" i="13"/>
  <c r="E8" i="13" s="1"/>
  <c r="E7" i="13"/>
  <c r="D7" i="13"/>
  <c r="D6" i="13"/>
  <c r="G4" i="13"/>
  <c r="D36" i="12"/>
  <c r="E36" i="12" s="1"/>
  <c r="F36" i="12" s="1"/>
  <c r="F35" i="12"/>
  <c r="E35" i="12"/>
  <c r="D35" i="12"/>
  <c r="E34" i="12"/>
  <c r="F34" i="12" s="1"/>
  <c r="D34" i="12"/>
  <c r="D33" i="12"/>
  <c r="E33" i="12" s="1"/>
  <c r="F32" i="12"/>
  <c r="E32" i="12"/>
  <c r="D32" i="12"/>
  <c r="E31" i="12"/>
  <c r="F31" i="12" s="1"/>
  <c r="D31" i="12"/>
  <c r="D30" i="12"/>
  <c r="E30" i="12" s="1"/>
  <c r="F30" i="12" s="1"/>
  <c r="D29" i="12"/>
  <c r="E29" i="12" s="1"/>
  <c r="F29" i="12" s="1"/>
  <c r="F28" i="12"/>
  <c r="E28" i="12"/>
  <c r="D28" i="12"/>
  <c r="E27" i="12"/>
  <c r="F27" i="12" s="1"/>
  <c r="D27" i="12"/>
  <c r="D26" i="12"/>
  <c r="E26" i="12" s="1"/>
  <c r="F25" i="12"/>
  <c r="E25" i="12"/>
  <c r="D25" i="12"/>
  <c r="E24" i="12"/>
  <c r="F24" i="12" s="1"/>
  <c r="D24" i="12"/>
  <c r="D23" i="12"/>
  <c r="E23" i="12" s="1"/>
  <c r="F23" i="12" s="1"/>
  <c r="D22" i="12"/>
  <c r="E22" i="12" s="1"/>
  <c r="F22" i="12" s="1"/>
  <c r="F21" i="12"/>
  <c r="E21" i="12"/>
  <c r="D21" i="12"/>
  <c r="E20" i="12"/>
  <c r="F20" i="12" s="1"/>
  <c r="D20" i="12"/>
  <c r="D19" i="12"/>
  <c r="E19" i="12" s="1"/>
  <c r="F18" i="12"/>
  <c r="E18" i="12"/>
  <c r="D18" i="12"/>
  <c r="E17" i="12"/>
  <c r="F17" i="12" s="1"/>
  <c r="D17" i="12"/>
  <c r="D16" i="12"/>
  <c r="E16" i="12" s="1"/>
  <c r="F16" i="12" s="1"/>
  <c r="F15" i="12"/>
  <c r="E15" i="12"/>
  <c r="D15" i="12"/>
  <c r="F14" i="12"/>
  <c r="E14" i="12"/>
  <c r="D14" i="12"/>
  <c r="E13" i="12"/>
  <c r="F13" i="12" s="1"/>
  <c r="D13" i="12"/>
  <c r="E12" i="12"/>
  <c r="D12" i="12"/>
  <c r="F11" i="12"/>
  <c r="E11" i="12"/>
  <c r="D11" i="12"/>
  <c r="E10" i="12"/>
  <c r="F10" i="12" s="1"/>
  <c r="D10" i="12"/>
  <c r="D9" i="12"/>
  <c r="E9" i="12" s="1"/>
  <c r="F9" i="12" s="1"/>
  <c r="E8" i="12"/>
  <c r="D8" i="12"/>
  <c r="D7" i="12"/>
  <c r="E7" i="12" s="1"/>
  <c r="E6" i="12"/>
  <c r="E37" i="12" s="1"/>
  <c r="D6" i="12"/>
  <c r="G4" i="12"/>
  <c r="D36" i="11"/>
  <c r="E36" i="11" s="1"/>
  <c r="F36" i="11" s="1"/>
  <c r="D35" i="11"/>
  <c r="E35" i="11" s="1"/>
  <c r="F35" i="11" s="1"/>
  <c r="F34" i="11"/>
  <c r="E34" i="11"/>
  <c r="D34" i="11"/>
  <c r="D33" i="11"/>
  <c r="E33" i="11" s="1"/>
  <c r="D32" i="11"/>
  <c r="E32" i="11" s="1"/>
  <c r="F32" i="11" s="1"/>
  <c r="F31" i="11"/>
  <c r="E31" i="11"/>
  <c r="D31" i="11"/>
  <c r="E30" i="11"/>
  <c r="F30" i="11" s="1"/>
  <c r="D30" i="11"/>
  <c r="D29" i="11"/>
  <c r="E29" i="11" s="1"/>
  <c r="F29" i="11" s="1"/>
  <c r="D28" i="11"/>
  <c r="E28" i="11" s="1"/>
  <c r="F28" i="11" s="1"/>
  <c r="F27" i="11"/>
  <c r="E27" i="11"/>
  <c r="D27" i="11"/>
  <c r="D26" i="11"/>
  <c r="E26" i="11" s="1"/>
  <c r="F25" i="11"/>
  <c r="E25" i="11"/>
  <c r="D25" i="11"/>
  <c r="F24" i="11"/>
  <c r="E24" i="11"/>
  <c r="D24" i="11"/>
  <c r="E23" i="11"/>
  <c r="F23" i="11" s="1"/>
  <c r="D23" i="11"/>
  <c r="D22" i="11"/>
  <c r="E22" i="11" s="1"/>
  <c r="F22" i="11" s="1"/>
  <c r="D21" i="11"/>
  <c r="E21" i="11" s="1"/>
  <c r="F21" i="11" s="1"/>
  <c r="F20" i="11"/>
  <c r="E20" i="11"/>
  <c r="D20" i="11"/>
  <c r="D19" i="11"/>
  <c r="E19" i="11" s="1"/>
  <c r="D18" i="11"/>
  <c r="E18" i="11" s="1"/>
  <c r="F18" i="11" s="1"/>
  <c r="F17" i="11"/>
  <c r="E17" i="11"/>
  <c r="D17" i="11"/>
  <c r="E16" i="11"/>
  <c r="F16" i="11" s="1"/>
  <c r="D16" i="11"/>
  <c r="D15" i="11"/>
  <c r="E15" i="11" s="1"/>
  <c r="F15" i="11" s="1"/>
  <c r="D14" i="11"/>
  <c r="E14" i="11" s="1"/>
  <c r="F14" i="11" s="1"/>
  <c r="F13" i="11"/>
  <c r="E13" i="11"/>
  <c r="D13" i="11"/>
  <c r="D12" i="11"/>
  <c r="E12" i="11" s="1"/>
  <c r="F11" i="11"/>
  <c r="E11" i="11"/>
  <c r="D11" i="11"/>
  <c r="F10" i="11"/>
  <c r="E10" i="11"/>
  <c r="D10" i="11"/>
  <c r="E9" i="11"/>
  <c r="F9" i="11" s="1"/>
  <c r="D9" i="11"/>
  <c r="E8" i="11"/>
  <c r="D8" i="11"/>
  <c r="E7" i="11"/>
  <c r="E37" i="11" s="1"/>
  <c r="E4" i="11" s="1"/>
  <c r="F4" i="11" s="1"/>
  <c r="D7" i="11"/>
  <c r="D37" i="11" s="1"/>
  <c r="E6" i="11"/>
  <c r="D6" i="11"/>
  <c r="G4" i="11"/>
  <c r="B4" i="11"/>
  <c r="D4" i="11" s="1"/>
  <c r="E36" i="10"/>
  <c r="F36" i="10" s="1"/>
  <c r="D36" i="10"/>
  <c r="D35" i="10"/>
  <c r="E35" i="10" s="1"/>
  <c r="F35" i="10" s="1"/>
  <c r="D34" i="10"/>
  <c r="E34" i="10" s="1"/>
  <c r="F34" i="10" s="1"/>
  <c r="E33" i="10"/>
  <c r="D33" i="10"/>
  <c r="D32" i="10"/>
  <c r="E32" i="10" s="1"/>
  <c r="F32" i="10" s="1"/>
  <c r="D31" i="10"/>
  <c r="E31" i="10" s="1"/>
  <c r="F31" i="10" s="1"/>
  <c r="F30" i="10"/>
  <c r="E30" i="10"/>
  <c r="D30" i="10"/>
  <c r="E29" i="10"/>
  <c r="F29" i="10" s="1"/>
  <c r="D29" i="10"/>
  <c r="D28" i="10"/>
  <c r="E28" i="10" s="1"/>
  <c r="F28" i="10" s="1"/>
  <c r="F27" i="10"/>
  <c r="E27" i="10"/>
  <c r="D27" i="10"/>
  <c r="E26" i="10"/>
  <c r="D26" i="10"/>
  <c r="D25" i="10"/>
  <c r="E25" i="10" s="1"/>
  <c r="F25" i="10" s="1"/>
  <c r="F24" i="10"/>
  <c r="E24" i="10"/>
  <c r="D24" i="10"/>
  <c r="F23" i="10"/>
  <c r="E23" i="10"/>
  <c r="D23" i="10"/>
  <c r="E22" i="10"/>
  <c r="F22" i="10" s="1"/>
  <c r="D22" i="10"/>
  <c r="D21" i="10"/>
  <c r="E21" i="10" s="1"/>
  <c r="F21" i="10" s="1"/>
  <c r="F20" i="10"/>
  <c r="E20" i="10"/>
  <c r="D20" i="10"/>
  <c r="E19" i="10"/>
  <c r="D19" i="10"/>
  <c r="D18" i="10"/>
  <c r="E18" i="10" s="1"/>
  <c r="F18" i="10" s="1"/>
  <c r="F17" i="10"/>
  <c r="E17" i="10"/>
  <c r="D17" i="10"/>
  <c r="F16" i="10"/>
  <c r="E16" i="10"/>
  <c r="D16" i="10"/>
  <c r="E15" i="10"/>
  <c r="F15" i="10" s="1"/>
  <c r="D15" i="10"/>
  <c r="D14" i="10"/>
  <c r="E14" i="10" s="1"/>
  <c r="F14" i="10" s="1"/>
  <c r="F13" i="10"/>
  <c r="E13" i="10"/>
  <c r="D13" i="10"/>
  <c r="E12" i="10"/>
  <c r="D12" i="10"/>
  <c r="D11" i="10"/>
  <c r="E11" i="10" s="1"/>
  <c r="F11" i="10" s="1"/>
  <c r="F10" i="10"/>
  <c r="E10" i="10"/>
  <c r="D10" i="10"/>
  <c r="F9" i="10"/>
  <c r="E9" i="10"/>
  <c r="D9" i="10"/>
  <c r="D8" i="10"/>
  <c r="E8" i="10" s="1"/>
  <c r="E7" i="10"/>
  <c r="D7" i="10"/>
  <c r="D6" i="10"/>
  <c r="G4" i="10"/>
  <c r="F36" i="9"/>
  <c r="E36" i="9"/>
  <c r="D36" i="9"/>
  <c r="E35" i="9"/>
  <c r="F35" i="9" s="1"/>
  <c r="D35" i="9"/>
  <c r="D34" i="9"/>
  <c r="E34" i="9" s="1"/>
  <c r="F34" i="9" s="1"/>
  <c r="E33" i="9"/>
  <c r="D33" i="9"/>
  <c r="E32" i="9"/>
  <c r="F32" i="9" s="1"/>
  <c r="D32" i="9"/>
  <c r="D31" i="9"/>
  <c r="E31" i="9" s="1"/>
  <c r="F31" i="9" s="1"/>
  <c r="D30" i="9"/>
  <c r="E30" i="9" s="1"/>
  <c r="F30" i="9" s="1"/>
  <c r="F29" i="9"/>
  <c r="E29" i="9"/>
  <c r="D29" i="9"/>
  <c r="E28" i="9"/>
  <c r="F28" i="9" s="1"/>
  <c r="D28" i="9"/>
  <c r="D27" i="9"/>
  <c r="E27" i="9" s="1"/>
  <c r="F27" i="9" s="1"/>
  <c r="E26" i="9"/>
  <c r="D26" i="9"/>
  <c r="E25" i="9"/>
  <c r="F25" i="9" s="1"/>
  <c r="D25" i="9"/>
  <c r="D24" i="9"/>
  <c r="E24" i="9" s="1"/>
  <c r="F24" i="9" s="1"/>
  <c r="F23" i="9"/>
  <c r="E23" i="9"/>
  <c r="D23" i="9"/>
  <c r="E22" i="9"/>
  <c r="F22" i="9" s="1"/>
  <c r="D22" i="9"/>
  <c r="E21" i="9"/>
  <c r="F21" i="9" s="1"/>
  <c r="D21" i="9"/>
  <c r="D20" i="9"/>
  <c r="E20" i="9" s="1"/>
  <c r="F20" i="9" s="1"/>
  <c r="E19" i="9"/>
  <c r="D19" i="9"/>
  <c r="D18" i="9"/>
  <c r="E18" i="9" s="1"/>
  <c r="F18" i="9" s="1"/>
  <c r="D17" i="9"/>
  <c r="E17" i="9" s="1"/>
  <c r="F17" i="9" s="1"/>
  <c r="F16" i="9"/>
  <c r="E16" i="9"/>
  <c r="D16" i="9"/>
  <c r="E15" i="9"/>
  <c r="F15" i="9" s="1"/>
  <c r="D15" i="9"/>
  <c r="D14" i="9"/>
  <c r="E14" i="9" s="1"/>
  <c r="F14" i="9" s="1"/>
  <c r="D13" i="9"/>
  <c r="E13" i="9" s="1"/>
  <c r="F13" i="9" s="1"/>
  <c r="E12" i="9"/>
  <c r="D12" i="9"/>
  <c r="D11" i="9"/>
  <c r="E11" i="9" s="1"/>
  <c r="F11" i="9" s="1"/>
  <c r="D10" i="9"/>
  <c r="E10" i="9" s="1"/>
  <c r="F10" i="9" s="1"/>
  <c r="F9" i="9"/>
  <c r="E9" i="9"/>
  <c r="D9" i="9"/>
  <c r="D8" i="9"/>
  <c r="E8" i="9" s="1"/>
  <c r="E7" i="9"/>
  <c r="D7" i="9"/>
  <c r="D6" i="9"/>
  <c r="G4" i="9"/>
  <c r="F36" i="8"/>
  <c r="E36" i="8"/>
  <c r="D36" i="8"/>
  <c r="E35" i="8"/>
  <c r="F35" i="8" s="1"/>
  <c r="D35" i="8"/>
  <c r="D34" i="8"/>
  <c r="E34" i="8" s="1"/>
  <c r="F34" i="8" s="1"/>
  <c r="E33" i="8"/>
  <c r="D33" i="8"/>
  <c r="E32" i="8"/>
  <c r="F32" i="8" s="1"/>
  <c r="D32" i="8"/>
  <c r="E31" i="8"/>
  <c r="F31" i="8" s="1"/>
  <c r="D31" i="8"/>
  <c r="D30" i="8"/>
  <c r="E30" i="8" s="1"/>
  <c r="F30" i="8" s="1"/>
  <c r="F29" i="8"/>
  <c r="E29" i="8"/>
  <c r="D29" i="8"/>
  <c r="F28" i="8"/>
  <c r="E28" i="8"/>
  <c r="D28" i="8"/>
  <c r="D27" i="8"/>
  <c r="E27" i="8" s="1"/>
  <c r="F27" i="8" s="1"/>
  <c r="E26" i="8"/>
  <c r="D26" i="8"/>
  <c r="E25" i="8"/>
  <c r="F25" i="8" s="1"/>
  <c r="D25" i="8"/>
  <c r="E24" i="8"/>
  <c r="F24" i="8" s="1"/>
  <c r="D24" i="8"/>
  <c r="D23" i="8"/>
  <c r="E23" i="8" s="1"/>
  <c r="F23" i="8" s="1"/>
  <c r="F22" i="8"/>
  <c r="E22" i="8"/>
  <c r="D22" i="8"/>
  <c r="F21" i="8"/>
  <c r="E21" i="8"/>
  <c r="D21" i="8"/>
  <c r="D20" i="8"/>
  <c r="E20" i="8" s="1"/>
  <c r="F20" i="8" s="1"/>
  <c r="E19" i="8"/>
  <c r="D19" i="8"/>
  <c r="E18" i="8"/>
  <c r="F18" i="8" s="1"/>
  <c r="D18" i="8"/>
  <c r="E17" i="8"/>
  <c r="F17" i="8" s="1"/>
  <c r="D17" i="8"/>
  <c r="D16" i="8"/>
  <c r="E16" i="8" s="1"/>
  <c r="F16" i="8" s="1"/>
  <c r="E15" i="8"/>
  <c r="F15" i="8" s="1"/>
  <c r="D15" i="8"/>
  <c r="D14" i="8"/>
  <c r="E14" i="8" s="1"/>
  <c r="F14" i="8" s="1"/>
  <c r="E13" i="8"/>
  <c r="F13" i="8" s="1"/>
  <c r="D13" i="8"/>
  <c r="E12" i="8"/>
  <c r="D12" i="8"/>
  <c r="D11" i="8"/>
  <c r="E11" i="8" s="1"/>
  <c r="F11" i="8" s="1"/>
  <c r="E10" i="8"/>
  <c r="F10" i="8" s="1"/>
  <c r="D10" i="8"/>
  <c r="D9" i="8"/>
  <c r="E9" i="8" s="1"/>
  <c r="F9" i="8" s="1"/>
  <c r="D8" i="8"/>
  <c r="E8" i="8" s="1"/>
  <c r="D7" i="8"/>
  <c r="E7" i="8" s="1"/>
  <c r="D6" i="8"/>
  <c r="E6" i="8" s="1"/>
  <c r="G4" i="8"/>
  <c r="F64" i="7"/>
  <c r="F63" i="7"/>
  <c r="D36" i="6"/>
  <c r="E36" i="6" s="1"/>
  <c r="F36" i="6" s="1"/>
  <c r="D35" i="6"/>
  <c r="E35" i="6" s="1"/>
  <c r="F35" i="6" s="1"/>
  <c r="D34" i="6"/>
  <c r="E34" i="6" s="1"/>
  <c r="F34" i="6" s="1"/>
  <c r="D33" i="6"/>
  <c r="E33" i="6" s="1"/>
  <c r="D32" i="6"/>
  <c r="E32" i="6" s="1"/>
  <c r="F32" i="6" s="1"/>
  <c r="D31" i="6"/>
  <c r="E31" i="6" s="1"/>
  <c r="F31" i="6" s="1"/>
  <c r="E30" i="6"/>
  <c r="F30" i="6" s="1"/>
  <c r="D30" i="6"/>
  <c r="D29" i="6"/>
  <c r="E29" i="6" s="1"/>
  <c r="F29" i="6" s="1"/>
  <c r="D28" i="6"/>
  <c r="E28" i="6" s="1"/>
  <c r="F28" i="6" s="1"/>
  <c r="D27" i="6"/>
  <c r="E27" i="6" s="1"/>
  <c r="F27" i="6" s="1"/>
  <c r="D26" i="6"/>
  <c r="E26" i="6" s="1"/>
  <c r="D25" i="6"/>
  <c r="E25" i="6" s="1"/>
  <c r="F25" i="6" s="1"/>
  <c r="D24" i="6"/>
  <c r="E24" i="6" s="1"/>
  <c r="F24" i="6" s="1"/>
  <c r="E23" i="6"/>
  <c r="F23" i="6" s="1"/>
  <c r="D23" i="6"/>
  <c r="D22" i="6"/>
  <c r="E22" i="6" s="1"/>
  <c r="F22" i="6" s="1"/>
  <c r="D21" i="6"/>
  <c r="E21" i="6" s="1"/>
  <c r="F21" i="6" s="1"/>
  <c r="D20" i="6"/>
  <c r="E20" i="6" s="1"/>
  <c r="F20" i="6" s="1"/>
  <c r="D19" i="6"/>
  <c r="E19" i="6" s="1"/>
  <c r="D18" i="6"/>
  <c r="E18" i="6" s="1"/>
  <c r="F18" i="6" s="1"/>
  <c r="D17" i="6"/>
  <c r="E17" i="6" s="1"/>
  <c r="F17" i="6" s="1"/>
  <c r="E16" i="6"/>
  <c r="F16" i="6" s="1"/>
  <c r="D16" i="6"/>
  <c r="D15" i="6"/>
  <c r="E15" i="6" s="1"/>
  <c r="F15" i="6" s="1"/>
  <c r="D14" i="6"/>
  <c r="E14" i="6" s="1"/>
  <c r="F14" i="6" s="1"/>
  <c r="D13" i="6"/>
  <c r="E13" i="6" s="1"/>
  <c r="F13" i="6" s="1"/>
  <c r="D12" i="6"/>
  <c r="E12" i="6" s="1"/>
  <c r="D11" i="6"/>
  <c r="E11" i="6" s="1"/>
  <c r="F11" i="6" s="1"/>
  <c r="D10" i="6"/>
  <c r="E10" i="6" s="1"/>
  <c r="F10" i="6" s="1"/>
  <c r="E9" i="6"/>
  <c r="F9" i="6" s="1"/>
  <c r="D9" i="6"/>
  <c r="D8" i="6"/>
  <c r="E8" i="6" s="1"/>
  <c r="E7" i="6"/>
  <c r="D7" i="6"/>
  <c r="D6" i="6"/>
  <c r="D37" i="6" s="1"/>
  <c r="B4" i="6" s="1"/>
  <c r="D4" i="6" s="1"/>
  <c r="G4" i="6"/>
  <c r="D36" i="5"/>
  <c r="E36" i="5" s="1"/>
  <c r="F36" i="5" s="1"/>
  <c r="E35" i="5"/>
  <c r="F35" i="5" s="1"/>
  <c r="D35" i="5"/>
  <c r="D34" i="5"/>
  <c r="E34" i="5" s="1"/>
  <c r="F34" i="5" s="1"/>
  <c r="D33" i="5"/>
  <c r="E33" i="5" s="1"/>
  <c r="E32" i="5"/>
  <c r="F32" i="5" s="1"/>
  <c r="D32" i="5"/>
  <c r="D31" i="5"/>
  <c r="E31" i="5" s="1"/>
  <c r="F31" i="5" s="1"/>
  <c r="D30" i="5"/>
  <c r="E30" i="5" s="1"/>
  <c r="F30" i="5" s="1"/>
  <c r="D29" i="5"/>
  <c r="E29" i="5" s="1"/>
  <c r="F29" i="5" s="1"/>
  <c r="E28" i="5"/>
  <c r="F28" i="5" s="1"/>
  <c r="D28" i="5"/>
  <c r="D27" i="5"/>
  <c r="E27" i="5" s="1"/>
  <c r="F27" i="5" s="1"/>
  <c r="E26" i="5"/>
  <c r="D26" i="5"/>
  <c r="E25" i="5"/>
  <c r="F25" i="5" s="1"/>
  <c r="D25" i="5"/>
  <c r="D24" i="5"/>
  <c r="E24" i="5" s="1"/>
  <c r="F24" i="5" s="1"/>
  <c r="D23" i="5"/>
  <c r="E23" i="5" s="1"/>
  <c r="F23" i="5" s="1"/>
  <c r="F22" i="5"/>
  <c r="E22" i="5"/>
  <c r="D22" i="5"/>
  <c r="F21" i="5"/>
  <c r="E21" i="5"/>
  <c r="D21" i="5"/>
  <c r="E20" i="5"/>
  <c r="F20" i="5" s="1"/>
  <c r="D20" i="5"/>
  <c r="D19" i="5"/>
  <c r="E19" i="5" s="1"/>
  <c r="F18" i="5"/>
  <c r="E18" i="5"/>
  <c r="D18" i="5"/>
  <c r="E17" i="5"/>
  <c r="F17" i="5" s="1"/>
  <c r="D17" i="5"/>
  <c r="D16" i="5"/>
  <c r="E16" i="5" s="1"/>
  <c r="F16" i="5" s="1"/>
  <c r="D15" i="5"/>
  <c r="E15" i="5" s="1"/>
  <c r="F15" i="5" s="1"/>
  <c r="F14" i="5"/>
  <c r="E14" i="5"/>
  <c r="D14" i="5"/>
  <c r="E13" i="5"/>
  <c r="F13" i="5" s="1"/>
  <c r="D13" i="5"/>
  <c r="D12" i="5"/>
  <c r="E12" i="5" s="1"/>
  <c r="F11" i="5"/>
  <c r="E11" i="5"/>
  <c r="D11" i="5"/>
  <c r="E10" i="5"/>
  <c r="F10" i="5" s="1"/>
  <c r="D10" i="5"/>
  <c r="D9" i="5"/>
  <c r="E9" i="5" s="1"/>
  <c r="F9" i="5" s="1"/>
  <c r="E8" i="5"/>
  <c r="D8" i="5"/>
  <c r="D7" i="5"/>
  <c r="D37" i="5" s="1"/>
  <c r="E6" i="5"/>
  <c r="D6" i="5"/>
  <c r="G4" i="5"/>
  <c r="G37" i="5" s="1"/>
  <c r="D36" i="4"/>
  <c r="E36" i="4" s="1"/>
  <c r="F36" i="4" s="1"/>
  <c r="D35" i="4"/>
  <c r="E35" i="4" s="1"/>
  <c r="F35" i="4" s="1"/>
  <c r="F34" i="4"/>
  <c r="E34" i="4"/>
  <c r="D34" i="4"/>
  <c r="D33" i="4"/>
  <c r="E33" i="4" s="1"/>
  <c r="D32" i="4"/>
  <c r="E32" i="4" s="1"/>
  <c r="F32" i="4" s="1"/>
  <c r="F31" i="4"/>
  <c r="E31" i="4"/>
  <c r="D31" i="4"/>
  <c r="E30" i="4"/>
  <c r="F30" i="4" s="1"/>
  <c r="D30" i="4"/>
  <c r="D29" i="4"/>
  <c r="E29" i="4" s="1"/>
  <c r="F29" i="4" s="1"/>
  <c r="D28" i="4"/>
  <c r="E28" i="4" s="1"/>
  <c r="F28" i="4" s="1"/>
  <c r="F27" i="4"/>
  <c r="E27" i="4"/>
  <c r="D27" i="4"/>
  <c r="D26" i="4"/>
  <c r="E26" i="4" s="1"/>
  <c r="D25" i="4"/>
  <c r="E25" i="4" s="1"/>
  <c r="F25" i="4" s="1"/>
  <c r="F24" i="4"/>
  <c r="E24" i="4"/>
  <c r="D24" i="4"/>
  <c r="E23" i="4"/>
  <c r="F23" i="4" s="1"/>
  <c r="D23" i="4"/>
  <c r="D22" i="4"/>
  <c r="E22" i="4" s="1"/>
  <c r="F22" i="4" s="1"/>
  <c r="D21" i="4"/>
  <c r="E21" i="4" s="1"/>
  <c r="F21" i="4" s="1"/>
  <c r="D20" i="4"/>
  <c r="E20" i="4" s="1"/>
  <c r="F20" i="4" s="1"/>
  <c r="D19" i="4"/>
  <c r="E19" i="4" s="1"/>
  <c r="D18" i="4"/>
  <c r="E18" i="4" s="1"/>
  <c r="F18" i="4" s="1"/>
  <c r="D17" i="4"/>
  <c r="E17" i="4" s="1"/>
  <c r="F17" i="4" s="1"/>
  <c r="E16" i="4"/>
  <c r="F16" i="4" s="1"/>
  <c r="D16" i="4"/>
  <c r="D15" i="4"/>
  <c r="E15" i="4" s="1"/>
  <c r="F15" i="4" s="1"/>
  <c r="D14" i="4"/>
  <c r="E14" i="4" s="1"/>
  <c r="F14" i="4" s="1"/>
  <c r="D13" i="4"/>
  <c r="E13" i="4" s="1"/>
  <c r="F13" i="4" s="1"/>
  <c r="D12" i="4"/>
  <c r="E12" i="4" s="1"/>
  <c r="D11" i="4"/>
  <c r="E11" i="4" s="1"/>
  <c r="F11" i="4" s="1"/>
  <c r="D10" i="4"/>
  <c r="E10" i="4" s="1"/>
  <c r="F10" i="4" s="1"/>
  <c r="E9" i="4"/>
  <c r="F9" i="4" s="1"/>
  <c r="D9" i="4"/>
  <c r="D8" i="4"/>
  <c r="E8" i="4" s="1"/>
  <c r="E7" i="4"/>
  <c r="D7" i="4"/>
  <c r="D6" i="4"/>
  <c r="D37" i="4" s="1"/>
  <c r="B4" i="4" s="1"/>
  <c r="G4" i="4"/>
  <c r="AA66" i="3"/>
  <c r="Z66" i="3"/>
  <c r="Y66" i="3"/>
  <c r="X66" i="3"/>
  <c r="W66" i="3"/>
  <c r="U66" i="3"/>
  <c r="T66" i="3"/>
  <c r="S66" i="3"/>
  <c r="R66" i="3"/>
  <c r="Q66" i="3"/>
  <c r="P66" i="3"/>
  <c r="N66" i="3"/>
  <c r="M66" i="3"/>
  <c r="L66" i="3"/>
  <c r="K66" i="3"/>
  <c r="J66" i="3"/>
  <c r="I66" i="3"/>
  <c r="G66" i="3"/>
  <c r="F66" i="3"/>
  <c r="E66" i="3"/>
  <c r="AG66" i="3" s="1"/>
  <c r="AB65" i="3"/>
  <c r="Y65" i="3"/>
  <c r="W65" i="3"/>
  <c r="Q65" i="3"/>
  <c r="P65" i="3"/>
  <c r="N65" i="3"/>
  <c r="M65" i="3"/>
  <c r="L65" i="3"/>
  <c r="K65" i="3"/>
  <c r="J65" i="3"/>
  <c r="I65" i="3"/>
  <c r="G65" i="3"/>
  <c r="F65" i="3"/>
  <c r="E65" i="3"/>
  <c r="AG65" i="3" s="1"/>
  <c r="AM27" i="3" s="1"/>
  <c r="T64" i="3"/>
  <c r="S64" i="3"/>
  <c r="R64" i="3"/>
  <c r="Q64" i="3"/>
  <c r="AG64" i="3" s="1"/>
  <c r="P64" i="3"/>
  <c r="N64" i="3"/>
  <c r="G64" i="3"/>
  <c r="AA63" i="3"/>
  <c r="Z63" i="3"/>
  <c r="Y63" i="3"/>
  <c r="X63" i="3"/>
  <c r="W63" i="3"/>
  <c r="R63" i="3"/>
  <c r="Q63" i="3"/>
  <c r="N63" i="3"/>
  <c r="M63" i="3"/>
  <c r="L63" i="3"/>
  <c r="K63" i="3"/>
  <c r="J63" i="3"/>
  <c r="AG63" i="3" s="1"/>
  <c r="AM26" i="3" s="1"/>
  <c r="G30" i="1" s="1"/>
  <c r="G63" i="3"/>
  <c r="AB62" i="3"/>
  <c r="AA62" i="3"/>
  <c r="Z62" i="3"/>
  <c r="W62" i="3"/>
  <c r="S62" i="3"/>
  <c r="R62" i="3"/>
  <c r="Q62" i="3"/>
  <c r="P62" i="3"/>
  <c r="N62" i="3"/>
  <c r="M62" i="3"/>
  <c r="L62" i="3"/>
  <c r="K62" i="3"/>
  <c r="J62" i="3"/>
  <c r="I62" i="3"/>
  <c r="G62" i="3"/>
  <c r="F62" i="3"/>
  <c r="E62" i="3"/>
  <c r="AG62" i="3" s="1"/>
  <c r="AM25" i="3" s="1"/>
  <c r="AB61" i="3"/>
  <c r="AA61" i="3"/>
  <c r="Z61" i="3"/>
  <c r="U61" i="3"/>
  <c r="T61" i="3"/>
  <c r="N61" i="3"/>
  <c r="M61" i="3"/>
  <c r="L61" i="3"/>
  <c r="AG61" i="3" s="1"/>
  <c r="AM24" i="3" s="1"/>
  <c r="K61" i="3"/>
  <c r="AB60" i="3"/>
  <c r="AA60" i="3"/>
  <c r="Z60" i="3"/>
  <c r="Y60" i="3"/>
  <c r="X60" i="3"/>
  <c r="W60" i="3"/>
  <c r="U60" i="3"/>
  <c r="T60" i="3"/>
  <c r="Q60" i="3"/>
  <c r="P60" i="3"/>
  <c r="N60" i="3"/>
  <c r="M60" i="3"/>
  <c r="L60" i="3"/>
  <c r="J60" i="3"/>
  <c r="I60" i="3"/>
  <c r="G60" i="3"/>
  <c r="F60" i="3"/>
  <c r="E60" i="3"/>
  <c r="AG60" i="3" s="1"/>
  <c r="AM23" i="3" s="1"/>
  <c r="AB59" i="3"/>
  <c r="AA59" i="3"/>
  <c r="Z59" i="3"/>
  <c r="Y59" i="3"/>
  <c r="X59" i="3"/>
  <c r="W59" i="3"/>
  <c r="U59" i="3"/>
  <c r="T59" i="3"/>
  <c r="S59" i="3"/>
  <c r="N59" i="3"/>
  <c r="L59" i="3"/>
  <c r="K59" i="3"/>
  <c r="AG59" i="3" s="1"/>
  <c r="AM22" i="3" s="1"/>
  <c r="AB58" i="3"/>
  <c r="AA58" i="3"/>
  <c r="Z58" i="3"/>
  <c r="Y58" i="3"/>
  <c r="W58" i="3"/>
  <c r="U58" i="3"/>
  <c r="T58" i="3"/>
  <c r="S58" i="3"/>
  <c r="R58" i="3"/>
  <c r="Q58" i="3"/>
  <c r="P58" i="3"/>
  <c r="N58" i="3"/>
  <c r="M58" i="3"/>
  <c r="L58" i="3"/>
  <c r="K58" i="3"/>
  <c r="J58" i="3"/>
  <c r="G58" i="3"/>
  <c r="F58" i="3"/>
  <c r="E58" i="3"/>
  <c r="AA54" i="3"/>
  <c r="Z54" i="3"/>
  <c r="Y54" i="3"/>
  <c r="X54" i="3"/>
  <c r="W54" i="3"/>
  <c r="U54" i="3"/>
  <c r="T54" i="3"/>
  <c r="S54" i="3"/>
  <c r="R54" i="3"/>
  <c r="Q54" i="3"/>
  <c r="P54" i="3"/>
  <c r="N54" i="3"/>
  <c r="M54" i="3"/>
  <c r="L54" i="3"/>
  <c r="K54" i="3"/>
  <c r="J54" i="3"/>
  <c r="I54" i="3"/>
  <c r="G54" i="3"/>
  <c r="F54" i="3"/>
  <c r="E54" i="3"/>
  <c r="AG54" i="3" s="1"/>
  <c r="AL47" i="3" s="1"/>
  <c r="AB53" i="3"/>
  <c r="Y53" i="3"/>
  <c r="W53" i="3"/>
  <c r="Q53" i="3"/>
  <c r="P53" i="3"/>
  <c r="N53" i="3"/>
  <c r="M53" i="3"/>
  <c r="L53" i="3"/>
  <c r="K53" i="3"/>
  <c r="J53" i="3"/>
  <c r="I53" i="3"/>
  <c r="G53" i="3"/>
  <c r="F53" i="3"/>
  <c r="AG53" i="3" s="1"/>
  <c r="AL27" i="3" s="1"/>
  <c r="E53" i="3"/>
  <c r="T52" i="3"/>
  <c r="S52" i="3"/>
  <c r="R52" i="3"/>
  <c r="Q52" i="3"/>
  <c r="P52" i="3"/>
  <c r="N52" i="3"/>
  <c r="G52" i="3"/>
  <c r="AG52" i="3" s="1"/>
  <c r="AL46" i="3" s="1"/>
  <c r="AA51" i="3"/>
  <c r="Z51" i="3"/>
  <c r="Y51" i="3"/>
  <c r="X51" i="3"/>
  <c r="W51" i="3"/>
  <c r="R51" i="3"/>
  <c r="Q51" i="3"/>
  <c r="N51" i="3"/>
  <c r="M51" i="3"/>
  <c r="L51" i="3"/>
  <c r="K51" i="3"/>
  <c r="J51" i="3"/>
  <c r="G51" i="3"/>
  <c r="AB50" i="3"/>
  <c r="AA50" i="3"/>
  <c r="Z50" i="3"/>
  <c r="W50" i="3"/>
  <c r="S50" i="3"/>
  <c r="R50" i="3"/>
  <c r="Q50" i="3"/>
  <c r="P50" i="3"/>
  <c r="N50" i="3"/>
  <c r="M50" i="3"/>
  <c r="L50" i="3"/>
  <c r="K50" i="3"/>
  <c r="J50" i="3"/>
  <c r="I50" i="3"/>
  <c r="G50" i="3"/>
  <c r="F50" i="3"/>
  <c r="AG50" i="3" s="1"/>
  <c r="E50" i="3"/>
  <c r="AB49" i="3"/>
  <c r="AA49" i="3"/>
  <c r="Z49" i="3"/>
  <c r="U49" i="3"/>
  <c r="T49" i="3"/>
  <c r="N49" i="3"/>
  <c r="M49" i="3"/>
  <c r="L49" i="3"/>
  <c r="K49" i="3"/>
  <c r="AG49" i="3" s="1"/>
  <c r="AL24" i="3" s="1"/>
  <c r="F9" i="2" s="1"/>
  <c r="AB48" i="3"/>
  <c r="AA48" i="3"/>
  <c r="Z48" i="3"/>
  <c r="Y48" i="3"/>
  <c r="X48" i="3"/>
  <c r="W48" i="3"/>
  <c r="U48" i="3"/>
  <c r="T48" i="3"/>
  <c r="Q48" i="3"/>
  <c r="P48" i="3"/>
  <c r="N48" i="3"/>
  <c r="M48" i="3"/>
  <c r="L48" i="3"/>
  <c r="J48" i="3"/>
  <c r="I48" i="3"/>
  <c r="G48" i="3"/>
  <c r="AG48" i="3" s="1"/>
  <c r="F48" i="3"/>
  <c r="E48" i="3"/>
  <c r="AM47" i="3"/>
  <c r="AB47" i="3"/>
  <c r="AA47" i="3"/>
  <c r="Z47" i="3"/>
  <c r="Y47" i="3"/>
  <c r="X47" i="3"/>
  <c r="W47" i="3"/>
  <c r="U47" i="3"/>
  <c r="T47" i="3"/>
  <c r="S47" i="3"/>
  <c r="N47" i="3"/>
  <c r="L47" i="3"/>
  <c r="K47" i="3"/>
  <c r="AG47" i="3" s="1"/>
  <c r="AL22" i="3" s="1"/>
  <c r="F7" i="2" s="1"/>
  <c r="L3" i="1" s="1"/>
  <c r="AM46" i="3"/>
  <c r="AB46" i="3"/>
  <c r="AA46" i="3"/>
  <c r="Z46" i="3"/>
  <c r="Y46" i="3"/>
  <c r="W46" i="3"/>
  <c r="U46" i="3"/>
  <c r="T46" i="3"/>
  <c r="S46" i="3"/>
  <c r="R46" i="3"/>
  <c r="Q46" i="3"/>
  <c r="P46" i="3"/>
  <c r="N46" i="3"/>
  <c r="M46" i="3"/>
  <c r="L46" i="3"/>
  <c r="K46" i="3"/>
  <c r="J46" i="3"/>
  <c r="G46" i="3"/>
  <c r="F46" i="3"/>
  <c r="E46" i="3"/>
  <c r="AG46" i="3" s="1"/>
  <c r="AL21" i="3" s="1"/>
  <c r="B25" i="1" s="1"/>
  <c r="AA42" i="3"/>
  <c r="Z42" i="3"/>
  <c r="Y42" i="3"/>
  <c r="X42" i="3"/>
  <c r="W42" i="3"/>
  <c r="U42" i="3"/>
  <c r="T42" i="3"/>
  <c r="S42" i="3"/>
  <c r="R42" i="3"/>
  <c r="Q42" i="3"/>
  <c r="P42" i="3"/>
  <c r="M42" i="3"/>
  <c r="L42" i="3"/>
  <c r="K42" i="3"/>
  <c r="J42" i="3"/>
  <c r="I42" i="3"/>
  <c r="G42" i="3"/>
  <c r="F42" i="3"/>
  <c r="E42" i="3"/>
  <c r="AG42" i="3" s="1"/>
  <c r="AK47" i="3" s="1"/>
  <c r="AB41" i="3"/>
  <c r="Y41" i="3"/>
  <c r="W41" i="3"/>
  <c r="P41" i="3"/>
  <c r="M41" i="3"/>
  <c r="L41" i="3"/>
  <c r="K41" i="3"/>
  <c r="J41" i="3"/>
  <c r="I41" i="3"/>
  <c r="G41" i="3"/>
  <c r="F41" i="3"/>
  <c r="E41" i="3"/>
  <c r="AG41" i="3" s="1"/>
  <c r="T40" i="3"/>
  <c r="S40" i="3"/>
  <c r="R40" i="3"/>
  <c r="Q40" i="3"/>
  <c r="P40" i="3"/>
  <c r="N40" i="3"/>
  <c r="G40" i="3"/>
  <c r="AB39" i="3"/>
  <c r="AA39" i="3"/>
  <c r="Z39" i="3"/>
  <c r="Y39" i="3"/>
  <c r="X39" i="3"/>
  <c r="W39" i="3"/>
  <c r="U39" i="3"/>
  <c r="T39" i="3"/>
  <c r="S39" i="3"/>
  <c r="R39" i="3"/>
  <c r="Q39" i="3"/>
  <c r="P39" i="3"/>
  <c r="N39" i="3"/>
  <c r="M39" i="3"/>
  <c r="L39" i="3"/>
  <c r="K39" i="3"/>
  <c r="J39" i="3"/>
  <c r="I39" i="3"/>
  <c r="G39" i="3"/>
  <c r="F39" i="3"/>
  <c r="E39" i="3"/>
  <c r="AB38" i="3"/>
  <c r="AA38" i="3"/>
  <c r="Z38" i="3"/>
  <c r="X38" i="3"/>
  <c r="S38" i="3"/>
  <c r="R38" i="3"/>
  <c r="Q38" i="3"/>
  <c r="P38" i="3"/>
  <c r="N38" i="3"/>
  <c r="M38" i="3"/>
  <c r="L38" i="3"/>
  <c r="K38" i="3"/>
  <c r="J38" i="3"/>
  <c r="I38" i="3"/>
  <c r="G38" i="3"/>
  <c r="F38" i="3"/>
  <c r="AG38" i="3" s="1"/>
  <c r="E38" i="3"/>
  <c r="AB37" i="3"/>
  <c r="AA37" i="3"/>
  <c r="Z37" i="3"/>
  <c r="W37" i="3"/>
  <c r="U37" i="3"/>
  <c r="T37" i="3"/>
  <c r="N37" i="3"/>
  <c r="M37" i="3"/>
  <c r="K37" i="3"/>
  <c r="J37" i="3"/>
  <c r="AG37" i="3" s="1"/>
  <c r="AK24" i="3" s="1"/>
  <c r="I37" i="3"/>
  <c r="AB36" i="3"/>
  <c r="AA36" i="3"/>
  <c r="Z36" i="3"/>
  <c r="Y36" i="3"/>
  <c r="X36" i="3"/>
  <c r="W36" i="3"/>
  <c r="U36" i="3"/>
  <c r="T36" i="3"/>
  <c r="R36" i="3"/>
  <c r="Q36" i="3"/>
  <c r="P36" i="3"/>
  <c r="N36" i="3"/>
  <c r="M36" i="3"/>
  <c r="L36" i="3"/>
  <c r="J36" i="3"/>
  <c r="I36" i="3"/>
  <c r="G36" i="3"/>
  <c r="F36" i="3"/>
  <c r="E36" i="3"/>
  <c r="AG36" i="3" s="1"/>
  <c r="AK23" i="3" s="1"/>
  <c r="AL35" i="3"/>
  <c r="AA35" i="3"/>
  <c r="Y35" i="3"/>
  <c r="X35" i="3"/>
  <c r="W35" i="3"/>
  <c r="AG35" i="3" s="1"/>
  <c r="T35" i="3"/>
  <c r="S35" i="3"/>
  <c r="N35" i="3"/>
  <c r="AB34" i="3"/>
  <c r="AA34" i="3"/>
  <c r="Z34" i="3"/>
  <c r="Y34" i="3"/>
  <c r="W34" i="3"/>
  <c r="U34" i="3"/>
  <c r="T34" i="3"/>
  <c r="S34" i="3"/>
  <c r="R34" i="3"/>
  <c r="Q34" i="3"/>
  <c r="P34" i="3"/>
  <c r="N34" i="3"/>
  <c r="M34" i="3"/>
  <c r="L34" i="3"/>
  <c r="K34" i="3"/>
  <c r="I34" i="3"/>
  <c r="G34" i="3"/>
  <c r="F34" i="3"/>
  <c r="E34" i="3"/>
  <c r="AA30" i="3"/>
  <c r="Z30" i="3"/>
  <c r="Y30" i="3"/>
  <c r="X30" i="3"/>
  <c r="W30" i="3"/>
  <c r="U30" i="3"/>
  <c r="T30" i="3"/>
  <c r="S30" i="3"/>
  <c r="R30" i="3"/>
  <c r="Q30" i="3"/>
  <c r="P30" i="3"/>
  <c r="M30" i="3"/>
  <c r="L30" i="3"/>
  <c r="K30" i="3"/>
  <c r="J30" i="3"/>
  <c r="I30" i="3"/>
  <c r="G30" i="3"/>
  <c r="F30" i="3"/>
  <c r="E30" i="3"/>
  <c r="AG30" i="3" s="1"/>
  <c r="AB29" i="3"/>
  <c r="Y29" i="3"/>
  <c r="W29" i="3"/>
  <c r="P29" i="3"/>
  <c r="N29" i="3"/>
  <c r="M29" i="3"/>
  <c r="L29" i="3"/>
  <c r="K29" i="3"/>
  <c r="J29" i="3"/>
  <c r="I29" i="3"/>
  <c r="G29" i="3"/>
  <c r="F29" i="3"/>
  <c r="E29" i="3"/>
  <c r="AG29" i="3" s="1"/>
  <c r="T28" i="3"/>
  <c r="S28" i="3"/>
  <c r="R28" i="3"/>
  <c r="Q28" i="3"/>
  <c r="P28" i="3"/>
  <c r="N28" i="3"/>
  <c r="G28" i="3"/>
  <c r="AB27" i="3"/>
  <c r="AA27" i="3"/>
  <c r="Z27" i="3"/>
  <c r="Y27" i="3"/>
  <c r="X27" i="3"/>
  <c r="W27" i="3"/>
  <c r="U27" i="3"/>
  <c r="T27" i="3"/>
  <c r="S27" i="3"/>
  <c r="R27" i="3"/>
  <c r="Q27" i="3"/>
  <c r="P27" i="3"/>
  <c r="N27" i="3"/>
  <c r="M27" i="3"/>
  <c r="L27" i="3"/>
  <c r="K27" i="3"/>
  <c r="J27" i="3"/>
  <c r="I27" i="3"/>
  <c r="G27" i="3"/>
  <c r="F27" i="3"/>
  <c r="E27" i="3"/>
  <c r="AB26" i="3"/>
  <c r="AA26" i="3"/>
  <c r="Z26" i="3"/>
  <c r="X26" i="3"/>
  <c r="S26" i="3"/>
  <c r="R26" i="3"/>
  <c r="Q26" i="3"/>
  <c r="P26" i="3"/>
  <c r="N26" i="3"/>
  <c r="M26" i="3"/>
  <c r="L26" i="3"/>
  <c r="K26" i="3"/>
  <c r="J26" i="3"/>
  <c r="I26" i="3"/>
  <c r="G26" i="3"/>
  <c r="F26" i="3"/>
  <c r="E26" i="3"/>
  <c r="AG26" i="3" s="1"/>
  <c r="AB25" i="3"/>
  <c r="AA25" i="3"/>
  <c r="Z25" i="3"/>
  <c r="W25" i="3"/>
  <c r="U25" i="3"/>
  <c r="T25" i="3"/>
  <c r="N25" i="3"/>
  <c r="M25" i="3"/>
  <c r="K25" i="3"/>
  <c r="J25" i="3"/>
  <c r="I25" i="3"/>
  <c r="AG25" i="3" s="1"/>
  <c r="AJ24" i="3" s="1"/>
  <c r="B11" i="1" s="1"/>
  <c r="AB24" i="3"/>
  <c r="AA24" i="3"/>
  <c r="Z24" i="3"/>
  <c r="Y24" i="3"/>
  <c r="X24" i="3"/>
  <c r="W24" i="3"/>
  <c r="U24" i="3"/>
  <c r="T24" i="3"/>
  <c r="R24" i="3"/>
  <c r="Q24" i="3"/>
  <c r="P24" i="3"/>
  <c r="N24" i="3"/>
  <c r="M24" i="3"/>
  <c r="L24" i="3"/>
  <c r="J24" i="3"/>
  <c r="I24" i="3"/>
  <c r="G24" i="3"/>
  <c r="F24" i="3"/>
  <c r="E24" i="3"/>
  <c r="AA23" i="3"/>
  <c r="Y23" i="3"/>
  <c r="X23" i="3"/>
  <c r="W23" i="3"/>
  <c r="T23" i="3"/>
  <c r="S23" i="3"/>
  <c r="N23" i="3"/>
  <c r="AG23" i="3" s="1"/>
  <c r="AJ22" i="3" s="1"/>
  <c r="AB22" i="3"/>
  <c r="AA22" i="3"/>
  <c r="Z22" i="3"/>
  <c r="Y22" i="3"/>
  <c r="W22" i="3"/>
  <c r="U22" i="3"/>
  <c r="T22" i="3"/>
  <c r="S22" i="3"/>
  <c r="R22" i="3"/>
  <c r="Q22" i="3"/>
  <c r="P22" i="3"/>
  <c r="N22" i="3"/>
  <c r="M22" i="3"/>
  <c r="L22" i="3"/>
  <c r="K22" i="3"/>
  <c r="I22" i="3"/>
  <c r="G22" i="3"/>
  <c r="F22" i="3"/>
  <c r="E22" i="3"/>
  <c r="AF18" i="3"/>
  <c r="AB18" i="3"/>
  <c r="X18" i="3"/>
  <c r="W18" i="3"/>
  <c r="T18" i="3"/>
  <c r="R18" i="3"/>
  <c r="P18" i="3"/>
  <c r="L18" i="3"/>
  <c r="J18" i="3"/>
  <c r="H18" i="3"/>
  <c r="G18" i="3"/>
  <c r="D18" i="3"/>
  <c r="C18" i="3"/>
  <c r="B18" i="3"/>
  <c r="AF17" i="3"/>
  <c r="AB17" i="3"/>
  <c r="Z17" i="3"/>
  <c r="X17" i="3"/>
  <c r="W17" i="3"/>
  <c r="T17" i="3"/>
  <c r="R17" i="3"/>
  <c r="P17" i="3"/>
  <c r="L17" i="3"/>
  <c r="J17" i="3"/>
  <c r="H17" i="3"/>
  <c r="G17" i="3"/>
  <c r="D17" i="3"/>
  <c r="C17" i="3"/>
  <c r="B17" i="3"/>
  <c r="AF16" i="3"/>
  <c r="AB16" i="3"/>
  <c r="Z16" i="3"/>
  <c r="X16" i="3"/>
  <c r="W16" i="3"/>
  <c r="T16" i="3"/>
  <c r="R16" i="3"/>
  <c r="P16" i="3"/>
  <c r="L16" i="3"/>
  <c r="J16" i="3"/>
  <c r="H16" i="3"/>
  <c r="G16" i="3"/>
  <c r="D16" i="3"/>
  <c r="C16" i="3"/>
  <c r="B16" i="3"/>
  <c r="AF15" i="3"/>
  <c r="AE15" i="3"/>
  <c r="AE18" i="3" s="1"/>
  <c r="AD15" i="3"/>
  <c r="AD18" i="3" s="1"/>
  <c r="AC15" i="3"/>
  <c r="AB15" i="3"/>
  <c r="AA15" i="3"/>
  <c r="AA18" i="3" s="1"/>
  <c r="Z15" i="3"/>
  <c r="Z18" i="3" s="1"/>
  <c r="Y15" i="3"/>
  <c r="X15" i="3"/>
  <c r="W15" i="3"/>
  <c r="V15" i="3"/>
  <c r="V18" i="3" s="1"/>
  <c r="U15" i="3"/>
  <c r="T15" i="3"/>
  <c r="S15" i="3"/>
  <c r="S18" i="3" s="1"/>
  <c r="R15" i="3"/>
  <c r="Q15" i="3"/>
  <c r="P15" i="3"/>
  <c r="O15" i="3"/>
  <c r="O18" i="3" s="1"/>
  <c r="N15" i="3"/>
  <c r="N18" i="3" s="1"/>
  <c r="M15" i="3"/>
  <c r="L15" i="3"/>
  <c r="K15" i="3"/>
  <c r="K18" i="3" s="1"/>
  <c r="J15" i="3"/>
  <c r="I15" i="3"/>
  <c r="H15" i="3"/>
  <c r="G15" i="3"/>
  <c r="F15" i="3"/>
  <c r="F18" i="3" s="1"/>
  <c r="E15" i="3"/>
  <c r="AG14" i="3"/>
  <c r="AL42" i="3" s="1"/>
  <c r="AM42" i="3" s="1"/>
  <c r="AG13" i="3"/>
  <c r="B13" i="2" s="1"/>
  <c r="B15" i="7" s="1"/>
  <c r="AG12" i="3"/>
  <c r="AL41" i="3" s="1"/>
  <c r="AG11" i="3"/>
  <c r="AL37" i="3" s="1"/>
  <c r="C11" i="2" s="1"/>
  <c r="AG10" i="3"/>
  <c r="B10" i="2" s="1"/>
  <c r="B12" i="7" s="1"/>
  <c r="AG9" i="3"/>
  <c r="AG8" i="3"/>
  <c r="AL34" i="3" s="1"/>
  <c r="C8" i="2" s="1"/>
  <c r="AG7" i="3"/>
  <c r="AL33" i="3" s="1"/>
  <c r="C7" i="2" s="1"/>
  <c r="AG6" i="3"/>
  <c r="AL32" i="3" s="1"/>
  <c r="AG5" i="3"/>
  <c r="R20" i="2"/>
  <c r="U16" i="2"/>
  <c r="A16" i="2"/>
  <c r="V14" i="2"/>
  <c r="U14" i="2"/>
  <c r="K14" i="2"/>
  <c r="G14" i="2"/>
  <c r="T14" i="2" s="1"/>
  <c r="E14" i="2"/>
  <c r="J14" i="2" s="1"/>
  <c r="I16" i="7" s="1"/>
  <c r="C14" i="2"/>
  <c r="B14" i="2"/>
  <c r="B16" i="7" s="1"/>
  <c r="V13" i="2"/>
  <c r="U13" i="2"/>
  <c r="R13" i="2"/>
  <c r="E13" i="2"/>
  <c r="V12" i="2"/>
  <c r="U12" i="2"/>
  <c r="K12" i="2"/>
  <c r="J12" i="2"/>
  <c r="I14" i="7" s="1"/>
  <c r="H12" i="2"/>
  <c r="H14" i="7" s="1"/>
  <c r="E12" i="2"/>
  <c r="B12" i="2"/>
  <c r="B14" i="7" s="1"/>
  <c r="V11" i="2"/>
  <c r="U11" i="2"/>
  <c r="H11" i="2"/>
  <c r="H13" i="7" s="1"/>
  <c r="E11" i="2"/>
  <c r="J11" i="2" s="1"/>
  <c r="I13" i="7" s="1"/>
  <c r="D11" i="2"/>
  <c r="B11" i="2"/>
  <c r="B13" i="7" s="1"/>
  <c r="V10" i="2"/>
  <c r="U10" i="2"/>
  <c r="E10" i="2"/>
  <c r="V9" i="2"/>
  <c r="U9" i="2"/>
  <c r="J9" i="2"/>
  <c r="I11" i="7" s="1"/>
  <c r="G9" i="2"/>
  <c r="E9" i="2"/>
  <c r="D9" i="2"/>
  <c r="H9" i="2" s="1"/>
  <c r="H11" i="7" s="1"/>
  <c r="C9" i="2"/>
  <c r="B9" i="2"/>
  <c r="B11" i="7" s="1"/>
  <c r="V8" i="2"/>
  <c r="U8" i="2"/>
  <c r="J8" i="2"/>
  <c r="I10" i="7" s="1"/>
  <c r="G8" i="2"/>
  <c r="E8" i="2"/>
  <c r="B8" i="2"/>
  <c r="B10" i="7" s="1"/>
  <c r="V7" i="2"/>
  <c r="U7" i="2"/>
  <c r="E7" i="2"/>
  <c r="B7" i="2"/>
  <c r="B9" i="7" s="1"/>
  <c r="V6" i="2"/>
  <c r="V16" i="2" s="1"/>
  <c r="U6" i="2"/>
  <c r="R6" i="2"/>
  <c r="E6" i="2"/>
  <c r="D6" i="2"/>
  <c r="H6" i="2" s="1"/>
  <c r="C6" i="2"/>
  <c r="B6" i="2"/>
  <c r="B8" i="7" s="1"/>
  <c r="G33" i="1"/>
  <c r="B33" i="1"/>
  <c r="G32" i="1"/>
  <c r="B32" i="1"/>
  <c r="G31" i="1"/>
  <c r="B31" i="1"/>
  <c r="G29" i="1"/>
  <c r="G28" i="1"/>
  <c r="B28" i="1"/>
  <c r="N27" i="1"/>
  <c r="P14" i="2" s="1"/>
  <c r="F16" i="7" s="1"/>
  <c r="L27" i="1"/>
  <c r="K27" i="1"/>
  <c r="G27" i="1"/>
  <c r="K26" i="1"/>
  <c r="G26" i="1"/>
  <c r="K25" i="1"/>
  <c r="K24" i="1"/>
  <c r="K23" i="1"/>
  <c r="K22" i="1"/>
  <c r="K21" i="1"/>
  <c r="H21" i="1"/>
  <c r="K20" i="1"/>
  <c r="K19" i="1"/>
  <c r="K28" i="1" s="1"/>
  <c r="G16" i="1"/>
  <c r="G11" i="1"/>
  <c r="K10" i="1"/>
  <c r="G10" i="1"/>
  <c r="K9" i="1"/>
  <c r="B9" i="1"/>
  <c r="K8" i="1"/>
  <c r="K7" i="1"/>
  <c r="K6" i="1"/>
  <c r="K5" i="1"/>
  <c r="K4" i="1"/>
  <c r="H4" i="1"/>
  <c r="K3" i="1"/>
  <c r="K2" i="1"/>
  <c r="N3" i="1" l="1"/>
  <c r="N7" i="2" s="1"/>
  <c r="D9" i="7" s="1"/>
  <c r="O3" i="1"/>
  <c r="Z7" i="2" s="1"/>
  <c r="M3" i="1"/>
  <c r="M7" i="2" s="1"/>
  <c r="C9" i="7" s="1"/>
  <c r="H29" i="1"/>
  <c r="H30" i="1"/>
  <c r="K11" i="1"/>
  <c r="L22" i="1"/>
  <c r="H8" i="7"/>
  <c r="J10" i="2"/>
  <c r="I12" i="7" s="1"/>
  <c r="J13" i="2"/>
  <c r="I15" i="7" s="1"/>
  <c r="AJ47" i="3"/>
  <c r="B16" i="1" s="1"/>
  <c r="F14" i="2"/>
  <c r="L5" i="1"/>
  <c r="L21" i="1"/>
  <c r="B26" i="1"/>
  <c r="H32" i="1"/>
  <c r="E16" i="2"/>
  <c r="J6" i="2"/>
  <c r="G7" i="2"/>
  <c r="AK22" i="3"/>
  <c r="G9" i="1" s="1"/>
  <c r="G10" i="2"/>
  <c r="AK25" i="3"/>
  <c r="G12" i="1" s="1"/>
  <c r="AK27" i="3"/>
  <c r="G15" i="1" s="1"/>
  <c r="G13" i="2"/>
  <c r="B29" i="1"/>
  <c r="AL25" i="3"/>
  <c r="F10" i="2" s="1"/>
  <c r="M27" i="1"/>
  <c r="O14" i="2" s="1"/>
  <c r="E16" i="7" s="1"/>
  <c r="O27" i="1"/>
  <c r="AA14" i="2" s="1"/>
  <c r="J7" i="2"/>
  <c r="I9" i="7" s="1"/>
  <c r="T8" i="2"/>
  <c r="T9" i="2"/>
  <c r="E18" i="3"/>
  <c r="E17" i="3"/>
  <c r="AG17" i="3" s="1"/>
  <c r="E16" i="3"/>
  <c r="I18" i="3"/>
  <c r="I17" i="3"/>
  <c r="I16" i="3"/>
  <c r="M18" i="3"/>
  <c r="M17" i="3"/>
  <c r="M16" i="3"/>
  <c r="Q18" i="3"/>
  <c r="AG18" i="3" s="1"/>
  <c r="Q17" i="3"/>
  <c r="Q16" i="3"/>
  <c r="U18" i="3"/>
  <c r="U17" i="3"/>
  <c r="U16" i="3"/>
  <c r="Y18" i="3"/>
  <c r="Y17" i="3"/>
  <c r="Y16" i="3"/>
  <c r="AC18" i="3"/>
  <c r="AC17" i="3"/>
  <c r="AC16" i="3"/>
  <c r="AJ25" i="3"/>
  <c r="B12" i="1" s="1"/>
  <c r="AM41" i="3"/>
  <c r="C12" i="2"/>
  <c r="F13" i="2"/>
  <c r="AJ27" i="3"/>
  <c r="B15" i="1" s="1"/>
  <c r="AL23" i="3"/>
  <c r="B27" i="1"/>
  <c r="N16" i="3"/>
  <c r="S16" i="3"/>
  <c r="AD16" i="3"/>
  <c r="N17" i="3"/>
  <c r="S17" i="3"/>
  <c r="AD17" i="3"/>
  <c r="K21" i="5"/>
  <c r="B4" i="5"/>
  <c r="D4" i="5" s="1"/>
  <c r="O16" i="3"/>
  <c r="AE16" i="3"/>
  <c r="O17" i="3"/>
  <c r="AE17" i="3"/>
  <c r="AG34" i="3"/>
  <c r="AL38" i="3"/>
  <c r="C13" i="2" s="1"/>
  <c r="AG58" i="3"/>
  <c r="AM21" i="3" s="1"/>
  <c r="G25" i="1" s="1"/>
  <c r="H25" i="1" s="1"/>
  <c r="F16" i="3"/>
  <c r="AG16" i="3" s="1"/>
  <c r="K16" i="3"/>
  <c r="V16" i="3"/>
  <c r="AA16" i="3"/>
  <c r="F17" i="3"/>
  <c r="K17" i="3"/>
  <c r="V17" i="3"/>
  <c r="AA17" i="3"/>
  <c r="AG22" i="3"/>
  <c r="AG24" i="3"/>
  <c r="AL36" i="3"/>
  <c r="C10" i="2" s="1"/>
  <c r="C16" i="2" s="1"/>
  <c r="E37" i="8"/>
  <c r="E4" i="8" s="1"/>
  <c r="F4" i="8" s="1"/>
  <c r="AG27" i="3"/>
  <c r="AG28" i="3"/>
  <c r="AG39" i="3"/>
  <c r="AG40" i="3"/>
  <c r="AG51" i="3"/>
  <c r="E7" i="5"/>
  <c r="E37" i="5" s="1"/>
  <c r="E4" i="5" s="1"/>
  <c r="F4" i="5" s="1"/>
  <c r="D37" i="10"/>
  <c r="E6" i="10"/>
  <c r="E37" i="10" s="1"/>
  <c r="E4" i="10" s="1"/>
  <c r="F4" i="10" s="1"/>
  <c r="E4" i="12"/>
  <c r="F4" i="12" s="1"/>
  <c r="F37" i="12"/>
  <c r="E6" i="4"/>
  <c r="E37" i="4" s="1"/>
  <c r="E4" i="4" s="1"/>
  <c r="F4" i="4" s="1"/>
  <c r="E6" i="6"/>
  <c r="E37" i="6" s="1"/>
  <c r="E4" i="6" s="1"/>
  <c r="F4" i="6" s="1"/>
  <c r="D37" i="8"/>
  <c r="D37" i="9"/>
  <c r="D37" i="13"/>
  <c r="E6" i="13"/>
  <c r="E37" i="13" s="1"/>
  <c r="E4" i="13" s="1"/>
  <c r="F4" i="13" s="1"/>
  <c r="E6" i="9"/>
  <c r="E37" i="9" s="1"/>
  <c r="E4" i="9" s="1"/>
  <c r="F4" i="9" s="1"/>
  <c r="D37" i="12"/>
  <c r="L6" i="1" l="1"/>
  <c r="AJ21" i="3"/>
  <c r="B8" i="1" s="1"/>
  <c r="F6" i="2"/>
  <c r="L20" i="1"/>
  <c r="I8" i="7"/>
  <c r="J16" i="2"/>
  <c r="H31" i="1"/>
  <c r="N5" i="1"/>
  <c r="N9" i="2" s="1"/>
  <c r="D11" i="7" s="1"/>
  <c r="M5" i="1"/>
  <c r="M9" i="2" s="1"/>
  <c r="C11" i="7" s="1"/>
  <c r="O5" i="1"/>
  <c r="Z9" i="2" s="1"/>
  <c r="T7" i="2"/>
  <c r="B30" i="1"/>
  <c r="AL26" i="3"/>
  <c r="L26" i="1"/>
  <c r="B4" i="13"/>
  <c r="D4" i="13" s="1"/>
  <c r="D13" i="2"/>
  <c r="H13" i="2" s="1"/>
  <c r="AK46" i="3"/>
  <c r="G14" i="1" s="1"/>
  <c r="G12" i="2"/>
  <c r="B4" i="9"/>
  <c r="D4" i="9" s="1"/>
  <c r="D7" i="2"/>
  <c r="AK26" i="3"/>
  <c r="G13" i="1" s="1"/>
  <c r="G11" i="2"/>
  <c r="L9" i="1"/>
  <c r="H12" i="1"/>
  <c r="H28" i="1"/>
  <c r="L10" i="1"/>
  <c r="T13" i="2"/>
  <c r="H27" i="1"/>
  <c r="AJ26" i="3"/>
  <c r="B13" i="1" s="1"/>
  <c r="C13" i="1" s="1"/>
  <c r="F11" i="2"/>
  <c r="O21" i="1"/>
  <c r="AA8" i="2" s="1"/>
  <c r="M21" i="1"/>
  <c r="O8" i="2" s="1"/>
  <c r="E10" i="7" s="1"/>
  <c r="N21" i="1"/>
  <c r="P8" i="2" s="1"/>
  <c r="F10" i="7" s="1"/>
  <c r="B4" i="10"/>
  <c r="D4" i="10" s="1"/>
  <c r="D8" i="2"/>
  <c r="H8" i="2" s="1"/>
  <c r="B4" i="12"/>
  <c r="D4" i="12" s="1"/>
  <c r="D10" i="2"/>
  <c r="H10" i="2" s="1"/>
  <c r="B4" i="8"/>
  <c r="D14" i="2"/>
  <c r="H14" i="2" s="1"/>
  <c r="F12" i="2"/>
  <c r="AJ46" i="3"/>
  <c r="B14" i="1" s="1"/>
  <c r="AJ23" i="3"/>
  <c r="B10" i="1" s="1"/>
  <c r="C12" i="1" s="1"/>
  <c r="I10" i="2" s="1"/>
  <c r="G12" i="7" s="1"/>
  <c r="F8" i="2"/>
  <c r="AJ6" i="3"/>
  <c r="K7" i="2" s="1"/>
  <c r="AK21" i="3"/>
  <c r="G8" i="1" s="1"/>
  <c r="H9" i="1" s="1"/>
  <c r="G6" i="2"/>
  <c r="C27" i="1"/>
  <c r="AJ10" i="3"/>
  <c r="K11" i="2" s="1"/>
  <c r="AJ8" i="3"/>
  <c r="K9" i="2" s="1"/>
  <c r="AJ9" i="3"/>
  <c r="K10" i="2" s="1"/>
  <c r="AJ11" i="3"/>
  <c r="K13" i="2" s="1"/>
  <c r="AJ7" i="3"/>
  <c r="K8" i="2" s="1"/>
  <c r="AJ5" i="3"/>
  <c r="K6" i="2" s="1"/>
  <c r="H26" i="1"/>
  <c r="I33" i="1" s="1"/>
  <c r="H33" i="1"/>
  <c r="C29" i="1"/>
  <c r="L23" i="1"/>
  <c r="C26" i="1"/>
  <c r="C32" i="1"/>
  <c r="C25" i="1"/>
  <c r="C33" i="1"/>
  <c r="C31" i="1"/>
  <c r="C16" i="1"/>
  <c r="T10" i="2"/>
  <c r="N22" i="1"/>
  <c r="P9" i="2" s="1"/>
  <c r="F11" i="7" s="1"/>
  <c r="O22" i="1"/>
  <c r="AA9" i="2" s="1"/>
  <c r="M22" i="1"/>
  <c r="O9" i="2" s="1"/>
  <c r="E11" i="7" s="1"/>
  <c r="L4" i="1" l="1"/>
  <c r="H16" i="7"/>
  <c r="H10" i="7"/>
  <c r="H13" i="1"/>
  <c r="H14" i="1"/>
  <c r="H15" i="1"/>
  <c r="C9" i="1"/>
  <c r="I7" i="2" s="1"/>
  <c r="G9" i="7" s="1"/>
  <c r="C8" i="1"/>
  <c r="C11" i="1"/>
  <c r="I9" i="2" s="1"/>
  <c r="G11" i="7" s="1"/>
  <c r="J11" i="7" s="1"/>
  <c r="L24" i="1"/>
  <c r="T11" i="2"/>
  <c r="N26" i="1"/>
  <c r="P13" i="2" s="1"/>
  <c r="F15" i="7" s="1"/>
  <c r="O26" i="1"/>
  <c r="AA13" i="2" s="1"/>
  <c r="M26" i="1"/>
  <c r="O13" i="2" s="1"/>
  <c r="E15" i="7" s="1"/>
  <c r="M23" i="1"/>
  <c r="O10" i="2" s="1"/>
  <c r="E12" i="7" s="1"/>
  <c r="O23" i="1"/>
  <c r="AA10" i="2" s="1"/>
  <c r="N23" i="1"/>
  <c r="P10" i="2" s="1"/>
  <c r="F12" i="7" s="1"/>
  <c r="G16" i="2"/>
  <c r="L19" i="1"/>
  <c r="T6" i="2"/>
  <c r="C10" i="1"/>
  <c r="I8" i="2" s="1"/>
  <c r="G10" i="7" s="1"/>
  <c r="M9" i="1"/>
  <c r="M13" i="2" s="1"/>
  <c r="C15" i="7" s="1"/>
  <c r="N9" i="1"/>
  <c r="N13" i="2" s="1"/>
  <c r="D15" i="7" s="1"/>
  <c r="O9" i="1"/>
  <c r="Z13" i="2" s="1"/>
  <c r="D16" i="2"/>
  <c r="H7" i="2"/>
  <c r="H15" i="7"/>
  <c r="C15" i="1"/>
  <c r="I13" i="2" s="1"/>
  <c r="G15" i="7" s="1"/>
  <c r="O6" i="1"/>
  <c r="Z10" i="2" s="1"/>
  <c r="N6" i="1"/>
  <c r="N10" i="2" s="1"/>
  <c r="D12" i="7" s="1"/>
  <c r="M6" i="1"/>
  <c r="M10" i="2" s="1"/>
  <c r="C12" i="7" s="1"/>
  <c r="I14" i="2"/>
  <c r="G16" i="7" s="1"/>
  <c r="L8" i="1"/>
  <c r="N10" i="1"/>
  <c r="N14" i="2" s="1"/>
  <c r="D16" i="7" s="1"/>
  <c r="M10" i="1"/>
  <c r="M14" i="2" s="1"/>
  <c r="C16" i="7" s="1"/>
  <c r="O10" i="1"/>
  <c r="Z14" i="2" s="1"/>
  <c r="L25" i="1"/>
  <c r="T12" i="2"/>
  <c r="F16" i="2"/>
  <c r="W6" i="2"/>
  <c r="L2" i="1"/>
  <c r="D33" i="1"/>
  <c r="K16" i="2"/>
  <c r="H8" i="1"/>
  <c r="I16" i="1" s="1"/>
  <c r="H10" i="1"/>
  <c r="H11" i="1"/>
  <c r="H16" i="1"/>
  <c r="C14" i="1"/>
  <c r="I12" i="2" s="1"/>
  <c r="H12" i="7"/>
  <c r="J12" i="7" s="1"/>
  <c r="L10" i="2"/>
  <c r="W11" i="2"/>
  <c r="L7" i="1"/>
  <c r="C30" i="1"/>
  <c r="I11" i="2" s="1"/>
  <c r="C28" i="1"/>
  <c r="M20" i="1"/>
  <c r="O7" i="2" s="1"/>
  <c r="E9" i="7" s="1"/>
  <c r="O20" i="1"/>
  <c r="AA7" i="2" s="1"/>
  <c r="N20" i="1"/>
  <c r="P7" i="2" s="1"/>
  <c r="F9" i="7" s="1"/>
  <c r="G13" i="7" l="1"/>
  <c r="J13" i="7" s="1"/>
  <c r="L11" i="2"/>
  <c r="O7" i="1"/>
  <c r="Z11" i="2" s="1"/>
  <c r="M7" i="1"/>
  <c r="M11" i="2" s="1"/>
  <c r="C13" i="7" s="1"/>
  <c r="N7" i="1"/>
  <c r="N11" i="2" s="1"/>
  <c r="D13" i="7" s="1"/>
  <c r="L9" i="2"/>
  <c r="M2" i="1"/>
  <c r="M6" i="2" s="1"/>
  <c r="C8" i="7" s="1"/>
  <c r="N2" i="1"/>
  <c r="O2" i="1"/>
  <c r="Z6" i="2" s="1"/>
  <c r="L11" i="1"/>
  <c r="O25" i="1"/>
  <c r="AA12" i="2" s="1"/>
  <c r="M25" i="1"/>
  <c r="O12" i="2" s="1"/>
  <c r="E14" i="7" s="1"/>
  <c r="N25" i="1"/>
  <c r="P12" i="2" s="1"/>
  <c r="F14" i="7" s="1"/>
  <c r="L13" i="2"/>
  <c r="N24" i="1"/>
  <c r="P11" i="2" s="1"/>
  <c r="F13" i="7" s="1"/>
  <c r="M24" i="1"/>
  <c r="O11" i="2" s="1"/>
  <c r="E13" i="7" s="1"/>
  <c r="O24" i="1"/>
  <c r="AA11" i="2" s="1"/>
  <c r="D16" i="1"/>
  <c r="I6" i="2"/>
  <c r="J16" i="7"/>
  <c r="X14" i="2"/>
  <c r="X8" i="2"/>
  <c r="X9" i="2"/>
  <c r="T16" i="2"/>
  <c r="X10" i="2"/>
  <c r="X7" i="2"/>
  <c r="X13" i="2"/>
  <c r="X11" i="2"/>
  <c r="Y11" i="2" s="1"/>
  <c r="L14" i="2"/>
  <c r="Y6" i="2"/>
  <c r="J15" i="7"/>
  <c r="L28" i="1"/>
  <c r="N19" i="1"/>
  <c r="M19" i="1"/>
  <c r="O6" i="2" s="1"/>
  <c r="E8" i="7" s="1"/>
  <c r="O19" i="1"/>
  <c r="AA6" i="2" s="1"/>
  <c r="L8" i="2"/>
  <c r="N4" i="1"/>
  <c r="N8" i="2" s="1"/>
  <c r="D10" i="7" s="1"/>
  <c r="O4" i="1"/>
  <c r="Z8" i="2" s="1"/>
  <c r="M4" i="1"/>
  <c r="M8" i="2" s="1"/>
  <c r="C10" i="7" s="1"/>
  <c r="G14" i="7"/>
  <c r="J14" i="7" s="1"/>
  <c r="L12" i="2"/>
  <c r="X12" i="2"/>
  <c r="N8" i="1"/>
  <c r="N12" i="2" s="1"/>
  <c r="D14" i="7" s="1"/>
  <c r="O8" i="1"/>
  <c r="Z12" i="2" s="1"/>
  <c r="M8" i="1"/>
  <c r="M12" i="2" s="1"/>
  <c r="C14" i="7" s="1"/>
  <c r="W7" i="2"/>
  <c r="W9" i="2"/>
  <c r="Y9" i="2" s="1"/>
  <c r="W10" i="2"/>
  <c r="Y10" i="2" s="1"/>
  <c r="W13" i="2"/>
  <c r="Y13" i="2" s="1"/>
  <c r="W14" i="2"/>
  <c r="W12" i="2"/>
  <c r="Y12" i="2" s="1"/>
  <c r="H9" i="7"/>
  <c r="J9" i="7" s="1"/>
  <c r="L7" i="2"/>
  <c r="H16" i="2"/>
  <c r="X6" i="2"/>
  <c r="J10" i="7"/>
  <c r="W8" i="2"/>
  <c r="P6" i="2" l="1"/>
  <c r="F8" i="7" s="1"/>
  <c r="N28" i="1"/>
  <c r="P16" i="2" s="1"/>
  <c r="B5" i="7"/>
  <c r="O11" i="1"/>
  <c r="M11" i="1"/>
  <c r="M16" i="2" s="1"/>
  <c r="X16" i="2"/>
  <c r="H5" i="7"/>
  <c r="D5" i="7"/>
  <c r="O28" i="1"/>
  <c r="M28" i="1"/>
  <c r="O16" i="2" s="1"/>
  <c r="Y14" i="2"/>
  <c r="Y7" i="2"/>
  <c r="N6" i="2"/>
  <c r="D8" i="7" s="1"/>
  <c r="N11" i="1"/>
  <c r="N16" i="2" s="1"/>
  <c r="Y8" i="2"/>
  <c r="W16" i="2"/>
  <c r="G8" i="7"/>
  <c r="J8" i="7" s="1"/>
  <c r="I16" i="2"/>
  <c r="L6" i="2"/>
  <c r="L16" i="2" s="1"/>
</calcChain>
</file>

<file path=xl/sharedStrings.xml><?xml version="1.0" encoding="utf-8"?>
<sst xmlns="http://schemas.openxmlformats.org/spreadsheetml/2006/main" count="756" uniqueCount="145">
  <si>
    <t>ФИО</t>
  </si>
  <si>
    <t>Столбец2</t>
  </si>
  <si>
    <t>ОПТ Тоннаж</t>
  </si>
  <si>
    <t>Столбец1</t>
  </si>
  <si>
    <t>ОПТ Строчка</t>
  </si>
  <si>
    <t>План т</t>
  </si>
  <si>
    <t>Факт т</t>
  </si>
  <si>
    <t>Процент выполнения т</t>
  </si>
  <si>
    <t>Выполнение плана</t>
  </si>
  <si>
    <t>Статус</t>
  </si>
  <si>
    <t>Абдурашидов Абдула</t>
  </si>
  <si>
    <t>Сумма для распределения</t>
  </si>
  <si>
    <t>Атаев Наиб</t>
  </si>
  <si>
    <t>Ашурбеков Иса</t>
  </si>
  <si>
    <t>Пропорциональное распраделение
суммы</t>
  </si>
  <si>
    <t>Магомедов Камиль</t>
  </si>
  <si>
    <t>Магомедов Арсен</t>
  </si>
  <si>
    <t>Темерханов Расул</t>
  </si>
  <si>
    <t xml:space="preserve">Ахъяев Яхъя </t>
  </si>
  <si>
    <t>Муртазалив Алиасхаб</t>
  </si>
  <si>
    <t>Мирзакулов Улугбек</t>
  </si>
  <si>
    <t>Итог</t>
  </si>
  <si>
    <t>КПК Тоннаж</t>
  </si>
  <si>
    <t>КПК Строчка</t>
  </si>
  <si>
    <t>План c</t>
  </si>
  <si>
    <t>Факт c</t>
  </si>
  <si>
    <t>Процент выполнения с</t>
  </si>
  <si>
    <r>
      <rPr>
        <b/>
        <sz val="36"/>
        <color rgb="FFFFFFFF"/>
        <rFont val="Calibri"/>
      </rPr>
      <t xml:space="preserve">                                                                MAXTREDE                                                               </t>
    </r>
    <r>
      <rPr>
        <b/>
        <sz val="14"/>
        <color rgb="FFFFFFFF"/>
        <rFont val="Calibri"/>
      </rPr>
      <t>Январь</t>
    </r>
  </si>
  <si>
    <t>Рабочих дней</t>
  </si>
  <si>
    <t>Не было</t>
  </si>
  <si>
    <t>Рабочих часов</t>
  </si>
  <si>
    <t>Ошибки</t>
  </si>
  <si>
    <t xml:space="preserve">Обьем </t>
  </si>
  <si>
    <t>Строчки</t>
  </si>
  <si>
    <t>Оклад</t>
  </si>
  <si>
    <t>Мотивация</t>
  </si>
  <si>
    <t>Штраф</t>
  </si>
  <si>
    <t>Нагрузка</t>
  </si>
  <si>
    <t>Итог к оплате</t>
  </si>
  <si>
    <t>Процент выполнения плана тоннажа</t>
  </si>
  <si>
    <t>План тоннаж</t>
  </si>
  <si>
    <t>Процент выполнения плана строчки</t>
  </si>
  <si>
    <t>План строк</t>
  </si>
  <si>
    <t>Фонд Оплаты Труда</t>
  </si>
  <si>
    <t>Ошибки в строчках</t>
  </si>
  <si>
    <t xml:space="preserve">Ошибки при погрузке </t>
  </si>
  <si>
    <t>Ошибка вычерк</t>
  </si>
  <si>
    <t>Полезность т</t>
  </si>
  <si>
    <t>Полезность с</t>
  </si>
  <si>
    <t>Полезность</t>
  </si>
  <si>
    <t>Статус Т</t>
  </si>
  <si>
    <t>Статус С</t>
  </si>
  <si>
    <t xml:space="preserve">Яхъяев Яхъя </t>
  </si>
  <si>
    <t>Фонд Премии</t>
  </si>
  <si>
    <t>НОРМА</t>
  </si>
  <si>
    <t>Фонд Штрафов</t>
  </si>
  <si>
    <t>Декабрь</t>
  </si>
  <si>
    <t>Учет рабочих дней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</si>
  <si>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</si>
  <si>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</si>
  <si>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</si>
  <si>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</si>
  <si>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</si>
  <si>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</si>
  <si>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</si>
  <si>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</si>
  <si>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</si>
  <si>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</si>
  <si>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</si>
  <si>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</si>
  <si>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</si>
  <si>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</si>
  <si>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</si>
  <si>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</si>
  <si>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</si>
  <si>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</si>
  <si>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</si>
  <si>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</si>
  <si>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</si>
  <si>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</si>
  <si>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</si>
  <si>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</si>
  <si>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</si>
  <si>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</si>
  <si>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</si>
  <si>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</si>
  <si>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</si>
  <si>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</si>
  <si>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</si>
  <si>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Итого</t>
  </si>
  <si>
    <t>М</t>
  </si>
  <si>
    <t>суббота</t>
  </si>
  <si>
    <t>воскресенье</t>
  </si>
  <si>
    <t>понедельник</t>
  </si>
  <si>
    <t>вторник</t>
  </si>
  <si>
    <t>среда</t>
  </si>
  <si>
    <t>четверг</t>
  </si>
  <si>
    <t>пятница</t>
  </si>
  <si>
    <t>фио</t>
  </si>
  <si>
    <t>Магомедов Хабибула</t>
  </si>
  <si>
    <t>н</t>
  </si>
  <si>
    <t>ИТОГ</t>
  </si>
  <si>
    <t xml:space="preserve">нагрузка - 1 </t>
  </si>
  <si>
    <t>нагрузка - 2</t>
  </si>
  <si>
    <t>нагрузка - 3</t>
  </si>
  <si>
    <t>ОПТ Объем</t>
  </si>
  <si>
    <t>Опт Тоннаж</t>
  </si>
  <si>
    <t>Опт Строчки</t>
  </si>
  <si>
    <t>КПК Строчки</t>
  </si>
  <si>
    <t>День</t>
  </si>
  <si>
    <t>Количество строк ОПТ</t>
  </si>
  <si>
    <t>Зарплата в день</t>
  </si>
  <si>
    <t>Норма</t>
  </si>
  <si>
    <t>не было</t>
  </si>
  <si>
    <t>Сумма</t>
  </si>
  <si>
    <t>КПК Объем</t>
  </si>
  <si>
    <t>Количество строк КПК</t>
  </si>
  <si>
    <t xml:space="preserve">Данные за январь </t>
  </si>
  <si>
    <t>Всего отработано
 часов</t>
  </si>
  <si>
    <t>Нормативные часы</t>
  </si>
  <si>
    <t>Сверхурочные часы</t>
  </si>
  <si>
    <t>Перевыполнил</t>
  </si>
  <si>
    <t>Ошибок</t>
  </si>
  <si>
    <t>336:00:00.000</t>
  </si>
  <si>
    <t>Даты</t>
  </si>
  <si>
    <t>Время начала</t>
  </si>
  <si>
    <t>Время окончания</t>
  </si>
  <si>
    <t>Отработано часов</t>
  </si>
  <si>
    <t>Итог дня</t>
  </si>
  <si>
    <t>Упущ/Пере</t>
  </si>
  <si>
    <t>В день</t>
  </si>
  <si>
    <t>Информационное табло декабрь</t>
  </si>
  <si>
    <t>Общий тоннаж</t>
  </si>
  <si>
    <t>План Тоннаж</t>
  </si>
  <si>
    <t>Общее строк</t>
  </si>
  <si>
    <t>План Строчка</t>
  </si>
  <si>
    <t>Премия cтрочка</t>
  </si>
  <si>
    <t>Сумма штрафа</t>
  </si>
  <si>
    <t>Сумма за строчку</t>
  </si>
  <si>
    <t>Раюотал д</t>
  </si>
  <si>
    <t>% Тоннаж</t>
  </si>
  <si>
    <t>Осталось т</t>
  </si>
  <si>
    <t>% Строчки</t>
  </si>
  <si>
    <t>Осталось с</t>
  </si>
  <si>
    <t xml:space="preserve">Мотивация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</si>
</sst>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&quot; кг&quot;"/>
    <numFmt numFmtId="165" formatCode="#,##0\ &quot;₽&quot;"/>
    <numFmt numFmtId="166" formatCode="0.000&quot; кг&quot;"/>
    <numFmt numFmtId="167" formatCode="#,##0[$₽]"/>
    <numFmt numFmtId="168" formatCode="0.000"/>
    <numFmt numFmtId="169" formatCode="#,##0.00\ &quot;₽&quot;"/>
    <numFmt numFmtId="170" formatCode="0.&quot;кг&quot;"/>
    <numFmt numFmtId="171" formatCode="[$р.-419]#,##0"/>
    <numFmt numFmtId="172" formatCode="h&quot;:&quot;mm"/>
    <numFmt numFmtId="173" formatCode="d\.m\.yy"/>
    <numFmt numFmtId="174" formatCode="#,##0.00[$ ₽]"/>
    <numFmt numFmtId="175" formatCode="#,##0.00\ [$₽-444]"/>
    <numFmt numFmtId="176" formatCode="#,##0.00[$₽]"/>
  </numFmts>
  <fonts count="47" x14ac:knownFonts="1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Arial"/>
    </font>
    <font>
      <sz val="12"/>
      <color theme="1"/>
      <name val="Times New Roman"/>
    </font>
    <font>
      <b/>
      <sz val="11"/>
      <color theme="1"/>
      <name val="Calibri"/>
    </font>
    <font>
      <b/>
      <sz val="11"/>
      <color rgb="FFFF0000"/>
      <name val="Arial"/>
    </font>
    <font>
      <sz val="10"/>
      <color theme="1"/>
      <name val="Arial"/>
    </font>
    <font>
      <b/>
      <sz val="12"/>
      <color theme="1"/>
      <name val="Times New Roman"/>
    </font>
    <font>
      <b/>
      <sz val="12"/>
      <color rgb="FF0066FF"/>
      <name val="Times New Roman"/>
    </font>
    <font>
      <sz val="11"/>
      <color rgb="FF366092"/>
      <name val="Arial"/>
    </font>
    <font>
      <sz val="10"/>
      <color theme="1"/>
      <name val="Times New Roman"/>
    </font>
    <font>
      <b/>
      <sz val="36"/>
      <color rgb="FFFFFFFF"/>
      <name val="Calibri"/>
    </font>
    <font>
      <sz val="11"/>
      <name val="Arial"/>
    </font>
    <font>
      <b/>
      <sz val="11"/>
      <color theme="0"/>
      <name val="Arial"/>
    </font>
    <font>
      <b/>
      <sz val="11"/>
      <color theme="0"/>
      <name val="Calibri"/>
    </font>
    <font>
      <b/>
      <sz val="11"/>
      <color rgb="FFFFFFFF"/>
      <name val="Calibri"/>
    </font>
    <font>
      <b/>
      <sz val="11"/>
      <color rgb="FFFFFFFF"/>
      <name val="Arial"/>
    </font>
    <font>
      <b/>
      <sz val="11"/>
      <color theme="0"/>
      <name val="Calibri"/>
    </font>
    <font>
      <b/>
      <sz val="11"/>
      <color rgb="FFFFFFFF"/>
      <name val="Calibri"/>
    </font>
    <font>
      <sz val="20"/>
      <color theme="1"/>
      <name val="Calibri"/>
    </font>
    <font>
      <b/>
      <sz val="11"/>
      <color theme="1"/>
      <name val="Calibri"/>
    </font>
    <font>
      <b/>
      <sz val="11"/>
      <color rgb="FFFF0000"/>
      <name val="Calibri"/>
    </font>
    <font>
      <b/>
      <sz val="12"/>
      <color theme="4"/>
      <name val="Calibri"/>
    </font>
    <font>
      <sz val="11"/>
      <color theme="1"/>
      <name val="Calibri"/>
    </font>
    <font>
      <b/>
      <sz val="10"/>
      <color rgb="FFFF0000"/>
      <name val="Arial"/>
    </font>
    <font>
      <b/>
      <sz val="10"/>
      <color theme="1"/>
      <name val="Arial"/>
    </font>
    <font>
      <b/>
      <sz val="10"/>
      <color theme="5"/>
      <name val="Arial"/>
    </font>
    <font>
      <b/>
      <sz val="10"/>
      <color rgb="FFFF0000"/>
      <name val="Calibri"/>
    </font>
    <font>
      <b/>
      <sz val="9"/>
      <color rgb="FFFF0000"/>
      <name val="Arial"/>
    </font>
    <font>
      <sz val="11"/>
      <color theme="0"/>
      <name val="Calibri"/>
    </font>
    <font>
      <b/>
      <sz val="11"/>
      <color rgb="FF366092"/>
      <name val="Arial"/>
    </font>
    <font>
      <b/>
      <sz val="18"/>
      <color theme="1"/>
      <name val="Calibri"/>
    </font>
    <font>
      <sz val="18"/>
      <color theme="1"/>
      <name val="Calibri"/>
    </font>
    <font>
      <sz val="11"/>
      <color rgb="FF666666"/>
      <name val="Calibri"/>
    </font>
    <font>
      <sz val="8"/>
      <color theme="1"/>
      <name val="Arial"/>
    </font>
    <font>
      <sz val="11"/>
      <color theme="0"/>
      <name val="Arial"/>
    </font>
    <font>
      <sz val="11"/>
      <color theme="1"/>
      <name val="Arial"/>
    </font>
    <font>
      <sz val="11"/>
      <color rgb="FFFFFFFF"/>
      <name val="Calibri"/>
    </font>
    <font>
      <b/>
      <sz val="16"/>
      <color rgb="FF6F8CAC"/>
      <name val="Calibri"/>
    </font>
    <font>
      <sz val="11"/>
      <color rgb="FF000000"/>
      <name val="Calibri"/>
    </font>
    <font>
      <b/>
      <sz val="12"/>
      <color rgb="FFFFFFFF"/>
      <name val="Calibri"/>
    </font>
    <font>
      <b/>
      <sz val="20"/>
      <color rgb="FF273645"/>
      <name val="Calibri"/>
    </font>
    <font>
      <b/>
      <sz val="20"/>
      <color rgb="FF000000"/>
      <name val="Calibri"/>
    </font>
    <font>
      <b/>
      <sz val="20"/>
      <color theme="1"/>
      <name val="Calibri"/>
    </font>
    <font>
      <b/>
      <sz val="11"/>
      <color rgb="FF273645"/>
      <name val="Calibri"/>
    </font>
    <font>
      <b/>
      <sz val="14"/>
      <color theme="0"/>
      <name val="Arial"/>
    </font>
    <font>
      <b/>
      <sz val="14"/>
      <color rgb="FFFFFFFF"/>
      <name val="Calibri"/>
    </font>
  </fonts>
  <fills count="18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92CDDC"/>
        <bgColor rgb="FF92CDDC"/>
      </patternFill>
    </fill>
    <fill>
      <patternFill patternType="solid">
        <fgColor rgb="FFF3F3F3"/>
        <bgColor rgb="FFF3F3F3"/>
      </patternFill>
    </fill>
    <fill>
      <patternFill patternType="solid">
        <fgColor rgb="FFD8D8D8"/>
        <bgColor rgb="FFD8D8D8"/>
      </patternFill>
    </fill>
    <fill>
      <patternFill patternType="solid">
        <fgColor rgb="FFB6DDE8"/>
        <bgColor rgb="FFB6DDE8"/>
      </patternFill>
    </fill>
    <fill>
      <patternFill patternType="solid">
        <fgColor theme="4"/>
        <bgColor theme="4"/>
      </patternFill>
    </fill>
    <fill>
      <patternFill patternType="solid">
        <fgColor rgb="FF4A86E8"/>
        <bgColor rgb="FF4A86E8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366092"/>
        <bgColor rgb="FF366092"/>
      </patternFill>
    </fill>
    <fill>
      <patternFill patternType="solid">
        <fgColor rgb="FF6486A8"/>
        <bgColor rgb="FF6486A8"/>
      </patternFill>
    </fill>
    <fill>
      <patternFill patternType="solid">
        <fgColor rgb="FFFFFFFF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theme="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3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1" xfId="0" applyFont="1" applyFill="1" applyBorder="1"/>
    <xf numFmtId="164" fontId="4" fillId="0" borderId="0" xfId="0" applyNumberFormat="1" applyFont="1" applyAlignment="1">
      <alignment horizontal="center"/>
    </xf>
    <xf numFmtId="9" fontId="5" fillId="3" borderId="2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5" fontId="7" fillId="6" borderId="3" xfId="0" applyNumberFormat="1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166" fontId="7" fillId="6" borderId="9" xfId="0" applyNumberFormat="1" applyFont="1" applyFill="1" applyBorder="1" applyAlignment="1">
      <alignment horizontal="center" vertical="center" wrapText="1"/>
    </xf>
    <xf numFmtId="165" fontId="8" fillId="6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7" fillId="6" borderId="9" xfId="0" applyFont="1" applyFill="1" applyBorder="1" applyAlignment="1">
      <alignment horizontal="center" vertical="center" wrapText="1"/>
    </xf>
    <xf numFmtId="166" fontId="7" fillId="6" borderId="9" xfId="0" applyNumberFormat="1" applyFont="1" applyFill="1" applyBorder="1" applyAlignment="1">
      <alignment horizontal="center" vertical="top"/>
    </xf>
    <xf numFmtId="165" fontId="8" fillId="6" borderId="5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top"/>
    </xf>
    <xf numFmtId="9" fontId="5" fillId="3" borderId="10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9" fontId="5" fillId="3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9" fillId="2" borderId="5" xfId="0" applyFont="1" applyFill="1" applyBorder="1"/>
    <xf numFmtId="166" fontId="7" fillId="6" borderId="4" xfId="0" applyNumberFormat="1" applyFont="1" applyFill="1" applyBorder="1" applyAlignment="1">
      <alignment horizontal="center" vertical="top"/>
    </xf>
    <xf numFmtId="167" fontId="1" fillId="0" borderId="0" xfId="0" applyNumberFormat="1" applyFont="1"/>
    <xf numFmtId="165" fontId="1" fillId="0" borderId="0" xfId="0" applyNumberFormat="1" applyFont="1"/>
    <xf numFmtId="0" fontId="2" fillId="0" borderId="1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8" fontId="6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8" fontId="0" fillId="0" borderId="1" xfId="0" applyNumberFormat="1" applyFont="1" applyBorder="1" applyAlignment="1">
      <alignment horizontal="center"/>
    </xf>
    <xf numFmtId="167" fontId="1" fillId="0" borderId="0" xfId="0" applyNumberFormat="1" applyFont="1"/>
    <xf numFmtId="0" fontId="0" fillId="0" borderId="0" xfId="0" applyFont="1"/>
    <xf numFmtId="2" fontId="0" fillId="0" borderId="0" xfId="0" applyNumberFormat="1" applyFont="1"/>
    <xf numFmtId="9" fontId="0" fillId="0" borderId="0" xfId="0" applyNumberFormat="1" applyFont="1"/>
    <xf numFmtId="0" fontId="13" fillId="7" borderId="1" xfId="0" applyFont="1" applyFill="1" applyBorder="1" applyAlignment="1">
      <alignment horizontal="center"/>
    </xf>
    <xf numFmtId="0" fontId="14" fillId="7" borderId="1" xfId="0" applyFont="1" applyFill="1" applyBorder="1"/>
    <xf numFmtId="0" fontId="15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3" fillId="7" borderId="1" xfId="0" applyFont="1" applyFill="1" applyBorder="1"/>
    <xf numFmtId="0" fontId="16" fillId="0" borderId="1" xfId="0" applyFont="1" applyBorder="1" applyAlignment="1">
      <alignment horizontal="center"/>
    </xf>
    <xf numFmtId="0" fontId="1" fillId="7" borderId="1" xfId="0" applyFont="1" applyFill="1" applyBorder="1"/>
    <xf numFmtId="0" fontId="4" fillId="7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left"/>
    </xf>
    <xf numFmtId="0" fontId="17" fillId="7" borderId="1" xfId="0" applyFont="1" applyFill="1" applyBorder="1" applyAlignment="1"/>
    <xf numFmtId="0" fontId="18" fillId="7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6" fontId="4" fillId="0" borderId="1" xfId="0" applyNumberFormat="1" applyFont="1" applyBorder="1" applyAlignment="1">
      <alignment horizontal="center"/>
    </xf>
    <xf numFmtId="170" fontId="4" fillId="0" borderId="1" xfId="0" applyNumberFormat="1" applyFont="1" applyBorder="1" applyAlignment="1">
      <alignment horizontal="center" vertical="center"/>
    </xf>
    <xf numFmtId="165" fontId="4" fillId="8" borderId="1" xfId="0" applyNumberFormat="1" applyFont="1" applyFill="1" applyBorder="1" applyAlignment="1">
      <alignment horizontal="center" vertical="center"/>
    </xf>
    <xf numFmtId="165" fontId="4" fillId="9" borderId="1" xfId="0" applyNumberFormat="1" applyFont="1" applyFill="1" applyBorder="1" applyAlignment="1">
      <alignment horizontal="center" vertical="center"/>
    </xf>
    <xf numFmtId="165" fontId="4" fillId="10" borderId="1" xfId="0" applyNumberFormat="1" applyFont="1" applyFill="1" applyBorder="1" applyAlignment="1">
      <alignment horizontal="center" vertical="center"/>
    </xf>
    <xf numFmtId="165" fontId="4" fillId="11" borderId="1" xfId="0" applyNumberFormat="1" applyFont="1" applyFill="1" applyBorder="1" applyAlignment="1">
      <alignment horizontal="center" vertical="center"/>
    </xf>
    <xf numFmtId="165" fontId="4" fillId="12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0" fontId="20" fillId="13" borderId="1" xfId="0" applyNumberFormat="1" applyFont="1" applyFill="1" applyBorder="1" applyAlignment="1">
      <alignment horizontal="center"/>
    </xf>
    <xf numFmtId="0" fontId="20" fillId="13" borderId="1" xfId="0" applyFont="1" applyFill="1" applyBorder="1" applyAlignment="1">
      <alignment horizontal="center"/>
    </xf>
    <xf numFmtId="9" fontId="21" fillId="13" borderId="1" xfId="0" applyNumberFormat="1" applyFont="1" applyFill="1" applyBorder="1" applyAlignment="1">
      <alignment horizontal="center"/>
    </xf>
    <xf numFmtId="10" fontId="22" fillId="13" borderId="1" xfId="0" applyNumberFormat="1" applyFont="1" applyFill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3" fillId="0" borderId="1" xfId="0" applyFont="1" applyBorder="1"/>
    <xf numFmtId="0" fontId="1" fillId="14" borderId="1" xfId="0" applyFont="1" applyFill="1" applyBorder="1"/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6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1" fillId="7" borderId="0" xfId="0" applyFont="1" applyFill="1"/>
    <xf numFmtId="165" fontId="19" fillId="0" borderId="0" xfId="0" applyNumberFormat="1" applyFont="1" applyAlignment="1">
      <alignment horizontal="center" vertical="center"/>
    </xf>
    <xf numFmtId="0" fontId="20" fillId="13" borderId="22" xfId="0" applyFont="1" applyFill="1" applyBorder="1" applyAlignment="1">
      <alignment horizontal="center"/>
    </xf>
    <xf numFmtId="9" fontId="21" fillId="13" borderId="0" xfId="0" applyNumberFormat="1" applyFont="1" applyFill="1" applyAlignment="1">
      <alignment horizontal="center"/>
    </xf>
    <xf numFmtId="10" fontId="22" fillId="13" borderId="0" xfId="0" applyNumberFormat="1" applyFont="1" applyFill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13" borderId="1" xfId="0" applyFont="1" applyFill="1" applyBorder="1" applyAlignment="1">
      <alignment horizontal="center" vertical="center"/>
    </xf>
    <xf numFmtId="0" fontId="26" fillId="13" borderId="1" xfId="0" applyFont="1" applyFill="1" applyBorder="1" applyAlignment="1">
      <alignment horizontal="center" vertical="center"/>
    </xf>
    <xf numFmtId="46" fontId="26" fillId="0" borderId="23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70" fontId="24" fillId="0" borderId="1" xfId="0" applyNumberFormat="1" applyFont="1" applyBorder="1" applyAlignment="1">
      <alignment horizontal="center" vertical="center"/>
    </xf>
    <xf numFmtId="165" fontId="26" fillId="13" borderId="1" xfId="0" applyNumberFormat="1" applyFont="1" applyFill="1" applyBorder="1" applyAlignment="1">
      <alignment horizontal="center" vertical="center"/>
    </xf>
    <xf numFmtId="165" fontId="24" fillId="0" borderId="1" xfId="0" applyNumberFormat="1" applyFont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/>
    </xf>
    <xf numFmtId="165" fontId="24" fillId="2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/>
    </xf>
    <xf numFmtId="0" fontId="1" fillId="7" borderId="24" xfId="0" applyFont="1" applyFill="1" applyBorder="1"/>
    <xf numFmtId="0" fontId="1" fillId="7" borderId="25" xfId="0" applyFont="1" applyFill="1" applyBorder="1"/>
    <xf numFmtId="0" fontId="1" fillId="7" borderId="26" xfId="0" applyFont="1" applyFill="1" applyBorder="1"/>
    <xf numFmtId="0" fontId="20" fillId="13" borderId="1" xfId="0" applyFont="1" applyFill="1" applyBorder="1" applyAlignment="1">
      <alignment horizontal="center" vertical="center"/>
    </xf>
    <xf numFmtId="9" fontId="21" fillId="13" borderId="0" xfId="0" applyNumberFormat="1" applyFont="1" applyFill="1" applyAlignment="1">
      <alignment horizontal="center"/>
    </xf>
    <xf numFmtId="10" fontId="21" fillId="13" borderId="1" xfId="0" applyNumberFormat="1" applyFont="1" applyFill="1" applyBorder="1" applyAlignment="1">
      <alignment horizontal="center"/>
    </xf>
    <xf numFmtId="0" fontId="28" fillId="14" borderId="0" xfId="0" applyFont="1" applyFill="1" applyAlignment="1">
      <alignment horizontal="center"/>
    </xf>
    <xf numFmtId="0" fontId="2" fillId="14" borderId="0" xfId="0" applyFont="1" applyFill="1"/>
    <xf numFmtId="0" fontId="28" fillId="14" borderId="0" xfId="0" applyFont="1" applyFill="1"/>
    <xf numFmtId="0" fontId="2" fillId="14" borderId="0" xfId="0" applyFont="1" applyFill="1" applyAlignment="1">
      <alignment horizontal="center"/>
    </xf>
    <xf numFmtId="0" fontId="5" fillId="14" borderId="0" xfId="0" applyFont="1" applyFill="1" applyAlignment="1">
      <alignment horizontal="center"/>
    </xf>
    <xf numFmtId="168" fontId="2" fillId="14" borderId="0" xfId="0" applyNumberFormat="1" applyFont="1" applyFill="1" applyAlignment="1">
      <alignment horizontal="center" vertical="center"/>
    </xf>
    <xf numFmtId="0" fontId="5" fillId="14" borderId="0" xfId="0" applyFont="1" applyFill="1" applyAlignment="1">
      <alignment horizontal="center"/>
    </xf>
    <xf numFmtId="0" fontId="2" fillId="14" borderId="0" xfId="0" applyFont="1" applyFill="1" applyAlignment="1">
      <alignment horizontal="center" vertical="center"/>
    </xf>
    <xf numFmtId="0" fontId="1" fillId="7" borderId="2" xfId="0" applyFont="1" applyFill="1" applyBorder="1"/>
    <xf numFmtId="0" fontId="4" fillId="7" borderId="2" xfId="0" applyFont="1" applyFill="1" applyBorder="1" applyAlignment="1">
      <alignment horizontal="center"/>
    </xf>
    <xf numFmtId="0" fontId="20" fillId="14" borderId="0" xfId="0" applyFont="1" applyFill="1" applyAlignment="1">
      <alignment horizontal="center" vertical="center"/>
    </xf>
    <xf numFmtId="167" fontId="20" fillId="14" borderId="0" xfId="0" applyNumberFormat="1" applyFont="1" applyFill="1" applyAlignment="1">
      <alignment horizontal="center" vertical="center"/>
    </xf>
    <xf numFmtId="0" fontId="20" fillId="14" borderId="0" xfId="0" applyFont="1" applyFill="1" applyAlignment="1">
      <alignment horizontal="center"/>
    </xf>
    <xf numFmtId="0" fontId="29" fillId="14" borderId="0" xfId="0" applyFont="1" applyFill="1" applyAlignment="1">
      <alignment horizontal="left"/>
    </xf>
    <xf numFmtId="0" fontId="20" fillId="0" borderId="0" xfId="0" applyFont="1"/>
    <xf numFmtId="0" fontId="2" fillId="7" borderId="0" xfId="0" applyFont="1" applyFill="1" applyAlignment="1">
      <alignment horizontal="center" vertical="center"/>
    </xf>
    <xf numFmtId="0" fontId="4" fillId="7" borderId="0" xfId="0" applyFont="1" applyFill="1"/>
    <xf numFmtId="167" fontId="23" fillId="0" borderId="0" xfId="0" applyNumberFormat="1" applyFont="1"/>
    <xf numFmtId="0" fontId="1" fillId="14" borderId="18" xfId="0" applyFont="1" applyFill="1" applyBorder="1" applyAlignment="1">
      <alignment horizontal="center" vertical="center"/>
    </xf>
    <xf numFmtId="0" fontId="4" fillId="14" borderId="21" xfId="0" applyFont="1" applyFill="1" applyBorder="1" applyAlignment="1">
      <alignment horizontal="center"/>
    </xf>
    <xf numFmtId="0" fontId="4" fillId="14" borderId="16" xfId="0" applyFont="1" applyFill="1" applyBorder="1" applyAlignment="1">
      <alignment horizontal="center"/>
    </xf>
    <xf numFmtId="0" fontId="15" fillId="14" borderId="0" xfId="0" applyFont="1" applyFill="1" applyAlignment="1">
      <alignment horizontal="center"/>
    </xf>
    <xf numFmtId="0" fontId="14" fillId="14" borderId="0" xfId="0" applyFont="1" applyFill="1" applyAlignment="1">
      <alignment horizontal="center"/>
    </xf>
    <xf numFmtId="167" fontId="23" fillId="0" borderId="0" xfId="0" applyNumberFormat="1" applyFont="1"/>
    <xf numFmtId="0" fontId="1" fillId="2" borderId="22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30" fillId="14" borderId="1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23" fillId="14" borderId="0" xfId="0" applyFont="1" applyFill="1"/>
    <xf numFmtId="165" fontId="1" fillId="14" borderId="0" xfId="0" applyNumberFormat="1" applyFont="1" applyFill="1" applyAlignment="1"/>
    <xf numFmtId="165" fontId="1" fillId="14" borderId="0" xfId="0" applyNumberFormat="1" applyFont="1" applyFill="1"/>
    <xf numFmtId="0" fontId="31" fillId="0" borderId="0" xfId="0" applyFont="1" applyAlignment="1">
      <alignment horizontal="center"/>
    </xf>
    <xf numFmtId="0" fontId="0" fillId="2" borderId="22" xfId="0" applyFont="1" applyFill="1" applyBorder="1" applyAlignment="1"/>
    <xf numFmtId="0" fontId="1" fillId="5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5" borderId="1" xfId="0" applyFont="1" applyFill="1" applyBorder="1" applyAlignment="1"/>
    <xf numFmtId="0" fontId="1" fillId="14" borderId="1" xfId="0" applyFont="1" applyFill="1" applyBorder="1" applyAlignment="1"/>
    <xf numFmtId="0" fontId="0" fillId="2" borderId="21" xfId="0" applyFont="1" applyFill="1" applyBorder="1" applyAlignment="1">
      <alignment horizontal="center"/>
    </xf>
    <xf numFmtId="0" fontId="0" fillId="0" borderId="1" xfId="0" applyFont="1" applyBorder="1"/>
    <xf numFmtId="167" fontId="20" fillId="2" borderId="22" xfId="0" applyNumberFormat="1" applyFont="1" applyFill="1" applyBorder="1" applyAlignment="1">
      <alignment horizontal="center"/>
    </xf>
    <xf numFmtId="165" fontId="32" fillId="0" borderId="0" xfId="0" applyNumberFormat="1" applyFont="1" applyAlignment="1">
      <alignment horizontal="center"/>
    </xf>
    <xf numFmtId="0" fontId="0" fillId="2" borderId="22" xfId="0" applyFont="1" applyFill="1" applyBorder="1"/>
    <xf numFmtId="0" fontId="0" fillId="2" borderId="1" xfId="0" applyFont="1" applyFill="1" applyBorder="1" applyAlignment="1">
      <alignment horizontal="center"/>
    </xf>
    <xf numFmtId="0" fontId="33" fillId="5" borderId="1" xfId="0" applyFont="1" applyFill="1" applyBorder="1" applyAlignment="1">
      <alignment horizontal="center"/>
    </xf>
    <xf numFmtId="0" fontId="30" fillId="14" borderId="0" xfId="0" applyFont="1" applyFill="1"/>
    <xf numFmtId="0" fontId="0" fillId="2" borderId="13" xfId="0" applyFont="1" applyFill="1" applyBorder="1"/>
    <xf numFmtId="0" fontId="1" fillId="5" borderId="19" xfId="0" applyFont="1" applyFill="1" applyBorder="1" applyAlignment="1">
      <alignment horizontal="center"/>
    </xf>
    <xf numFmtId="0" fontId="1" fillId="14" borderId="19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19" xfId="0" applyFont="1" applyFill="1" applyBorder="1" applyAlignment="1"/>
    <xf numFmtId="0" fontId="1" fillId="14" borderId="19" xfId="0" applyFont="1" applyFill="1" applyBorder="1" applyAlignment="1"/>
    <xf numFmtId="0" fontId="0" fillId="5" borderId="1" xfId="0" applyFont="1" applyFill="1" applyBorder="1" applyAlignment="1">
      <alignment horizontal="center"/>
    </xf>
    <xf numFmtId="0" fontId="0" fillId="14" borderId="1" xfId="0" applyFont="1" applyFill="1" applyBorder="1" applyAlignment="1">
      <alignment horizontal="center"/>
    </xf>
    <xf numFmtId="0" fontId="0" fillId="14" borderId="1" xfId="0" applyFont="1" applyFill="1" applyBorder="1" applyAlignment="1"/>
    <xf numFmtId="0" fontId="1" fillId="14" borderId="0" xfId="0" applyFont="1" applyFill="1"/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/>
    <xf numFmtId="167" fontId="34" fillId="14" borderId="1" xfId="0" applyNumberFormat="1" applyFont="1" applyFill="1" applyBorder="1" applyAlignment="1">
      <alignment horizontal="center"/>
    </xf>
    <xf numFmtId="167" fontId="0" fillId="2" borderId="1" xfId="0" applyNumberFormat="1" applyFont="1" applyFill="1" applyBorder="1" applyAlignment="1">
      <alignment horizontal="center"/>
    </xf>
    <xf numFmtId="167" fontId="0" fillId="14" borderId="1" xfId="0" applyNumberFormat="1" applyFont="1" applyFill="1" applyBorder="1" applyAlignment="1">
      <alignment horizontal="center"/>
    </xf>
    <xf numFmtId="171" fontId="23" fillId="0" borderId="0" xfId="0" applyNumberFormat="1" applyFont="1"/>
    <xf numFmtId="0" fontId="14" fillId="7" borderId="27" xfId="0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0" fontId="14" fillId="15" borderId="28" xfId="0" applyFont="1" applyFill="1" applyBorder="1" applyAlignment="1">
      <alignment horizontal="center"/>
    </xf>
    <xf numFmtId="0" fontId="30" fillId="13" borderId="1" xfId="0" applyFont="1" applyFill="1" applyBorder="1"/>
    <xf numFmtId="0" fontId="9" fillId="0" borderId="1" xfId="0" applyFont="1" applyBorder="1"/>
    <xf numFmtId="165" fontId="1" fillId="0" borderId="28" xfId="0" applyNumberFormat="1" applyFont="1" applyBorder="1"/>
    <xf numFmtId="0" fontId="1" fillId="0" borderId="0" xfId="0" applyFont="1"/>
    <xf numFmtId="0" fontId="34" fillId="2" borderId="1" xfId="0" applyFont="1" applyFill="1" applyBorder="1"/>
    <xf numFmtId="0" fontId="1" fillId="2" borderId="1" xfId="0" applyFont="1" applyFill="1" applyBorder="1"/>
    <xf numFmtId="0" fontId="34" fillId="5" borderId="1" xfId="0" applyFont="1" applyFill="1" applyBorder="1"/>
    <xf numFmtId="0" fontId="23" fillId="2" borderId="0" xfId="0" applyFont="1" applyFill="1"/>
    <xf numFmtId="0" fontId="34" fillId="2" borderId="1" xfId="0" applyFont="1" applyFill="1" applyBorder="1" applyAlignment="1"/>
    <xf numFmtId="0" fontId="23" fillId="5" borderId="1" xfId="0" applyFont="1" applyFill="1" applyBorder="1"/>
    <xf numFmtId="0" fontId="23" fillId="2" borderId="1" xfId="0" applyFont="1" applyFill="1" applyBorder="1"/>
    <xf numFmtId="0" fontId="34" fillId="2" borderId="9" xfId="0" applyFont="1" applyFill="1" applyBorder="1"/>
    <xf numFmtId="0" fontId="34" fillId="5" borderId="1" xfId="0" applyFont="1" applyFill="1" applyBorder="1" applyAlignment="1"/>
    <xf numFmtId="0" fontId="34" fillId="2" borderId="19" xfId="0" applyFont="1" applyFill="1" applyBorder="1"/>
    <xf numFmtId="0" fontId="34" fillId="2" borderId="5" xfId="0" applyFont="1" applyFill="1" applyBorder="1"/>
    <xf numFmtId="0" fontId="34" fillId="5" borderId="19" xfId="0" applyFont="1" applyFill="1" applyBorder="1"/>
    <xf numFmtId="0" fontId="34" fillId="2" borderId="4" xfId="0" applyFont="1" applyFill="1" applyBorder="1"/>
    <xf numFmtId="0" fontId="0" fillId="14" borderId="22" xfId="0" applyFont="1" applyFill="1" applyBorder="1"/>
    <xf numFmtId="0" fontId="1" fillId="5" borderId="1" xfId="0" applyFont="1" applyFill="1" applyBorder="1"/>
    <xf numFmtId="0" fontId="23" fillId="14" borderId="1" xfId="0" applyFont="1" applyFill="1" applyBorder="1"/>
    <xf numFmtId="0" fontId="0" fillId="14" borderId="1" xfId="0" applyFont="1" applyFill="1" applyBorder="1" applyAlignment="1">
      <alignment horizontal="center"/>
    </xf>
    <xf numFmtId="0" fontId="14" fillId="14" borderId="9" xfId="0" applyFont="1" applyFill="1" applyBorder="1" applyAlignment="1">
      <alignment horizontal="center"/>
    </xf>
    <xf numFmtId="0" fontId="35" fillId="0" borderId="12" xfId="0" applyFont="1" applyBorder="1"/>
    <xf numFmtId="0" fontId="35" fillId="0" borderId="12" xfId="0" applyFont="1" applyBorder="1" applyAlignment="1">
      <alignment horizontal="center"/>
    </xf>
    <xf numFmtId="0" fontId="30" fillId="2" borderId="1" xfId="0" applyFont="1" applyFill="1" applyBorder="1"/>
    <xf numFmtId="165" fontId="1" fillId="2" borderId="1" xfId="0" applyNumberFormat="1" applyFont="1" applyFill="1" applyBorder="1"/>
    <xf numFmtId="0" fontId="2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/>
    <xf numFmtId="0" fontId="23" fillId="2" borderId="0" xfId="0" applyFont="1" applyFill="1" applyAlignment="1"/>
    <xf numFmtId="0" fontId="1" fillId="2" borderId="9" xfId="0" applyFont="1" applyFill="1" applyBorder="1"/>
    <xf numFmtId="0" fontId="1" fillId="2" borderId="1" xfId="0" applyFont="1" applyFill="1" applyBorder="1" applyAlignment="1"/>
    <xf numFmtId="0" fontId="30" fillId="2" borderId="1" xfId="0" applyFont="1" applyFill="1" applyBorder="1"/>
    <xf numFmtId="0" fontId="23" fillId="2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/>
    </xf>
    <xf numFmtId="0" fontId="23" fillId="5" borderId="0" xfId="0" applyFont="1" applyFill="1"/>
    <xf numFmtId="167" fontId="23" fillId="0" borderId="0" xfId="0" applyNumberFormat="1" applyFont="1" applyAlignment="1"/>
    <xf numFmtId="0" fontId="37" fillId="0" borderId="12" xfId="0" applyFont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1" fillId="2" borderId="19" xfId="0" applyFont="1" applyFill="1" applyBorder="1"/>
    <xf numFmtId="0" fontId="1" fillId="2" borderId="5" xfId="0" applyFont="1" applyFill="1" applyBorder="1"/>
    <xf numFmtId="0" fontId="1" fillId="5" borderId="19" xfId="0" applyFont="1" applyFill="1" applyBorder="1"/>
    <xf numFmtId="0" fontId="1" fillId="2" borderId="4" xfId="0" applyFont="1" applyFill="1" applyBorder="1"/>
    <xf numFmtId="0" fontId="30" fillId="2" borderId="1" xfId="0" applyFont="1" applyFill="1" applyBorder="1" applyAlignment="1"/>
    <xf numFmtId="0" fontId="23" fillId="0" borderId="1" xfId="0" applyFont="1" applyBorder="1" applyAlignment="1"/>
    <xf numFmtId="0" fontId="23" fillId="0" borderId="1" xfId="0" applyFont="1" applyBorder="1" applyAlignment="1">
      <alignment horizontal="center"/>
    </xf>
    <xf numFmtId="165" fontId="0" fillId="0" borderId="1" xfId="0" applyNumberFormat="1" applyFont="1" applyBorder="1"/>
    <xf numFmtId="0" fontId="0" fillId="14" borderId="1" xfId="0" applyFont="1" applyFill="1" applyBorder="1"/>
    <xf numFmtId="0" fontId="0" fillId="5" borderId="1" xfId="0" applyFont="1" applyFill="1" applyBorder="1"/>
    <xf numFmtId="0" fontId="0" fillId="14" borderId="9" xfId="0" applyFont="1" applyFill="1" applyBorder="1"/>
    <xf numFmtId="0" fontId="30" fillId="0" borderId="1" xfId="0" applyFont="1" applyBorder="1"/>
    <xf numFmtId="0" fontId="0" fillId="0" borderId="1" xfId="0" applyFont="1" applyBorder="1" applyAlignment="1"/>
    <xf numFmtId="0" fontId="23" fillId="14" borderId="16" xfId="0" applyFont="1" applyFill="1" applyBorder="1"/>
    <xf numFmtId="0" fontId="23" fillId="14" borderId="17" xfId="0" applyFont="1" applyFill="1" applyBorder="1"/>
    <xf numFmtId="165" fontId="0" fillId="14" borderId="18" xfId="0" applyNumberFormat="1" applyFont="1" applyFill="1" applyBorder="1"/>
    <xf numFmtId="0" fontId="30" fillId="13" borderId="1" xfId="0" applyFont="1" applyFill="1" applyBorder="1" applyAlignment="1"/>
    <xf numFmtId="0" fontId="23" fillId="14" borderId="22" xfId="0" applyFont="1" applyFill="1" applyBorder="1"/>
    <xf numFmtId="0" fontId="1" fillId="2" borderId="29" xfId="0" applyFont="1" applyFill="1" applyBorder="1"/>
    <xf numFmtId="0" fontId="0" fillId="2" borderId="9" xfId="0" applyFont="1" applyFill="1" applyBorder="1"/>
    <xf numFmtId="172" fontId="23" fillId="0" borderId="0" xfId="0" applyNumberFormat="1" applyFont="1"/>
    <xf numFmtId="0" fontId="39" fillId="0" borderId="0" xfId="0" applyFont="1" applyAlignment="1">
      <alignment horizontal="left"/>
    </xf>
    <xf numFmtId="0" fontId="40" fillId="16" borderId="0" xfId="0" applyFont="1" applyFill="1" applyAlignment="1">
      <alignment horizontal="left"/>
    </xf>
    <xf numFmtId="0" fontId="40" fillId="16" borderId="0" xfId="0" applyFont="1" applyFill="1" applyAlignment="1">
      <alignment horizontal="left" vertical="center"/>
    </xf>
    <xf numFmtId="0" fontId="40" fillId="16" borderId="0" xfId="0" applyFont="1" applyFill="1" applyAlignment="1">
      <alignment horizontal="center" vertical="center"/>
    </xf>
    <xf numFmtId="0" fontId="41" fillId="0" borderId="0" xfId="0" applyFont="1" applyAlignment="1">
      <alignment horizontal="left"/>
    </xf>
    <xf numFmtId="46" fontId="41" fillId="0" borderId="0" xfId="0" applyNumberFormat="1" applyFont="1" applyAlignment="1">
      <alignment horizontal="left"/>
    </xf>
    <xf numFmtId="167" fontId="42" fillId="0" borderId="0" xfId="0" applyNumberFormat="1" applyFont="1" applyAlignment="1">
      <alignment horizontal="center"/>
    </xf>
    <xf numFmtId="0" fontId="43" fillId="0" borderId="1" xfId="0" applyFont="1" applyBorder="1" applyAlignment="1">
      <alignment horizontal="center" vertical="center"/>
    </xf>
    <xf numFmtId="0" fontId="15" fillId="16" borderId="11" xfId="0" applyFont="1" applyFill="1" applyBorder="1" applyAlignment="1">
      <alignment horizontal="center"/>
    </xf>
    <xf numFmtId="0" fontId="15" fillId="16" borderId="12" xfId="0" applyFont="1" applyFill="1" applyBorder="1" applyAlignment="1">
      <alignment horizontal="center"/>
    </xf>
    <xf numFmtId="0" fontId="15" fillId="16" borderId="13" xfId="0" applyFont="1" applyFill="1" applyBorder="1" applyAlignment="1">
      <alignment horizontal="center"/>
    </xf>
    <xf numFmtId="173" fontId="44" fillId="5" borderId="1" xfId="0" applyNumberFormat="1" applyFont="1" applyFill="1" applyBorder="1" applyAlignment="1">
      <alignment horizontal="center"/>
    </xf>
    <xf numFmtId="172" fontId="23" fillId="5" borderId="1" xfId="0" applyNumberFormat="1" applyFont="1" applyFill="1" applyBorder="1" applyAlignment="1">
      <alignment horizontal="center"/>
    </xf>
    <xf numFmtId="172" fontId="23" fillId="5" borderId="1" xfId="0" applyNumberFormat="1" applyFont="1" applyFill="1" applyBorder="1" applyAlignment="1">
      <alignment horizontal="center"/>
    </xf>
    <xf numFmtId="167" fontId="44" fillId="5" borderId="1" xfId="0" applyNumberFormat="1" applyFont="1" applyFill="1" applyBorder="1" applyAlignment="1">
      <alignment horizontal="center"/>
    </xf>
    <xf numFmtId="0" fontId="44" fillId="5" borderId="1" xfId="0" applyFont="1" applyFill="1" applyBorder="1" applyAlignment="1">
      <alignment horizontal="center"/>
    </xf>
    <xf numFmtId="167" fontId="39" fillId="17" borderId="0" xfId="0" applyNumberFormat="1" applyFont="1" applyFill="1" applyAlignment="1">
      <alignment horizontal="right"/>
    </xf>
    <xf numFmtId="173" fontId="44" fillId="14" borderId="1" xfId="0" applyNumberFormat="1" applyFont="1" applyFill="1" applyBorder="1" applyAlignment="1">
      <alignment horizontal="center"/>
    </xf>
    <xf numFmtId="20" fontId="44" fillId="14" borderId="1" xfId="0" applyNumberFormat="1" applyFont="1" applyFill="1" applyBorder="1" applyAlignment="1">
      <alignment horizontal="center"/>
    </xf>
    <xf numFmtId="20" fontId="23" fillId="14" borderId="1" xfId="0" applyNumberFormat="1" applyFont="1" applyFill="1" applyBorder="1" applyAlignment="1">
      <alignment horizontal="center"/>
    </xf>
    <xf numFmtId="167" fontId="44" fillId="14" borderId="1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20" fontId="44" fillId="5" borderId="1" xfId="0" applyNumberFormat="1" applyFont="1" applyFill="1" applyBorder="1" applyAlignment="1">
      <alignment horizontal="center"/>
    </xf>
    <xf numFmtId="20" fontId="23" fillId="5" borderId="1" xfId="0" applyNumberFormat="1" applyFont="1" applyFill="1" applyBorder="1" applyAlignment="1">
      <alignment horizontal="center"/>
    </xf>
    <xf numFmtId="0" fontId="44" fillId="5" borderId="1" xfId="0" applyFont="1" applyFill="1" applyBorder="1" applyAlignment="1">
      <alignment horizontal="center"/>
    </xf>
    <xf numFmtId="172" fontId="23" fillId="5" borderId="1" xfId="0" applyNumberFormat="1" applyFont="1" applyFill="1" applyBorder="1" applyAlignment="1">
      <alignment horizontal="center"/>
    </xf>
    <xf numFmtId="0" fontId="44" fillId="0" borderId="1" xfId="0" applyFont="1" applyBorder="1" applyAlignment="1">
      <alignment horizontal="center"/>
    </xf>
    <xf numFmtId="172" fontId="23" fillId="14" borderId="1" xfId="0" applyNumberFormat="1" applyFont="1" applyFill="1" applyBorder="1" applyAlignment="1">
      <alignment horizontal="center"/>
    </xf>
    <xf numFmtId="0" fontId="40" fillId="16" borderId="16" xfId="0" applyFont="1" applyFill="1" applyBorder="1" applyAlignment="1">
      <alignment horizontal="center"/>
    </xf>
    <xf numFmtId="0" fontId="40" fillId="16" borderId="17" xfId="0" applyFont="1" applyFill="1" applyBorder="1" applyAlignment="1">
      <alignment horizontal="left"/>
    </xf>
    <xf numFmtId="46" fontId="40" fillId="16" borderId="17" xfId="0" applyNumberFormat="1" applyFont="1" applyFill="1" applyBorder="1" applyAlignment="1">
      <alignment horizontal="left"/>
    </xf>
    <xf numFmtId="167" fontId="40" fillId="16" borderId="17" xfId="0" applyNumberFormat="1" applyFont="1" applyFill="1" applyBorder="1" applyAlignment="1">
      <alignment horizontal="center"/>
    </xf>
    <xf numFmtId="0" fontId="40" fillId="16" borderId="18" xfId="0" applyFont="1" applyFill="1" applyBorder="1" applyAlignment="1">
      <alignment horizontal="left"/>
    </xf>
    <xf numFmtId="174" fontId="23" fillId="0" borderId="0" xfId="0" applyNumberFormat="1" applyFont="1" applyAlignment="1"/>
    <xf numFmtId="173" fontId="44" fillId="14" borderId="14" xfId="0" applyNumberFormat="1" applyFont="1" applyFill="1" applyBorder="1" applyAlignment="1">
      <alignment horizontal="center"/>
    </xf>
    <xf numFmtId="20" fontId="20" fillId="14" borderId="1" xfId="0" applyNumberFormat="1" applyFont="1" applyFill="1" applyBorder="1" applyAlignment="1">
      <alignment horizontal="center"/>
    </xf>
    <xf numFmtId="173" fontId="44" fillId="5" borderId="14" xfId="0" applyNumberFormat="1" applyFont="1" applyFill="1" applyBorder="1" applyAlignment="1">
      <alignment horizontal="center"/>
    </xf>
    <xf numFmtId="20" fontId="20" fillId="5" borderId="1" xfId="0" applyNumberFormat="1" applyFont="1" applyFill="1" applyBorder="1" applyAlignment="1">
      <alignment horizontal="center"/>
    </xf>
    <xf numFmtId="172" fontId="20" fillId="5" borderId="1" xfId="0" applyNumberFormat="1" applyFont="1" applyFill="1" applyBorder="1" applyAlignment="1">
      <alignment horizontal="center"/>
    </xf>
    <xf numFmtId="172" fontId="20" fillId="14" borderId="1" xfId="0" applyNumberFormat="1" applyFont="1" applyFill="1" applyBorder="1" applyAlignment="1">
      <alignment horizontal="center"/>
    </xf>
    <xf numFmtId="46" fontId="40" fillId="16" borderId="17" xfId="0" applyNumberFormat="1" applyFont="1" applyFill="1" applyBorder="1" applyAlignment="1">
      <alignment horizontal="center"/>
    </xf>
    <xf numFmtId="167" fontId="40" fillId="16" borderId="18" xfId="0" applyNumberFormat="1" applyFont="1" applyFill="1" applyBorder="1" applyAlignment="1">
      <alignment horizontal="center"/>
    </xf>
    <xf numFmtId="0" fontId="17" fillId="16" borderId="1" xfId="0" applyFont="1" applyFill="1" applyBorder="1" applyAlignment="1">
      <alignment horizontal="center"/>
    </xf>
    <xf numFmtId="167" fontId="23" fillId="0" borderId="0" xfId="0" applyNumberFormat="1" applyFont="1" applyAlignment="1"/>
    <xf numFmtId="0" fontId="17" fillId="7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4" fontId="20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7" fontId="20" fillId="2" borderId="0" xfId="0" applyNumberFormat="1" applyFont="1" applyFill="1" applyAlignment="1">
      <alignment horizontal="center"/>
    </xf>
    <xf numFmtId="175" fontId="4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166" fontId="14" fillId="0" borderId="0" xfId="0" applyNumberFormat="1" applyFont="1" applyAlignment="1">
      <alignment horizontal="center"/>
    </xf>
    <xf numFmtId="176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0" fillId="2" borderId="34" xfId="0" applyFont="1" applyFill="1" applyBorder="1"/>
    <xf numFmtId="0" fontId="30" fillId="2" borderId="2" xfId="0" applyFont="1" applyFill="1" applyBorder="1" applyAlignment="1">
      <alignment horizontal="center"/>
    </xf>
    <xf numFmtId="9" fontId="5" fillId="0" borderId="0" xfId="0" applyNumberFormat="1" applyFont="1" applyAlignment="1">
      <alignment horizontal="center"/>
    </xf>
    <xf numFmtId="164" fontId="2" fillId="4" borderId="4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0" fontId="30" fillId="0" borderId="35" xfId="0" applyFont="1" applyBorder="1"/>
    <xf numFmtId="0" fontId="23" fillId="0" borderId="0" xfId="0" applyFont="1"/>
    <xf numFmtId="0" fontId="44" fillId="14" borderId="1" xfId="0" applyFont="1" applyFill="1" applyBorder="1" applyAlignment="1">
      <alignment horizontal="center"/>
    </xf>
    <xf numFmtId="0" fontId="44" fillId="16" borderId="1" xfId="0" applyFont="1" applyFill="1" applyBorder="1" applyAlignment="1">
      <alignment horizontal="center"/>
    </xf>
    <xf numFmtId="20" fontId="20" fillId="0" borderId="1" xfId="0" applyNumberFormat="1" applyFont="1" applyBorder="1" applyAlignment="1">
      <alignment horizontal="center"/>
    </xf>
    <xf numFmtId="167" fontId="14" fillId="16" borderId="1" xfId="0" applyNumberFormat="1" applyFont="1" applyFill="1" applyBorder="1" applyAlignment="1">
      <alignment horizontal="center"/>
    </xf>
    <xf numFmtId="0" fontId="43" fillId="0" borderId="1" xfId="0" applyFont="1" applyBorder="1" applyAlignment="1">
      <alignment horizontal="center"/>
    </xf>
    <xf numFmtId="165" fontId="19" fillId="0" borderId="19" xfId="0" applyNumberFormat="1" applyFont="1" applyBorder="1" applyAlignment="1">
      <alignment horizontal="center" vertical="center"/>
    </xf>
    <xf numFmtId="0" fontId="12" fillId="0" borderId="20" xfId="0" applyFont="1" applyBorder="1"/>
    <xf numFmtId="0" fontId="12" fillId="0" borderId="21" xfId="0" applyFont="1" applyBorder="1"/>
    <xf numFmtId="165" fontId="19" fillId="0" borderId="0" xfId="0" applyNumberFormat="1" applyFont="1" applyAlignment="1">
      <alignment horizontal="center" vertical="center"/>
    </xf>
    <xf numFmtId="0" fontId="0" fillId="0" borderId="0" xfId="0" applyFont="1" applyAlignment="1"/>
    <xf numFmtId="169" fontId="11" fillId="7" borderId="11" xfId="0" applyNumberFormat="1" applyFont="1" applyFill="1" applyBorder="1" applyAlignment="1">
      <alignment horizontal="center" vertical="center"/>
    </xf>
    <xf numFmtId="0" fontId="12" fillId="0" borderId="12" xfId="0" applyFont="1" applyBorder="1"/>
    <xf numFmtId="0" fontId="12" fillId="0" borderId="13" xfId="0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16" xfId="0" applyFont="1" applyBorder="1"/>
    <xf numFmtId="0" fontId="12" fillId="0" borderId="17" xfId="0" applyFont="1" applyBorder="1"/>
    <xf numFmtId="0" fontId="12" fillId="0" borderId="18" xfId="0" applyFont="1" applyBorder="1"/>
    <xf numFmtId="0" fontId="0" fillId="14" borderId="20" xfId="0" applyFont="1" applyFill="1" applyBorder="1" applyAlignment="1">
      <alignment horizontal="center" vertical="center"/>
    </xf>
    <xf numFmtId="0" fontId="12" fillId="2" borderId="21" xfId="0" applyFont="1" applyFill="1" applyBorder="1"/>
    <xf numFmtId="0" fontId="4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/>
    </xf>
    <xf numFmtId="0" fontId="38" fillId="0" borderId="17" xfId="0" applyFont="1" applyBorder="1" applyAlignment="1">
      <alignment horizontal="left"/>
    </xf>
    <xf numFmtId="0" fontId="38" fillId="0" borderId="17" xfId="0" applyFont="1" applyBorder="1" applyAlignment="1">
      <alignment horizontal="left" vertical="center"/>
    </xf>
    <xf numFmtId="0" fontId="45" fillId="7" borderId="30" xfId="0" applyFont="1" applyFill="1" applyBorder="1" applyAlignment="1">
      <alignment horizontal="center" vertical="center"/>
    </xf>
    <xf numFmtId="0" fontId="12" fillId="0" borderId="31" xfId="0" applyFont="1" applyBorder="1"/>
    <xf numFmtId="0" fontId="12" fillId="0" borderId="32" xfId="0" applyFont="1" applyBorder="1"/>
    <xf numFmtId="0" fontId="12" fillId="0" borderId="26" xfId="0" applyFont="1" applyBorder="1"/>
    <xf numFmtId="0" fontId="12" fillId="0" borderId="33" xfId="0" applyFont="1" applyBorder="1"/>
    <xf numFmtId="0" fontId="12" fillId="0" borderId="24" xfId="0" applyFont="1" applyBorder="1"/>
  </cellXfs>
  <cellStyles count="1">
    <cellStyle name="Обычный" xfId="0" builtinId="0"/>
  </cellStyles>
  <dxfs count="63">
    <dxf>
      <font>
        <color rgb="FFFF0000"/>
      </font>
      <fill>
        <patternFill patternType="solid">
          <fgColor rgb="FFE6B8AF"/>
          <bgColor rgb="FFE6B8A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6AA84F"/>
          <bgColor rgb="FF6AA84F"/>
        </patternFill>
      </fill>
    </dxf>
    <dxf>
      <font>
        <b/>
      </font>
      <fill>
        <patternFill patternType="solid">
          <fgColor rgb="FFE06666"/>
          <bgColor rgb="FFE06666"/>
        </patternFill>
      </fill>
    </dxf>
    <dxf>
      <font>
        <b/>
      </font>
      <fill>
        <patternFill patternType="solid">
          <fgColor rgb="FF6AA84F"/>
          <bgColor rgb="FF6AA84F"/>
        </patternFill>
      </fill>
    </dxf>
    <dxf>
      <font>
        <color rgb="FFFF0000"/>
      </font>
      <fill>
        <patternFill patternType="solid">
          <fgColor rgb="FFE6B8AF"/>
          <bgColor rgb="FFE6B8AF"/>
        </patternFill>
      </fill>
    </dxf>
    <dxf>
      <fill>
        <patternFill patternType="solid">
          <fgColor rgb="FFFFF2CC"/>
          <bgColor rgb="FFFFF2CC"/>
        </patternFill>
      </fill>
    </dxf>
    <dxf>
      <font>
        <color rgb="FFFF0000"/>
      </font>
      <fill>
        <patternFill patternType="solid">
          <fgColor rgb="FFE6B8AF"/>
          <bgColor rgb="FFE6B8AF"/>
        </patternFill>
      </fill>
    </dxf>
    <dxf>
      <fill>
        <patternFill patternType="solid">
          <fgColor rgb="FFFFF2CC"/>
          <bgColor rgb="FFFFF2CC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B7E1CD"/>
          <bgColor rgb="FFB7E1CD"/>
        </patternFill>
      </fill>
    </dxf>
    <dxf>
      <font>
        <color rgb="FFFF0000"/>
      </font>
      <fill>
        <patternFill patternType="solid">
          <fgColor rgb="FFE6B8AF"/>
          <bgColor rgb="FFE6B8AF"/>
        </patternFill>
      </fill>
    </dxf>
    <dxf>
      <fill>
        <patternFill patternType="solid">
          <fgColor rgb="FFFFF2CC"/>
          <bgColor rgb="FFFFF2CC"/>
        </patternFill>
      </fill>
    </dxf>
    <dxf>
      <font>
        <color rgb="FFFF0000"/>
      </font>
      <fill>
        <patternFill patternType="solid">
          <fgColor rgb="FFE6B8AF"/>
          <bgColor rgb="FFE6B8A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</dxfs>
  <tableStyles count="14">
    <tableStyle name="Вычисление-style" pivot="0" count="4">
      <tableStyleElement type="headerRow" dxfId="62"/>
      <tableStyleElement type="totalRow" dxfId="59"/>
      <tableStyleElement type="firstRowStripe" dxfId="61"/>
      <tableStyleElement type="secondRowStripe" dxfId="60"/>
    </tableStyle>
    <tableStyle name="Вычисление-style 2" pivot="0" count="3">
      <tableStyleElement type="headerRow" dxfId="58"/>
      <tableStyleElement type="firstRowStripe" dxfId="57"/>
      <tableStyleElement type="secondRowStripe" dxfId="56"/>
    </tableStyle>
    <tableStyle name="Вычисление-style 3" pivot="0" count="4">
      <tableStyleElement type="headerRow" dxfId="55"/>
      <tableStyleElement type="totalRow" dxfId="52"/>
      <tableStyleElement type="firstRowStripe" dxfId="54"/>
      <tableStyleElement type="secondRowStripe" dxfId="53"/>
    </tableStyle>
    <tableStyle name="Вычисление-style 4" pivot="0" count="3">
      <tableStyleElement type="headerRow" dxfId="51"/>
      <tableStyleElement type="firstRowStripe" dxfId="50"/>
      <tableStyleElement type="secondRowStripe" dxfId="49"/>
    </tableStyle>
    <tableStyle name="Вычисление-style 5" pivot="0" count="3">
      <tableStyleElement type="headerRow" dxfId="48"/>
      <tableStyleElement type="firstRowStripe" dxfId="47"/>
      <tableStyleElement type="secondRowStripe" dxfId="46"/>
    </tableStyle>
    <tableStyle name="Вычисление-style 6" pivot="0" count="3">
      <tableStyleElement type="headerRow" dxfId="45"/>
      <tableStyleElement type="firstRowStripe" dxfId="44"/>
      <tableStyleElement type="secondRowStripe" dxfId="43"/>
    </tableStyle>
    <tableStyle name="Итоги Мотивации-style" pivot="0" count="3">
      <tableStyleElement type="headerRow" dxfId="42"/>
      <tableStyleElement type="firstRowStripe" dxfId="41"/>
      <tableStyleElement type="secondRowStripe" dxfId="40"/>
    </tableStyle>
    <tableStyle name="Данные-style" pivot="0" count="4">
      <tableStyleElement type="headerRow" dxfId="39"/>
      <tableStyleElement type="totalRow" dxfId="36"/>
      <tableStyleElement type="firstRowStripe" dxfId="38"/>
      <tableStyleElement type="secondRowStripe" dxfId="37"/>
    </tableStyle>
    <tableStyle name="Данные-style 2" pivot="0" count="3">
      <tableStyleElement type="headerRow" dxfId="35"/>
      <tableStyleElement type="firstRowStripe" dxfId="34"/>
      <tableStyleElement type="secondRowStripe" dxfId="33"/>
    </tableStyle>
    <tableStyle name="Данные-style 3" pivot="0" count="3">
      <tableStyleElement type="headerRow" dxfId="32"/>
      <tableStyleElement type="firstRowStripe" dxfId="31"/>
      <tableStyleElement type="secondRowStripe" dxfId="30"/>
    </tableStyle>
    <tableStyle name="Данные-style 4" pivot="0" count="3">
      <tableStyleElement type="headerRow" dxfId="29"/>
      <tableStyleElement type="firstRowStripe" dxfId="28"/>
      <tableStyleElement type="secondRowStripe" dxfId="27"/>
    </tableStyle>
    <tableStyle name="Данные-style 5" pivot="0" count="3">
      <tableStyleElement type="headerRow" dxfId="26"/>
      <tableStyleElement type="firstRowStripe" dxfId="25"/>
      <tableStyleElement type="secondRowStripe" dxfId="24"/>
    </tableStyle>
    <tableStyle name="Аятула Отчет-style" pivot="0" count="3">
      <tableStyleElement type="headerRow" dxfId="23"/>
      <tableStyleElement type="firstRowStripe" dxfId="22"/>
      <tableStyleElement type="secondRowStripe" dxfId="21"/>
    </tableStyle>
    <tableStyle name="Аятула Отчет-style 2" pivot="0" count="3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chemeClr val="accent1"/>
                </a:solidFill>
                <a:latin typeface="Arial black"/>
              </a:defRPr>
            </a:pPr>
            <a:r>
              <a:rPr lang="ru-RU" b="1">
                <a:solidFill>
                  <a:schemeClr val="accent1"/>
                </a:solidFill>
                <a:latin typeface="Arial black"/>
              </a:rPr>
              <a:t>                                                                                                           Ошибки</a:t>
            </a:r>
          </a:p>
        </c:rich>
      </c:tx>
      <c:layout>
        <c:manualLayout>
          <c:xMode val="edge"/>
          <c:yMode val="edge"/>
          <c:x val="1.2955729166666667E-2"/>
          <c:y val="5.2456045290633522E-3"/>
        </c:manualLayout>
      </c:layout>
      <c:overlay val="0"/>
    </c:title>
    <c:autoTitleDeleted val="0"/>
    <c:plotArea>
      <c:layout>
        <c:manualLayout>
          <c:xMode val="edge"/>
          <c:yMode val="edge"/>
          <c:x val="1.4791502753737232E-2"/>
          <c:y val="7.6815642458100561E-2"/>
          <c:w val="0.9704169944925255"/>
          <c:h val="0.883822655414239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  <a:ln w="9525" cmpd="sng">
                <a:solidFill>
                  <a:schemeClr val="dk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A3D-4DDA-A928-36A48F794215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9525" cmpd="sng">
                <a:solidFill>
                  <a:schemeClr val="dk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A3D-4DDA-A928-36A48F794215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9525" cmpd="sng">
                <a:solidFill>
                  <a:schemeClr val="dk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A3D-4DDA-A928-36A48F794215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9525" cmpd="sng">
                <a:solidFill>
                  <a:schemeClr val="dk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A3D-4DDA-A928-36A48F794215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9525" cmpd="sng">
                <a:solidFill>
                  <a:schemeClr val="dk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A3D-4DDA-A928-36A48F794215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9525" cmpd="sng">
                <a:solidFill>
                  <a:schemeClr val="dk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A3D-4DDA-A928-36A48F794215}"/>
              </c:ext>
            </c:extLst>
          </c:dPt>
          <c:dPt>
            <c:idx val="6"/>
            <c:bubble3D val="0"/>
            <c:spPr>
              <a:solidFill>
                <a:srgbClr val="84A7D1"/>
              </a:solidFill>
              <a:ln w="9525" cmpd="sng">
                <a:solidFill>
                  <a:schemeClr val="dk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DA3D-4DDA-A928-36A48F794215}"/>
              </c:ext>
            </c:extLst>
          </c:dPt>
          <c:dPt>
            <c:idx val="7"/>
            <c:bubble3D val="0"/>
            <c:spPr>
              <a:solidFill>
                <a:srgbClr val="FF4D4D"/>
              </a:solidFill>
              <a:ln w="9525" cmpd="sng">
                <a:solidFill>
                  <a:schemeClr val="dk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DA3D-4DDA-A928-36A48F794215}"/>
              </c:ext>
            </c:extLst>
          </c:dPt>
          <c:dPt>
            <c:idx val="8"/>
            <c:bubble3D val="0"/>
            <c:spPr>
              <a:solidFill>
                <a:srgbClr val="B9CF8B"/>
              </a:solidFill>
              <a:ln w="9525" cmpd="sng">
                <a:solidFill>
                  <a:schemeClr val="dk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DA3D-4DDA-A928-36A48F79421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'Итоги Мотивации'!$A$6:$A$15</c:f>
              <c:strCache>
                <c:ptCount val="10"/>
                <c:pt idx="0">
                  <c:v>Абдурашидов Абдула</c:v>
                </c:pt>
                <c:pt idx="1">
                  <c:v>Атаев Наиб</c:v>
                </c:pt>
                <c:pt idx="2">
                  <c:v>Ашурбеков Иса</c:v>
                </c:pt>
                <c:pt idx="3">
                  <c:v>Магомедов Камиль</c:v>
                </c:pt>
                <c:pt idx="4">
                  <c:v>Магомедов Арсен</c:v>
                </c:pt>
                <c:pt idx="5">
                  <c:v>Темерханов Расул</c:v>
                </c:pt>
                <c:pt idx="6">
                  <c:v>Яхъяев Яхъя </c:v>
                </c:pt>
                <c:pt idx="7">
                  <c:v>Муртазалив Алиасхаб</c:v>
                </c:pt>
                <c:pt idx="8">
                  <c:v>Мирзакулов Улугбек</c:v>
                </c:pt>
                <c:pt idx="9">
                  <c:v>НОРМА</c:v>
                </c:pt>
              </c:strCache>
            </c:strRef>
          </c:cat>
          <c:val>
            <c:numRef>
              <c:f>'Итоги Мотивации'!$E$6:$E$14</c:f>
              <c:numCache>
                <c:formatCode>General</c:formatCode>
                <c:ptCount val="9"/>
                <c:pt idx="0">
                  <c:v>19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80</c:v>
                </c:pt>
                <c:pt idx="5">
                  <c:v>38</c:v>
                </c:pt>
                <c:pt idx="6">
                  <c:v>8</c:v>
                </c:pt>
                <c:pt idx="7">
                  <c:v>152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A3D-4DDA-A928-36A48F794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lvl="0">
            <a:defRPr sz="1400" b="1">
              <a:solidFill>
                <a:schemeClr val="dk1"/>
              </a:solidFill>
              <a:latin typeface="Arial black"/>
            </a:defRPr>
          </a:pPr>
          <a:endParaRPr lang="ru-RU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35</xdr:row>
      <xdr:rowOff>104775</xdr:rowOff>
    </xdr:from>
    <xdr:ext cx="14630400" cy="3409950"/>
    <xdr:graphicFrame macro="">
      <xdr:nvGraphicFramePr>
        <xdr:cNvPr id="2" name="Chart 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J18:O28">
  <tableColumns count="6">
    <tableColumn id="1" name="ФИО"/>
    <tableColumn id="2" name="План c"/>
    <tableColumn id="3" name="Факт c"/>
    <tableColumn id="4" name="Процент выполнения с"/>
    <tableColumn id="5" name="Выполнение плана"/>
    <tableColumn id="6" name="Статус"/>
  </tableColumns>
  <tableStyleInfo name="Вычисление-style" showFirstColumn="1" showLastColumn="1" showRowStripes="1" showColumnStripes="0"/>
</table>
</file>

<file path=xl/tables/table10.xml><?xml version="1.0" encoding="utf-8"?>
<table xmlns="http://schemas.openxmlformats.org/spreadsheetml/2006/main" id="10" name="Table_10" displayName="Table_10" ref="AS4:AS6">
  <tableColumns count="1">
    <tableColumn id="1" name="Сумма для распределения"/>
  </tableColumns>
  <tableStyleInfo name="Данные-style 3" showFirstColumn="1" showLastColumn="1" showRowStripes="1" showColumnStripes="0"/>
</table>
</file>

<file path=xl/tables/table11.xml><?xml version="1.0" encoding="utf-8"?>
<table xmlns="http://schemas.openxmlformats.org/spreadsheetml/2006/main" id="11" name="Table_11" displayName="Table_11" ref="AI40:AM43">
  <tableColumns count="5">
    <tableColumn id="1" name="ФИО"/>
    <tableColumn id="2" name="Зарплата в день"/>
    <tableColumn id="3" name="Норма"/>
    <tableColumn id="4" name="Не было"/>
    <tableColumn id="5" name="Сумма"/>
  </tableColumns>
  <tableStyleInfo name="Данные-style 4" showFirstColumn="1" showLastColumn="1" showRowStripes="1" showColumnStripes="0"/>
</table>
</file>

<file path=xl/tables/table12.xml><?xml version="1.0" encoding="utf-8"?>
<table xmlns="http://schemas.openxmlformats.org/spreadsheetml/2006/main" id="12" name="Table_12" displayName="Table_12" ref="AI31:AM38" headerRowCount="0">
  <tableColumns count="5">
    <tableColumn id="1" name="Column1"/>
    <tableColumn id="2" name="Column2"/>
    <tableColumn id="3" name="Column3"/>
    <tableColumn id="4" name="Column4"/>
    <tableColumn id="5" name="Column5"/>
  </tableColumns>
  <tableStyleInfo name="Данные-style 5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3.xml><?xml version="1.0" encoding="utf-8"?>
<table xmlns="http://schemas.openxmlformats.org/spreadsheetml/2006/main" id="13" name="Table_13" displayName="Table_13" ref="C4:H5">
  <tableColumns count="6">
    <tableColumn id="1" name="План Тоннаж"/>
    <tableColumn id="2" name="Общее строк"/>
    <tableColumn id="3" name="План Строчка"/>
    <tableColumn id="4" name="Премия cтрочка"/>
    <tableColumn id="5" name="Сумма штрафа"/>
    <tableColumn id="6" name="Сумма за строчку"/>
  </tableColumns>
  <tableStyleInfo name="Аятула Отчет-style" showFirstColumn="1" showLastColumn="1" showRowStripes="1" showColumnStripes="0"/>
</table>
</file>

<file path=xl/tables/table14.xml><?xml version="1.0" encoding="utf-8"?>
<table xmlns="http://schemas.openxmlformats.org/spreadsheetml/2006/main" id="14" name="Table_14" displayName="Table_14" ref="A7:J16">
  <tableColumns count="10">
    <tableColumn id="1" name="ФИО"/>
    <tableColumn id="2" name="Раюотал д"/>
    <tableColumn id="3" name="% Тоннаж"/>
    <tableColumn id="4" name="Осталось т"/>
    <tableColumn id="5" name="% Строчки"/>
    <tableColumn id="6" name="Осталось с"/>
    <tableColumn id="7" name="Мотивация "/>
    <tableColumn id="8" name="Оклад"/>
    <tableColumn id="9" name="Штраф"/>
    <tableColumn id="10" name="Итог"/>
  </tableColumns>
  <tableStyleInfo name="Аятула Отчет-style 2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F18:I33">
  <tableColumns count="4">
    <tableColumn id="1" name="ФИО"/>
    <tableColumn id="2" name="Столбец2"/>
    <tableColumn id="3" name="КПК Строчка"/>
    <tableColumn id="4" name="Столбец1"/>
  </tableColumns>
  <tableStyleInfo name="Вычисление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J1:O11">
  <tableColumns count="6">
    <tableColumn id="1" name="ФИО"/>
    <tableColumn id="2" name="План т"/>
    <tableColumn id="3" name="Факт т"/>
    <tableColumn id="4" name="Процент выполнения т"/>
    <tableColumn id="5" name="Выполнение плана"/>
    <tableColumn id="6" name="Статус"/>
  </tableColumns>
  <tableStyleInfo name="Вычисление-style 3" showFirstColumn="1" showLastColumn="1" showRowStripes="1" showColumnStripes="0"/>
</table>
</file>

<file path=xl/tables/table4.xml><?xml version="1.0" encoding="utf-8"?>
<table xmlns="http://schemas.openxmlformats.org/spreadsheetml/2006/main" id="4" name="Table_4" displayName="Table_4" ref="A18:D33">
  <tableColumns count="4">
    <tableColumn id="1" name="ФИО"/>
    <tableColumn id="2" name="Столбец2"/>
    <tableColumn id="3" name="КПК Тоннаж"/>
    <tableColumn id="4" name="Столбец1"/>
  </tableColumns>
  <tableStyleInfo name="Вычисление-style 4" showFirstColumn="1" showLastColumn="1" showRowStripes="1" showColumnStripes="0"/>
</table>
</file>

<file path=xl/tables/table5.xml><?xml version="1.0" encoding="utf-8"?>
<table xmlns="http://schemas.openxmlformats.org/spreadsheetml/2006/main" id="5" name="Table_5" displayName="Table_5" ref="A1:D16">
  <tableColumns count="4">
    <tableColumn id="1" name="ФИО"/>
    <tableColumn id="2" name="Столбец2"/>
    <tableColumn id="3" name="ОПТ Тоннаж"/>
    <tableColumn id="4" name="Столбец1"/>
  </tableColumns>
  <tableStyleInfo name="Вычисление-style 5" showFirstColumn="1" showLastColumn="1" showRowStripes="1" showColumnStripes="0"/>
</table>
</file>

<file path=xl/tables/table6.xml><?xml version="1.0" encoding="utf-8"?>
<table xmlns="http://schemas.openxmlformats.org/spreadsheetml/2006/main" id="6" name="Table_6" displayName="Table_6" ref="F1:I16">
  <tableColumns count="4">
    <tableColumn id="1" name="ФИО"/>
    <tableColumn id="2" name="Столбец2"/>
    <tableColumn id="3" name="ОПТ Строчка"/>
    <tableColumn id="4" name="Столбец1"/>
  </tableColumns>
  <tableStyleInfo name="Вычисление-style 6" showFirstColumn="1" showLastColumn="1" showRowStripes="1" showColumnStripes="0"/>
</table>
</file>

<file path=xl/tables/table7.xml><?xml version="1.0" encoding="utf-8"?>
<table xmlns="http://schemas.openxmlformats.org/spreadsheetml/2006/main" id="7" name="Table_7" displayName="Table_7" ref="A5:P17">
  <tableColumns count="16">
    <tableColumn id="1" name="ФИО"/>
    <tableColumn id="2" name="Рабочих дней"/>
    <tableColumn id="3" name="Не было"/>
    <tableColumn id="4" name="Рабочих часов"/>
    <tableColumn id="5" name="Ошибки"/>
    <tableColumn id="6" name="Обьем "/>
    <tableColumn id="7" name="Строчки"/>
    <tableColumn id="8" name="Оклад"/>
    <tableColumn id="9" name="Мотивация"/>
    <tableColumn id="10" name="Штраф"/>
    <tableColumn id="11" name="Нагрузка"/>
    <tableColumn id="12" name="Итог к оплате"/>
    <tableColumn id="13" name="Процент выполнения плана тоннажа"/>
    <tableColumn id="14" name="План тоннаж"/>
    <tableColumn id="15" name="Процент выполнения плана строчки"/>
    <tableColumn id="16" name="План строк"/>
  </tableColumns>
  <tableStyleInfo name="Итоги Мотивации-style" showFirstColumn="1" showLastColumn="1" showRowStripes="1" showColumnStripes="0"/>
</table>
</file>

<file path=xl/tables/table8.xml><?xml version="1.0" encoding="utf-8"?>
<table xmlns="http://schemas.openxmlformats.org/spreadsheetml/2006/main" id="8" name="Table_8" displayName="Table_8" ref="AI3:AM18" headerRowCount="0">
  <tableColumns count="5">
    <tableColumn id="1" name="Column1"/>
    <tableColumn id="2" name="Column2"/>
    <tableColumn id="3" name="Column3"/>
    <tableColumn id="4" name="Column4"/>
    <tableColumn id="5" name="Column5"/>
  </tableColumns>
  <tableStyleInfo name="Данные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9.xml><?xml version="1.0" encoding="utf-8"?>
<table xmlns="http://schemas.openxmlformats.org/spreadsheetml/2006/main" id="9" name="Table_9" displayName="Table_9" ref="AS11:AS12">
  <tableColumns count="1">
    <tableColumn id="1" name="Сумма для распределения"/>
  </tableColumns>
  <tableStyleInfo name="Данные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FF0000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table" Target="../tables/table8.xml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0"/>
  <sheetViews>
    <sheetView showGridLines="0" workbookViewId="0"/>
  </sheetViews>
  <sheetFormatPr defaultColWidth="12.625" defaultRowHeight="15" customHeight="1" x14ac:dyDescent="0.2"/>
  <cols>
    <col min="1" max="1" width="18.75" customWidth="1"/>
    <col min="2" max="2" width="15.125" customWidth="1"/>
    <col min="3" max="3" width="20.75" customWidth="1"/>
    <col min="4" max="4" width="8.25" customWidth="1"/>
    <col min="5" max="5" width="6.625" customWidth="1"/>
    <col min="6" max="6" width="18.875" customWidth="1"/>
    <col min="7" max="7" width="9.125" customWidth="1"/>
    <col min="8" max="8" width="21" customWidth="1"/>
    <col min="9" max="9" width="8.375" customWidth="1"/>
    <col min="10" max="10" width="19.75" customWidth="1"/>
    <col min="11" max="11" width="11.75" customWidth="1"/>
    <col min="12" max="12" width="9" customWidth="1"/>
    <col min="13" max="13" width="21.125" customWidth="1"/>
    <col min="14" max="14" width="16.625" customWidth="1"/>
    <col min="15" max="23" width="11" customWidth="1"/>
  </cols>
  <sheetData>
    <row r="1" spans="1:15" x14ac:dyDescent="0.25">
      <c r="A1" s="1" t="s">
        <v>0</v>
      </c>
      <c r="B1" s="2" t="s">
        <v>1</v>
      </c>
      <c r="C1" s="1" t="s">
        <v>2</v>
      </c>
      <c r="D1" s="2" t="s">
        <v>3</v>
      </c>
      <c r="F1" s="1" t="s">
        <v>0</v>
      </c>
      <c r="G1" s="2" t="s">
        <v>1</v>
      </c>
      <c r="H1" s="1" t="s">
        <v>4</v>
      </c>
      <c r="I1" s="2" t="s">
        <v>3</v>
      </c>
      <c r="J1" s="3" t="s">
        <v>0</v>
      </c>
      <c r="K1" s="3" t="s">
        <v>5</v>
      </c>
      <c r="L1" s="3" t="s">
        <v>6</v>
      </c>
      <c r="M1" s="4" t="s">
        <v>7</v>
      </c>
      <c r="N1" s="3" t="s">
        <v>8</v>
      </c>
      <c r="O1" s="5" t="s">
        <v>9</v>
      </c>
    </row>
    <row r="2" spans="1:15" ht="15.75" x14ac:dyDescent="0.25">
      <c r="A2" s="2"/>
      <c r="B2" s="2"/>
      <c r="C2" s="1"/>
      <c r="D2" s="6"/>
      <c r="F2" s="2"/>
      <c r="G2" s="2"/>
      <c r="H2" s="1"/>
      <c r="I2" s="2"/>
      <c r="J2" s="7" t="s">
        <v>10</v>
      </c>
      <c r="K2" s="8">
        <f>'Аятула Отчет'!$C$5</f>
        <v>230000</v>
      </c>
      <c r="L2" s="8">
        <f>'Итоги Мотивации'!F6</f>
        <v>278112</v>
      </c>
      <c r="M2" s="9">
        <f>Вычисление!$L2/Вычисление!$K2</f>
        <v>1.2091826086956521</v>
      </c>
      <c r="N2" s="10">
        <f>Вычисление!$L2-Вычисление!$K2</f>
        <v>48112</v>
      </c>
      <c r="O2" s="11" t="str">
        <f t="shared" ref="O2:O11" si="0">IF(L2&gt;K2,"Выполнил","Нет")</f>
        <v>Выполнил</v>
      </c>
    </row>
    <row r="3" spans="1:15" ht="15.75" x14ac:dyDescent="0.25">
      <c r="A3" s="2"/>
      <c r="B3" s="6"/>
      <c r="C3" s="12" t="s">
        <v>11</v>
      </c>
      <c r="D3" s="6"/>
      <c r="F3" s="2"/>
      <c r="G3" s="6"/>
      <c r="H3" s="12" t="s">
        <v>11</v>
      </c>
      <c r="I3" s="2"/>
      <c r="J3" s="7" t="s">
        <v>12</v>
      </c>
      <c r="K3" s="8">
        <f>'Аятула Отчет'!$C$5</f>
        <v>230000</v>
      </c>
      <c r="L3" s="8">
        <f>'Итоги Мотивации'!F7</f>
        <v>71574</v>
      </c>
      <c r="M3" s="9">
        <f>Вычисление!$L3/Вычисление!$K3</f>
        <v>0.3111913043478261</v>
      </c>
      <c r="N3" s="10">
        <f>Вычисление!$L3-Вычисление!$K3</f>
        <v>-158426</v>
      </c>
      <c r="O3" s="11" t="str">
        <f t="shared" si="0"/>
        <v>Нет</v>
      </c>
    </row>
    <row r="4" spans="1:15" ht="14.25" customHeight="1" x14ac:dyDescent="0.25">
      <c r="A4" s="2"/>
      <c r="B4" s="6"/>
      <c r="C4" s="13">
        <v>10000</v>
      </c>
      <c r="D4" s="6"/>
      <c r="F4" s="2"/>
      <c r="G4" s="6"/>
      <c r="H4" s="13">
        <f>'Аятула Отчет'!F63</f>
        <v>10000</v>
      </c>
      <c r="I4" s="2"/>
      <c r="J4" s="7" t="s">
        <v>13</v>
      </c>
      <c r="K4" s="8">
        <f>'Аятула Отчет'!$C$5</f>
        <v>230000</v>
      </c>
      <c r="L4" s="8">
        <f>'Итоги Мотивации'!F8</f>
        <v>281864</v>
      </c>
      <c r="M4" s="9">
        <f>Вычисление!$L4/Вычисление!$K4</f>
        <v>1.2254956521739131</v>
      </c>
      <c r="N4" s="10">
        <f>Вычисление!$L4-Вычисление!$K4</f>
        <v>51864</v>
      </c>
      <c r="O4" s="11" t="str">
        <f t="shared" si="0"/>
        <v>Выполнил</v>
      </c>
    </row>
    <row r="5" spans="1:15" ht="14.25" customHeight="1" x14ac:dyDescent="0.25">
      <c r="A5" s="2"/>
      <c r="B5" s="14"/>
      <c r="C5" s="15" t="s">
        <v>14</v>
      </c>
      <c r="D5" s="6"/>
      <c r="F5" s="2"/>
      <c r="G5" s="14"/>
      <c r="H5" s="15" t="s">
        <v>14</v>
      </c>
      <c r="I5" s="2"/>
      <c r="J5" s="7" t="s">
        <v>15</v>
      </c>
      <c r="K5" s="8">
        <f>'Аятула Отчет'!$C$5</f>
        <v>230000</v>
      </c>
      <c r="L5" s="8">
        <f>'Итоги Мотивации'!F9</f>
        <v>104969</v>
      </c>
      <c r="M5" s="9">
        <f>Вычисление!$L5/Вычисление!$K5</f>
        <v>0.45638695652173911</v>
      </c>
      <c r="N5" s="10">
        <f>Вычисление!$L5-Вычисление!$K5</f>
        <v>-125031</v>
      </c>
      <c r="O5" s="11" t="str">
        <f t="shared" si="0"/>
        <v>Нет</v>
      </c>
    </row>
    <row r="6" spans="1:15" ht="14.25" customHeight="1" x14ac:dyDescent="0.25">
      <c r="A6" s="2"/>
      <c r="B6" s="16"/>
      <c r="C6" s="17"/>
      <c r="D6" s="6"/>
      <c r="F6" s="2"/>
      <c r="G6" s="16"/>
      <c r="H6" s="17"/>
      <c r="I6" s="2"/>
      <c r="J6" s="7" t="s">
        <v>16</v>
      </c>
      <c r="K6" s="8">
        <f>'Аятула Отчет'!$C$5</f>
        <v>230000</v>
      </c>
      <c r="L6" s="8">
        <f>'Итоги Мотивации'!F10</f>
        <v>297573</v>
      </c>
      <c r="M6" s="9">
        <f>Вычисление!$L6/Вычисление!$K6</f>
        <v>1.2937956521739131</v>
      </c>
      <c r="N6" s="10">
        <f>Вычисление!$L6-Вычисление!$K6</f>
        <v>67573</v>
      </c>
      <c r="O6" s="11" t="str">
        <f t="shared" si="0"/>
        <v>Выполнил</v>
      </c>
    </row>
    <row r="7" spans="1:15" ht="14.25" customHeight="1" x14ac:dyDescent="0.25">
      <c r="A7" s="2"/>
      <c r="B7" s="18"/>
      <c r="C7" s="19"/>
      <c r="D7" s="6"/>
      <c r="F7" s="2"/>
      <c r="G7" s="18"/>
      <c r="H7" s="19"/>
      <c r="I7" s="2"/>
      <c r="J7" s="7" t="s">
        <v>17</v>
      </c>
      <c r="K7" s="8">
        <f>'Аятула Отчет'!$C$5</f>
        <v>230000</v>
      </c>
      <c r="L7" s="8">
        <f>'Итоги Мотивации'!F11</f>
        <v>330638</v>
      </c>
      <c r="M7" s="9">
        <f>Вычисление!$L7/Вычисление!$K7</f>
        <v>1.4375565217391304</v>
      </c>
      <c r="N7" s="10">
        <f>Вычисление!$L7-Вычисление!$K7</f>
        <v>100638</v>
      </c>
      <c r="O7" s="11" t="str">
        <f t="shared" si="0"/>
        <v>Выполнил</v>
      </c>
    </row>
    <row r="8" spans="1:15" ht="14.25" customHeight="1" x14ac:dyDescent="0.25">
      <c r="A8" s="20" t="s">
        <v>10</v>
      </c>
      <c r="B8" s="21">
        <f>Данные!AJ21</f>
        <v>206015</v>
      </c>
      <c r="C8" s="22">
        <f t="shared" ref="C8:C16" si="1">B8/SUM($B$8:$B$16)*$C$4</f>
        <v>1462.7072313536157</v>
      </c>
      <c r="D8" s="23"/>
      <c r="F8" s="20" t="s">
        <v>10</v>
      </c>
      <c r="G8" s="24">
        <f>Данные!AK21</f>
        <v>6510</v>
      </c>
      <c r="H8" s="22">
        <f>G8/SUM($G$8:$G$16)*H4</f>
        <v>1774.5672618236335</v>
      </c>
      <c r="I8" s="2"/>
      <c r="J8" s="7" t="s">
        <v>18</v>
      </c>
      <c r="K8" s="8">
        <f>'Аятула Отчет'!$C$5</f>
        <v>230000</v>
      </c>
      <c r="L8" s="8">
        <f>'Итоги Мотивации'!F12</f>
        <v>96699</v>
      </c>
      <c r="M8" s="9">
        <f>Вычисление!$L8/Вычисление!$K8</f>
        <v>0.42043043478260872</v>
      </c>
      <c r="N8" s="10">
        <f>Вычисление!$L8-Вычисление!$K8</f>
        <v>-133301</v>
      </c>
      <c r="O8" s="11" t="str">
        <f t="shared" si="0"/>
        <v>Нет</v>
      </c>
    </row>
    <row r="9" spans="1:15" ht="14.25" customHeight="1" x14ac:dyDescent="0.25">
      <c r="A9" s="20" t="s">
        <v>12</v>
      </c>
      <c r="B9" s="25">
        <f>Данные!AJ22</f>
        <v>15348</v>
      </c>
      <c r="C9" s="26">
        <f t="shared" si="1"/>
        <v>108.97085448542724</v>
      </c>
      <c r="D9" s="23"/>
      <c r="F9" s="20" t="s">
        <v>12</v>
      </c>
      <c r="G9" s="27">
        <f>Данные!AK22</f>
        <v>97</v>
      </c>
      <c r="H9" s="26">
        <f>G9/SUM($G$8:$G$16)*H4</f>
        <v>26.441324792149381</v>
      </c>
      <c r="I9" s="2"/>
      <c r="J9" s="7" t="s">
        <v>19</v>
      </c>
      <c r="K9" s="8">
        <f>'Аятула Отчет'!$C$5</f>
        <v>230000</v>
      </c>
      <c r="L9" s="8">
        <f>'Итоги Мотивации'!F13</f>
        <v>152735</v>
      </c>
      <c r="M9" s="9">
        <f>Вычисление!$L9/Вычисление!$K9</f>
        <v>0.66406521739130431</v>
      </c>
      <c r="N9" s="10">
        <f>Вычисление!$L9-Вычисление!$K9</f>
        <v>-77265</v>
      </c>
      <c r="O9" s="11" t="str">
        <f t="shared" si="0"/>
        <v>Нет</v>
      </c>
    </row>
    <row r="10" spans="1:15" ht="15" customHeight="1" x14ac:dyDescent="0.25">
      <c r="A10" s="20" t="s">
        <v>13</v>
      </c>
      <c r="B10" s="25">
        <f>Данные!AJ23</f>
        <v>182582</v>
      </c>
      <c r="C10" s="26">
        <f t="shared" si="1"/>
        <v>1296.3328481664241</v>
      </c>
      <c r="D10" s="2"/>
      <c r="F10" s="20" t="s">
        <v>13</v>
      </c>
      <c r="G10" s="27">
        <f>Данные!AK23</f>
        <v>6095</v>
      </c>
      <c r="H10" s="26">
        <f>G10/SUM($G$8:$G$16)*H4</f>
        <v>1661.4420062695926</v>
      </c>
      <c r="I10" s="2"/>
      <c r="J10" s="7" t="s">
        <v>20</v>
      </c>
      <c r="K10" s="8">
        <f>'Аятула Отчет'!$C$5</f>
        <v>230000</v>
      </c>
      <c r="L10" s="8">
        <f>'Итоги Мотивации'!F14</f>
        <v>365272</v>
      </c>
      <c r="M10" s="28">
        <f>Вычисление!$L10/Вычисление!$K10</f>
        <v>1.5881391304347825</v>
      </c>
      <c r="N10" s="10">
        <f>Вычисление!$L10-Вычисление!$K10</f>
        <v>135272</v>
      </c>
      <c r="O10" s="11" t="str">
        <f t="shared" si="0"/>
        <v>Выполнил</v>
      </c>
    </row>
    <row r="11" spans="1:15" ht="15" customHeight="1" x14ac:dyDescent="0.25">
      <c r="A11" s="20" t="s">
        <v>15</v>
      </c>
      <c r="B11" s="25">
        <f>Данные!AJ24</f>
        <v>85190</v>
      </c>
      <c r="C11" s="26">
        <f t="shared" si="1"/>
        <v>604.84930242465123</v>
      </c>
      <c r="D11" s="2"/>
      <c r="F11" s="20" t="s">
        <v>15</v>
      </c>
      <c r="G11" s="27">
        <f>Данные!AK24</f>
        <v>1334</v>
      </c>
      <c r="H11" s="26">
        <f>G11/SUM($G$8:$G$16)*H4</f>
        <v>363.63636363636363</v>
      </c>
      <c r="I11" s="2"/>
      <c r="J11" s="20" t="s">
        <v>21</v>
      </c>
      <c r="K11" s="29">
        <f>SUBTOTAL(109,Вычисление!$K$2:$K$10)</f>
        <v>2070000</v>
      </c>
      <c r="L11" s="30">
        <f>SUBTOTAL(109,Вычисление!$L$2:$L$10)</f>
        <v>1979436</v>
      </c>
      <c r="M11" s="31">
        <f>Вычисление!$L$11/Вычисление!$K$11</f>
        <v>0.95624927536231885</v>
      </c>
      <c r="N11" s="32">
        <f>SUM(N2:N10)</f>
        <v>-90564</v>
      </c>
      <c r="O11" s="11" t="str">
        <f t="shared" si="0"/>
        <v>Нет</v>
      </c>
    </row>
    <row r="12" spans="1:15" ht="15" customHeight="1" x14ac:dyDescent="0.25">
      <c r="A12" s="20" t="s">
        <v>16</v>
      </c>
      <c r="B12" s="25">
        <f>Данные!AJ25</f>
        <v>214819</v>
      </c>
      <c r="C12" s="26">
        <f t="shared" si="1"/>
        <v>1525.2156626078315</v>
      </c>
      <c r="D12" s="2"/>
      <c r="F12" s="20" t="s">
        <v>16</v>
      </c>
      <c r="G12" s="27">
        <f>Данные!AK25</f>
        <v>5742</v>
      </c>
      <c r="H12" s="26">
        <f>G12/SUM($G$8:$G$16)*H4</f>
        <v>1565.217391304348</v>
      </c>
      <c r="I12" s="2"/>
    </row>
    <row r="13" spans="1:15" ht="15" customHeight="1" x14ac:dyDescent="0.25">
      <c r="A13" s="20" t="s">
        <v>17</v>
      </c>
      <c r="B13" s="25">
        <f>Данные!AJ26</f>
        <v>273487</v>
      </c>
      <c r="C13" s="26">
        <f t="shared" si="1"/>
        <v>1941.7586708793356</v>
      </c>
      <c r="D13" s="2"/>
      <c r="F13" s="20" t="s">
        <v>17</v>
      </c>
      <c r="G13" s="27">
        <f>Данные!AK26</f>
        <v>9238</v>
      </c>
      <c r="H13" s="26">
        <f>G13/SUM($G$8:$G$16)*H4</f>
        <v>2518.1954477306799</v>
      </c>
      <c r="I13" s="2"/>
    </row>
    <row r="14" spans="1:15" ht="15" customHeight="1" x14ac:dyDescent="0.25">
      <c r="A14" s="20" t="s">
        <v>18</v>
      </c>
      <c r="B14" s="25">
        <f>Данные!AJ46</f>
        <v>73270</v>
      </c>
      <c r="C14" s="26">
        <f t="shared" si="1"/>
        <v>520.21726010863006</v>
      </c>
      <c r="D14" s="2"/>
      <c r="F14" s="20" t="s">
        <v>18</v>
      </c>
      <c r="G14" s="27">
        <f>Данные!AK46</f>
        <v>1353</v>
      </c>
      <c r="H14" s="26">
        <f>G14/SUM($G$8:$G$16)*H4</f>
        <v>368.81559220389806</v>
      </c>
      <c r="I14" s="2"/>
    </row>
    <row r="15" spans="1:15" ht="15" customHeight="1" x14ac:dyDescent="0.25">
      <c r="A15" s="33" t="s">
        <v>19</v>
      </c>
      <c r="B15" s="25">
        <f>Данные!AJ27</f>
        <v>88993</v>
      </c>
      <c r="C15" s="26">
        <f t="shared" si="1"/>
        <v>631.85061592530803</v>
      </c>
      <c r="D15" s="2"/>
      <c r="F15" s="33" t="s">
        <v>19</v>
      </c>
      <c r="G15" s="27">
        <f>Данные!AK27</f>
        <v>1965</v>
      </c>
      <c r="H15" s="26">
        <f>G15/SUM($G$8:$G$16)*H4</f>
        <v>535.64127027395398</v>
      </c>
      <c r="I15" s="2"/>
    </row>
    <row r="16" spans="1:15" ht="15.75" x14ac:dyDescent="0.25">
      <c r="A16" s="20" t="s">
        <v>20</v>
      </c>
      <c r="B16" s="34">
        <f>Данные!AJ47</f>
        <v>268746</v>
      </c>
      <c r="C16" s="26">
        <f t="shared" si="1"/>
        <v>1908.0975540487771</v>
      </c>
      <c r="D16" s="35">
        <f>SUM(C8:C16)</f>
        <v>10000.000000000002</v>
      </c>
      <c r="F16" s="20" t="s">
        <v>20</v>
      </c>
      <c r="G16" s="27">
        <f>Данные!AK47</f>
        <v>4351</v>
      </c>
      <c r="H16" s="26">
        <f>G16/SUM($G$8:$G$16)*H4</f>
        <v>1186.0433419653809</v>
      </c>
      <c r="I16" s="36">
        <f>SUM(H8:H16)</f>
        <v>10000</v>
      </c>
    </row>
    <row r="18" spans="1:15" x14ac:dyDescent="0.25">
      <c r="A18" s="1" t="s">
        <v>0</v>
      </c>
      <c r="B18" s="2" t="s">
        <v>1</v>
      </c>
      <c r="C18" s="1" t="s">
        <v>22</v>
      </c>
      <c r="D18" s="2" t="s">
        <v>3</v>
      </c>
      <c r="F18" s="1" t="s">
        <v>0</v>
      </c>
      <c r="G18" s="2" t="s">
        <v>1</v>
      </c>
      <c r="H18" s="1" t="s">
        <v>23</v>
      </c>
      <c r="I18" s="2" t="s">
        <v>3</v>
      </c>
      <c r="J18" s="3" t="s">
        <v>0</v>
      </c>
      <c r="K18" s="3" t="s">
        <v>24</v>
      </c>
      <c r="L18" s="3" t="s">
        <v>25</v>
      </c>
      <c r="M18" s="4" t="s">
        <v>26</v>
      </c>
      <c r="N18" s="3" t="s">
        <v>8</v>
      </c>
      <c r="O18" s="37" t="s">
        <v>9</v>
      </c>
    </row>
    <row r="19" spans="1:15" ht="15.75" x14ac:dyDescent="0.25">
      <c r="A19" s="2"/>
      <c r="B19" s="2"/>
      <c r="C19" s="1"/>
      <c r="D19" s="6"/>
      <c r="F19" s="2"/>
      <c r="G19" s="2"/>
      <c r="H19" s="1"/>
      <c r="I19" s="2"/>
      <c r="J19" s="7" t="s">
        <v>10</v>
      </c>
      <c r="K19" s="38">
        <f>'Аятула Отчет'!$E$5</f>
        <v>7000</v>
      </c>
      <c r="L19" s="39">
        <f>'Итоги Мотивации'!G6</f>
        <v>10584</v>
      </c>
      <c r="M19" s="9">
        <f>Вычисление!$L19/Вычисление!$K19</f>
        <v>1.512</v>
      </c>
      <c r="N19" s="40">
        <f>Вычисление!$L19-Вычисление!$K19</f>
        <v>3584</v>
      </c>
      <c r="O19" s="11" t="str">
        <f t="shared" ref="O19:O28" si="2">IF(L19&gt;K19,"Выполнил","Нет")</f>
        <v>Выполнил</v>
      </c>
    </row>
    <row r="20" spans="1:15" ht="15.75" x14ac:dyDescent="0.25">
      <c r="A20" s="2"/>
      <c r="B20" s="6"/>
      <c r="C20" s="12" t="s">
        <v>11</v>
      </c>
      <c r="D20" s="6"/>
      <c r="F20" s="2"/>
      <c r="G20" s="6"/>
      <c r="H20" s="12" t="s">
        <v>11</v>
      </c>
      <c r="I20" s="2"/>
      <c r="J20" s="7" t="s">
        <v>12</v>
      </c>
      <c r="K20" s="38">
        <f>'Аятула Отчет'!$E$5</f>
        <v>7000</v>
      </c>
      <c r="L20" s="39">
        <f>'Итоги Мотивации'!G7</f>
        <v>3441</v>
      </c>
      <c r="M20" s="9">
        <f>Вычисление!$L20/Вычисление!$K20</f>
        <v>0.49157142857142855</v>
      </c>
      <c r="N20" s="40">
        <f>Вычисление!$L20-Вычисление!$K20</f>
        <v>-3559</v>
      </c>
      <c r="O20" s="11" t="str">
        <f t="shared" si="2"/>
        <v>Нет</v>
      </c>
    </row>
    <row r="21" spans="1:15" ht="15.75" customHeight="1" x14ac:dyDescent="0.25">
      <c r="A21" s="2"/>
      <c r="B21" s="6"/>
      <c r="C21" s="13">
        <v>10000</v>
      </c>
      <c r="D21" s="6"/>
      <c r="F21" s="2"/>
      <c r="G21" s="6"/>
      <c r="H21" s="13">
        <f>'Аятула Отчет'!F64</f>
        <v>10000</v>
      </c>
      <c r="I21" s="2"/>
      <c r="J21" s="7" t="s">
        <v>13</v>
      </c>
      <c r="K21" s="38">
        <f>'Аятула Отчет'!$E$5</f>
        <v>7000</v>
      </c>
      <c r="L21" s="39">
        <f>'Итоги Мотивации'!G8</f>
        <v>11204</v>
      </c>
      <c r="M21" s="9">
        <f>Вычисление!$L21/Вычисление!$K21</f>
        <v>1.6005714285714285</v>
      </c>
      <c r="N21" s="40">
        <f>Вычисление!$L21-Вычисление!$K21</f>
        <v>4204</v>
      </c>
      <c r="O21" s="11" t="str">
        <f t="shared" si="2"/>
        <v>Выполнил</v>
      </c>
    </row>
    <row r="22" spans="1:15" ht="15.75" customHeight="1" x14ac:dyDescent="0.25">
      <c r="A22" s="2"/>
      <c r="B22" s="14"/>
      <c r="C22" s="15" t="s">
        <v>14</v>
      </c>
      <c r="D22" s="6"/>
      <c r="F22" s="2"/>
      <c r="G22" s="14"/>
      <c r="H22" s="15" t="s">
        <v>14</v>
      </c>
      <c r="I22" s="2"/>
      <c r="J22" s="7" t="s">
        <v>15</v>
      </c>
      <c r="K22" s="38">
        <f>'Аятула Отчет'!$E$5</f>
        <v>7000</v>
      </c>
      <c r="L22" s="39">
        <f>'Итоги Мотивации'!G9</f>
        <v>2463</v>
      </c>
      <c r="M22" s="9">
        <f>Вычисление!$L22/Вычисление!$K22</f>
        <v>0.35185714285714287</v>
      </c>
      <c r="N22" s="40">
        <f>Вычисление!$L22-Вычисление!$K22</f>
        <v>-4537</v>
      </c>
      <c r="O22" s="11" t="str">
        <f t="shared" si="2"/>
        <v>Нет</v>
      </c>
    </row>
    <row r="23" spans="1:15" ht="15.75" customHeight="1" x14ac:dyDescent="0.25">
      <c r="A23" s="2"/>
      <c r="B23" s="16"/>
      <c r="C23" s="17"/>
      <c r="D23" s="6"/>
      <c r="F23" s="2"/>
      <c r="G23" s="16"/>
      <c r="H23" s="17"/>
      <c r="I23" s="2"/>
      <c r="J23" s="7" t="s">
        <v>16</v>
      </c>
      <c r="K23" s="38">
        <f>'Аятула Отчет'!$E$5</f>
        <v>7000</v>
      </c>
      <c r="L23" s="39">
        <f>'Итоги Мотивации'!G10</f>
        <v>9851</v>
      </c>
      <c r="M23" s="9">
        <f>Вычисление!$L23/Вычисление!$K23</f>
        <v>1.4072857142857143</v>
      </c>
      <c r="N23" s="40">
        <f>Вычисление!$L23-Вычисление!$K23</f>
        <v>2851</v>
      </c>
      <c r="O23" s="11" t="str">
        <f t="shared" si="2"/>
        <v>Выполнил</v>
      </c>
    </row>
    <row r="24" spans="1:15" ht="15.75" customHeight="1" x14ac:dyDescent="0.25">
      <c r="A24" s="2"/>
      <c r="B24" s="18"/>
      <c r="C24" s="19"/>
      <c r="D24" s="6"/>
      <c r="F24" s="2"/>
      <c r="G24" s="18"/>
      <c r="H24" s="19"/>
      <c r="I24" s="2"/>
      <c r="J24" s="7" t="s">
        <v>17</v>
      </c>
      <c r="K24" s="38">
        <f>'Аятула Отчет'!$E$5</f>
        <v>7000</v>
      </c>
      <c r="L24" s="39">
        <f>'Итоги Мотивации'!G11</f>
        <v>11470</v>
      </c>
      <c r="M24" s="9">
        <f>Вычисление!$L24/Вычисление!$K24</f>
        <v>1.6385714285714286</v>
      </c>
      <c r="N24" s="40">
        <f>Вычисление!$L24-Вычисление!$K24</f>
        <v>4470</v>
      </c>
      <c r="O24" s="11" t="str">
        <f t="shared" si="2"/>
        <v>Выполнил</v>
      </c>
    </row>
    <row r="25" spans="1:15" ht="15.75" customHeight="1" x14ac:dyDescent="0.25">
      <c r="A25" s="20" t="s">
        <v>10</v>
      </c>
      <c r="B25" s="21">
        <f>Данные!AL21</f>
        <v>72097</v>
      </c>
      <c r="C25" s="22">
        <f t="shared" ref="C25:C33" si="3">B25/SUM($B$25:$B$33)*$C$21</f>
        <v>1262.6754421299297</v>
      </c>
      <c r="D25" s="23"/>
      <c r="F25" s="20" t="s">
        <v>10</v>
      </c>
      <c r="G25" s="24">
        <f>Данные!AM21</f>
        <v>4074</v>
      </c>
      <c r="H25" s="22">
        <f>G25/SUM($G$25:$G$33)*H21</f>
        <v>1413.2093797696684</v>
      </c>
      <c r="I25" s="2"/>
      <c r="J25" s="7" t="s">
        <v>18</v>
      </c>
      <c r="K25" s="38">
        <f>'Аятула Отчет'!$E$5</f>
        <v>7000</v>
      </c>
      <c r="L25" s="39">
        <f>'Итоги Мотивации'!G12</f>
        <v>2107</v>
      </c>
      <c r="M25" s="9">
        <f>Вычисление!$L25/Вычисление!$K25</f>
        <v>0.30099999999999999</v>
      </c>
      <c r="N25" s="40">
        <f>Вычисление!$L25-Вычисление!$K25</f>
        <v>-4893</v>
      </c>
      <c r="O25" s="11" t="str">
        <f t="shared" si="2"/>
        <v>Нет</v>
      </c>
    </row>
    <row r="26" spans="1:15" ht="15.75" customHeight="1" x14ac:dyDescent="0.25">
      <c r="A26" s="20" t="s">
        <v>12</v>
      </c>
      <c r="B26" s="25">
        <f>Данные!AL22</f>
        <v>56226</v>
      </c>
      <c r="C26" s="22">
        <f t="shared" si="3"/>
        <v>984.71766383063675</v>
      </c>
      <c r="D26" s="23"/>
      <c r="F26" s="20" t="s">
        <v>12</v>
      </c>
      <c r="G26" s="24">
        <f>Данные!AM22</f>
        <v>3344</v>
      </c>
      <c r="H26" s="22">
        <f>G26/SUM($G$25:$G$33)*H21</f>
        <v>1159.9833495212988</v>
      </c>
      <c r="I26" s="2"/>
      <c r="J26" s="7" t="s">
        <v>19</v>
      </c>
      <c r="K26" s="38">
        <f>'Аятула Отчет'!$E$5</f>
        <v>7000</v>
      </c>
      <c r="L26" s="39">
        <f>'Итоги Мотивации'!G13</f>
        <v>4648</v>
      </c>
      <c r="M26" s="9">
        <f>Вычисление!$L26/Вычисление!$K26</f>
        <v>0.66400000000000003</v>
      </c>
      <c r="N26" s="40">
        <f>Вычисление!$L26-Вычисление!$K26</f>
        <v>-2352</v>
      </c>
      <c r="O26" s="11" t="str">
        <f t="shared" si="2"/>
        <v>Нет</v>
      </c>
    </row>
    <row r="27" spans="1:15" ht="15.75" customHeight="1" x14ac:dyDescent="0.25">
      <c r="A27" s="20" t="s">
        <v>13</v>
      </c>
      <c r="B27" s="25">
        <f>Данные!AG48</f>
        <v>99282</v>
      </c>
      <c r="C27" s="22">
        <f t="shared" si="3"/>
        <v>1738.7816864161293</v>
      </c>
      <c r="D27" s="2"/>
      <c r="F27" s="20" t="s">
        <v>13</v>
      </c>
      <c r="G27" s="24">
        <f>Данные!AM23</f>
        <v>5109</v>
      </c>
      <c r="H27" s="22">
        <f>G27/SUM($G$25:$G$33)*H21</f>
        <v>1772.2353267656447</v>
      </c>
      <c r="I27" s="2"/>
      <c r="J27" s="7" t="s">
        <v>20</v>
      </c>
      <c r="K27" s="38">
        <f>'Аятула Отчет'!$E$5</f>
        <v>7000</v>
      </c>
      <c r="L27" s="39">
        <f>'Итоги Мотивации'!G14</f>
        <v>9745</v>
      </c>
      <c r="M27" s="28">
        <f>Вычисление!$L27/Вычисление!$K27</f>
        <v>1.3921428571428571</v>
      </c>
      <c r="N27" s="40">
        <f>Вычисление!$L27-Вычисление!$K27</f>
        <v>2745</v>
      </c>
      <c r="O27" s="11" t="str">
        <f t="shared" si="2"/>
        <v>Выполнил</v>
      </c>
    </row>
    <row r="28" spans="1:15" ht="15.75" customHeight="1" x14ac:dyDescent="0.25">
      <c r="A28" s="20" t="s">
        <v>15</v>
      </c>
      <c r="B28" s="25">
        <f>Данные!AG49</f>
        <v>19779</v>
      </c>
      <c r="C28" s="22">
        <f t="shared" si="3"/>
        <v>346.40078740984899</v>
      </c>
      <c r="D28" s="2"/>
      <c r="F28" s="20" t="s">
        <v>15</v>
      </c>
      <c r="G28" s="24">
        <f>Данные!AM24</f>
        <v>1129</v>
      </c>
      <c r="H28" s="22">
        <f>G28/SUM($G$25:$G$33)*H21</f>
        <v>391.63313445261548</v>
      </c>
      <c r="I28" s="2"/>
      <c r="J28" s="20" t="s">
        <v>21</v>
      </c>
      <c r="K28" s="41">
        <f>SUBTOTAL(109,Вычисление!$K$19:$K$27)</f>
        <v>63000</v>
      </c>
      <c r="L28" s="41">
        <f>SUBTOTAL(109,Вычисление!$L$19:$L$27)</f>
        <v>65513</v>
      </c>
      <c r="M28" s="31">
        <f>Вычисление!$L$28/Вычисление!$K$28</f>
        <v>1.0398888888888889</v>
      </c>
      <c r="N28" s="42">
        <f>SUM(N19:N27)</f>
        <v>2513</v>
      </c>
      <c r="O28" s="11" t="str">
        <f t="shared" si="2"/>
        <v>Выполнил</v>
      </c>
    </row>
    <row r="29" spans="1:15" ht="15.75" customHeight="1" x14ac:dyDescent="0.25">
      <c r="A29" s="20" t="s">
        <v>16</v>
      </c>
      <c r="B29" s="25">
        <f>Данные!AG50</f>
        <v>82754</v>
      </c>
      <c r="C29" s="22">
        <f t="shared" si="3"/>
        <v>1449.3174964009625</v>
      </c>
      <c r="D29" s="2"/>
      <c r="F29" s="20" t="s">
        <v>16</v>
      </c>
      <c r="G29" s="24">
        <f>Данные!AM25</f>
        <v>4109</v>
      </c>
      <c r="H29" s="22">
        <f>G29/SUM($G$25:$G$33)*H21</f>
        <v>1425.3503538226726</v>
      </c>
      <c r="I29" s="2"/>
    </row>
    <row r="30" spans="1:15" ht="15.75" customHeight="1" x14ac:dyDescent="0.25">
      <c r="A30" s="20" t="s">
        <v>17</v>
      </c>
      <c r="B30" s="25">
        <f>Данные!AG51</f>
        <v>57151</v>
      </c>
      <c r="C30" s="22">
        <f t="shared" si="3"/>
        <v>1000.9177107669891</v>
      </c>
      <c r="D30" s="2"/>
      <c r="F30" s="20" t="s">
        <v>17</v>
      </c>
      <c r="G30" s="24">
        <f>Данные!AM26</f>
        <v>2232</v>
      </c>
      <c r="H30" s="22">
        <f>G30/SUM($G$25:$G$33)*H21</f>
        <v>774.24725960871365</v>
      </c>
      <c r="I30" s="2"/>
    </row>
    <row r="31" spans="1:15" ht="15.75" customHeight="1" x14ac:dyDescent="0.25">
      <c r="A31" s="20" t="s">
        <v>18</v>
      </c>
      <c r="B31" s="25">
        <f>Данные!AG52</f>
        <v>23429</v>
      </c>
      <c r="C31" s="22">
        <f t="shared" si="3"/>
        <v>410.32529694248194</v>
      </c>
      <c r="D31" s="2"/>
      <c r="F31" s="20" t="s">
        <v>18</v>
      </c>
      <c r="G31" s="24">
        <f>Данные!AM46</f>
        <v>754</v>
      </c>
      <c r="H31" s="22">
        <f>G31/SUM($G$25:$G$33)*H21</f>
        <v>261.55126959900099</v>
      </c>
      <c r="I31" s="2"/>
    </row>
    <row r="32" spans="1:15" ht="15.75" customHeight="1" x14ac:dyDescent="0.25">
      <c r="A32" s="33" t="s">
        <v>19</v>
      </c>
      <c r="B32" s="25">
        <f>Данные!AG53</f>
        <v>63742</v>
      </c>
      <c r="C32" s="22">
        <f t="shared" si="3"/>
        <v>1116.3496127750943</v>
      </c>
      <c r="D32" s="2"/>
      <c r="F32" s="33" t="s">
        <v>19</v>
      </c>
      <c r="G32" s="24">
        <f>Данные!AM27</f>
        <v>2683</v>
      </c>
      <c r="H32" s="22">
        <f>G32/SUM($G$25:$G$33)*H21</f>
        <v>930.69238240599418</v>
      </c>
      <c r="I32" s="2"/>
    </row>
    <row r="33" spans="1:13" ht="15.75" customHeight="1" x14ac:dyDescent="0.25">
      <c r="A33" s="20" t="s">
        <v>20</v>
      </c>
      <c r="B33" s="25">
        <f>Данные!AG54</f>
        <v>96526</v>
      </c>
      <c r="C33" s="22">
        <f t="shared" si="3"/>
        <v>1690.5143033279273</v>
      </c>
      <c r="D33" s="43">
        <f>SUM(C25:C33)</f>
        <v>10000</v>
      </c>
      <c r="F33" s="20" t="s">
        <v>20</v>
      </c>
      <c r="G33" s="24">
        <f>Данные!AM47</f>
        <v>5394</v>
      </c>
      <c r="H33" s="22">
        <f>G33/SUM($G$25:$G$33)*H21</f>
        <v>1871.0975440543914</v>
      </c>
      <c r="I33" s="36">
        <f>SUM(H25:H33)</f>
        <v>10000</v>
      </c>
    </row>
    <row r="34" spans="1:13" ht="15.75" customHeight="1" x14ac:dyDescent="0.2">
      <c r="K34" s="44"/>
      <c r="L34" s="44"/>
    </row>
    <row r="35" spans="1:13" ht="15.75" customHeight="1" x14ac:dyDescent="0.2">
      <c r="K35" s="45"/>
      <c r="L35" s="45"/>
      <c r="M35" s="46"/>
    </row>
    <row r="36" spans="1:13" ht="15.75" customHeight="1" x14ac:dyDescent="0.2"/>
    <row r="37" spans="1:13" ht="15.75" customHeight="1" x14ac:dyDescent="0.2"/>
    <row r="38" spans="1:13" ht="15.75" customHeight="1" x14ac:dyDescent="0.2"/>
    <row r="39" spans="1:13" ht="15.75" customHeight="1" x14ac:dyDescent="0.2"/>
    <row r="40" spans="1:13" ht="15.75" customHeight="1" x14ac:dyDescent="0.2"/>
    <row r="41" spans="1:13" ht="15.75" customHeight="1" x14ac:dyDescent="0.2"/>
    <row r="42" spans="1:13" ht="15.75" customHeight="1" x14ac:dyDescent="0.2"/>
    <row r="43" spans="1:13" ht="15.75" customHeight="1" x14ac:dyDescent="0.2"/>
    <row r="44" spans="1:13" ht="15.75" customHeight="1" x14ac:dyDescent="0.2"/>
    <row r="45" spans="1:13" ht="15.75" customHeight="1" x14ac:dyDescent="0.2"/>
    <row r="46" spans="1:13" ht="15.75" customHeight="1" x14ac:dyDescent="0.2"/>
    <row r="47" spans="1:13" ht="15.75" customHeight="1" x14ac:dyDescent="0.2"/>
    <row r="48" spans="1:1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conditionalFormatting sqref="N2:N10">
    <cfRule type="cellIs" dxfId="17" priority="1" operator="greaterThan">
      <formula>0</formula>
    </cfRule>
  </conditionalFormatting>
  <conditionalFormatting sqref="N2:N10">
    <cfRule type="cellIs" dxfId="16" priority="2" operator="lessThan">
      <formula>0</formula>
    </cfRule>
  </conditionalFormatting>
  <conditionalFormatting sqref="N19:N27">
    <cfRule type="cellIs" dxfId="15" priority="3" operator="greaterThan">
      <formula>0</formula>
    </cfRule>
  </conditionalFormatting>
  <conditionalFormatting sqref="N19:N27">
    <cfRule type="cellIs" dxfId="14" priority="4" operator="lessThan">
      <formula>0</formula>
    </cfRule>
  </conditionalFormatting>
  <conditionalFormatting sqref="O2:O11">
    <cfRule type="containsText" dxfId="13" priority="5" operator="containsText" text="Выполнил">
      <formula>NOT(ISERROR(SEARCH(("Выполнил"),(O2))))</formula>
    </cfRule>
  </conditionalFormatting>
  <conditionalFormatting sqref="O2:O11">
    <cfRule type="containsText" dxfId="12" priority="6" operator="containsText" text="Нет">
      <formula>NOT(ISERROR(SEARCH(("Нет"),(O2))))</formula>
    </cfRule>
  </conditionalFormatting>
  <conditionalFormatting sqref="O19:O28">
    <cfRule type="containsText" dxfId="11" priority="7" operator="containsText" text="Выполнил">
      <formula>NOT(ISERROR(SEARCH(("Выполнил"),(O19))))</formula>
    </cfRule>
  </conditionalFormatting>
  <conditionalFormatting sqref="O19:O28">
    <cfRule type="containsText" dxfId="10" priority="8" operator="containsText" text="Нет">
      <formula>NOT(ISERROR(SEARCH(("Нет"),(O19))))</formula>
    </cfRule>
  </conditionalFormatting>
  <pageMargins left="0.7" right="0.7" top="0.75" bottom="0.75" header="0" footer="0"/>
  <pageSetup paperSize="9" orientation="landscape"/>
  <tableParts count="6">
    <tablePart r:id="rId1"/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2.625" defaultRowHeight="15" customHeight="1" x14ac:dyDescent="0.2"/>
  <cols>
    <col min="1" max="1" width="6.375" customWidth="1"/>
    <col min="2" max="6" width="15.5" customWidth="1"/>
    <col min="8" max="8" width="12.625" hidden="1"/>
    <col min="9" max="9" width="2.375" hidden="1" customWidth="1"/>
  </cols>
  <sheetData>
    <row r="1" spans="1:9" ht="15" customHeight="1" x14ac:dyDescent="0.35">
      <c r="A1" s="327" t="s">
        <v>117</v>
      </c>
      <c r="B1" s="320"/>
      <c r="C1" s="320"/>
      <c r="D1" s="234"/>
      <c r="E1" s="234"/>
      <c r="F1" s="234"/>
    </row>
    <row r="2" spans="1:9" x14ac:dyDescent="0.25">
      <c r="A2" s="328"/>
      <c r="B2" s="320"/>
      <c r="C2" s="320"/>
      <c r="D2" s="234"/>
      <c r="E2" s="234"/>
      <c r="F2" s="234"/>
    </row>
    <row r="3" spans="1:9" x14ac:dyDescent="0.25">
      <c r="A3" s="235"/>
      <c r="B3" s="235" t="s">
        <v>118</v>
      </c>
      <c r="C3" s="236" t="s">
        <v>119</v>
      </c>
      <c r="D3" s="236" t="s">
        <v>120</v>
      </c>
      <c r="E3" s="237" t="s">
        <v>21</v>
      </c>
      <c r="F3" s="237" t="s">
        <v>121</v>
      </c>
      <c r="G3" s="237" t="s">
        <v>122</v>
      </c>
    </row>
    <row r="4" spans="1:9" ht="15" customHeight="1" x14ac:dyDescent="0.4">
      <c r="A4" s="238"/>
      <c r="B4" s="239">
        <f>D37</f>
        <v>4.0187499999999998</v>
      </c>
      <c r="C4" s="239">
        <v>12</v>
      </c>
      <c r="D4" s="239">
        <f>B4-C4</f>
        <v>-7.9812500000000002</v>
      </c>
      <c r="E4" s="240">
        <f>E37</f>
        <v>12365.372250000002</v>
      </c>
      <c r="F4" s="240">
        <f>E4-40000</f>
        <v>-27634.62775</v>
      </c>
      <c r="G4" s="241">
        <f>SUM(G9:G36)</f>
        <v>5</v>
      </c>
    </row>
    <row r="5" spans="1:9" x14ac:dyDescent="0.25">
      <c r="A5" s="242" t="s">
        <v>124</v>
      </c>
      <c r="B5" s="243" t="s">
        <v>125</v>
      </c>
      <c r="C5" s="243" t="s">
        <v>126</v>
      </c>
      <c r="D5" s="243" t="s">
        <v>127</v>
      </c>
      <c r="E5" s="243" t="s">
        <v>128</v>
      </c>
      <c r="F5" s="244" t="s">
        <v>129</v>
      </c>
      <c r="G5" s="244" t="s">
        <v>130</v>
      </c>
      <c r="H5" s="268"/>
    </row>
    <row r="6" spans="1:9" x14ac:dyDescent="0.25">
      <c r="A6" s="245">
        <v>44562</v>
      </c>
      <c r="B6" s="246"/>
      <c r="C6" s="246"/>
      <c r="D6" s="247">
        <f t="shared" ref="D6:D36" si="0">C6-B6</f>
        <v>0</v>
      </c>
      <c r="E6" s="248">
        <f t="shared" ref="E6:E36" si="1">I6*D6*24</f>
        <v>0</v>
      </c>
      <c r="F6" s="249"/>
      <c r="G6" s="249"/>
      <c r="I6" s="210">
        <v>128.20500000000001</v>
      </c>
    </row>
    <row r="7" spans="1:9" x14ac:dyDescent="0.25">
      <c r="A7" s="245">
        <v>44563</v>
      </c>
      <c r="B7" s="246"/>
      <c r="C7" s="246"/>
      <c r="D7" s="247">
        <f t="shared" si="0"/>
        <v>0</v>
      </c>
      <c r="E7" s="248">
        <f t="shared" si="1"/>
        <v>0</v>
      </c>
      <c r="F7" s="249"/>
      <c r="G7" s="249"/>
      <c r="I7" s="210">
        <v>128.20500000000001</v>
      </c>
    </row>
    <row r="8" spans="1:9" x14ac:dyDescent="0.25">
      <c r="A8" s="245">
        <v>44564</v>
      </c>
      <c r="B8" s="246"/>
      <c r="C8" s="246"/>
      <c r="D8" s="247">
        <f t="shared" si="0"/>
        <v>0</v>
      </c>
      <c r="E8" s="248">
        <f t="shared" si="1"/>
        <v>0</v>
      </c>
      <c r="F8" s="249"/>
      <c r="G8" s="249"/>
      <c r="I8" s="210">
        <v>128.20500000000001</v>
      </c>
    </row>
    <row r="9" spans="1:9" x14ac:dyDescent="0.25">
      <c r="A9" s="251">
        <v>44565</v>
      </c>
      <c r="B9" s="252">
        <v>0.24791666666666667</v>
      </c>
      <c r="C9" s="252">
        <v>0.75972222222222219</v>
      </c>
      <c r="D9" s="253">
        <f t="shared" si="0"/>
        <v>0.51180555555555551</v>
      </c>
      <c r="E9" s="254">
        <f t="shared" si="1"/>
        <v>1574.7847500000003</v>
      </c>
      <c r="F9" s="254">
        <f t="shared" ref="F9:F11" si="2">E9-H9</f>
        <v>36.784750000000258</v>
      </c>
      <c r="G9" s="255"/>
      <c r="H9" s="278">
        <v>1538</v>
      </c>
      <c r="I9" s="210">
        <v>128.20500000000001</v>
      </c>
    </row>
    <row r="10" spans="1:9" x14ac:dyDescent="0.25">
      <c r="A10" s="251">
        <v>44566</v>
      </c>
      <c r="B10" s="252">
        <v>0.27152777777777776</v>
      </c>
      <c r="C10" s="252">
        <v>0.75138888888888888</v>
      </c>
      <c r="D10" s="253">
        <f t="shared" si="0"/>
        <v>0.47986111111111113</v>
      </c>
      <c r="E10" s="254">
        <f t="shared" si="1"/>
        <v>1476.4942500000002</v>
      </c>
      <c r="F10" s="254">
        <f t="shared" si="2"/>
        <v>-61.505749999999807</v>
      </c>
      <c r="G10" s="256"/>
      <c r="H10" s="278">
        <v>1538</v>
      </c>
      <c r="I10" s="210">
        <v>128.20500000000001</v>
      </c>
    </row>
    <row r="11" spans="1:9" x14ac:dyDescent="0.25">
      <c r="A11" s="251">
        <v>44567</v>
      </c>
      <c r="B11" s="252">
        <v>0.28263888888888888</v>
      </c>
      <c r="C11" s="252">
        <v>0.76249999999999996</v>
      </c>
      <c r="D11" s="253">
        <f t="shared" si="0"/>
        <v>0.47986111111111107</v>
      </c>
      <c r="E11" s="254">
        <f t="shared" si="1"/>
        <v>1476.4942500000002</v>
      </c>
      <c r="F11" s="254">
        <f t="shared" si="2"/>
        <v>-61.505749999999807</v>
      </c>
      <c r="G11" s="255"/>
      <c r="H11" s="278">
        <v>1538</v>
      </c>
      <c r="I11" s="210">
        <v>128.20500000000001</v>
      </c>
    </row>
    <row r="12" spans="1:9" x14ac:dyDescent="0.25">
      <c r="A12" s="245">
        <v>44568</v>
      </c>
      <c r="B12" s="257"/>
      <c r="C12" s="257"/>
      <c r="D12" s="258">
        <f t="shared" si="0"/>
        <v>0</v>
      </c>
      <c r="E12" s="248">
        <f t="shared" si="1"/>
        <v>0</v>
      </c>
      <c r="F12" s="249"/>
      <c r="G12" s="249"/>
      <c r="H12" s="278">
        <v>1538</v>
      </c>
      <c r="I12" s="210">
        <v>128.20500000000001</v>
      </c>
    </row>
    <row r="13" spans="1:9" x14ac:dyDescent="0.25">
      <c r="A13" s="251">
        <v>44569</v>
      </c>
      <c r="B13" s="252">
        <v>0.25347222222222221</v>
      </c>
      <c r="C13" s="252">
        <v>0.75486111111111109</v>
      </c>
      <c r="D13" s="253">
        <f t="shared" si="0"/>
        <v>0.50138888888888888</v>
      </c>
      <c r="E13" s="254">
        <f t="shared" si="1"/>
        <v>1542.7335</v>
      </c>
      <c r="F13" s="254">
        <f t="shared" ref="F13:F18" si="3">E13-H13</f>
        <v>4.7335000000000491</v>
      </c>
      <c r="G13" s="256">
        <v>2</v>
      </c>
      <c r="H13" s="278">
        <v>1538</v>
      </c>
      <c r="I13" s="210">
        <v>128.20500000000001</v>
      </c>
    </row>
    <row r="14" spans="1:9" x14ac:dyDescent="0.25">
      <c r="A14" s="251">
        <v>44570</v>
      </c>
      <c r="B14" s="252">
        <v>0.26180555555555557</v>
      </c>
      <c r="C14" s="252">
        <v>0.67361111111111116</v>
      </c>
      <c r="D14" s="253">
        <f t="shared" si="0"/>
        <v>0.41180555555555559</v>
      </c>
      <c r="E14" s="254">
        <f t="shared" si="1"/>
        <v>1267.0927500000003</v>
      </c>
      <c r="F14" s="254">
        <f t="shared" si="3"/>
        <v>-270.90724999999975</v>
      </c>
      <c r="G14" s="255"/>
      <c r="H14" s="278">
        <v>1538</v>
      </c>
      <c r="I14" s="210">
        <v>128.20500000000001</v>
      </c>
    </row>
    <row r="15" spans="1:9" x14ac:dyDescent="0.25">
      <c r="A15" s="251">
        <v>44571</v>
      </c>
      <c r="B15" s="252"/>
      <c r="C15" s="252"/>
      <c r="D15" s="253">
        <f t="shared" si="0"/>
        <v>0</v>
      </c>
      <c r="E15" s="254">
        <f t="shared" si="1"/>
        <v>0</v>
      </c>
      <c r="F15" s="254">
        <f t="shared" si="3"/>
        <v>-1538</v>
      </c>
      <c r="G15" s="255"/>
      <c r="H15" s="278">
        <v>1538</v>
      </c>
      <c r="I15" s="210">
        <v>128.20500000000001</v>
      </c>
    </row>
    <row r="16" spans="1:9" x14ac:dyDescent="0.25">
      <c r="A16" s="251">
        <v>44572</v>
      </c>
      <c r="B16" s="252">
        <v>0.25486111111111109</v>
      </c>
      <c r="C16" s="252">
        <v>0.51597222222222228</v>
      </c>
      <c r="D16" s="253">
        <f t="shared" si="0"/>
        <v>0.26111111111111118</v>
      </c>
      <c r="E16" s="254">
        <f t="shared" si="1"/>
        <v>803.41800000000035</v>
      </c>
      <c r="F16" s="254">
        <f t="shared" si="3"/>
        <v>-734.58199999999965</v>
      </c>
      <c r="G16" s="256"/>
      <c r="H16" s="278">
        <v>1538</v>
      </c>
      <c r="I16" s="210">
        <v>128.20500000000001</v>
      </c>
    </row>
    <row r="17" spans="1:9" x14ac:dyDescent="0.25">
      <c r="A17" s="251">
        <v>44573</v>
      </c>
      <c r="B17" s="252">
        <v>0.25208333333333333</v>
      </c>
      <c r="C17" s="252">
        <v>0.76180555555555551</v>
      </c>
      <c r="D17" s="253">
        <f t="shared" si="0"/>
        <v>0.50972222222222219</v>
      </c>
      <c r="E17" s="254">
        <f t="shared" si="1"/>
        <v>1568.3745000000001</v>
      </c>
      <c r="F17" s="254">
        <f t="shared" si="3"/>
        <v>30.374500000000126</v>
      </c>
      <c r="G17" s="255"/>
      <c r="H17" s="278">
        <v>1538</v>
      </c>
      <c r="I17" s="210">
        <v>128.20500000000001</v>
      </c>
    </row>
    <row r="18" spans="1:9" x14ac:dyDescent="0.25">
      <c r="A18" s="251">
        <v>44574</v>
      </c>
      <c r="B18" s="252">
        <v>0.26944444444444443</v>
      </c>
      <c r="C18" s="252">
        <v>0.76249999999999996</v>
      </c>
      <c r="D18" s="253">
        <f t="shared" si="0"/>
        <v>0.49305555555555552</v>
      </c>
      <c r="E18" s="254">
        <f t="shared" si="1"/>
        <v>1517.0925</v>
      </c>
      <c r="F18" s="254">
        <f t="shared" si="3"/>
        <v>-20.907500000000027</v>
      </c>
      <c r="G18" s="255"/>
      <c r="H18" s="278">
        <v>1538</v>
      </c>
      <c r="I18" s="210">
        <v>128.20500000000001</v>
      </c>
    </row>
    <row r="19" spans="1:9" x14ac:dyDescent="0.25">
      <c r="A19" s="245">
        <v>44575</v>
      </c>
      <c r="B19" s="257"/>
      <c r="C19" s="257"/>
      <c r="D19" s="258">
        <f t="shared" si="0"/>
        <v>0</v>
      </c>
      <c r="E19" s="248">
        <f t="shared" si="1"/>
        <v>0</v>
      </c>
      <c r="F19" s="249"/>
      <c r="G19" s="249"/>
      <c r="H19" s="278">
        <v>1538</v>
      </c>
      <c r="I19" s="210">
        <v>128.20500000000001</v>
      </c>
    </row>
    <row r="20" spans="1:9" x14ac:dyDescent="0.25">
      <c r="A20" s="251">
        <v>44576</v>
      </c>
      <c r="B20" s="252">
        <v>0.25347222222222221</v>
      </c>
      <c r="C20" s="252">
        <v>0.62361111111111112</v>
      </c>
      <c r="D20" s="253">
        <f t="shared" si="0"/>
        <v>0.37013888888888891</v>
      </c>
      <c r="E20" s="254">
        <f t="shared" si="1"/>
        <v>1138.8877500000003</v>
      </c>
      <c r="F20" s="254">
        <f t="shared" ref="F20:F25" si="4">E20-H20</f>
        <v>-399.11224999999968</v>
      </c>
      <c r="G20" s="255"/>
      <c r="H20" s="278">
        <v>1538</v>
      </c>
      <c r="I20" s="210">
        <v>128.20500000000001</v>
      </c>
    </row>
    <row r="21" spans="1:9" x14ac:dyDescent="0.25">
      <c r="A21" s="251">
        <v>44577</v>
      </c>
      <c r="B21" s="252"/>
      <c r="C21" s="252"/>
      <c r="D21" s="253">
        <f t="shared" si="0"/>
        <v>0</v>
      </c>
      <c r="E21" s="254">
        <f t="shared" si="1"/>
        <v>0</v>
      </c>
      <c r="F21" s="254">
        <f t="shared" si="4"/>
        <v>-1538</v>
      </c>
      <c r="G21" s="256">
        <v>1</v>
      </c>
      <c r="H21" s="278">
        <v>1538</v>
      </c>
      <c r="I21" s="210">
        <v>128.20500000000001</v>
      </c>
    </row>
    <row r="22" spans="1:9" x14ac:dyDescent="0.25">
      <c r="A22" s="251">
        <v>44578</v>
      </c>
      <c r="B22" s="252"/>
      <c r="C22" s="252"/>
      <c r="D22" s="253">
        <f t="shared" si="0"/>
        <v>0</v>
      </c>
      <c r="E22" s="254">
        <f t="shared" si="1"/>
        <v>0</v>
      </c>
      <c r="F22" s="254">
        <f t="shared" si="4"/>
        <v>-1538</v>
      </c>
      <c r="G22" s="256">
        <v>1</v>
      </c>
      <c r="H22" s="278">
        <v>1538</v>
      </c>
      <c r="I22" s="210">
        <v>128.20500000000001</v>
      </c>
    </row>
    <row r="23" spans="1:9" x14ac:dyDescent="0.25">
      <c r="A23" s="251">
        <v>44579</v>
      </c>
      <c r="B23" s="252"/>
      <c r="C23" s="252"/>
      <c r="D23" s="253">
        <f t="shared" si="0"/>
        <v>0</v>
      </c>
      <c r="E23" s="254">
        <f t="shared" si="1"/>
        <v>0</v>
      </c>
      <c r="F23" s="254">
        <f t="shared" si="4"/>
        <v>-1538</v>
      </c>
      <c r="G23" s="255"/>
      <c r="H23" s="278">
        <v>1538</v>
      </c>
      <c r="I23" s="210">
        <v>128.20500000000001</v>
      </c>
    </row>
    <row r="24" spans="1:9" x14ac:dyDescent="0.25">
      <c r="A24" s="251">
        <v>44580</v>
      </c>
      <c r="B24" s="252"/>
      <c r="C24" s="252"/>
      <c r="D24" s="253">
        <f t="shared" si="0"/>
        <v>0</v>
      </c>
      <c r="E24" s="254">
        <f t="shared" si="1"/>
        <v>0</v>
      </c>
      <c r="F24" s="254">
        <f t="shared" si="4"/>
        <v>-1538</v>
      </c>
      <c r="G24" s="255"/>
      <c r="H24" s="278">
        <v>1538</v>
      </c>
      <c r="I24" s="210">
        <v>128.20500000000001</v>
      </c>
    </row>
    <row r="25" spans="1:9" x14ac:dyDescent="0.25">
      <c r="A25" s="251">
        <v>44581</v>
      </c>
      <c r="B25" s="252"/>
      <c r="C25" s="252"/>
      <c r="D25" s="253">
        <f t="shared" si="0"/>
        <v>0</v>
      </c>
      <c r="E25" s="254">
        <f t="shared" si="1"/>
        <v>0</v>
      </c>
      <c r="F25" s="254">
        <f t="shared" si="4"/>
        <v>-1538</v>
      </c>
      <c r="G25" s="256">
        <v>1</v>
      </c>
      <c r="H25" s="278">
        <v>1538</v>
      </c>
      <c r="I25" s="210">
        <v>128.20500000000001</v>
      </c>
    </row>
    <row r="26" spans="1:9" x14ac:dyDescent="0.25">
      <c r="A26" s="245">
        <v>44582</v>
      </c>
      <c r="B26" s="257"/>
      <c r="C26" s="257"/>
      <c r="D26" s="258">
        <f t="shared" si="0"/>
        <v>0</v>
      </c>
      <c r="E26" s="248">
        <f t="shared" si="1"/>
        <v>0</v>
      </c>
      <c r="F26" s="249"/>
      <c r="G26" s="249"/>
      <c r="H26" s="278">
        <v>1538</v>
      </c>
      <c r="I26" s="210">
        <v>128.20500000000001</v>
      </c>
    </row>
    <row r="27" spans="1:9" x14ac:dyDescent="0.25">
      <c r="A27" s="251">
        <v>44583</v>
      </c>
      <c r="B27" s="252"/>
      <c r="C27" s="252"/>
      <c r="D27" s="253">
        <f t="shared" si="0"/>
        <v>0</v>
      </c>
      <c r="E27" s="254">
        <f t="shared" si="1"/>
        <v>0</v>
      </c>
      <c r="F27" s="254">
        <f t="shared" ref="F27:F32" si="5">E27-H27</f>
        <v>-1538</v>
      </c>
      <c r="G27" s="255"/>
      <c r="H27" s="278">
        <v>1538</v>
      </c>
      <c r="I27" s="210">
        <v>128.20500000000001</v>
      </c>
    </row>
    <row r="28" spans="1:9" x14ac:dyDescent="0.25">
      <c r="A28" s="251">
        <v>44584</v>
      </c>
      <c r="B28" s="252"/>
      <c r="C28" s="252"/>
      <c r="D28" s="253">
        <f t="shared" si="0"/>
        <v>0</v>
      </c>
      <c r="E28" s="254">
        <f t="shared" si="1"/>
        <v>0</v>
      </c>
      <c r="F28" s="254">
        <f t="shared" si="5"/>
        <v>-1538</v>
      </c>
      <c r="G28" s="255"/>
      <c r="H28" s="278">
        <v>1538</v>
      </c>
      <c r="I28" s="210">
        <v>128.20500000000001</v>
      </c>
    </row>
    <row r="29" spans="1:9" x14ac:dyDescent="0.25">
      <c r="A29" s="251">
        <v>44585</v>
      </c>
      <c r="B29" s="252"/>
      <c r="C29" s="252"/>
      <c r="D29" s="253">
        <f t="shared" si="0"/>
        <v>0</v>
      </c>
      <c r="E29" s="254">
        <f t="shared" si="1"/>
        <v>0</v>
      </c>
      <c r="F29" s="254">
        <f t="shared" si="5"/>
        <v>-1538</v>
      </c>
      <c r="G29" s="255"/>
      <c r="H29" s="278">
        <v>1538</v>
      </c>
      <c r="I29" s="210">
        <v>128.20500000000001</v>
      </c>
    </row>
    <row r="30" spans="1:9" x14ac:dyDescent="0.25">
      <c r="A30" s="251">
        <v>44586</v>
      </c>
      <c r="B30" s="252"/>
      <c r="C30" s="252"/>
      <c r="D30" s="253">
        <f t="shared" si="0"/>
        <v>0</v>
      </c>
      <c r="E30" s="254">
        <f t="shared" si="1"/>
        <v>0</v>
      </c>
      <c r="F30" s="254">
        <f t="shared" si="5"/>
        <v>-1538</v>
      </c>
      <c r="G30" s="255"/>
      <c r="H30" s="278">
        <v>1538</v>
      </c>
      <c r="I30" s="210">
        <v>128.20500000000001</v>
      </c>
    </row>
    <row r="31" spans="1:9" x14ac:dyDescent="0.25">
      <c r="A31" s="251">
        <v>44587</v>
      </c>
      <c r="B31" s="252"/>
      <c r="C31" s="252"/>
      <c r="D31" s="253">
        <f t="shared" si="0"/>
        <v>0</v>
      </c>
      <c r="E31" s="254">
        <f t="shared" si="1"/>
        <v>0</v>
      </c>
      <c r="F31" s="254">
        <f t="shared" si="5"/>
        <v>-1538</v>
      </c>
      <c r="G31" s="255"/>
      <c r="H31" s="278">
        <v>1538</v>
      </c>
      <c r="I31" s="210">
        <v>128.20500000000001</v>
      </c>
    </row>
    <row r="32" spans="1:9" x14ac:dyDescent="0.25">
      <c r="A32" s="251">
        <v>44588</v>
      </c>
      <c r="B32" s="252"/>
      <c r="C32" s="252"/>
      <c r="D32" s="253">
        <f t="shared" si="0"/>
        <v>0</v>
      </c>
      <c r="E32" s="254">
        <f t="shared" si="1"/>
        <v>0</v>
      </c>
      <c r="F32" s="254">
        <f t="shared" si="5"/>
        <v>-1538</v>
      </c>
      <c r="G32" s="255"/>
      <c r="H32" s="278">
        <v>1538</v>
      </c>
      <c r="I32" s="210">
        <v>128.20500000000001</v>
      </c>
    </row>
    <row r="33" spans="1:9" x14ac:dyDescent="0.25">
      <c r="A33" s="245">
        <v>44589</v>
      </c>
      <c r="B33" s="259"/>
      <c r="C33" s="249"/>
      <c r="D33" s="260">
        <f t="shared" si="0"/>
        <v>0</v>
      </c>
      <c r="E33" s="248">
        <f t="shared" si="1"/>
        <v>0</v>
      </c>
      <c r="F33" s="249"/>
      <c r="G33" s="249"/>
      <c r="H33" s="278">
        <v>1538</v>
      </c>
      <c r="I33" s="210">
        <v>128.20500000000001</v>
      </c>
    </row>
    <row r="34" spans="1:9" x14ac:dyDescent="0.25">
      <c r="A34" s="251">
        <v>44590</v>
      </c>
      <c r="B34" s="261"/>
      <c r="C34" s="261"/>
      <c r="D34" s="262">
        <f t="shared" si="0"/>
        <v>0</v>
      </c>
      <c r="E34" s="254">
        <f t="shared" si="1"/>
        <v>0</v>
      </c>
      <c r="F34" s="254">
        <f t="shared" ref="F34:F36" si="6">E34-H34</f>
        <v>-1538</v>
      </c>
      <c r="G34" s="255"/>
      <c r="H34" s="278">
        <v>1538</v>
      </c>
      <c r="I34" s="210">
        <v>128.20500000000001</v>
      </c>
    </row>
    <row r="35" spans="1:9" x14ac:dyDescent="0.25">
      <c r="A35" s="251">
        <v>44591</v>
      </c>
      <c r="B35" s="261"/>
      <c r="C35" s="261"/>
      <c r="D35" s="262">
        <f t="shared" si="0"/>
        <v>0</v>
      </c>
      <c r="E35" s="254">
        <f t="shared" si="1"/>
        <v>0</v>
      </c>
      <c r="F35" s="254">
        <f t="shared" si="6"/>
        <v>-1538</v>
      </c>
      <c r="G35" s="255"/>
      <c r="H35" s="278">
        <v>1538</v>
      </c>
      <c r="I35" s="210">
        <v>128.20500000000001</v>
      </c>
    </row>
    <row r="36" spans="1:9" x14ac:dyDescent="0.25">
      <c r="A36" s="251">
        <v>44592</v>
      </c>
      <c r="B36" s="261"/>
      <c r="C36" s="261"/>
      <c r="D36" s="262">
        <f t="shared" si="0"/>
        <v>0</v>
      </c>
      <c r="E36" s="254">
        <f t="shared" si="1"/>
        <v>0</v>
      </c>
      <c r="F36" s="254">
        <f t="shared" si="6"/>
        <v>-1538</v>
      </c>
      <c r="G36" s="255"/>
      <c r="H36" s="278">
        <v>1538</v>
      </c>
      <c r="I36" s="210">
        <v>128.20500000000001</v>
      </c>
    </row>
    <row r="37" spans="1:9" x14ac:dyDescent="0.25">
      <c r="A37" s="263" t="s">
        <v>21</v>
      </c>
      <c r="B37" s="264"/>
      <c r="C37" s="264"/>
      <c r="D37" s="265">
        <f t="shared" ref="D37:E37" si="7">SUM(D6:D36)</f>
        <v>4.0187499999999998</v>
      </c>
      <c r="E37" s="266">
        <f t="shared" si="7"/>
        <v>12365.372250000002</v>
      </c>
      <c r="F37" s="304"/>
      <c r="G37" s="267"/>
      <c r="I37" s="210">
        <v>128.20500000000001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2.625" defaultRowHeight="15" customHeight="1" x14ac:dyDescent="0.2"/>
  <cols>
    <col min="2" max="6" width="13.25" customWidth="1"/>
    <col min="8" max="9" width="12.625" hidden="1"/>
  </cols>
  <sheetData>
    <row r="1" spans="1:9" ht="15" customHeight="1" x14ac:dyDescent="0.35">
      <c r="A1" s="327" t="s">
        <v>117</v>
      </c>
      <c r="B1" s="320"/>
      <c r="C1" s="320"/>
      <c r="D1" s="234"/>
      <c r="E1" s="234"/>
      <c r="F1" s="234"/>
    </row>
    <row r="2" spans="1:9" x14ac:dyDescent="0.25">
      <c r="A2" s="328"/>
      <c r="B2" s="320"/>
      <c r="C2" s="320"/>
      <c r="D2" s="234"/>
      <c r="E2" s="234"/>
      <c r="F2" s="234"/>
    </row>
    <row r="3" spans="1:9" x14ac:dyDescent="0.25">
      <c r="A3" s="235"/>
      <c r="B3" s="235" t="s">
        <v>118</v>
      </c>
      <c r="C3" s="236" t="s">
        <v>119</v>
      </c>
      <c r="D3" s="236" t="s">
        <v>120</v>
      </c>
      <c r="E3" s="237" t="s">
        <v>21</v>
      </c>
      <c r="F3" s="237" t="s">
        <v>121</v>
      </c>
      <c r="G3" s="237" t="s">
        <v>122</v>
      </c>
    </row>
    <row r="4" spans="1:9" ht="15" customHeight="1" x14ac:dyDescent="0.4">
      <c r="A4" s="238"/>
      <c r="B4" s="239">
        <f>D37</f>
        <v>2.4402777777777773</v>
      </c>
      <c r="C4" s="239">
        <v>12</v>
      </c>
      <c r="D4" s="239">
        <f>B4-C4</f>
        <v>-9.5597222222222236</v>
      </c>
      <c r="E4" s="240">
        <f>E37</f>
        <v>7508.5395000000008</v>
      </c>
      <c r="F4" s="240">
        <f>E4-40000</f>
        <v>-32491.460500000001</v>
      </c>
      <c r="G4" s="241">
        <f>SUM(G9:G36)</f>
        <v>3</v>
      </c>
    </row>
    <row r="5" spans="1:9" x14ac:dyDescent="0.25">
      <c r="A5" s="242" t="s">
        <v>124</v>
      </c>
      <c r="B5" s="243" t="s">
        <v>125</v>
      </c>
      <c r="C5" s="243" t="s">
        <v>126</v>
      </c>
      <c r="D5" s="243" t="s">
        <v>127</v>
      </c>
      <c r="E5" s="243" t="s">
        <v>128</v>
      </c>
      <c r="F5" s="244" t="s">
        <v>129</v>
      </c>
      <c r="G5" s="244"/>
      <c r="H5" s="268"/>
    </row>
    <row r="6" spans="1:9" x14ac:dyDescent="0.25">
      <c r="A6" s="245">
        <v>44562</v>
      </c>
      <c r="B6" s="246"/>
      <c r="C6" s="246"/>
      <c r="D6" s="247">
        <f t="shared" ref="D6:D36" si="0">C6-B6</f>
        <v>0</v>
      </c>
      <c r="E6" s="248">
        <f t="shared" ref="E6:E36" si="1">I6*D6*24</f>
        <v>0</v>
      </c>
      <c r="F6" s="249"/>
      <c r="G6" s="249"/>
      <c r="I6" s="210">
        <v>128.20500000000001</v>
      </c>
    </row>
    <row r="7" spans="1:9" x14ac:dyDescent="0.25">
      <c r="A7" s="245">
        <v>44563</v>
      </c>
      <c r="B7" s="246"/>
      <c r="C7" s="246"/>
      <c r="D7" s="247">
        <f t="shared" si="0"/>
        <v>0</v>
      </c>
      <c r="E7" s="248">
        <f t="shared" si="1"/>
        <v>0</v>
      </c>
      <c r="F7" s="249"/>
      <c r="G7" s="249"/>
      <c r="I7" s="210">
        <v>128.20500000000001</v>
      </c>
    </row>
    <row r="8" spans="1:9" x14ac:dyDescent="0.25">
      <c r="A8" s="245">
        <v>44564</v>
      </c>
      <c r="B8" s="246"/>
      <c r="C8" s="246"/>
      <c r="D8" s="247">
        <f t="shared" si="0"/>
        <v>0</v>
      </c>
      <c r="E8" s="248">
        <f t="shared" si="1"/>
        <v>0</v>
      </c>
      <c r="F8" s="249"/>
      <c r="G8" s="249"/>
      <c r="I8" s="210">
        <v>128.20500000000001</v>
      </c>
    </row>
    <row r="9" spans="1:9" x14ac:dyDescent="0.25">
      <c r="A9" s="251">
        <v>44565</v>
      </c>
      <c r="B9" s="252"/>
      <c r="C9" s="252"/>
      <c r="D9" s="253">
        <f t="shared" si="0"/>
        <v>0</v>
      </c>
      <c r="E9" s="254">
        <f t="shared" si="1"/>
        <v>0</v>
      </c>
      <c r="F9" s="254">
        <f t="shared" ref="F9:F11" si="2">E9-H9</f>
        <v>-1538</v>
      </c>
      <c r="G9" s="255"/>
      <c r="H9" s="278">
        <v>1538</v>
      </c>
      <c r="I9" s="210">
        <v>128.20500000000001</v>
      </c>
    </row>
    <row r="10" spans="1:9" x14ac:dyDescent="0.25">
      <c r="A10" s="251">
        <v>44566</v>
      </c>
      <c r="B10" s="252"/>
      <c r="C10" s="252"/>
      <c r="D10" s="253">
        <f t="shared" si="0"/>
        <v>0</v>
      </c>
      <c r="E10" s="254">
        <f t="shared" si="1"/>
        <v>0</v>
      </c>
      <c r="F10" s="254">
        <f t="shared" si="2"/>
        <v>-1538</v>
      </c>
      <c r="G10" s="256"/>
      <c r="H10" s="278">
        <v>1538</v>
      </c>
      <c r="I10" s="210">
        <v>128.20500000000001</v>
      </c>
    </row>
    <row r="11" spans="1:9" x14ac:dyDescent="0.25">
      <c r="A11" s="251">
        <v>44567</v>
      </c>
      <c r="B11" s="252"/>
      <c r="C11" s="252"/>
      <c r="D11" s="253">
        <f t="shared" si="0"/>
        <v>0</v>
      </c>
      <c r="E11" s="254">
        <f t="shared" si="1"/>
        <v>0</v>
      </c>
      <c r="F11" s="254">
        <f t="shared" si="2"/>
        <v>-1538</v>
      </c>
      <c r="G11" s="255"/>
      <c r="H11" s="278">
        <v>1538</v>
      </c>
      <c r="I11" s="210">
        <v>128.20500000000001</v>
      </c>
    </row>
    <row r="12" spans="1:9" x14ac:dyDescent="0.25">
      <c r="A12" s="245">
        <v>44568</v>
      </c>
      <c r="B12" s="257"/>
      <c r="C12" s="257"/>
      <c r="D12" s="258">
        <f t="shared" si="0"/>
        <v>0</v>
      </c>
      <c r="E12" s="248">
        <f t="shared" si="1"/>
        <v>0</v>
      </c>
      <c r="F12" s="249"/>
      <c r="G12" s="249"/>
      <c r="H12" s="278">
        <v>1538</v>
      </c>
      <c r="I12" s="210">
        <v>128.20500000000001</v>
      </c>
    </row>
    <row r="13" spans="1:9" x14ac:dyDescent="0.25">
      <c r="A13" s="251">
        <v>44569</v>
      </c>
      <c r="B13" s="252">
        <v>0.25208333333333333</v>
      </c>
      <c r="C13" s="252">
        <v>0.73263888888888884</v>
      </c>
      <c r="D13" s="253">
        <f t="shared" si="0"/>
        <v>0.48055555555555551</v>
      </c>
      <c r="E13" s="254">
        <f t="shared" si="1"/>
        <v>1478.6310000000001</v>
      </c>
      <c r="F13" s="254">
        <f t="shared" ref="F13:F18" si="3">E13-H13</f>
        <v>-59.368999999999915</v>
      </c>
      <c r="G13" s="256"/>
      <c r="H13" s="278">
        <v>1538</v>
      </c>
      <c r="I13" s="210">
        <v>128.20500000000001</v>
      </c>
    </row>
    <row r="14" spans="1:9" x14ac:dyDescent="0.25">
      <c r="A14" s="251">
        <v>44570</v>
      </c>
      <c r="B14" s="252">
        <v>0.25208333333333333</v>
      </c>
      <c r="C14" s="252">
        <v>0.75069444444444444</v>
      </c>
      <c r="D14" s="253">
        <f t="shared" si="0"/>
        <v>0.49861111111111112</v>
      </c>
      <c r="E14" s="254">
        <f t="shared" si="1"/>
        <v>1534.1865</v>
      </c>
      <c r="F14" s="254">
        <f t="shared" si="3"/>
        <v>-3.8134999999999764</v>
      </c>
      <c r="G14" s="256">
        <v>3</v>
      </c>
      <c r="H14" s="278">
        <v>1538</v>
      </c>
      <c r="I14" s="210">
        <v>128.20500000000001</v>
      </c>
    </row>
    <row r="15" spans="1:9" x14ac:dyDescent="0.25">
      <c r="A15" s="251">
        <v>44571</v>
      </c>
      <c r="B15" s="252">
        <v>0.25069444444444444</v>
      </c>
      <c r="C15" s="252">
        <v>0.75902777777777775</v>
      </c>
      <c r="D15" s="253">
        <f t="shared" si="0"/>
        <v>0.5083333333333333</v>
      </c>
      <c r="E15" s="254">
        <f t="shared" si="1"/>
        <v>1564.1010000000001</v>
      </c>
      <c r="F15" s="254">
        <f t="shared" si="3"/>
        <v>26.101000000000113</v>
      </c>
      <c r="G15" s="255"/>
      <c r="H15" s="278">
        <v>1538</v>
      </c>
      <c r="I15" s="210">
        <v>128.20500000000001</v>
      </c>
    </row>
    <row r="16" spans="1:9" x14ac:dyDescent="0.25">
      <c r="A16" s="251">
        <v>44572</v>
      </c>
      <c r="B16" s="252"/>
      <c r="C16" s="252"/>
      <c r="D16" s="253">
        <f t="shared" si="0"/>
        <v>0</v>
      </c>
      <c r="E16" s="254">
        <f t="shared" si="1"/>
        <v>0</v>
      </c>
      <c r="F16" s="254">
        <f t="shared" si="3"/>
        <v>-1538</v>
      </c>
      <c r="G16" s="256"/>
      <c r="H16" s="278">
        <v>1538</v>
      </c>
      <c r="I16" s="210">
        <v>128.20500000000001</v>
      </c>
    </row>
    <row r="17" spans="1:9" x14ac:dyDescent="0.25">
      <c r="A17" s="251">
        <v>44573</v>
      </c>
      <c r="B17" s="252">
        <v>0.25208333333333333</v>
      </c>
      <c r="C17" s="252">
        <v>0.76458333333333328</v>
      </c>
      <c r="D17" s="253">
        <f t="shared" si="0"/>
        <v>0.51249999999999996</v>
      </c>
      <c r="E17" s="254">
        <f t="shared" si="1"/>
        <v>1576.9214999999999</v>
      </c>
      <c r="F17" s="254">
        <f t="shared" si="3"/>
        <v>38.921499999999924</v>
      </c>
      <c r="G17" s="255"/>
      <c r="H17" s="278">
        <v>1538</v>
      </c>
      <c r="I17" s="210">
        <v>128.20500000000001</v>
      </c>
    </row>
    <row r="18" spans="1:9" x14ac:dyDescent="0.25">
      <c r="A18" s="251">
        <v>44574</v>
      </c>
      <c r="B18" s="252">
        <v>0.25208333333333333</v>
      </c>
      <c r="C18" s="252">
        <v>0.69236111111111109</v>
      </c>
      <c r="D18" s="253">
        <f t="shared" si="0"/>
        <v>0.44027777777777777</v>
      </c>
      <c r="E18" s="254">
        <f t="shared" si="1"/>
        <v>1354.6995000000002</v>
      </c>
      <c r="F18" s="254">
        <f t="shared" si="3"/>
        <v>-183.30049999999983</v>
      </c>
      <c r="G18" s="255"/>
      <c r="H18" s="278">
        <v>1538</v>
      </c>
      <c r="I18" s="210">
        <v>128.20500000000001</v>
      </c>
    </row>
    <row r="19" spans="1:9" x14ac:dyDescent="0.25">
      <c r="A19" s="245">
        <v>44575</v>
      </c>
      <c r="B19" s="257"/>
      <c r="C19" s="257"/>
      <c r="D19" s="258">
        <f t="shared" si="0"/>
        <v>0</v>
      </c>
      <c r="E19" s="248">
        <f t="shared" si="1"/>
        <v>0</v>
      </c>
      <c r="F19" s="249"/>
      <c r="G19" s="249"/>
      <c r="H19" s="278">
        <v>1538</v>
      </c>
      <c r="I19" s="210">
        <v>128.20500000000001</v>
      </c>
    </row>
    <row r="20" spans="1:9" x14ac:dyDescent="0.25">
      <c r="A20" s="251">
        <v>44576</v>
      </c>
      <c r="B20" s="252"/>
      <c r="C20" s="252"/>
      <c r="D20" s="253">
        <f t="shared" si="0"/>
        <v>0</v>
      </c>
      <c r="E20" s="254">
        <f t="shared" si="1"/>
        <v>0</v>
      </c>
      <c r="F20" s="254">
        <f t="shared" ref="F20:F25" si="4">E20-H20</f>
        <v>-1538</v>
      </c>
      <c r="G20" s="255"/>
      <c r="H20" s="278">
        <v>1538</v>
      </c>
      <c r="I20" s="210">
        <v>128.20500000000001</v>
      </c>
    </row>
    <row r="21" spans="1:9" x14ac:dyDescent="0.25">
      <c r="A21" s="251">
        <v>44577</v>
      </c>
      <c r="B21" s="252"/>
      <c r="C21" s="252"/>
      <c r="D21" s="253">
        <f t="shared" si="0"/>
        <v>0</v>
      </c>
      <c r="E21" s="254">
        <f t="shared" si="1"/>
        <v>0</v>
      </c>
      <c r="F21" s="254">
        <f t="shared" si="4"/>
        <v>-1538</v>
      </c>
      <c r="G21" s="256"/>
      <c r="H21" s="278">
        <v>1538</v>
      </c>
      <c r="I21" s="210">
        <v>128.20500000000001</v>
      </c>
    </row>
    <row r="22" spans="1:9" x14ac:dyDescent="0.25">
      <c r="A22" s="251">
        <v>44578</v>
      </c>
      <c r="B22" s="252"/>
      <c r="C22" s="252"/>
      <c r="D22" s="253">
        <f t="shared" si="0"/>
        <v>0</v>
      </c>
      <c r="E22" s="254">
        <f t="shared" si="1"/>
        <v>0</v>
      </c>
      <c r="F22" s="254">
        <f t="shared" si="4"/>
        <v>-1538</v>
      </c>
      <c r="G22" s="255"/>
      <c r="H22" s="278">
        <v>1538</v>
      </c>
      <c r="I22" s="210">
        <v>128.20500000000001</v>
      </c>
    </row>
    <row r="23" spans="1:9" x14ac:dyDescent="0.25">
      <c r="A23" s="251">
        <v>44579</v>
      </c>
      <c r="B23" s="252"/>
      <c r="C23" s="252"/>
      <c r="D23" s="253">
        <f t="shared" si="0"/>
        <v>0</v>
      </c>
      <c r="E23" s="254">
        <f t="shared" si="1"/>
        <v>0</v>
      </c>
      <c r="F23" s="254">
        <f t="shared" si="4"/>
        <v>-1538</v>
      </c>
      <c r="G23" s="255"/>
      <c r="H23" s="278">
        <v>1538</v>
      </c>
      <c r="I23" s="210">
        <v>128.20500000000001</v>
      </c>
    </row>
    <row r="24" spans="1:9" x14ac:dyDescent="0.25">
      <c r="A24" s="251">
        <v>44580</v>
      </c>
      <c r="B24" s="252"/>
      <c r="C24" s="252"/>
      <c r="D24" s="253">
        <f t="shared" si="0"/>
        <v>0</v>
      </c>
      <c r="E24" s="254">
        <f t="shared" si="1"/>
        <v>0</v>
      </c>
      <c r="F24" s="254">
        <f t="shared" si="4"/>
        <v>-1538</v>
      </c>
      <c r="G24" s="255"/>
      <c r="H24" s="278">
        <v>1538</v>
      </c>
      <c r="I24" s="210">
        <v>128.20500000000001</v>
      </c>
    </row>
    <row r="25" spans="1:9" x14ac:dyDescent="0.25">
      <c r="A25" s="251">
        <v>44581</v>
      </c>
      <c r="B25" s="252"/>
      <c r="C25" s="252"/>
      <c r="D25" s="253">
        <f t="shared" si="0"/>
        <v>0</v>
      </c>
      <c r="E25" s="254">
        <f t="shared" si="1"/>
        <v>0</v>
      </c>
      <c r="F25" s="254">
        <f t="shared" si="4"/>
        <v>-1538</v>
      </c>
      <c r="G25" s="255"/>
      <c r="H25" s="278">
        <v>1538</v>
      </c>
      <c r="I25" s="210">
        <v>128.20500000000001</v>
      </c>
    </row>
    <row r="26" spans="1:9" x14ac:dyDescent="0.25">
      <c r="A26" s="245">
        <v>44582</v>
      </c>
      <c r="B26" s="257"/>
      <c r="C26" s="257"/>
      <c r="D26" s="258">
        <f t="shared" si="0"/>
        <v>0</v>
      </c>
      <c r="E26" s="248">
        <f t="shared" si="1"/>
        <v>0</v>
      </c>
      <c r="F26" s="249"/>
      <c r="G26" s="249"/>
      <c r="H26" s="278">
        <v>1538</v>
      </c>
      <c r="I26" s="210">
        <v>128.20500000000001</v>
      </c>
    </row>
    <row r="27" spans="1:9" x14ac:dyDescent="0.25">
      <c r="A27" s="251">
        <v>44583</v>
      </c>
      <c r="B27" s="252"/>
      <c r="C27" s="252"/>
      <c r="D27" s="253">
        <f t="shared" si="0"/>
        <v>0</v>
      </c>
      <c r="E27" s="254">
        <f t="shared" si="1"/>
        <v>0</v>
      </c>
      <c r="F27" s="254">
        <f t="shared" ref="F27:F32" si="5">E27-H27</f>
        <v>-1538</v>
      </c>
      <c r="G27" s="255"/>
      <c r="H27" s="278">
        <v>1538</v>
      </c>
      <c r="I27" s="210">
        <v>128.20500000000001</v>
      </c>
    </row>
    <row r="28" spans="1:9" x14ac:dyDescent="0.25">
      <c r="A28" s="251">
        <v>44584</v>
      </c>
      <c r="B28" s="252"/>
      <c r="C28" s="252"/>
      <c r="D28" s="253">
        <f t="shared" si="0"/>
        <v>0</v>
      </c>
      <c r="E28" s="254">
        <f t="shared" si="1"/>
        <v>0</v>
      </c>
      <c r="F28" s="254">
        <f t="shared" si="5"/>
        <v>-1538</v>
      </c>
      <c r="G28" s="255"/>
      <c r="H28" s="278">
        <v>1538</v>
      </c>
      <c r="I28" s="210">
        <v>128.20500000000001</v>
      </c>
    </row>
    <row r="29" spans="1:9" x14ac:dyDescent="0.25">
      <c r="A29" s="251">
        <v>44585</v>
      </c>
      <c r="B29" s="252"/>
      <c r="C29" s="252"/>
      <c r="D29" s="253">
        <f t="shared" si="0"/>
        <v>0</v>
      </c>
      <c r="E29" s="254">
        <f t="shared" si="1"/>
        <v>0</v>
      </c>
      <c r="F29" s="254">
        <f t="shared" si="5"/>
        <v>-1538</v>
      </c>
      <c r="G29" s="255"/>
      <c r="H29" s="278">
        <v>1538</v>
      </c>
      <c r="I29" s="210">
        <v>128.20500000000001</v>
      </c>
    </row>
    <row r="30" spans="1:9" x14ac:dyDescent="0.25">
      <c r="A30" s="251">
        <v>44586</v>
      </c>
      <c r="B30" s="252"/>
      <c r="C30" s="252"/>
      <c r="D30" s="253">
        <f t="shared" si="0"/>
        <v>0</v>
      </c>
      <c r="E30" s="254">
        <f t="shared" si="1"/>
        <v>0</v>
      </c>
      <c r="F30" s="254">
        <f t="shared" si="5"/>
        <v>-1538</v>
      </c>
      <c r="G30" s="255"/>
      <c r="H30" s="278">
        <v>1538</v>
      </c>
      <c r="I30" s="210">
        <v>128.20500000000001</v>
      </c>
    </row>
    <row r="31" spans="1:9" x14ac:dyDescent="0.25">
      <c r="A31" s="251">
        <v>44587</v>
      </c>
      <c r="B31" s="252"/>
      <c r="C31" s="252"/>
      <c r="D31" s="253">
        <f t="shared" si="0"/>
        <v>0</v>
      </c>
      <c r="E31" s="254">
        <f t="shared" si="1"/>
        <v>0</v>
      </c>
      <c r="F31" s="254">
        <f t="shared" si="5"/>
        <v>-1538</v>
      </c>
      <c r="G31" s="255"/>
      <c r="H31" s="278">
        <v>1538</v>
      </c>
      <c r="I31" s="210">
        <v>128.20500000000001</v>
      </c>
    </row>
    <row r="32" spans="1:9" x14ac:dyDescent="0.25">
      <c r="A32" s="251">
        <v>44588</v>
      </c>
      <c r="B32" s="252"/>
      <c r="C32" s="252"/>
      <c r="D32" s="253">
        <f t="shared" si="0"/>
        <v>0</v>
      </c>
      <c r="E32" s="254">
        <f t="shared" si="1"/>
        <v>0</v>
      </c>
      <c r="F32" s="254">
        <f t="shared" si="5"/>
        <v>-1538</v>
      </c>
      <c r="G32" s="255"/>
      <c r="H32" s="278">
        <v>1538</v>
      </c>
      <c r="I32" s="210">
        <v>128.20500000000001</v>
      </c>
    </row>
    <row r="33" spans="1:9" x14ac:dyDescent="0.25">
      <c r="A33" s="245">
        <v>44589</v>
      </c>
      <c r="B33" s="259"/>
      <c r="C33" s="249"/>
      <c r="D33" s="260">
        <f t="shared" si="0"/>
        <v>0</v>
      </c>
      <c r="E33" s="248">
        <f t="shared" si="1"/>
        <v>0</v>
      </c>
      <c r="F33" s="249"/>
      <c r="G33" s="249"/>
      <c r="H33" s="278">
        <v>1538</v>
      </c>
      <c r="I33" s="210">
        <v>128.20500000000001</v>
      </c>
    </row>
    <row r="34" spans="1:9" x14ac:dyDescent="0.25">
      <c r="A34" s="251">
        <v>44590</v>
      </c>
      <c r="B34" s="261"/>
      <c r="C34" s="261"/>
      <c r="D34" s="262">
        <f t="shared" si="0"/>
        <v>0</v>
      </c>
      <c r="E34" s="254">
        <f t="shared" si="1"/>
        <v>0</v>
      </c>
      <c r="F34" s="254">
        <f t="shared" ref="F34:F36" si="6">E34-H34</f>
        <v>-1538</v>
      </c>
      <c r="G34" s="255"/>
      <c r="H34" s="278">
        <v>1538</v>
      </c>
      <c r="I34" s="210">
        <v>128.20500000000001</v>
      </c>
    </row>
    <row r="35" spans="1:9" x14ac:dyDescent="0.25">
      <c r="A35" s="251">
        <v>44591</v>
      </c>
      <c r="B35" s="261"/>
      <c r="C35" s="261"/>
      <c r="D35" s="262">
        <f t="shared" si="0"/>
        <v>0</v>
      </c>
      <c r="E35" s="254">
        <f t="shared" si="1"/>
        <v>0</v>
      </c>
      <c r="F35" s="254">
        <f t="shared" si="6"/>
        <v>-1538</v>
      </c>
      <c r="G35" s="255"/>
      <c r="H35" s="278">
        <v>1538</v>
      </c>
      <c r="I35" s="210">
        <v>128.20500000000001</v>
      </c>
    </row>
    <row r="36" spans="1:9" x14ac:dyDescent="0.25">
      <c r="A36" s="251">
        <v>44592</v>
      </c>
      <c r="B36" s="261"/>
      <c r="C36" s="261"/>
      <c r="D36" s="262">
        <f t="shared" si="0"/>
        <v>0</v>
      </c>
      <c r="E36" s="254">
        <f t="shared" si="1"/>
        <v>0</v>
      </c>
      <c r="F36" s="254">
        <f t="shared" si="6"/>
        <v>-1538</v>
      </c>
      <c r="G36" s="255"/>
      <c r="H36" s="278">
        <v>1538</v>
      </c>
      <c r="I36" s="210">
        <v>128.20500000000001</v>
      </c>
    </row>
    <row r="37" spans="1:9" x14ac:dyDescent="0.25">
      <c r="A37" s="263" t="s">
        <v>21</v>
      </c>
      <c r="B37" s="264"/>
      <c r="C37" s="264"/>
      <c r="D37" s="265">
        <f t="shared" ref="D37:E37" si="7">SUM(D6:D36)</f>
        <v>2.4402777777777773</v>
      </c>
      <c r="E37" s="266">
        <f t="shared" si="7"/>
        <v>7508.5395000000008</v>
      </c>
      <c r="F37" s="305"/>
      <c r="G37" s="267"/>
      <c r="I37" s="210">
        <v>128.20500000000001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2.625" defaultRowHeight="15" customHeight="1" x14ac:dyDescent="0.2"/>
  <cols>
    <col min="1" max="7" width="13.375" customWidth="1"/>
    <col min="8" max="9" width="12.625" hidden="1"/>
  </cols>
  <sheetData>
    <row r="1" spans="1:9" ht="15" customHeight="1" x14ac:dyDescent="0.35">
      <c r="A1" s="327" t="s">
        <v>117</v>
      </c>
      <c r="B1" s="320"/>
      <c r="C1" s="320"/>
      <c r="D1" s="234"/>
      <c r="E1" s="234"/>
      <c r="F1" s="234"/>
    </row>
    <row r="2" spans="1:9" x14ac:dyDescent="0.25">
      <c r="A2" s="328"/>
      <c r="B2" s="320"/>
      <c r="C2" s="320"/>
      <c r="D2" s="234"/>
      <c r="E2" s="234"/>
      <c r="F2" s="234"/>
    </row>
    <row r="3" spans="1:9" x14ac:dyDescent="0.25">
      <c r="A3" s="235"/>
      <c r="B3" s="235" t="s">
        <v>118</v>
      </c>
      <c r="C3" s="236" t="s">
        <v>119</v>
      </c>
      <c r="D3" s="236" t="s">
        <v>120</v>
      </c>
      <c r="E3" s="237" t="s">
        <v>21</v>
      </c>
      <c r="F3" s="237" t="s">
        <v>121</v>
      </c>
      <c r="G3" s="237" t="s">
        <v>122</v>
      </c>
    </row>
    <row r="4" spans="1:9" ht="15" customHeight="1" x14ac:dyDescent="0.4">
      <c r="A4" s="238"/>
      <c r="B4" s="239">
        <f>D37</f>
        <v>4.8222222222222229</v>
      </c>
      <c r="C4" s="239">
        <v>12</v>
      </c>
      <c r="D4" s="239">
        <f>B4-C4</f>
        <v>-7.1777777777777771</v>
      </c>
      <c r="E4" s="240">
        <f>E37</f>
        <v>14837.591999999999</v>
      </c>
      <c r="F4" s="240">
        <f>E4-40000</f>
        <v>-25162.408000000003</v>
      </c>
      <c r="G4" s="241">
        <f>SUM(G9:G36)</f>
        <v>80</v>
      </c>
    </row>
    <row r="5" spans="1:9" x14ac:dyDescent="0.25">
      <c r="A5" s="242" t="s">
        <v>124</v>
      </c>
      <c r="B5" s="243" t="s">
        <v>125</v>
      </c>
      <c r="C5" s="243" t="s">
        <v>126</v>
      </c>
      <c r="D5" s="243" t="s">
        <v>127</v>
      </c>
      <c r="E5" s="243" t="s">
        <v>128</v>
      </c>
      <c r="F5" s="244" t="s">
        <v>129</v>
      </c>
      <c r="G5" s="244"/>
      <c r="H5" s="268"/>
    </row>
    <row r="6" spans="1:9" x14ac:dyDescent="0.25">
      <c r="A6" s="245">
        <v>44562</v>
      </c>
      <c r="B6" s="246"/>
      <c r="C6" s="246"/>
      <c r="D6" s="247">
        <f t="shared" ref="D6:D14" si="0">C6-B6</f>
        <v>0</v>
      </c>
      <c r="E6" s="248">
        <f t="shared" ref="E6:E36" si="1">I6*D6*24</f>
        <v>0</v>
      </c>
      <c r="F6" s="249"/>
      <c r="G6" s="249"/>
      <c r="H6" s="278"/>
      <c r="I6" s="210">
        <v>128.20500000000001</v>
      </c>
    </row>
    <row r="7" spans="1:9" x14ac:dyDescent="0.25">
      <c r="A7" s="245">
        <v>44563</v>
      </c>
      <c r="B7" s="246"/>
      <c r="C7" s="246"/>
      <c r="D7" s="247">
        <f t="shared" si="0"/>
        <v>0</v>
      </c>
      <c r="E7" s="248">
        <f t="shared" si="1"/>
        <v>0</v>
      </c>
      <c r="F7" s="249"/>
      <c r="G7" s="249"/>
      <c r="H7" s="278"/>
      <c r="I7" s="210">
        <v>128.20500000000001</v>
      </c>
    </row>
    <row r="8" spans="1:9" x14ac:dyDescent="0.25">
      <c r="A8" s="245">
        <v>44564</v>
      </c>
      <c r="B8" s="246"/>
      <c r="C8" s="246"/>
      <c r="D8" s="247">
        <f t="shared" si="0"/>
        <v>0</v>
      </c>
      <c r="E8" s="248">
        <f t="shared" si="1"/>
        <v>0</v>
      </c>
      <c r="F8" s="249"/>
      <c r="G8" s="249"/>
      <c r="H8" s="278"/>
      <c r="I8" s="210">
        <v>128.20500000000001</v>
      </c>
    </row>
    <row r="9" spans="1:9" x14ac:dyDescent="0.25">
      <c r="A9" s="251">
        <v>44565</v>
      </c>
      <c r="B9" s="252">
        <v>0.24861111111111112</v>
      </c>
      <c r="C9" s="252">
        <v>0.75972222222222219</v>
      </c>
      <c r="D9" s="253">
        <f t="shared" si="0"/>
        <v>0.51111111111111107</v>
      </c>
      <c r="E9" s="254">
        <f t="shared" si="1"/>
        <v>1572.6480000000001</v>
      </c>
      <c r="F9" s="254">
        <f t="shared" ref="F9:F11" si="2">E9-H9</f>
        <v>34.648000000000138</v>
      </c>
      <c r="G9" s="255"/>
      <c r="H9" s="278">
        <v>1538</v>
      </c>
      <c r="I9" s="210">
        <v>128.20500000000001</v>
      </c>
    </row>
    <row r="10" spans="1:9" x14ac:dyDescent="0.25">
      <c r="A10" s="251">
        <v>44566</v>
      </c>
      <c r="B10" s="252">
        <v>0.25486111111111109</v>
      </c>
      <c r="C10" s="252">
        <v>0.75208333333333333</v>
      </c>
      <c r="D10" s="253">
        <f t="shared" si="0"/>
        <v>0.49722222222222223</v>
      </c>
      <c r="E10" s="254">
        <f t="shared" si="1"/>
        <v>1529.9130000000002</v>
      </c>
      <c r="F10" s="254">
        <f t="shared" si="2"/>
        <v>-8.0869999999997617</v>
      </c>
      <c r="G10" s="256"/>
      <c r="H10" s="278">
        <v>1538</v>
      </c>
      <c r="I10" s="210">
        <v>128.20500000000001</v>
      </c>
    </row>
    <row r="11" spans="1:9" x14ac:dyDescent="0.25">
      <c r="A11" s="251">
        <v>44567</v>
      </c>
      <c r="B11" s="252">
        <v>0.26041666666666669</v>
      </c>
      <c r="C11" s="252">
        <v>0.76180555555555551</v>
      </c>
      <c r="D11" s="253">
        <f t="shared" si="0"/>
        <v>0.50138888888888888</v>
      </c>
      <c r="E11" s="254">
        <f t="shared" si="1"/>
        <v>1542.7335</v>
      </c>
      <c r="F11" s="254">
        <f t="shared" si="2"/>
        <v>4.7335000000000491</v>
      </c>
      <c r="G11" s="255"/>
      <c r="H11" s="278">
        <v>1538</v>
      </c>
      <c r="I11" s="210">
        <v>128.20500000000001</v>
      </c>
    </row>
    <row r="12" spans="1:9" x14ac:dyDescent="0.25">
      <c r="A12" s="245">
        <v>44568</v>
      </c>
      <c r="B12" s="257"/>
      <c r="C12" s="257"/>
      <c r="D12" s="258">
        <f t="shared" si="0"/>
        <v>0</v>
      </c>
      <c r="E12" s="248">
        <f t="shared" si="1"/>
        <v>0</v>
      </c>
      <c r="F12" s="249"/>
      <c r="G12" s="249"/>
      <c r="H12" s="278">
        <v>1538</v>
      </c>
      <c r="I12" s="210">
        <v>128.20500000000001</v>
      </c>
    </row>
    <row r="13" spans="1:9" x14ac:dyDescent="0.25">
      <c r="A13" s="251">
        <v>44569</v>
      </c>
      <c r="B13" s="252">
        <v>0.25624999999999998</v>
      </c>
      <c r="C13" s="252">
        <v>0.75624999999999998</v>
      </c>
      <c r="D13" s="253">
        <f t="shared" si="0"/>
        <v>0.5</v>
      </c>
      <c r="E13" s="254">
        <f t="shared" si="1"/>
        <v>1538.46</v>
      </c>
      <c r="F13" s="254">
        <f t="shared" ref="F13:F18" si="3">E13-H13</f>
        <v>0.46000000000003638</v>
      </c>
      <c r="G13" s="256">
        <v>2</v>
      </c>
      <c r="H13" s="278">
        <v>1538</v>
      </c>
      <c r="I13" s="210">
        <v>128.20500000000001</v>
      </c>
    </row>
    <row r="14" spans="1:9" x14ac:dyDescent="0.25">
      <c r="A14" s="251">
        <v>44570</v>
      </c>
      <c r="B14" s="252">
        <v>0.24861111111111112</v>
      </c>
      <c r="C14" s="252">
        <v>0.75</v>
      </c>
      <c r="D14" s="253">
        <f t="shared" si="0"/>
        <v>0.50138888888888888</v>
      </c>
      <c r="E14" s="254">
        <f t="shared" si="1"/>
        <v>1542.7335</v>
      </c>
      <c r="F14" s="254">
        <f t="shared" si="3"/>
        <v>4.7335000000000491</v>
      </c>
      <c r="G14" s="256">
        <v>8</v>
      </c>
      <c r="H14" s="278">
        <v>1538</v>
      </c>
      <c r="I14" s="210">
        <v>128.20500000000001</v>
      </c>
    </row>
    <row r="15" spans="1:9" x14ac:dyDescent="0.25">
      <c r="A15" s="251">
        <v>44571</v>
      </c>
      <c r="B15" s="306">
        <v>0.25555555555555554</v>
      </c>
      <c r="C15" s="306">
        <v>0.7680555555555556</v>
      </c>
      <c r="D15" s="253">
        <f>C14-B14</f>
        <v>0.50138888888888888</v>
      </c>
      <c r="E15" s="254">
        <f t="shared" si="1"/>
        <v>1542.7335</v>
      </c>
      <c r="F15" s="254">
        <f t="shared" si="3"/>
        <v>4.7335000000000491</v>
      </c>
      <c r="G15" s="256">
        <v>66</v>
      </c>
      <c r="H15" s="278">
        <v>1538</v>
      </c>
      <c r="I15" s="210">
        <v>128.20500000000001</v>
      </c>
    </row>
    <row r="16" spans="1:9" x14ac:dyDescent="0.25">
      <c r="A16" s="251">
        <v>44572</v>
      </c>
      <c r="B16" s="252">
        <v>0.25555555555555554</v>
      </c>
      <c r="C16" s="252">
        <v>0.76249999999999996</v>
      </c>
      <c r="D16" s="253">
        <f t="shared" ref="D16:D36" si="4">C16-B16</f>
        <v>0.50694444444444442</v>
      </c>
      <c r="E16" s="254">
        <f t="shared" si="1"/>
        <v>1559.8274999999999</v>
      </c>
      <c r="F16" s="254">
        <f t="shared" si="3"/>
        <v>21.827499999999873</v>
      </c>
      <c r="G16" s="256"/>
      <c r="H16" s="278">
        <v>1538</v>
      </c>
      <c r="I16" s="210">
        <v>128.20500000000001</v>
      </c>
    </row>
    <row r="17" spans="1:9" x14ac:dyDescent="0.25">
      <c r="A17" s="251">
        <v>44573</v>
      </c>
      <c r="B17" s="252">
        <v>0.25833333333333336</v>
      </c>
      <c r="C17" s="252">
        <v>0.76180555555555551</v>
      </c>
      <c r="D17" s="253">
        <f t="shared" si="4"/>
        <v>0.5034722222222221</v>
      </c>
      <c r="E17" s="254">
        <f t="shared" si="1"/>
        <v>1549.1437499999997</v>
      </c>
      <c r="F17" s="254">
        <f t="shared" si="3"/>
        <v>11.143749999999727</v>
      </c>
      <c r="G17" s="255"/>
      <c r="H17" s="278">
        <v>1538</v>
      </c>
      <c r="I17" s="210">
        <v>128.20500000000001</v>
      </c>
    </row>
    <row r="18" spans="1:9" x14ac:dyDescent="0.25">
      <c r="A18" s="251">
        <v>44574</v>
      </c>
      <c r="B18" s="252">
        <v>0.25555555555555554</v>
      </c>
      <c r="C18" s="252">
        <v>0.55486111111111114</v>
      </c>
      <c r="D18" s="253">
        <f t="shared" si="4"/>
        <v>0.2993055555555556</v>
      </c>
      <c r="E18" s="254">
        <f t="shared" si="1"/>
        <v>920.93925000000024</v>
      </c>
      <c r="F18" s="254">
        <f t="shared" si="3"/>
        <v>-617.06074999999976</v>
      </c>
      <c r="G18" s="255"/>
      <c r="H18" s="278">
        <v>1538</v>
      </c>
      <c r="I18" s="210">
        <v>128.20500000000001</v>
      </c>
    </row>
    <row r="19" spans="1:9" x14ac:dyDescent="0.25">
      <c r="A19" s="245">
        <v>44575</v>
      </c>
      <c r="B19" s="257"/>
      <c r="C19" s="257"/>
      <c r="D19" s="258">
        <f t="shared" si="4"/>
        <v>0</v>
      </c>
      <c r="E19" s="248">
        <f t="shared" si="1"/>
        <v>0</v>
      </c>
      <c r="F19" s="249"/>
      <c r="G19" s="249"/>
      <c r="H19" s="278">
        <v>1538</v>
      </c>
      <c r="I19" s="210">
        <v>128.20500000000001</v>
      </c>
    </row>
    <row r="20" spans="1:9" x14ac:dyDescent="0.25">
      <c r="A20" s="251">
        <v>44576</v>
      </c>
      <c r="B20" s="252">
        <v>0.2590277777777778</v>
      </c>
      <c r="C20" s="252">
        <v>0.75902777777777775</v>
      </c>
      <c r="D20" s="253">
        <f t="shared" si="4"/>
        <v>0.49999999999999994</v>
      </c>
      <c r="E20" s="254">
        <f t="shared" si="1"/>
        <v>1538.4599999999998</v>
      </c>
      <c r="F20" s="254">
        <f t="shared" ref="F20:F25" si="5">E20-H20</f>
        <v>0.45999999999980901</v>
      </c>
      <c r="G20" s="255"/>
      <c r="H20" s="278">
        <v>1538</v>
      </c>
      <c r="I20" s="210">
        <v>128.20500000000001</v>
      </c>
    </row>
    <row r="21" spans="1:9" x14ac:dyDescent="0.25">
      <c r="A21" s="251">
        <v>44577</v>
      </c>
      <c r="B21" s="252"/>
      <c r="C21" s="252"/>
      <c r="D21" s="253">
        <f t="shared" si="4"/>
        <v>0</v>
      </c>
      <c r="E21" s="254">
        <f t="shared" si="1"/>
        <v>0</v>
      </c>
      <c r="F21" s="254">
        <f t="shared" si="5"/>
        <v>-1538</v>
      </c>
      <c r="G21" s="256"/>
      <c r="H21" s="278">
        <v>1538</v>
      </c>
      <c r="I21" s="210">
        <v>128.20500000000001</v>
      </c>
    </row>
    <row r="22" spans="1:9" x14ac:dyDescent="0.25">
      <c r="A22" s="251">
        <v>44578</v>
      </c>
      <c r="B22" s="252"/>
      <c r="C22" s="252"/>
      <c r="D22" s="253">
        <f t="shared" si="4"/>
        <v>0</v>
      </c>
      <c r="E22" s="254">
        <f t="shared" si="1"/>
        <v>0</v>
      </c>
      <c r="F22" s="254">
        <f t="shared" si="5"/>
        <v>-1538</v>
      </c>
      <c r="G22" s="255"/>
      <c r="H22" s="278">
        <v>1538</v>
      </c>
      <c r="I22" s="210">
        <v>128.20500000000001</v>
      </c>
    </row>
    <row r="23" spans="1:9" x14ac:dyDescent="0.25">
      <c r="A23" s="251">
        <v>44579</v>
      </c>
      <c r="B23" s="252"/>
      <c r="C23" s="252"/>
      <c r="D23" s="253">
        <f t="shared" si="4"/>
        <v>0</v>
      </c>
      <c r="E23" s="254">
        <f t="shared" si="1"/>
        <v>0</v>
      </c>
      <c r="F23" s="254">
        <f t="shared" si="5"/>
        <v>-1538</v>
      </c>
      <c r="G23" s="256">
        <v>3</v>
      </c>
      <c r="H23" s="278">
        <v>1538</v>
      </c>
      <c r="I23" s="210">
        <v>128.20500000000001</v>
      </c>
    </row>
    <row r="24" spans="1:9" x14ac:dyDescent="0.25">
      <c r="A24" s="251">
        <v>44580</v>
      </c>
      <c r="B24" s="252"/>
      <c r="C24" s="252"/>
      <c r="D24" s="253">
        <f t="shared" si="4"/>
        <v>0</v>
      </c>
      <c r="E24" s="254">
        <f t="shared" si="1"/>
        <v>0</v>
      </c>
      <c r="F24" s="254">
        <f t="shared" si="5"/>
        <v>-1538</v>
      </c>
      <c r="G24" s="256">
        <v>1</v>
      </c>
      <c r="H24" s="278">
        <v>1538</v>
      </c>
      <c r="I24" s="210">
        <v>128.20500000000001</v>
      </c>
    </row>
    <row r="25" spans="1:9" x14ac:dyDescent="0.25">
      <c r="A25" s="251">
        <v>44581</v>
      </c>
      <c r="B25" s="252"/>
      <c r="C25" s="252"/>
      <c r="D25" s="253">
        <f t="shared" si="4"/>
        <v>0</v>
      </c>
      <c r="E25" s="254">
        <f t="shared" si="1"/>
        <v>0</v>
      </c>
      <c r="F25" s="254">
        <f t="shared" si="5"/>
        <v>-1538</v>
      </c>
      <c r="G25" s="255"/>
      <c r="H25" s="278">
        <v>1538</v>
      </c>
      <c r="I25" s="210">
        <v>128.20500000000001</v>
      </c>
    </row>
    <row r="26" spans="1:9" x14ac:dyDescent="0.25">
      <c r="A26" s="245">
        <v>44582</v>
      </c>
      <c r="B26" s="257"/>
      <c r="C26" s="257"/>
      <c r="D26" s="258">
        <f t="shared" si="4"/>
        <v>0</v>
      </c>
      <c r="E26" s="248">
        <f t="shared" si="1"/>
        <v>0</v>
      </c>
      <c r="F26" s="249"/>
      <c r="G26" s="249"/>
      <c r="H26" s="278">
        <v>1538</v>
      </c>
      <c r="I26" s="210">
        <v>128.20500000000001</v>
      </c>
    </row>
    <row r="27" spans="1:9" x14ac:dyDescent="0.25">
      <c r="A27" s="251">
        <v>44583</v>
      </c>
      <c r="B27" s="252"/>
      <c r="C27" s="252"/>
      <c r="D27" s="253">
        <f t="shared" si="4"/>
        <v>0</v>
      </c>
      <c r="E27" s="254">
        <f t="shared" si="1"/>
        <v>0</v>
      </c>
      <c r="F27" s="254">
        <f t="shared" ref="F27:F32" si="6">E27-H27</f>
        <v>-1538</v>
      </c>
      <c r="G27" s="255"/>
      <c r="H27" s="278">
        <v>1538</v>
      </c>
      <c r="I27" s="210">
        <v>128.20500000000001</v>
      </c>
    </row>
    <row r="28" spans="1:9" x14ac:dyDescent="0.25">
      <c r="A28" s="251">
        <v>44584</v>
      </c>
      <c r="B28" s="252"/>
      <c r="C28" s="252"/>
      <c r="D28" s="253">
        <f t="shared" si="4"/>
        <v>0</v>
      </c>
      <c r="E28" s="254">
        <f t="shared" si="1"/>
        <v>0</v>
      </c>
      <c r="F28" s="254">
        <f t="shared" si="6"/>
        <v>-1538</v>
      </c>
      <c r="G28" s="255"/>
      <c r="H28" s="278">
        <v>1538</v>
      </c>
      <c r="I28" s="210">
        <v>128.20500000000001</v>
      </c>
    </row>
    <row r="29" spans="1:9" x14ac:dyDescent="0.25">
      <c r="A29" s="251">
        <v>44585</v>
      </c>
      <c r="B29" s="252"/>
      <c r="C29" s="252"/>
      <c r="D29" s="253">
        <f t="shared" si="4"/>
        <v>0</v>
      </c>
      <c r="E29" s="254">
        <f t="shared" si="1"/>
        <v>0</v>
      </c>
      <c r="F29" s="254">
        <f t="shared" si="6"/>
        <v>-1538</v>
      </c>
      <c r="G29" s="255"/>
      <c r="H29" s="278">
        <v>1538</v>
      </c>
      <c r="I29" s="210">
        <v>128.20500000000001</v>
      </c>
    </row>
    <row r="30" spans="1:9" x14ac:dyDescent="0.25">
      <c r="A30" s="251">
        <v>44586</v>
      </c>
      <c r="B30" s="252"/>
      <c r="C30" s="252"/>
      <c r="D30" s="253">
        <f t="shared" si="4"/>
        <v>0</v>
      </c>
      <c r="E30" s="254">
        <f t="shared" si="1"/>
        <v>0</v>
      </c>
      <c r="F30" s="254">
        <f t="shared" si="6"/>
        <v>-1538</v>
      </c>
      <c r="G30" s="255"/>
      <c r="H30" s="278">
        <v>1538</v>
      </c>
      <c r="I30" s="210">
        <v>128.20500000000001</v>
      </c>
    </row>
    <row r="31" spans="1:9" x14ac:dyDescent="0.25">
      <c r="A31" s="251">
        <v>44587</v>
      </c>
      <c r="B31" s="252"/>
      <c r="C31" s="252"/>
      <c r="D31" s="253">
        <f t="shared" si="4"/>
        <v>0</v>
      </c>
      <c r="E31" s="254">
        <f t="shared" si="1"/>
        <v>0</v>
      </c>
      <c r="F31" s="254">
        <f t="shared" si="6"/>
        <v>-1538</v>
      </c>
      <c r="G31" s="255"/>
      <c r="H31" s="278">
        <v>1538</v>
      </c>
      <c r="I31" s="210">
        <v>128.20500000000001</v>
      </c>
    </row>
    <row r="32" spans="1:9" x14ac:dyDescent="0.25">
      <c r="A32" s="251">
        <v>44588</v>
      </c>
      <c r="B32" s="252"/>
      <c r="C32" s="252"/>
      <c r="D32" s="253">
        <f t="shared" si="4"/>
        <v>0</v>
      </c>
      <c r="E32" s="254">
        <f t="shared" si="1"/>
        <v>0</v>
      </c>
      <c r="F32" s="254">
        <f t="shared" si="6"/>
        <v>-1538</v>
      </c>
      <c r="G32" s="255"/>
      <c r="H32" s="278">
        <v>1538</v>
      </c>
      <c r="I32" s="210">
        <v>128.20500000000001</v>
      </c>
    </row>
    <row r="33" spans="1:9" x14ac:dyDescent="0.25">
      <c r="A33" s="245">
        <v>44589</v>
      </c>
      <c r="B33" s="259"/>
      <c r="C33" s="249"/>
      <c r="D33" s="260">
        <f t="shared" si="4"/>
        <v>0</v>
      </c>
      <c r="E33" s="248">
        <f t="shared" si="1"/>
        <v>0</v>
      </c>
      <c r="F33" s="249"/>
      <c r="G33" s="249"/>
      <c r="H33" s="278">
        <v>1538</v>
      </c>
      <c r="I33" s="210">
        <v>128.20500000000001</v>
      </c>
    </row>
    <row r="34" spans="1:9" x14ac:dyDescent="0.25">
      <c r="A34" s="251">
        <v>44590</v>
      </c>
      <c r="B34" s="261"/>
      <c r="C34" s="261"/>
      <c r="D34" s="262">
        <f t="shared" si="4"/>
        <v>0</v>
      </c>
      <c r="E34" s="254">
        <f t="shared" si="1"/>
        <v>0</v>
      </c>
      <c r="F34" s="254">
        <f t="shared" ref="F34:F37" si="7">E34-H34</f>
        <v>-1538</v>
      </c>
      <c r="G34" s="255"/>
      <c r="H34" s="278">
        <v>1538</v>
      </c>
      <c r="I34" s="210">
        <v>128.20500000000001</v>
      </c>
    </row>
    <row r="35" spans="1:9" x14ac:dyDescent="0.25">
      <c r="A35" s="251">
        <v>44591</v>
      </c>
      <c r="B35" s="261"/>
      <c r="C35" s="261"/>
      <c r="D35" s="262">
        <f t="shared" si="4"/>
        <v>0</v>
      </c>
      <c r="E35" s="254">
        <f t="shared" si="1"/>
        <v>0</v>
      </c>
      <c r="F35" s="254">
        <f t="shared" si="7"/>
        <v>-1538</v>
      </c>
      <c r="G35" s="255"/>
      <c r="H35" s="278">
        <v>1538</v>
      </c>
      <c r="I35" s="210">
        <v>128.20500000000001</v>
      </c>
    </row>
    <row r="36" spans="1:9" x14ac:dyDescent="0.25">
      <c r="A36" s="251">
        <v>44592</v>
      </c>
      <c r="B36" s="261"/>
      <c r="C36" s="261"/>
      <c r="D36" s="262">
        <f t="shared" si="4"/>
        <v>0</v>
      </c>
      <c r="E36" s="254">
        <f t="shared" si="1"/>
        <v>0</v>
      </c>
      <c r="F36" s="254">
        <f t="shared" si="7"/>
        <v>-1538</v>
      </c>
      <c r="G36" s="255"/>
      <c r="H36" s="278">
        <v>1538</v>
      </c>
      <c r="I36" s="210">
        <v>128.20500000000001</v>
      </c>
    </row>
    <row r="37" spans="1:9" x14ac:dyDescent="0.25">
      <c r="A37" s="263" t="s">
        <v>21</v>
      </c>
      <c r="B37" s="264"/>
      <c r="C37" s="264"/>
      <c r="D37" s="265">
        <f t="shared" ref="D37:E37" si="8">SUM(D6:D36)</f>
        <v>4.8222222222222229</v>
      </c>
      <c r="E37" s="266">
        <f t="shared" si="8"/>
        <v>14837.591999999999</v>
      </c>
      <c r="F37" s="307">
        <f t="shared" si="7"/>
        <v>14837.591999999999</v>
      </c>
      <c r="G37" s="267"/>
      <c r="I37" s="210">
        <v>128.20500000000001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2.625" defaultRowHeight="15" customHeight="1" x14ac:dyDescent="0.2"/>
  <cols>
    <col min="2" max="2" width="17.5" customWidth="1"/>
    <col min="3" max="3" width="15.625" customWidth="1"/>
    <col min="4" max="4" width="16.625" customWidth="1"/>
    <col min="8" max="9" width="12.625" hidden="1"/>
  </cols>
  <sheetData>
    <row r="1" spans="1:9" ht="15" customHeight="1" x14ac:dyDescent="0.35">
      <c r="A1" s="327" t="s">
        <v>117</v>
      </c>
      <c r="B1" s="320"/>
      <c r="C1" s="320"/>
      <c r="D1" s="234"/>
      <c r="E1" s="234"/>
      <c r="F1" s="234"/>
    </row>
    <row r="2" spans="1:9" x14ac:dyDescent="0.25">
      <c r="A2" s="328"/>
      <c r="B2" s="320"/>
      <c r="C2" s="320"/>
      <c r="D2" s="234"/>
      <c r="E2" s="234"/>
      <c r="F2" s="234"/>
    </row>
    <row r="3" spans="1:9" x14ac:dyDescent="0.25">
      <c r="A3" s="235"/>
      <c r="B3" s="235" t="s">
        <v>118</v>
      </c>
      <c r="C3" s="236" t="s">
        <v>119</v>
      </c>
      <c r="D3" s="236" t="s">
        <v>120</v>
      </c>
      <c r="E3" s="237" t="s">
        <v>21</v>
      </c>
      <c r="F3" s="237" t="s">
        <v>121</v>
      </c>
      <c r="G3" s="237" t="s">
        <v>31</v>
      </c>
    </row>
    <row r="4" spans="1:9" ht="15" customHeight="1" x14ac:dyDescent="0.4">
      <c r="A4" s="238"/>
      <c r="B4" s="239">
        <f>D37</f>
        <v>4.5375000000000005</v>
      </c>
      <c r="C4" s="239">
        <v>12</v>
      </c>
      <c r="D4" s="239">
        <f>B4-C4</f>
        <v>-7.4624999999999995</v>
      </c>
      <c r="E4" s="240">
        <f>E37</f>
        <v>13961.5245</v>
      </c>
      <c r="F4" s="240">
        <f>E4-40000</f>
        <v>-26038.4755</v>
      </c>
      <c r="G4" s="308">
        <f>SUM(G6:G36)</f>
        <v>152</v>
      </c>
    </row>
    <row r="5" spans="1:9" x14ac:dyDescent="0.25">
      <c r="A5" s="242" t="s">
        <v>124</v>
      </c>
      <c r="B5" s="243" t="s">
        <v>125</v>
      </c>
      <c r="C5" s="243" t="s">
        <v>126</v>
      </c>
      <c r="D5" s="243" t="s">
        <v>127</v>
      </c>
      <c r="E5" s="243" t="s">
        <v>128</v>
      </c>
      <c r="F5" s="244" t="s">
        <v>129</v>
      </c>
      <c r="G5" s="277" t="s">
        <v>130</v>
      </c>
      <c r="H5" s="268"/>
    </row>
    <row r="6" spans="1:9" x14ac:dyDescent="0.25">
      <c r="A6" s="245">
        <v>44562</v>
      </c>
      <c r="B6" s="246"/>
      <c r="C6" s="246"/>
      <c r="D6" s="247">
        <f t="shared" ref="D6:D36" si="0">C6-B6</f>
        <v>0</v>
      </c>
      <c r="E6" s="248">
        <f t="shared" ref="E6:E36" si="1">I6*D6*24</f>
        <v>0</v>
      </c>
      <c r="F6" s="249"/>
      <c r="G6" s="249"/>
      <c r="I6" s="210">
        <v>128.20500000000001</v>
      </c>
    </row>
    <row r="7" spans="1:9" x14ac:dyDescent="0.25">
      <c r="A7" s="245">
        <v>44563</v>
      </c>
      <c r="B7" s="246"/>
      <c r="C7" s="246"/>
      <c r="D7" s="247">
        <f t="shared" si="0"/>
        <v>0</v>
      </c>
      <c r="E7" s="248">
        <f t="shared" si="1"/>
        <v>0</v>
      </c>
      <c r="F7" s="249"/>
      <c r="G7" s="249"/>
      <c r="I7" s="210">
        <v>128.20500000000001</v>
      </c>
    </row>
    <row r="8" spans="1:9" x14ac:dyDescent="0.25">
      <c r="A8" s="245">
        <v>44564</v>
      </c>
      <c r="B8" s="246"/>
      <c r="C8" s="246"/>
      <c r="D8" s="247">
        <f t="shared" si="0"/>
        <v>0</v>
      </c>
      <c r="E8" s="248">
        <f t="shared" si="1"/>
        <v>0</v>
      </c>
      <c r="F8" s="249"/>
      <c r="G8" s="249"/>
      <c r="I8" s="210">
        <v>128.20500000000001</v>
      </c>
    </row>
    <row r="9" spans="1:9" x14ac:dyDescent="0.25">
      <c r="A9" s="251">
        <v>44565</v>
      </c>
      <c r="B9" s="252">
        <v>0.25208333333333333</v>
      </c>
      <c r="C9" s="252">
        <v>0.76111111111111107</v>
      </c>
      <c r="D9" s="253">
        <f t="shared" si="0"/>
        <v>0.50902777777777775</v>
      </c>
      <c r="E9" s="254">
        <f t="shared" si="1"/>
        <v>1566.23775</v>
      </c>
      <c r="F9" s="254">
        <f t="shared" ref="F9:F11" si="2">E9-H9</f>
        <v>28.237750000000005</v>
      </c>
      <c r="G9" s="255"/>
      <c r="H9" s="278">
        <v>1538</v>
      </c>
      <c r="I9" s="210">
        <v>128.20500000000001</v>
      </c>
    </row>
    <row r="10" spans="1:9" x14ac:dyDescent="0.25">
      <c r="A10" s="251">
        <v>44566</v>
      </c>
      <c r="B10" s="252">
        <v>0.25555555555555554</v>
      </c>
      <c r="C10" s="252">
        <v>0.75624999999999998</v>
      </c>
      <c r="D10" s="253">
        <f t="shared" si="0"/>
        <v>0.50069444444444444</v>
      </c>
      <c r="E10" s="254">
        <f t="shared" si="1"/>
        <v>1540.5967500000002</v>
      </c>
      <c r="F10" s="254">
        <f t="shared" si="2"/>
        <v>2.5967500000001564</v>
      </c>
      <c r="G10" s="255"/>
      <c r="H10" s="278">
        <v>1538</v>
      </c>
      <c r="I10" s="210">
        <v>128.20500000000001</v>
      </c>
    </row>
    <row r="11" spans="1:9" x14ac:dyDescent="0.25">
      <c r="A11" s="251">
        <v>44567</v>
      </c>
      <c r="B11" s="252">
        <v>0.25138888888888888</v>
      </c>
      <c r="C11" s="252">
        <v>0.51736111111111116</v>
      </c>
      <c r="D11" s="253">
        <f t="shared" si="0"/>
        <v>0.26597222222222228</v>
      </c>
      <c r="E11" s="254">
        <f t="shared" si="1"/>
        <v>818.37525000000028</v>
      </c>
      <c r="F11" s="254">
        <f t="shared" si="2"/>
        <v>-719.62474999999972</v>
      </c>
      <c r="G11" s="255"/>
      <c r="H11" s="278">
        <v>1538</v>
      </c>
      <c r="I11" s="210">
        <v>128.20500000000001</v>
      </c>
    </row>
    <row r="12" spans="1:9" x14ac:dyDescent="0.25">
      <c r="A12" s="245">
        <v>44568</v>
      </c>
      <c r="B12" s="257"/>
      <c r="C12" s="257"/>
      <c r="D12" s="258">
        <f t="shared" si="0"/>
        <v>0</v>
      </c>
      <c r="E12" s="248">
        <f t="shared" si="1"/>
        <v>0</v>
      </c>
      <c r="F12" s="249"/>
      <c r="G12" s="249"/>
      <c r="H12" s="278"/>
      <c r="I12" s="210">
        <v>128.20500000000001</v>
      </c>
    </row>
    <row r="13" spans="1:9" x14ac:dyDescent="0.25">
      <c r="A13" s="251">
        <v>44569</v>
      </c>
      <c r="B13" s="252">
        <v>0.25208333333333333</v>
      </c>
      <c r="C13" s="252">
        <v>0.75624999999999998</v>
      </c>
      <c r="D13" s="253">
        <f t="shared" si="0"/>
        <v>0.50416666666666665</v>
      </c>
      <c r="E13" s="254">
        <f t="shared" si="1"/>
        <v>1551.2805000000003</v>
      </c>
      <c r="F13" s="254">
        <f t="shared" ref="F13:F18" si="3">E13-H13</f>
        <v>13.280500000000302</v>
      </c>
      <c r="G13" s="256">
        <v>10</v>
      </c>
      <c r="H13" s="278">
        <v>1538</v>
      </c>
      <c r="I13" s="210">
        <v>128.20500000000001</v>
      </c>
    </row>
    <row r="14" spans="1:9" x14ac:dyDescent="0.25">
      <c r="A14" s="251">
        <v>44570</v>
      </c>
      <c r="B14" s="252">
        <v>0.25277777777777777</v>
      </c>
      <c r="C14" s="252">
        <v>0.75277777777777777</v>
      </c>
      <c r="D14" s="253">
        <f t="shared" si="0"/>
        <v>0.5</v>
      </c>
      <c r="E14" s="254">
        <f t="shared" si="1"/>
        <v>1538.46</v>
      </c>
      <c r="F14" s="254">
        <f t="shared" si="3"/>
        <v>0.46000000000003638</v>
      </c>
      <c r="G14" s="256">
        <v>136</v>
      </c>
      <c r="H14" s="278">
        <v>1538</v>
      </c>
      <c r="I14" s="210">
        <v>128.20500000000001</v>
      </c>
    </row>
    <row r="15" spans="1:9" x14ac:dyDescent="0.25">
      <c r="A15" s="251">
        <v>44571</v>
      </c>
      <c r="B15" s="252">
        <v>0.25486111111111109</v>
      </c>
      <c r="C15" s="252">
        <v>0.75069444444444444</v>
      </c>
      <c r="D15" s="253">
        <f t="shared" si="0"/>
        <v>0.49583333333333335</v>
      </c>
      <c r="E15" s="254">
        <f t="shared" si="1"/>
        <v>1525.6395000000002</v>
      </c>
      <c r="F15" s="254">
        <f t="shared" si="3"/>
        <v>-12.360499999999774</v>
      </c>
      <c r="G15" s="255"/>
      <c r="H15" s="278">
        <v>1538</v>
      </c>
      <c r="I15" s="210">
        <v>128.20500000000001</v>
      </c>
    </row>
    <row r="16" spans="1:9" x14ac:dyDescent="0.25">
      <c r="A16" s="251">
        <v>44572</v>
      </c>
      <c r="B16" s="252">
        <v>0.25277777777777777</v>
      </c>
      <c r="C16" s="252">
        <v>0.51111111111111107</v>
      </c>
      <c r="D16" s="253">
        <f t="shared" si="0"/>
        <v>0.2583333333333333</v>
      </c>
      <c r="E16" s="254">
        <f t="shared" si="1"/>
        <v>794.87099999999998</v>
      </c>
      <c r="F16" s="254">
        <f t="shared" si="3"/>
        <v>-743.12900000000002</v>
      </c>
      <c r="G16" s="255"/>
      <c r="H16" s="278">
        <v>1538</v>
      </c>
      <c r="I16" s="210">
        <v>128.20500000000001</v>
      </c>
    </row>
    <row r="17" spans="1:9" x14ac:dyDescent="0.25">
      <c r="A17" s="251">
        <v>44573</v>
      </c>
      <c r="B17" s="252">
        <v>0.25347222222222221</v>
      </c>
      <c r="C17" s="252">
        <v>0.76180555555555551</v>
      </c>
      <c r="D17" s="253">
        <f t="shared" si="0"/>
        <v>0.5083333333333333</v>
      </c>
      <c r="E17" s="254">
        <f t="shared" si="1"/>
        <v>1564.1010000000001</v>
      </c>
      <c r="F17" s="254">
        <f t="shared" si="3"/>
        <v>26.101000000000113</v>
      </c>
      <c r="G17" s="255"/>
      <c r="H17" s="278">
        <v>1538</v>
      </c>
      <c r="I17" s="210">
        <v>128.20500000000001</v>
      </c>
    </row>
    <row r="18" spans="1:9" x14ac:dyDescent="0.25">
      <c r="A18" s="251">
        <v>44574</v>
      </c>
      <c r="B18" s="252">
        <v>0.25138888888888888</v>
      </c>
      <c r="C18" s="252">
        <v>0.75416666666666665</v>
      </c>
      <c r="D18" s="253">
        <f t="shared" si="0"/>
        <v>0.50277777777777777</v>
      </c>
      <c r="E18" s="254">
        <f t="shared" si="1"/>
        <v>1547.0070000000003</v>
      </c>
      <c r="F18" s="254">
        <f t="shared" si="3"/>
        <v>9.0070000000002892</v>
      </c>
      <c r="G18" s="255"/>
      <c r="H18" s="278">
        <v>1538</v>
      </c>
      <c r="I18" s="210">
        <v>128.20500000000001</v>
      </c>
    </row>
    <row r="19" spans="1:9" x14ac:dyDescent="0.25">
      <c r="A19" s="245">
        <v>44575</v>
      </c>
      <c r="B19" s="257"/>
      <c r="C19" s="257"/>
      <c r="D19" s="258">
        <f t="shared" si="0"/>
        <v>0</v>
      </c>
      <c r="E19" s="248">
        <f t="shared" si="1"/>
        <v>0</v>
      </c>
      <c r="F19" s="249"/>
      <c r="G19" s="249"/>
      <c r="H19" s="278"/>
      <c r="I19" s="210">
        <v>128.20500000000001</v>
      </c>
    </row>
    <row r="20" spans="1:9" x14ac:dyDescent="0.25">
      <c r="A20" s="251">
        <v>44576</v>
      </c>
      <c r="B20" s="252">
        <v>0.25347222222222221</v>
      </c>
      <c r="C20" s="252">
        <v>0.74583333333333335</v>
      </c>
      <c r="D20" s="253">
        <f t="shared" si="0"/>
        <v>0.49236111111111114</v>
      </c>
      <c r="E20" s="254">
        <f t="shared" si="1"/>
        <v>1514.9557500000001</v>
      </c>
      <c r="F20" s="254">
        <f t="shared" ref="F20:F25" si="4">E20-H20</f>
        <v>-23.04424999999992</v>
      </c>
      <c r="G20" s="256">
        <v>6</v>
      </c>
      <c r="H20" s="278">
        <v>1538</v>
      </c>
      <c r="I20" s="210">
        <v>128.20500000000001</v>
      </c>
    </row>
    <row r="21" spans="1:9" x14ac:dyDescent="0.25">
      <c r="A21" s="251">
        <v>44577</v>
      </c>
      <c r="B21" s="252"/>
      <c r="C21" s="252"/>
      <c r="D21" s="253">
        <f t="shared" si="0"/>
        <v>0</v>
      </c>
      <c r="E21" s="254">
        <f t="shared" si="1"/>
        <v>0</v>
      </c>
      <c r="F21" s="254">
        <f t="shared" si="4"/>
        <v>-1538</v>
      </c>
      <c r="G21" s="255"/>
      <c r="H21" s="278">
        <v>1538</v>
      </c>
      <c r="I21" s="210">
        <v>128.20500000000001</v>
      </c>
    </row>
    <row r="22" spans="1:9" x14ac:dyDescent="0.25">
      <c r="A22" s="251">
        <v>44578</v>
      </c>
      <c r="B22" s="252"/>
      <c r="C22" s="252"/>
      <c r="D22" s="253">
        <f t="shared" si="0"/>
        <v>0</v>
      </c>
      <c r="E22" s="254">
        <f t="shared" si="1"/>
        <v>0</v>
      </c>
      <c r="F22" s="254">
        <f t="shared" si="4"/>
        <v>-1538</v>
      </c>
      <c r="G22" s="255"/>
      <c r="H22" s="278">
        <v>1538</v>
      </c>
      <c r="I22" s="210">
        <v>128.20500000000001</v>
      </c>
    </row>
    <row r="23" spans="1:9" x14ac:dyDescent="0.25">
      <c r="A23" s="251">
        <v>44579</v>
      </c>
      <c r="B23" s="252"/>
      <c r="C23" s="252"/>
      <c r="D23" s="253">
        <f t="shared" si="0"/>
        <v>0</v>
      </c>
      <c r="E23" s="254">
        <f t="shared" si="1"/>
        <v>0</v>
      </c>
      <c r="F23" s="254">
        <f t="shared" si="4"/>
        <v>-1538</v>
      </c>
      <c r="G23" s="255"/>
      <c r="H23" s="278">
        <v>1538</v>
      </c>
      <c r="I23" s="210">
        <v>128.20500000000001</v>
      </c>
    </row>
    <row r="24" spans="1:9" x14ac:dyDescent="0.25">
      <c r="A24" s="251">
        <v>44580</v>
      </c>
      <c r="B24" s="252"/>
      <c r="C24" s="252"/>
      <c r="D24" s="253">
        <f t="shared" si="0"/>
        <v>0</v>
      </c>
      <c r="E24" s="254">
        <f t="shared" si="1"/>
        <v>0</v>
      </c>
      <c r="F24" s="254">
        <f t="shared" si="4"/>
        <v>-1538</v>
      </c>
      <c r="G24" s="255"/>
      <c r="H24" s="278">
        <v>1538</v>
      </c>
      <c r="I24" s="210">
        <v>128.20500000000001</v>
      </c>
    </row>
    <row r="25" spans="1:9" x14ac:dyDescent="0.25">
      <c r="A25" s="251">
        <v>44581</v>
      </c>
      <c r="B25" s="252"/>
      <c r="C25" s="252"/>
      <c r="D25" s="253">
        <f t="shared" si="0"/>
        <v>0</v>
      </c>
      <c r="E25" s="254">
        <f t="shared" si="1"/>
        <v>0</v>
      </c>
      <c r="F25" s="254">
        <f t="shared" si="4"/>
        <v>-1538</v>
      </c>
      <c r="G25" s="255"/>
      <c r="H25" s="278">
        <v>1538</v>
      </c>
      <c r="I25" s="210">
        <v>128.20500000000001</v>
      </c>
    </row>
    <row r="26" spans="1:9" x14ac:dyDescent="0.25">
      <c r="A26" s="245">
        <v>44582</v>
      </c>
      <c r="B26" s="257"/>
      <c r="C26" s="257"/>
      <c r="D26" s="258">
        <f t="shared" si="0"/>
        <v>0</v>
      </c>
      <c r="E26" s="248">
        <f t="shared" si="1"/>
        <v>0</v>
      </c>
      <c r="F26" s="249"/>
      <c r="G26" s="249"/>
      <c r="H26" s="278"/>
      <c r="I26" s="210">
        <v>128.20500000000001</v>
      </c>
    </row>
    <row r="27" spans="1:9" x14ac:dyDescent="0.25">
      <c r="A27" s="251">
        <v>44583</v>
      </c>
      <c r="B27" s="252"/>
      <c r="C27" s="252"/>
      <c r="D27" s="253">
        <f t="shared" si="0"/>
        <v>0</v>
      </c>
      <c r="E27" s="254">
        <f t="shared" si="1"/>
        <v>0</v>
      </c>
      <c r="F27" s="254">
        <f t="shared" ref="F27:F32" si="5">E27-H27</f>
        <v>-1538</v>
      </c>
      <c r="G27" s="255"/>
      <c r="H27" s="278">
        <v>1538</v>
      </c>
      <c r="I27" s="210">
        <v>128.20500000000001</v>
      </c>
    </row>
    <row r="28" spans="1:9" x14ac:dyDescent="0.25">
      <c r="A28" s="251">
        <v>44584</v>
      </c>
      <c r="B28" s="252"/>
      <c r="C28" s="252"/>
      <c r="D28" s="253">
        <f t="shared" si="0"/>
        <v>0</v>
      </c>
      <c r="E28" s="254">
        <f t="shared" si="1"/>
        <v>0</v>
      </c>
      <c r="F28" s="254">
        <f t="shared" si="5"/>
        <v>-1538</v>
      </c>
      <c r="G28" s="255"/>
      <c r="H28" s="278">
        <v>1538</v>
      </c>
      <c r="I28" s="210">
        <v>128.20500000000001</v>
      </c>
    </row>
    <row r="29" spans="1:9" x14ac:dyDescent="0.25">
      <c r="A29" s="251">
        <v>44585</v>
      </c>
      <c r="B29" s="252"/>
      <c r="C29" s="252"/>
      <c r="D29" s="253">
        <f t="shared" si="0"/>
        <v>0</v>
      </c>
      <c r="E29" s="254">
        <f t="shared" si="1"/>
        <v>0</v>
      </c>
      <c r="F29" s="254">
        <f t="shared" si="5"/>
        <v>-1538</v>
      </c>
      <c r="G29" s="255"/>
      <c r="H29" s="278">
        <v>1538</v>
      </c>
      <c r="I29" s="210">
        <v>128.20500000000001</v>
      </c>
    </row>
    <row r="30" spans="1:9" x14ac:dyDescent="0.25">
      <c r="A30" s="251">
        <v>44586</v>
      </c>
      <c r="B30" s="252"/>
      <c r="C30" s="252"/>
      <c r="D30" s="253">
        <f t="shared" si="0"/>
        <v>0</v>
      </c>
      <c r="E30" s="254">
        <f t="shared" si="1"/>
        <v>0</v>
      </c>
      <c r="F30" s="254">
        <f t="shared" si="5"/>
        <v>-1538</v>
      </c>
      <c r="G30" s="255"/>
      <c r="H30" s="278">
        <v>1538</v>
      </c>
      <c r="I30" s="210">
        <v>128.20500000000001</v>
      </c>
    </row>
    <row r="31" spans="1:9" x14ac:dyDescent="0.25">
      <c r="A31" s="251">
        <v>44587</v>
      </c>
      <c r="B31" s="252"/>
      <c r="C31" s="252"/>
      <c r="D31" s="253">
        <f t="shared" si="0"/>
        <v>0</v>
      </c>
      <c r="E31" s="254">
        <f t="shared" si="1"/>
        <v>0</v>
      </c>
      <c r="F31" s="254">
        <f t="shared" si="5"/>
        <v>-1538</v>
      </c>
      <c r="G31" s="255"/>
      <c r="H31" s="278">
        <v>1538</v>
      </c>
      <c r="I31" s="210">
        <v>128.20500000000001</v>
      </c>
    </row>
    <row r="32" spans="1:9" x14ac:dyDescent="0.25">
      <c r="A32" s="251">
        <v>44588</v>
      </c>
      <c r="B32" s="252"/>
      <c r="C32" s="252"/>
      <c r="D32" s="253">
        <f t="shared" si="0"/>
        <v>0</v>
      </c>
      <c r="E32" s="254">
        <f t="shared" si="1"/>
        <v>0</v>
      </c>
      <c r="F32" s="254">
        <f t="shared" si="5"/>
        <v>-1538</v>
      </c>
      <c r="G32" s="255"/>
      <c r="H32" s="278">
        <v>1538</v>
      </c>
      <c r="I32" s="210">
        <v>128.20500000000001</v>
      </c>
    </row>
    <row r="33" spans="1:9" x14ac:dyDescent="0.25">
      <c r="A33" s="245">
        <v>44589</v>
      </c>
      <c r="B33" s="259"/>
      <c r="C33" s="249"/>
      <c r="D33" s="260">
        <f t="shared" si="0"/>
        <v>0</v>
      </c>
      <c r="E33" s="248">
        <f t="shared" si="1"/>
        <v>0</v>
      </c>
      <c r="F33" s="249"/>
      <c r="G33" s="249"/>
      <c r="H33" s="278"/>
      <c r="I33" s="210">
        <v>128.20500000000001</v>
      </c>
    </row>
    <row r="34" spans="1:9" x14ac:dyDescent="0.25">
      <c r="A34" s="251">
        <v>44590</v>
      </c>
      <c r="B34" s="261"/>
      <c r="C34" s="261"/>
      <c r="D34" s="262">
        <f t="shared" si="0"/>
        <v>0</v>
      </c>
      <c r="E34" s="254">
        <f t="shared" si="1"/>
        <v>0</v>
      </c>
      <c r="F34" s="254">
        <f t="shared" ref="F34:F36" si="6">E34-H34</f>
        <v>-1538</v>
      </c>
      <c r="G34" s="255"/>
      <c r="H34" s="278">
        <v>1538</v>
      </c>
      <c r="I34" s="210">
        <v>128.20500000000001</v>
      </c>
    </row>
    <row r="35" spans="1:9" x14ac:dyDescent="0.25">
      <c r="A35" s="251">
        <v>44591</v>
      </c>
      <c r="B35" s="261"/>
      <c r="C35" s="261"/>
      <c r="D35" s="262">
        <f t="shared" si="0"/>
        <v>0</v>
      </c>
      <c r="E35" s="254">
        <f t="shared" si="1"/>
        <v>0</v>
      </c>
      <c r="F35" s="254">
        <f t="shared" si="6"/>
        <v>-1538</v>
      </c>
      <c r="G35" s="255"/>
      <c r="H35" s="278">
        <v>1538</v>
      </c>
      <c r="I35" s="210">
        <v>128.20500000000001</v>
      </c>
    </row>
    <row r="36" spans="1:9" x14ac:dyDescent="0.25">
      <c r="A36" s="251">
        <v>44592</v>
      </c>
      <c r="B36" s="261"/>
      <c r="C36" s="261"/>
      <c r="D36" s="262">
        <f t="shared" si="0"/>
        <v>0</v>
      </c>
      <c r="E36" s="254">
        <f t="shared" si="1"/>
        <v>0</v>
      </c>
      <c r="F36" s="254">
        <f t="shared" si="6"/>
        <v>-1538</v>
      </c>
      <c r="G36" s="255"/>
      <c r="H36" s="278">
        <v>1538</v>
      </c>
      <c r="I36" s="210">
        <v>128.20500000000001</v>
      </c>
    </row>
    <row r="37" spans="1:9" x14ac:dyDescent="0.25">
      <c r="A37" s="263" t="s">
        <v>21</v>
      </c>
      <c r="B37" s="264"/>
      <c r="C37" s="264"/>
      <c r="D37" s="275">
        <f t="shared" ref="D37:E37" si="7">SUM(D6:D36)</f>
        <v>4.5375000000000005</v>
      </c>
      <c r="E37" s="266">
        <f t="shared" si="7"/>
        <v>13961.5245</v>
      </c>
      <c r="F37" s="267"/>
      <c r="G37" s="267"/>
      <c r="I37" s="210">
        <v>128.20500000000001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showGridLines="0" workbookViewId="0">
      <selection sqref="A1:AA4"/>
    </sheetView>
  </sheetViews>
  <sheetFormatPr defaultColWidth="12.625" defaultRowHeight="15" customHeight="1" x14ac:dyDescent="0.2"/>
  <cols>
    <col min="1" max="1" width="21.75" customWidth="1"/>
    <col min="2" max="2" width="10.75" customWidth="1"/>
    <col min="3" max="3" width="8.375" customWidth="1"/>
    <col min="4" max="4" width="13.75" customWidth="1"/>
    <col min="5" max="5" width="8.375" customWidth="1"/>
    <col min="6" max="6" width="9.375" customWidth="1"/>
    <col min="7" max="7" width="8.5" customWidth="1"/>
    <col min="8" max="8" width="10.125" customWidth="1"/>
    <col min="9" max="9" width="10.5" customWidth="1"/>
    <col min="10" max="10" width="8.625" customWidth="1"/>
    <col min="11" max="11" width="9.625" customWidth="1"/>
    <col min="12" max="12" width="12.375" customWidth="1"/>
    <col min="13" max="13" width="18.625" customWidth="1"/>
    <col min="14" max="14" width="11.375" customWidth="1"/>
    <col min="15" max="15" width="18.25" customWidth="1"/>
    <col min="16" max="16" width="11.625" customWidth="1"/>
    <col min="17" max="17" width="2.625" hidden="1" customWidth="1"/>
    <col min="18" max="18" width="2.75" hidden="1" customWidth="1"/>
    <col min="19" max="19" width="2.625" hidden="1" customWidth="1"/>
    <col min="20" max="20" width="6.625" customWidth="1"/>
    <col min="21" max="21" width="7.25" hidden="1" customWidth="1"/>
    <col min="22" max="22" width="8.625" hidden="1" customWidth="1"/>
    <col min="23" max="24" width="0.375" customWidth="1"/>
    <col min="25" max="25" width="0.5" customWidth="1"/>
    <col min="26" max="27" width="8.5" customWidth="1"/>
    <col min="28" max="29" width="11" customWidth="1"/>
  </cols>
  <sheetData>
    <row r="1" spans="1:27" ht="14.25" x14ac:dyDescent="0.2">
      <c r="A1" s="314" t="s">
        <v>27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6"/>
    </row>
    <row r="2" spans="1:27" ht="14.25" x14ac:dyDescent="0.2">
      <c r="A2" s="317"/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8"/>
    </row>
    <row r="3" spans="1:27" ht="14.25" x14ac:dyDescent="0.2">
      <c r="A3" s="317"/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8"/>
    </row>
    <row r="4" spans="1:27" ht="14.25" x14ac:dyDescent="0.2">
      <c r="A4" s="319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1"/>
    </row>
    <row r="5" spans="1:27" x14ac:dyDescent="0.25">
      <c r="A5" s="47" t="s">
        <v>0</v>
      </c>
      <c r="B5" s="48" t="s">
        <v>28</v>
      </c>
      <c r="C5" s="49" t="s">
        <v>29</v>
      </c>
      <c r="D5" s="50" t="s">
        <v>30</v>
      </c>
      <c r="E5" s="50" t="s">
        <v>31</v>
      </c>
      <c r="F5" s="50" t="s">
        <v>32</v>
      </c>
      <c r="G5" s="50" t="s">
        <v>33</v>
      </c>
      <c r="H5" s="50" t="s">
        <v>34</v>
      </c>
      <c r="I5" s="50" t="s">
        <v>35</v>
      </c>
      <c r="J5" s="50" t="s">
        <v>36</v>
      </c>
      <c r="K5" s="49" t="s">
        <v>37</v>
      </c>
      <c r="L5" s="50" t="s">
        <v>38</v>
      </c>
      <c r="M5" s="51" t="s">
        <v>39</v>
      </c>
      <c r="N5" s="47" t="s">
        <v>40</v>
      </c>
      <c r="O5" s="51" t="s">
        <v>41</v>
      </c>
      <c r="P5" s="52" t="s">
        <v>42</v>
      </c>
      <c r="Q5" s="53"/>
      <c r="R5" s="54" t="s">
        <v>43</v>
      </c>
      <c r="S5" s="53"/>
      <c r="T5" s="55" t="s">
        <v>44</v>
      </c>
      <c r="U5" s="56" t="s">
        <v>45</v>
      </c>
      <c r="V5" s="56" t="s">
        <v>46</v>
      </c>
      <c r="W5" s="57" t="s">
        <v>47</v>
      </c>
      <c r="X5" s="57" t="s">
        <v>48</v>
      </c>
      <c r="Y5" s="58" t="s">
        <v>49</v>
      </c>
      <c r="Z5" s="59" t="s">
        <v>50</v>
      </c>
      <c r="AA5" s="59" t="s">
        <v>51</v>
      </c>
    </row>
    <row r="6" spans="1:27" ht="24" customHeight="1" x14ac:dyDescent="0.25">
      <c r="A6" s="60" t="s">
        <v>10</v>
      </c>
      <c r="B6" s="41">
        <f>Данные!AG6</f>
        <v>18</v>
      </c>
      <c r="C6" s="41">
        <f>Данные!AL32</f>
        <v>6</v>
      </c>
      <c r="D6" s="61">
        <f>Абдула!D37</f>
        <v>4.8069444444444445</v>
      </c>
      <c r="E6" s="41">
        <f>Абдула!G4</f>
        <v>19</v>
      </c>
      <c r="F6" s="62">
        <f>Данные!AG22+Данные!AL21</f>
        <v>278112</v>
      </c>
      <c r="G6" s="41">
        <f>Данные!AG34+Данные!AM21</f>
        <v>10584</v>
      </c>
      <c r="H6" s="63">
        <f>D6*192.307*24</f>
        <v>22185.817566666665</v>
      </c>
      <c r="I6" s="64">
        <f>Вычисление!C8+Вычисление!H8+Вычисление!C25+Вычисление!H25</f>
        <v>5913.1593150768476</v>
      </c>
      <c r="J6" s="65">
        <f t="shared" ref="J6:J14" si="0">E6*50</f>
        <v>950</v>
      </c>
      <c r="K6" s="66">
        <f>Данные!AJ5</f>
        <v>6144</v>
      </c>
      <c r="L6" s="67">
        <f t="shared" ref="L6:L14" si="1">H6+K6-J6+I6</f>
        <v>33292.976881743511</v>
      </c>
      <c r="M6" s="68">
        <f>Вычисление!M2</f>
        <v>1.2091826086956521</v>
      </c>
      <c r="N6" s="69">
        <f>Вычисление!N2</f>
        <v>48112</v>
      </c>
      <c r="O6" s="68">
        <f>Вычисление!M19</f>
        <v>1.512</v>
      </c>
      <c r="P6" s="70">
        <f>Вычисление!N19</f>
        <v>3584</v>
      </c>
      <c r="Q6" s="53"/>
      <c r="R6" s="309" t="e">
        <f>'Итоги Мотивации'!#REF!</f>
        <v>#REF!</v>
      </c>
      <c r="S6" s="53"/>
      <c r="T6" s="71">
        <f t="shared" ref="T6:T14" si="2">E6/G6%/100</f>
        <v>1.7951625094482237E-3</v>
      </c>
      <c r="U6" s="72" t="e">
        <f t="shared" ref="U6:V6" si="3">#REF!</f>
        <v>#REF!</v>
      </c>
      <c r="V6" s="72" t="e">
        <f t="shared" si="3"/>
        <v>#REF!</v>
      </c>
      <c r="W6" s="73">
        <f t="shared" ref="W6:X6" si="4">F6:F14/F16</f>
        <v>0.14050062745145586</v>
      </c>
      <c r="X6" s="73">
        <f t="shared" si="4"/>
        <v>0.16155572176514585</v>
      </c>
      <c r="Y6" s="74">
        <f t="shared" ref="Y6:Y14" si="5">W6+X6</f>
        <v>0.30205634921660174</v>
      </c>
      <c r="Z6" s="75" t="str">
        <f>Вычисление!O2</f>
        <v>Выполнил</v>
      </c>
      <c r="AA6" s="75" t="str">
        <f>Вычисление!O19</f>
        <v>Выполнил</v>
      </c>
    </row>
    <row r="7" spans="1:27" ht="24" customHeight="1" x14ac:dyDescent="0.25">
      <c r="A7" s="60" t="s">
        <v>12</v>
      </c>
      <c r="B7" s="41">
        <f>Данные!AG7</f>
        <v>10</v>
      </c>
      <c r="C7" s="41">
        <f>Данные!AL33</f>
        <v>14</v>
      </c>
      <c r="D7" s="61">
        <f>'Атаев Наиб'!D37</f>
        <v>1.4131944444444444</v>
      </c>
      <c r="E7" s="41">
        <f>'Атаев Наиб'!G4</f>
        <v>4</v>
      </c>
      <c r="F7" s="62">
        <f>Данные!AG23+Данные!AL22</f>
        <v>71574</v>
      </c>
      <c r="G7" s="41">
        <f>Данные!AG35+Данные!AM22</f>
        <v>3441</v>
      </c>
      <c r="H7" s="63">
        <f t="shared" ref="H7:H13" si="6">D7*128.205*24</f>
        <v>4348.2862500000001</v>
      </c>
      <c r="I7" s="64">
        <f>Вычисление!C9+Вычисление!H9+Вычисление!C26+Вычисление!H26</f>
        <v>2280.113192629512</v>
      </c>
      <c r="J7" s="65">
        <f t="shared" si="0"/>
        <v>200</v>
      </c>
      <c r="K7" s="66">
        <f>Данные!AJ6</f>
        <v>3512</v>
      </c>
      <c r="L7" s="67">
        <f t="shared" si="1"/>
        <v>9940.3994426295121</v>
      </c>
      <c r="M7" s="68">
        <f>Вычисление!M3</f>
        <v>0.3111913043478261</v>
      </c>
      <c r="N7" s="69">
        <f>Вычисление!N3</f>
        <v>-158426</v>
      </c>
      <c r="O7" s="68">
        <f>Вычисление!M20</f>
        <v>0.49157142857142855</v>
      </c>
      <c r="P7" s="70">
        <f>Вычисление!N20</f>
        <v>-3559</v>
      </c>
      <c r="Q7" s="53"/>
      <c r="R7" s="310"/>
      <c r="S7" s="53"/>
      <c r="T7" s="71">
        <f t="shared" si="2"/>
        <v>1.1624527753560012E-3</v>
      </c>
      <c r="U7" s="72" t="e">
        <f t="shared" ref="U7:V7" si="7">#REF!</f>
        <v>#REF!</v>
      </c>
      <c r="V7" s="72" t="e">
        <f t="shared" si="7"/>
        <v>#REF!</v>
      </c>
      <c r="W7" s="73">
        <f>F6:F14/F16</f>
        <v>3.6158784623498814E-2</v>
      </c>
      <c r="X7" s="73">
        <f>G6:G16/G16</f>
        <v>5.252392654892922E-2</v>
      </c>
      <c r="Y7" s="74">
        <f t="shared" si="5"/>
        <v>8.8682711172428041E-2</v>
      </c>
      <c r="Z7" s="75" t="str">
        <f>Вычисление!O3</f>
        <v>Нет</v>
      </c>
      <c r="AA7" s="75" t="str">
        <f>Вычисление!O20</f>
        <v>Нет</v>
      </c>
    </row>
    <row r="8" spans="1:27" ht="24" customHeight="1" x14ac:dyDescent="0.25">
      <c r="A8" s="76" t="s">
        <v>13</v>
      </c>
      <c r="B8" s="41">
        <f>Данные!AG8</f>
        <v>17</v>
      </c>
      <c r="C8" s="41">
        <f>Данные!AL34</f>
        <v>7</v>
      </c>
      <c r="D8" s="61">
        <f>'Ашурбеков Иса'!D37</f>
        <v>4.0187499999999998</v>
      </c>
      <c r="E8" s="41">
        <f>'Ашурбеков Иса'!G4</f>
        <v>5</v>
      </c>
      <c r="F8" s="62">
        <f>Данные!AG24+Данные!AL23</f>
        <v>281864</v>
      </c>
      <c r="G8" s="41">
        <f>Данные!AG36+Данные!AM23</f>
        <v>11204</v>
      </c>
      <c r="H8" s="63">
        <f t="shared" si="6"/>
        <v>12365.37225</v>
      </c>
      <c r="I8" s="64">
        <f>Вычисление!C10+Вычисление!H10+Вычисление!C27+Вычисление!H27</f>
        <v>6468.7918676177906</v>
      </c>
      <c r="J8" s="65">
        <f t="shared" si="0"/>
        <v>250</v>
      </c>
      <c r="K8" s="66">
        <f>Данные!AJ7</f>
        <v>5925</v>
      </c>
      <c r="L8" s="67">
        <f t="shared" si="1"/>
        <v>24509.164117617791</v>
      </c>
      <c r="M8" s="68">
        <f>Вычисление!M4</f>
        <v>1.2254956521739131</v>
      </c>
      <c r="N8" s="69">
        <f>Вычисление!N4</f>
        <v>51864</v>
      </c>
      <c r="O8" s="68">
        <f>Вычисление!M21</f>
        <v>1.6005714285714285</v>
      </c>
      <c r="P8" s="70">
        <f>Вычисление!N21</f>
        <v>4204</v>
      </c>
      <c r="Q8" s="53"/>
      <c r="R8" s="311"/>
      <c r="S8" s="53"/>
      <c r="T8" s="71">
        <f t="shared" si="2"/>
        <v>4.4626918957515175E-4</v>
      </c>
      <c r="U8" s="72" t="e">
        <f t="shared" ref="U8:V8" si="8">#REF!</f>
        <v>#REF!</v>
      </c>
      <c r="V8" s="72" t="e">
        <f t="shared" si="8"/>
        <v>#REF!</v>
      </c>
      <c r="W8" s="73">
        <f t="shared" ref="W8:X8" si="9">F6:F14/F16</f>
        <v>0.14239611687369533</v>
      </c>
      <c r="X8" s="73">
        <f t="shared" si="9"/>
        <v>0.17101949231450247</v>
      </c>
      <c r="Y8" s="74">
        <f t="shared" si="5"/>
        <v>0.31341560918819777</v>
      </c>
      <c r="Z8" s="75" t="str">
        <f>Вычисление!O4</f>
        <v>Выполнил</v>
      </c>
      <c r="AA8" s="75" t="str">
        <f>Вычисление!O21</f>
        <v>Выполнил</v>
      </c>
    </row>
    <row r="9" spans="1:27" ht="24" customHeight="1" x14ac:dyDescent="0.25">
      <c r="A9" s="60" t="s">
        <v>15</v>
      </c>
      <c r="B9" s="41">
        <f>Данные!AG9</f>
        <v>11</v>
      </c>
      <c r="C9" s="41">
        <f>Данные!AL35</f>
        <v>13</v>
      </c>
      <c r="D9" s="61">
        <f>'Магомедов Камиль'!D37</f>
        <v>2.4402777777777773</v>
      </c>
      <c r="E9" s="41">
        <f>'Магомедов Камиль'!G4</f>
        <v>3</v>
      </c>
      <c r="F9" s="62">
        <f>Данные!AG25+Данные!AL24</f>
        <v>104969</v>
      </c>
      <c r="G9" s="41">
        <f>Данные!AG37+Данные!AM24</f>
        <v>2463</v>
      </c>
      <c r="H9" s="63">
        <f t="shared" si="6"/>
        <v>7508.539499999999</v>
      </c>
      <c r="I9" s="64">
        <f>Вычисление!C11+Вычисление!H11+Вычисление!C28+Вычисление!H28</f>
        <v>1706.5195879234793</v>
      </c>
      <c r="J9" s="65">
        <f t="shared" si="0"/>
        <v>150</v>
      </c>
      <c r="K9" s="66">
        <f>Данные!AJ8</f>
        <v>2411</v>
      </c>
      <c r="L9" s="67">
        <f t="shared" si="1"/>
        <v>11476.059087923479</v>
      </c>
      <c r="M9" s="68">
        <f>Вычисление!M5</f>
        <v>0.45638695652173911</v>
      </c>
      <c r="N9" s="69">
        <f>Вычисление!N5</f>
        <v>-125031</v>
      </c>
      <c r="O9" s="68">
        <f>Вычисление!M22</f>
        <v>0.35185714285714287</v>
      </c>
      <c r="P9" s="70">
        <f>Вычисление!N22</f>
        <v>-4537</v>
      </c>
      <c r="Q9" s="53"/>
      <c r="R9" s="53"/>
      <c r="S9" s="53"/>
      <c r="T9" s="71">
        <f t="shared" si="2"/>
        <v>1.2180267965895249E-3</v>
      </c>
      <c r="U9" s="72" t="e">
        <f t="shared" ref="U9:V9" si="10">#REF!</f>
        <v>#REF!</v>
      </c>
      <c r="V9" s="72" t="e">
        <f t="shared" si="10"/>
        <v>#REF!</v>
      </c>
      <c r="W9" s="73">
        <f t="shared" ref="W9:X9" si="11">F6:F14/F16</f>
        <v>5.3029751909129674E-2</v>
      </c>
      <c r="X9" s="73">
        <f t="shared" si="11"/>
        <v>3.7595591714621526E-2</v>
      </c>
      <c r="Y9" s="74">
        <f t="shared" si="5"/>
        <v>9.0625343623751201E-2</v>
      </c>
      <c r="Z9" s="75" t="str">
        <f>Вычисление!O5</f>
        <v>Нет</v>
      </c>
      <c r="AA9" s="75" t="str">
        <f>Вычисление!O22</f>
        <v>Нет</v>
      </c>
    </row>
    <row r="10" spans="1:27" ht="24" customHeight="1" x14ac:dyDescent="0.25">
      <c r="A10" s="76" t="s">
        <v>16</v>
      </c>
      <c r="B10" s="41">
        <f>Данные!AG10</f>
        <v>15</v>
      </c>
      <c r="C10" s="41">
        <f>Данные!AL36</f>
        <v>9</v>
      </c>
      <c r="D10" s="61">
        <f>'Магомедов Арсен'!D37</f>
        <v>4.8222222222222229</v>
      </c>
      <c r="E10" s="41">
        <f>'Магомедов Арсен'!G4</f>
        <v>80</v>
      </c>
      <c r="F10" s="62">
        <f>Данные!AG26+Данные!AL25</f>
        <v>297573</v>
      </c>
      <c r="G10" s="41">
        <f>Данные!AG38+Данные!AM25</f>
        <v>9851</v>
      </c>
      <c r="H10" s="63">
        <f t="shared" si="6"/>
        <v>14837.592000000004</v>
      </c>
      <c r="I10" s="64">
        <f>Вычисление!C12+Вычисление!H12+Вычисление!C29+Вычисление!H29</f>
        <v>5965.1009041358138</v>
      </c>
      <c r="J10" s="65">
        <f t="shared" si="0"/>
        <v>4000</v>
      </c>
      <c r="K10" s="66">
        <f>Данные!AJ9</f>
        <v>5047</v>
      </c>
      <c r="L10" s="67">
        <f t="shared" si="1"/>
        <v>21849.692904135816</v>
      </c>
      <c r="M10" s="68">
        <f>Вычисление!M6</f>
        <v>1.2937956521739131</v>
      </c>
      <c r="N10" s="69">
        <f>Вычисление!N6</f>
        <v>67573</v>
      </c>
      <c r="O10" s="68">
        <f>Вычисление!M23</f>
        <v>1.4072857142857143</v>
      </c>
      <c r="P10" s="70">
        <f>Вычисление!N23</f>
        <v>2851</v>
      </c>
      <c r="Q10" s="77"/>
      <c r="R10" s="77"/>
      <c r="S10" s="78"/>
      <c r="T10" s="71">
        <f t="shared" si="2"/>
        <v>8.1210029438635659E-3</v>
      </c>
      <c r="U10" s="72" t="e">
        <f t="shared" ref="U10:V10" si="12">#REF!</f>
        <v>#REF!</v>
      </c>
      <c r="V10" s="72" t="e">
        <f t="shared" si="12"/>
        <v>#REF!</v>
      </c>
      <c r="W10" s="73">
        <f t="shared" ref="W10:X10" si="13">F6:F14/F16</f>
        <v>0.15033221584330081</v>
      </c>
      <c r="X10" s="73">
        <f t="shared" si="13"/>
        <v>0.15036710271243875</v>
      </c>
      <c r="Y10" s="74">
        <f t="shared" si="5"/>
        <v>0.30069931855573956</v>
      </c>
      <c r="Z10" s="75" t="str">
        <f>Вычисление!O6</f>
        <v>Выполнил</v>
      </c>
      <c r="AA10" s="75" t="str">
        <f>Вычисление!O23</f>
        <v>Выполнил</v>
      </c>
    </row>
    <row r="11" spans="1:27" ht="24" customHeight="1" x14ac:dyDescent="0.25">
      <c r="A11" s="60" t="s">
        <v>17</v>
      </c>
      <c r="B11" s="41">
        <f>Данные!AG11</f>
        <v>19</v>
      </c>
      <c r="C11" s="41">
        <f>Данные!AL37</f>
        <v>5</v>
      </c>
      <c r="D11" s="61">
        <f>'Темерханов Расул'!D37</f>
        <v>4.977777777777777</v>
      </c>
      <c r="E11" s="41">
        <f>'Темерханов Расул'!G4</f>
        <v>38</v>
      </c>
      <c r="F11" s="62">
        <f>Данные!AG27+Данные!AL26</f>
        <v>330638</v>
      </c>
      <c r="G11" s="41">
        <f>Данные!AG39+Данные!AM26</f>
        <v>11470</v>
      </c>
      <c r="H11" s="63">
        <f t="shared" si="6"/>
        <v>15316.223999999998</v>
      </c>
      <c r="I11" s="64">
        <f>Вычисление!C13+Вычисление!H13+Вычисление!C30+Вычисление!H30</f>
        <v>6235.1190889857189</v>
      </c>
      <c r="J11" s="65">
        <f t="shared" si="0"/>
        <v>1900</v>
      </c>
      <c r="K11" s="66">
        <f>Данные!AJ10</f>
        <v>6803</v>
      </c>
      <c r="L11" s="67">
        <f t="shared" si="1"/>
        <v>26454.343088985719</v>
      </c>
      <c r="M11" s="68">
        <f>Вычисление!M7</f>
        <v>1.4375565217391304</v>
      </c>
      <c r="N11" s="69">
        <f>Вычисление!N7</f>
        <v>100638</v>
      </c>
      <c r="O11" s="68">
        <f>Вычисление!M24</f>
        <v>1.6385714285714286</v>
      </c>
      <c r="P11" s="70">
        <f>Вычисление!N24</f>
        <v>4470</v>
      </c>
      <c r="Q11" s="77"/>
      <c r="R11" s="77"/>
      <c r="S11" s="77"/>
      <c r="T11" s="71">
        <f t="shared" si="2"/>
        <v>3.3129904097646034E-3</v>
      </c>
      <c r="U11" s="72" t="e">
        <f t="shared" ref="U11:V11" si="14">#REF!</f>
        <v>#REF!</v>
      </c>
      <c r="V11" s="72" t="e">
        <f t="shared" si="14"/>
        <v>#REF!</v>
      </c>
      <c r="W11" s="73">
        <f t="shared" ref="W11:X11" si="15">F6:F14/F16</f>
        <v>0.16703646897399058</v>
      </c>
      <c r="X11" s="73">
        <f t="shared" si="15"/>
        <v>0.1750797551630974</v>
      </c>
      <c r="Y11" s="74">
        <f t="shared" si="5"/>
        <v>0.34211622413708798</v>
      </c>
      <c r="Z11" s="75" t="str">
        <f>Вычисление!O7</f>
        <v>Выполнил</v>
      </c>
      <c r="AA11" s="75" t="str">
        <f>Вычисление!O24</f>
        <v>Выполнил</v>
      </c>
    </row>
    <row r="12" spans="1:27" ht="24" customHeight="1" x14ac:dyDescent="0.25">
      <c r="A12" s="79" t="s">
        <v>52</v>
      </c>
      <c r="B12" s="41">
        <f>Данные!AG12</f>
        <v>8</v>
      </c>
      <c r="C12" s="41">
        <f>Данные!AL41</f>
        <v>16</v>
      </c>
      <c r="D12" s="41"/>
      <c r="E12" s="41">
        <f>Яхья!G4</f>
        <v>8</v>
      </c>
      <c r="F12" s="62">
        <f>Данные!AG28+Данные!AL46</f>
        <v>96699</v>
      </c>
      <c r="G12" s="41">
        <f>Данные!AG40+Данные!AM46</f>
        <v>2107</v>
      </c>
      <c r="H12" s="63">
        <f t="shared" si="6"/>
        <v>0</v>
      </c>
      <c r="I12" s="64">
        <f>Вычисление!C14+Вычисление!H14+Вычисление!C31+Вычисление!H31</f>
        <v>1560.9094188540112</v>
      </c>
      <c r="J12" s="65">
        <f t="shared" si="0"/>
        <v>400</v>
      </c>
      <c r="K12" s="66">
        <f>Данные!AN46</f>
        <v>0</v>
      </c>
      <c r="L12" s="67">
        <f t="shared" si="1"/>
        <v>1160.9094188540112</v>
      </c>
      <c r="M12" s="68">
        <f>Вычисление!M8</f>
        <v>0.42043043478260872</v>
      </c>
      <c r="N12" s="69">
        <f>Вычисление!N8</f>
        <v>-133301</v>
      </c>
      <c r="O12" s="68">
        <f>Вычисление!M25</f>
        <v>0.30099999999999999</v>
      </c>
      <c r="P12" s="70">
        <f>Вычисление!N25</f>
        <v>-4893</v>
      </c>
      <c r="Q12" s="53"/>
      <c r="R12" s="54" t="s">
        <v>53</v>
      </c>
      <c r="S12" s="53"/>
      <c r="T12" s="71">
        <f t="shared" si="2"/>
        <v>3.7968675842429992E-3</v>
      </c>
      <c r="U12" s="72" t="e">
        <f t="shared" ref="U12:V12" si="16">#REF!</f>
        <v>#REF!</v>
      </c>
      <c r="V12" s="72" t="e">
        <f t="shared" si="16"/>
        <v>#REF!</v>
      </c>
      <c r="W12" s="73">
        <f t="shared" ref="W12:X12" si="17">F6:F14/F16</f>
        <v>4.8851794147423813E-2</v>
      </c>
      <c r="X12" s="73">
        <f t="shared" si="17"/>
        <v>3.2161555721765149E-2</v>
      </c>
      <c r="Y12" s="74">
        <f t="shared" si="5"/>
        <v>8.1013349869188955E-2</v>
      </c>
      <c r="Z12" s="75" t="str">
        <f>Вычисление!O8</f>
        <v>Нет</v>
      </c>
      <c r="AA12" s="75" t="str">
        <f>Вычисление!O25</f>
        <v>Нет</v>
      </c>
    </row>
    <row r="13" spans="1:27" ht="24" customHeight="1" x14ac:dyDescent="0.25">
      <c r="A13" s="60" t="s">
        <v>19</v>
      </c>
      <c r="B13" s="41">
        <f>Данные!AG13</f>
        <v>12</v>
      </c>
      <c r="C13" s="41">
        <f>Данные!AL38</f>
        <v>12</v>
      </c>
      <c r="D13" s="61">
        <f>'Муртузалиев Алиасхаб'!D37</f>
        <v>4.5375000000000005</v>
      </c>
      <c r="E13" s="41">
        <f>'Муртузалиев Алиасхаб'!G4</f>
        <v>152</v>
      </c>
      <c r="F13" s="62">
        <f>Данные!AG29+Данные!AL27</f>
        <v>152735</v>
      </c>
      <c r="G13" s="41">
        <f>Данные!AG41+Данные!AM27</f>
        <v>4648</v>
      </c>
      <c r="H13" s="63">
        <f t="shared" si="6"/>
        <v>13961.524500000003</v>
      </c>
      <c r="I13" s="64">
        <f>Вычисление!C15+Вычисление!H15+Вычисление!C32+Вычисление!H32</f>
        <v>3214.5338813803501</v>
      </c>
      <c r="J13" s="65">
        <f t="shared" si="0"/>
        <v>7600</v>
      </c>
      <c r="K13" s="66">
        <f>Данные!AJ11</f>
        <v>3070</v>
      </c>
      <c r="L13" s="67">
        <f t="shared" si="1"/>
        <v>12646.058381380353</v>
      </c>
      <c r="M13" s="68">
        <f>Вычисление!M9</f>
        <v>0.66406521739130431</v>
      </c>
      <c r="N13" s="69">
        <f>Вычисление!N9</f>
        <v>-77265</v>
      </c>
      <c r="O13" s="68">
        <f>Вычисление!M26</f>
        <v>0.66400000000000003</v>
      </c>
      <c r="P13" s="70">
        <f>Вычисление!N26</f>
        <v>-2352</v>
      </c>
      <c r="Q13" s="53"/>
      <c r="R13" s="309" t="e">
        <f>'Итоги Мотивации'!#REF!</f>
        <v>#REF!</v>
      </c>
      <c r="S13" s="53"/>
      <c r="T13" s="71">
        <f t="shared" si="2"/>
        <v>3.2702237521514632E-2</v>
      </c>
      <c r="U13" s="72" t="e">
        <f t="shared" ref="U13:V13" si="18">#REF!</f>
        <v>#REF!</v>
      </c>
      <c r="V13" s="72" t="e">
        <f t="shared" si="18"/>
        <v>#REF!</v>
      </c>
      <c r="W13" s="73">
        <f t="shared" ref="W13:X13" si="19">F6:F14/F16</f>
        <v>7.7160868045241165E-2</v>
      </c>
      <c r="X13" s="73">
        <f t="shared" si="19"/>
        <v>7.0947750828079928E-2</v>
      </c>
      <c r="Y13" s="74">
        <f t="shared" si="5"/>
        <v>0.14810861887332111</v>
      </c>
      <c r="Z13" s="75" t="str">
        <f>Вычисление!O9</f>
        <v>Нет</v>
      </c>
      <c r="AA13" s="75" t="str">
        <f>Вычисление!O26</f>
        <v>Нет</v>
      </c>
    </row>
    <row r="14" spans="1:27" ht="24" customHeight="1" x14ac:dyDescent="0.25">
      <c r="A14" s="76" t="s">
        <v>20</v>
      </c>
      <c r="B14" s="41">
        <f>Данные!AG14</f>
        <v>21</v>
      </c>
      <c r="C14" s="41">
        <f>Данные!AL42</f>
        <v>3</v>
      </c>
      <c r="D14" s="61">
        <f>'Мирзакулов Улугбек'!D37</f>
        <v>6.4166666666666661</v>
      </c>
      <c r="E14" s="41">
        <f>'Мирзакулов Улугбек'!G4</f>
        <v>3</v>
      </c>
      <c r="F14" s="62">
        <f>Данные!AG30+Данные!AL47</f>
        <v>365272</v>
      </c>
      <c r="G14" s="41">
        <f>Данные!AG42+Данные!AM47</f>
        <v>9745</v>
      </c>
      <c r="H14" s="63">
        <f>D14*129.12*24</f>
        <v>19884.48</v>
      </c>
      <c r="I14" s="64">
        <f>Вычисление!C16+Вычисление!H16+Вычисление!C33+Вычисление!H33</f>
        <v>6655.7527433964769</v>
      </c>
      <c r="J14" s="65">
        <f t="shared" si="0"/>
        <v>150</v>
      </c>
      <c r="K14" s="66">
        <f>Данные!AN47</f>
        <v>0</v>
      </c>
      <c r="L14" s="67">
        <f t="shared" si="1"/>
        <v>26390.232743396475</v>
      </c>
      <c r="M14" s="68">
        <f>Вычисление!M10</f>
        <v>1.5881391304347825</v>
      </c>
      <c r="N14" s="69">
        <f>Вычисление!N10</f>
        <v>135272</v>
      </c>
      <c r="O14" s="68">
        <f>Вычисление!M27</f>
        <v>1.3921428571428571</v>
      </c>
      <c r="P14" s="70">
        <f>Вычисление!N27</f>
        <v>2745</v>
      </c>
      <c r="Q14" s="53"/>
      <c r="R14" s="311"/>
      <c r="S14" s="53"/>
      <c r="T14" s="71">
        <f t="shared" si="2"/>
        <v>3.078501795792714E-4</v>
      </c>
      <c r="U14" s="72" t="e">
        <f t="shared" ref="U14:V14" si="20">#REF!</f>
        <v>#REF!</v>
      </c>
      <c r="V14" s="72" t="e">
        <f t="shared" si="20"/>
        <v>#REF!</v>
      </c>
      <c r="W14" s="73">
        <f t="shared" ref="W14:X14" si="21">F6:F14/F16</f>
        <v>0.18453337213226395</v>
      </c>
      <c r="X14" s="73">
        <f t="shared" si="21"/>
        <v>0.14874910323141971</v>
      </c>
      <c r="Y14" s="74">
        <f t="shared" si="5"/>
        <v>0.33328247536368366</v>
      </c>
      <c r="Z14" s="75" t="str">
        <f>Вычисление!O10</f>
        <v>Выполнил</v>
      </c>
      <c r="AA14" s="75" t="str">
        <f>Вычисление!O27</f>
        <v>Выполнил</v>
      </c>
    </row>
    <row r="15" spans="1:27" ht="24" customHeight="1" x14ac:dyDescent="0.25">
      <c r="A15" s="79" t="s">
        <v>54</v>
      </c>
      <c r="B15" s="80">
        <v>24</v>
      </c>
      <c r="C15" s="80">
        <v>0</v>
      </c>
      <c r="D15" s="81">
        <v>12</v>
      </c>
      <c r="E15" s="41"/>
      <c r="F15" s="82">
        <v>230000</v>
      </c>
      <c r="G15" s="83">
        <v>7000</v>
      </c>
      <c r="H15" s="84"/>
      <c r="I15" s="84"/>
      <c r="J15" s="84"/>
      <c r="K15" s="84"/>
      <c r="L15" s="84"/>
      <c r="M15" s="68"/>
      <c r="N15" s="69"/>
      <c r="O15" s="68"/>
      <c r="P15" s="70"/>
      <c r="Q15" s="85"/>
      <c r="R15" s="86"/>
      <c r="S15" s="85"/>
      <c r="T15" s="71"/>
      <c r="U15" s="87"/>
      <c r="V15" s="72"/>
      <c r="W15" s="88"/>
      <c r="X15" s="73"/>
      <c r="Y15" s="89"/>
      <c r="Z15" s="90"/>
      <c r="AA15" s="90"/>
    </row>
    <row r="16" spans="1:27" ht="24" customHeight="1" x14ac:dyDescent="0.25">
      <c r="A16" s="91">
        <f>ROWS(A6:A14)</f>
        <v>9</v>
      </c>
      <c r="B16" s="92"/>
      <c r="C16" s="93">
        <f>SUM(C6:C15)</f>
        <v>85</v>
      </c>
      <c r="D16" s="94">
        <f t="shared" ref="D16:L16" si="22">SUM(D6:D14)</f>
        <v>33.433333333333337</v>
      </c>
      <c r="E16" s="95">
        <f t="shared" si="22"/>
        <v>312</v>
      </c>
      <c r="F16" s="96">
        <f t="shared" si="22"/>
        <v>1979436</v>
      </c>
      <c r="G16" s="91">
        <f t="shared" si="22"/>
        <v>65513</v>
      </c>
      <c r="H16" s="97">
        <f t="shared" si="22"/>
        <v>110407.83606666667</v>
      </c>
      <c r="I16" s="98">
        <f t="shared" si="22"/>
        <v>40000.000000000007</v>
      </c>
      <c r="J16" s="98">
        <f t="shared" si="22"/>
        <v>15600</v>
      </c>
      <c r="K16" s="99">
        <f t="shared" si="22"/>
        <v>32912</v>
      </c>
      <c r="L16" s="100">
        <f t="shared" si="22"/>
        <v>167719.8360666667</v>
      </c>
      <c r="M16" s="101">
        <f>Вычисление!M11</f>
        <v>0.95624927536231885</v>
      </c>
      <c r="N16" s="69">
        <f>Вычисление!N11</f>
        <v>-90564</v>
      </c>
      <c r="O16" s="101">
        <f>Вычисление!M28</f>
        <v>1.0398888888888889</v>
      </c>
      <c r="P16" s="70">
        <f>Вычисление!N28</f>
        <v>2513</v>
      </c>
      <c r="Q16" s="102"/>
      <c r="R16" s="103"/>
      <c r="S16" s="104"/>
      <c r="T16" s="71">
        <f>E16/G16%/100</f>
        <v>4.7624135667730071E-3</v>
      </c>
      <c r="U16" s="87" t="e">
        <f t="shared" ref="U16:W16" si="23">SUM(U6:U14)</f>
        <v>#REF!</v>
      </c>
      <c r="V16" s="105" t="e">
        <f t="shared" si="23"/>
        <v>#REF!</v>
      </c>
      <c r="W16" s="106">
        <f t="shared" si="23"/>
        <v>0.99999999999999989</v>
      </c>
      <c r="X16" s="107">
        <f>SUM(X5:X14)</f>
        <v>1</v>
      </c>
    </row>
    <row r="17" spans="1:19" ht="15" customHeight="1" x14ac:dyDescent="0.25">
      <c r="A17" s="108"/>
      <c r="B17" s="109"/>
      <c r="C17" s="109"/>
      <c r="D17" s="109"/>
      <c r="E17" s="109"/>
      <c r="F17" s="110"/>
      <c r="G17" s="110"/>
      <c r="H17" s="109"/>
      <c r="I17" s="108"/>
      <c r="J17" s="108"/>
      <c r="K17" s="111"/>
      <c r="L17" s="111"/>
      <c r="M17" s="112"/>
      <c r="N17" s="113"/>
      <c r="O17" s="114"/>
      <c r="P17" s="115"/>
    </row>
    <row r="18" spans="1:19" ht="14.25" x14ac:dyDescent="0.2">
      <c r="N18" s="44"/>
    </row>
    <row r="19" spans="1:19" x14ac:dyDescent="0.25">
      <c r="N19" s="44"/>
      <c r="Q19" s="116"/>
      <c r="R19" s="117" t="s">
        <v>55</v>
      </c>
      <c r="S19" s="116"/>
    </row>
    <row r="20" spans="1:19" x14ac:dyDescent="0.25">
      <c r="N20" s="44"/>
      <c r="Q20" s="116"/>
      <c r="R20" s="312" t="e">
        <f>'Итоги Мотивации'!#REF!</f>
        <v>#REF!</v>
      </c>
      <c r="S20" s="116"/>
    </row>
    <row r="21" spans="1:19" ht="15.75" customHeight="1" x14ac:dyDescent="0.25">
      <c r="N21" s="44"/>
      <c r="Q21" s="116"/>
      <c r="R21" s="313"/>
      <c r="S21" s="116"/>
    </row>
    <row r="22" spans="1:19" ht="15.75" customHeight="1" x14ac:dyDescent="0.25">
      <c r="N22" s="44"/>
      <c r="Q22" s="116"/>
      <c r="R22" s="313"/>
      <c r="S22" s="116"/>
    </row>
    <row r="23" spans="1:19" ht="15.75" customHeight="1" x14ac:dyDescent="0.25">
      <c r="N23" s="44"/>
      <c r="Q23" s="116"/>
      <c r="R23" s="116"/>
      <c r="S23" s="116"/>
    </row>
    <row r="24" spans="1:19" ht="15.75" customHeight="1" x14ac:dyDescent="0.2">
      <c r="N24" s="44"/>
    </row>
    <row r="25" spans="1:19" ht="15.75" customHeight="1" x14ac:dyDescent="0.2">
      <c r="N25" s="44"/>
    </row>
    <row r="26" spans="1:19" ht="15.75" customHeight="1" x14ac:dyDescent="0.2">
      <c r="N26" s="44"/>
    </row>
    <row r="27" spans="1:19" ht="15.75" customHeight="1" x14ac:dyDescent="0.2">
      <c r="N27" s="44"/>
    </row>
    <row r="28" spans="1:19" ht="15.75" customHeight="1" x14ac:dyDescent="0.2">
      <c r="N28" s="44"/>
    </row>
    <row r="29" spans="1:19" ht="15.75" customHeight="1" x14ac:dyDescent="0.2">
      <c r="N29" s="44"/>
    </row>
    <row r="30" spans="1:19" ht="15.75" customHeight="1" x14ac:dyDescent="0.2">
      <c r="N30" s="44"/>
    </row>
    <row r="31" spans="1:19" ht="15.75" customHeight="1" x14ac:dyDescent="0.2">
      <c r="N31" s="44"/>
    </row>
    <row r="32" spans="1:19" ht="15.75" customHeight="1" x14ac:dyDescent="0.2">
      <c r="N32" s="44"/>
    </row>
    <row r="33" spans="1:15" ht="15.75" customHeight="1" x14ac:dyDescent="0.2">
      <c r="N33" s="44"/>
    </row>
    <row r="34" spans="1:15" ht="15.75" customHeight="1" x14ac:dyDescent="0.2">
      <c r="N34" s="44"/>
    </row>
    <row r="35" spans="1:15" ht="15.75" customHeight="1" x14ac:dyDescent="0.2">
      <c r="N35" s="44"/>
    </row>
    <row r="36" spans="1:15" ht="15.75" customHeight="1" x14ac:dyDescent="0.2">
      <c r="N36" s="44"/>
    </row>
    <row r="37" spans="1:15" ht="15.75" customHeight="1" x14ac:dyDescent="0.2">
      <c r="N37" s="44"/>
    </row>
    <row r="38" spans="1:15" ht="24.75" customHeight="1" x14ac:dyDescent="0.2">
      <c r="A38" s="118"/>
      <c r="B38" s="119"/>
      <c r="N38" s="44"/>
    </row>
    <row r="39" spans="1:15" ht="26.25" customHeight="1" x14ac:dyDescent="0.2">
      <c r="A39" s="118"/>
      <c r="B39" s="119"/>
      <c r="N39" s="44"/>
    </row>
    <row r="40" spans="1:15" ht="26.25" customHeight="1" x14ac:dyDescent="0.25">
      <c r="A40" s="118"/>
      <c r="B40" s="119"/>
      <c r="N40" s="44"/>
      <c r="O40" s="120"/>
    </row>
    <row r="41" spans="1:15" ht="26.25" customHeight="1" x14ac:dyDescent="0.25">
      <c r="A41" s="118"/>
      <c r="B41" s="119"/>
      <c r="N41" s="44"/>
      <c r="O41" s="121"/>
    </row>
    <row r="42" spans="1:15" ht="26.25" customHeight="1" x14ac:dyDescent="0.25">
      <c r="A42" s="118"/>
      <c r="B42" s="119"/>
      <c r="N42" s="44"/>
      <c r="O42" s="122"/>
    </row>
    <row r="43" spans="1:15" ht="26.25" customHeight="1" x14ac:dyDescent="0.25">
      <c r="A43" s="118"/>
      <c r="B43" s="118"/>
      <c r="N43" s="44"/>
      <c r="O43" s="122"/>
    </row>
    <row r="44" spans="1:15" ht="26.25" customHeight="1" x14ac:dyDescent="0.25">
      <c r="N44" s="44"/>
      <c r="O44" s="120"/>
    </row>
    <row r="45" spans="1:15" ht="15.75" customHeight="1" x14ac:dyDescent="0.2">
      <c r="N45" s="44"/>
    </row>
    <row r="46" spans="1:15" ht="15.75" customHeight="1" x14ac:dyDescent="0.2">
      <c r="N46" s="44"/>
    </row>
    <row r="47" spans="1:15" ht="15.75" customHeight="1" x14ac:dyDescent="0.2">
      <c r="N47" s="44"/>
    </row>
    <row r="48" spans="1:15" ht="15.75" customHeight="1" x14ac:dyDescent="0.2">
      <c r="N48" s="44"/>
    </row>
    <row r="49" spans="14:14" ht="15.75" customHeight="1" x14ac:dyDescent="0.2">
      <c r="N49" s="44"/>
    </row>
    <row r="50" spans="14:14" ht="15.75" customHeight="1" x14ac:dyDescent="0.2">
      <c r="N50" s="44"/>
    </row>
    <row r="51" spans="14:14" ht="15.75" customHeight="1" x14ac:dyDescent="0.2">
      <c r="N51" s="44"/>
    </row>
    <row r="52" spans="14:14" ht="15.75" customHeight="1" x14ac:dyDescent="0.2">
      <c r="N52" s="44"/>
    </row>
    <row r="53" spans="14:14" ht="15.75" customHeight="1" x14ac:dyDescent="0.2">
      <c r="N53" s="44"/>
    </row>
    <row r="54" spans="14:14" ht="15.75" customHeight="1" x14ac:dyDescent="0.2">
      <c r="N54" s="44"/>
    </row>
    <row r="55" spans="14:14" ht="15.75" customHeight="1" x14ac:dyDescent="0.2">
      <c r="N55" s="44"/>
    </row>
    <row r="56" spans="14:14" ht="15.75" customHeight="1" x14ac:dyDescent="0.2">
      <c r="N56" s="44"/>
    </row>
    <row r="57" spans="14:14" ht="15.75" customHeight="1" x14ac:dyDescent="0.2">
      <c r="N57" s="44"/>
    </row>
    <row r="58" spans="14:14" ht="15.75" customHeight="1" x14ac:dyDescent="0.2">
      <c r="N58" s="44"/>
    </row>
    <row r="59" spans="14:14" ht="15.75" customHeight="1" x14ac:dyDescent="0.2">
      <c r="N59" s="44"/>
    </row>
    <row r="60" spans="14:14" ht="15.75" customHeight="1" x14ac:dyDescent="0.2">
      <c r="N60" s="44"/>
    </row>
    <row r="61" spans="14:14" ht="15.75" customHeight="1" x14ac:dyDescent="0.2">
      <c r="N61" s="44"/>
    </row>
    <row r="62" spans="14:14" ht="15.75" customHeight="1" x14ac:dyDescent="0.2">
      <c r="N62" s="44"/>
    </row>
    <row r="63" spans="14:14" ht="15.75" customHeight="1" x14ac:dyDescent="0.2">
      <c r="N63" s="44"/>
    </row>
    <row r="64" spans="14:14" ht="15.75" customHeight="1" x14ac:dyDescent="0.2">
      <c r="N64" s="44"/>
    </row>
    <row r="65" spans="14:14" ht="15.75" customHeight="1" x14ac:dyDescent="0.2">
      <c r="N65" s="44"/>
    </row>
    <row r="66" spans="14:14" ht="15.75" customHeight="1" x14ac:dyDescent="0.2">
      <c r="N66" s="44"/>
    </row>
    <row r="67" spans="14:14" ht="15.75" customHeight="1" x14ac:dyDescent="0.2">
      <c r="N67" s="44"/>
    </row>
    <row r="68" spans="14:14" ht="15.75" customHeight="1" x14ac:dyDescent="0.2">
      <c r="N68" s="44"/>
    </row>
    <row r="69" spans="14:14" ht="15.75" customHeight="1" x14ac:dyDescent="0.2">
      <c r="N69" s="44"/>
    </row>
    <row r="70" spans="14:14" ht="15.75" customHeight="1" x14ac:dyDescent="0.2">
      <c r="N70" s="44"/>
    </row>
    <row r="71" spans="14:14" ht="15.75" customHeight="1" x14ac:dyDescent="0.2">
      <c r="N71" s="44"/>
    </row>
    <row r="72" spans="14:14" ht="15.75" customHeight="1" x14ac:dyDescent="0.2">
      <c r="N72" s="44"/>
    </row>
    <row r="73" spans="14:14" ht="15.75" customHeight="1" x14ac:dyDescent="0.2">
      <c r="N73" s="44"/>
    </row>
    <row r="74" spans="14:14" ht="15.75" customHeight="1" x14ac:dyDescent="0.2">
      <c r="N74" s="44"/>
    </row>
    <row r="75" spans="14:14" ht="15.75" customHeight="1" x14ac:dyDescent="0.2">
      <c r="N75" s="44"/>
    </row>
    <row r="76" spans="14:14" ht="15.75" customHeight="1" x14ac:dyDescent="0.2">
      <c r="N76" s="44"/>
    </row>
    <row r="77" spans="14:14" ht="15.75" customHeight="1" x14ac:dyDescent="0.2">
      <c r="N77" s="44"/>
    </row>
    <row r="78" spans="14:14" ht="15.75" customHeight="1" x14ac:dyDescent="0.2">
      <c r="N78" s="44"/>
    </row>
    <row r="79" spans="14:14" ht="15.75" customHeight="1" x14ac:dyDescent="0.2">
      <c r="N79" s="44"/>
    </row>
    <row r="80" spans="14:14" ht="15.75" customHeight="1" x14ac:dyDescent="0.2">
      <c r="N80" s="44"/>
    </row>
    <row r="81" spans="14:14" ht="15.75" customHeight="1" x14ac:dyDescent="0.2">
      <c r="N81" s="44"/>
    </row>
    <row r="82" spans="14:14" ht="15.75" customHeight="1" x14ac:dyDescent="0.2">
      <c r="N82" s="44"/>
    </row>
    <row r="83" spans="14:14" ht="15.75" customHeight="1" x14ac:dyDescent="0.2">
      <c r="N83" s="44"/>
    </row>
    <row r="84" spans="14:14" ht="15.75" customHeight="1" x14ac:dyDescent="0.2">
      <c r="N84" s="44"/>
    </row>
    <row r="85" spans="14:14" ht="15.75" customHeight="1" x14ac:dyDescent="0.2">
      <c r="N85" s="44"/>
    </row>
    <row r="86" spans="14:14" ht="15.75" customHeight="1" x14ac:dyDescent="0.2">
      <c r="N86" s="44"/>
    </row>
    <row r="87" spans="14:14" ht="15.75" customHeight="1" x14ac:dyDescent="0.2">
      <c r="N87" s="44"/>
    </row>
    <row r="88" spans="14:14" ht="15.75" customHeight="1" x14ac:dyDescent="0.2">
      <c r="N88" s="44"/>
    </row>
    <row r="89" spans="14:14" ht="15.75" customHeight="1" x14ac:dyDescent="0.2">
      <c r="N89" s="44"/>
    </row>
    <row r="90" spans="14:14" ht="15.75" customHeight="1" x14ac:dyDescent="0.2">
      <c r="N90" s="44"/>
    </row>
    <row r="91" spans="14:14" ht="15.75" customHeight="1" x14ac:dyDescent="0.2">
      <c r="N91" s="44"/>
    </row>
    <row r="92" spans="14:14" ht="15.75" customHeight="1" x14ac:dyDescent="0.2">
      <c r="N92" s="44"/>
    </row>
    <row r="93" spans="14:14" ht="15.75" customHeight="1" x14ac:dyDescent="0.2">
      <c r="N93" s="44"/>
    </row>
    <row r="94" spans="14:14" ht="15.75" customHeight="1" x14ac:dyDescent="0.2">
      <c r="N94" s="44"/>
    </row>
    <row r="95" spans="14:14" ht="15.75" customHeight="1" x14ac:dyDescent="0.2">
      <c r="N95" s="44"/>
    </row>
    <row r="96" spans="14:14" ht="15.75" customHeight="1" x14ac:dyDescent="0.2">
      <c r="N96" s="44"/>
    </row>
    <row r="97" spans="14:14" ht="15.75" customHeight="1" x14ac:dyDescent="0.2">
      <c r="N97" s="44"/>
    </row>
    <row r="98" spans="14:14" ht="15.75" customHeight="1" x14ac:dyDescent="0.2">
      <c r="N98" s="44"/>
    </row>
    <row r="99" spans="14:14" ht="15.75" customHeight="1" x14ac:dyDescent="0.2">
      <c r="N99" s="44"/>
    </row>
    <row r="100" spans="14:14" ht="15.75" customHeight="1" x14ac:dyDescent="0.2">
      <c r="N100" s="44"/>
    </row>
    <row r="101" spans="14:14" ht="15.75" customHeight="1" x14ac:dyDescent="0.2">
      <c r="N101" s="44"/>
    </row>
    <row r="102" spans="14:14" ht="15.75" customHeight="1" x14ac:dyDescent="0.2">
      <c r="N102" s="44"/>
    </row>
    <row r="103" spans="14:14" ht="15.75" customHeight="1" x14ac:dyDescent="0.2">
      <c r="N103" s="44"/>
    </row>
    <row r="104" spans="14:14" ht="15.75" customHeight="1" x14ac:dyDescent="0.2">
      <c r="N104" s="44"/>
    </row>
    <row r="105" spans="14:14" ht="15.75" customHeight="1" x14ac:dyDescent="0.2">
      <c r="N105" s="44"/>
    </row>
    <row r="106" spans="14:14" ht="15.75" customHeight="1" x14ac:dyDescent="0.2">
      <c r="N106" s="44"/>
    </row>
    <row r="107" spans="14:14" ht="15.75" customHeight="1" x14ac:dyDescent="0.2">
      <c r="N107" s="44"/>
    </row>
    <row r="108" spans="14:14" ht="15.75" customHeight="1" x14ac:dyDescent="0.2">
      <c r="N108" s="44"/>
    </row>
    <row r="109" spans="14:14" ht="15.75" customHeight="1" x14ac:dyDescent="0.2">
      <c r="N109" s="44"/>
    </row>
    <row r="110" spans="14:14" ht="15.75" customHeight="1" x14ac:dyDescent="0.2">
      <c r="N110" s="44"/>
    </row>
    <row r="111" spans="14:14" ht="15.75" customHeight="1" x14ac:dyDescent="0.2">
      <c r="N111" s="44"/>
    </row>
    <row r="112" spans="14:14" ht="15.75" customHeight="1" x14ac:dyDescent="0.2">
      <c r="N112" s="44"/>
    </row>
    <row r="113" spans="14:14" ht="15.75" customHeight="1" x14ac:dyDescent="0.2">
      <c r="N113" s="44"/>
    </row>
    <row r="114" spans="14:14" ht="15.75" customHeight="1" x14ac:dyDescent="0.2">
      <c r="N114" s="44"/>
    </row>
    <row r="115" spans="14:14" ht="15.75" customHeight="1" x14ac:dyDescent="0.2">
      <c r="N115" s="44"/>
    </row>
    <row r="116" spans="14:14" ht="15.75" customHeight="1" x14ac:dyDescent="0.2">
      <c r="N116" s="44"/>
    </row>
    <row r="117" spans="14:14" ht="15.75" customHeight="1" x14ac:dyDescent="0.2">
      <c r="N117" s="44"/>
    </row>
    <row r="118" spans="14:14" ht="15.75" customHeight="1" x14ac:dyDescent="0.2">
      <c r="N118" s="44"/>
    </row>
    <row r="119" spans="14:14" ht="15.75" customHeight="1" x14ac:dyDescent="0.2">
      <c r="N119" s="44"/>
    </row>
    <row r="120" spans="14:14" ht="15.75" customHeight="1" x14ac:dyDescent="0.2">
      <c r="N120" s="44"/>
    </row>
    <row r="121" spans="14:14" ht="15.75" customHeight="1" x14ac:dyDescent="0.2">
      <c r="N121" s="44"/>
    </row>
    <row r="122" spans="14:14" ht="15.75" customHeight="1" x14ac:dyDescent="0.2">
      <c r="N122" s="44"/>
    </row>
    <row r="123" spans="14:14" ht="15.75" customHeight="1" x14ac:dyDescent="0.2">
      <c r="N123" s="44"/>
    </row>
    <row r="124" spans="14:14" ht="15.75" customHeight="1" x14ac:dyDescent="0.2">
      <c r="N124" s="44"/>
    </row>
    <row r="125" spans="14:14" ht="15.75" customHeight="1" x14ac:dyDescent="0.2">
      <c r="N125" s="44"/>
    </row>
    <row r="126" spans="14:14" ht="15.75" customHeight="1" x14ac:dyDescent="0.2">
      <c r="N126" s="44"/>
    </row>
    <row r="127" spans="14:14" ht="15.75" customHeight="1" x14ac:dyDescent="0.2">
      <c r="N127" s="44"/>
    </row>
    <row r="128" spans="14:14" ht="15.75" customHeight="1" x14ac:dyDescent="0.2">
      <c r="N128" s="44"/>
    </row>
    <row r="129" spans="14:14" ht="15.75" customHeight="1" x14ac:dyDescent="0.2">
      <c r="N129" s="44"/>
    </row>
    <row r="130" spans="14:14" ht="15.75" customHeight="1" x14ac:dyDescent="0.2">
      <c r="N130" s="44"/>
    </row>
    <row r="131" spans="14:14" ht="15.75" customHeight="1" x14ac:dyDescent="0.2">
      <c r="N131" s="44"/>
    </row>
    <row r="132" spans="14:14" ht="15.75" customHeight="1" x14ac:dyDescent="0.2">
      <c r="N132" s="44"/>
    </row>
    <row r="133" spans="14:14" ht="15.75" customHeight="1" x14ac:dyDescent="0.2">
      <c r="N133" s="44"/>
    </row>
    <row r="134" spans="14:14" ht="15.75" customHeight="1" x14ac:dyDescent="0.2">
      <c r="N134" s="44"/>
    </row>
    <row r="135" spans="14:14" ht="15.75" customHeight="1" x14ac:dyDescent="0.2">
      <c r="N135" s="44"/>
    </row>
    <row r="136" spans="14:14" ht="15.75" customHeight="1" x14ac:dyDescent="0.2">
      <c r="N136" s="44"/>
    </row>
    <row r="137" spans="14:14" ht="15.75" customHeight="1" x14ac:dyDescent="0.2">
      <c r="N137" s="44"/>
    </row>
    <row r="138" spans="14:14" ht="15.75" customHeight="1" x14ac:dyDescent="0.2">
      <c r="N138" s="44"/>
    </row>
    <row r="139" spans="14:14" ht="15.75" customHeight="1" x14ac:dyDescent="0.2">
      <c r="N139" s="44"/>
    </row>
    <row r="140" spans="14:14" ht="15.75" customHeight="1" x14ac:dyDescent="0.2">
      <c r="N140" s="44"/>
    </row>
    <row r="141" spans="14:14" ht="15.75" customHeight="1" x14ac:dyDescent="0.2">
      <c r="N141" s="44"/>
    </row>
    <row r="142" spans="14:14" ht="15.75" customHeight="1" x14ac:dyDescent="0.2">
      <c r="N142" s="44"/>
    </row>
    <row r="143" spans="14:14" ht="15.75" customHeight="1" x14ac:dyDescent="0.2">
      <c r="N143" s="44"/>
    </row>
    <row r="144" spans="14:14" ht="15.75" customHeight="1" x14ac:dyDescent="0.2">
      <c r="N144" s="44"/>
    </row>
    <row r="145" spans="14:14" ht="15.75" customHeight="1" x14ac:dyDescent="0.2">
      <c r="N145" s="44"/>
    </row>
    <row r="146" spans="14:14" ht="15.75" customHeight="1" x14ac:dyDescent="0.2">
      <c r="N146" s="44"/>
    </row>
    <row r="147" spans="14:14" ht="15.75" customHeight="1" x14ac:dyDescent="0.2">
      <c r="N147" s="44"/>
    </row>
    <row r="148" spans="14:14" ht="15.75" customHeight="1" x14ac:dyDescent="0.2">
      <c r="N148" s="44"/>
    </row>
    <row r="149" spans="14:14" ht="15.75" customHeight="1" x14ac:dyDescent="0.2">
      <c r="N149" s="44"/>
    </row>
    <row r="150" spans="14:14" ht="15.75" customHeight="1" x14ac:dyDescent="0.2">
      <c r="N150" s="44"/>
    </row>
    <row r="151" spans="14:14" ht="15.75" customHeight="1" x14ac:dyDescent="0.2">
      <c r="N151" s="44"/>
    </row>
    <row r="152" spans="14:14" ht="15.75" customHeight="1" x14ac:dyDescent="0.2">
      <c r="N152" s="44"/>
    </row>
    <row r="153" spans="14:14" ht="15.75" customHeight="1" x14ac:dyDescent="0.2">
      <c r="N153" s="44"/>
    </row>
    <row r="154" spans="14:14" ht="15.75" customHeight="1" x14ac:dyDescent="0.2">
      <c r="N154" s="44"/>
    </row>
    <row r="155" spans="14:14" ht="15.75" customHeight="1" x14ac:dyDescent="0.2">
      <c r="N155" s="44"/>
    </row>
    <row r="156" spans="14:14" ht="15.75" customHeight="1" x14ac:dyDescent="0.2">
      <c r="N156" s="44"/>
    </row>
    <row r="157" spans="14:14" ht="15.75" customHeight="1" x14ac:dyDescent="0.2">
      <c r="N157" s="44"/>
    </row>
    <row r="158" spans="14:14" ht="15.75" customHeight="1" x14ac:dyDescent="0.2">
      <c r="N158" s="44"/>
    </row>
    <row r="159" spans="14:14" ht="15.75" customHeight="1" x14ac:dyDescent="0.2">
      <c r="N159" s="44"/>
    </row>
    <row r="160" spans="14:14" ht="15.75" customHeight="1" x14ac:dyDescent="0.2">
      <c r="N160" s="44"/>
    </row>
    <row r="161" spans="14:14" ht="15.75" customHeight="1" x14ac:dyDescent="0.2">
      <c r="N161" s="44"/>
    </row>
    <row r="162" spans="14:14" ht="15.75" customHeight="1" x14ac:dyDescent="0.2">
      <c r="N162" s="44"/>
    </row>
    <row r="163" spans="14:14" ht="15.75" customHeight="1" x14ac:dyDescent="0.2">
      <c r="N163" s="44"/>
    </row>
    <row r="164" spans="14:14" ht="15.75" customHeight="1" x14ac:dyDescent="0.2">
      <c r="N164" s="44"/>
    </row>
    <row r="165" spans="14:14" ht="15.75" customHeight="1" x14ac:dyDescent="0.2">
      <c r="N165" s="44"/>
    </row>
    <row r="166" spans="14:14" ht="15.75" customHeight="1" x14ac:dyDescent="0.2">
      <c r="N166" s="44"/>
    </row>
    <row r="167" spans="14:14" ht="15.75" customHeight="1" x14ac:dyDescent="0.2">
      <c r="N167" s="44"/>
    </row>
    <row r="168" spans="14:14" ht="15.75" customHeight="1" x14ac:dyDescent="0.2">
      <c r="N168" s="44"/>
    </row>
    <row r="169" spans="14:14" ht="15.75" customHeight="1" x14ac:dyDescent="0.2">
      <c r="N169" s="44"/>
    </row>
    <row r="170" spans="14:14" ht="15.75" customHeight="1" x14ac:dyDescent="0.2">
      <c r="N170" s="44"/>
    </row>
    <row r="171" spans="14:14" ht="15.75" customHeight="1" x14ac:dyDescent="0.2">
      <c r="N171" s="44"/>
    </row>
    <row r="172" spans="14:14" ht="15.75" customHeight="1" x14ac:dyDescent="0.2">
      <c r="N172" s="44"/>
    </row>
    <row r="173" spans="14:14" ht="15.75" customHeight="1" x14ac:dyDescent="0.2">
      <c r="N173" s="44"/>
    </row>
    <row r="174" spans="14:14" ht="15.75" customHeight="1" x14ac:dyDescent="0.2">
      <c r="N174" s="44"/>
    </row>
    <row r="175" spans="14:14" ht="15.75" customHeight="1" x14ac:dyDescent="0.2">
      <c r="N175" s="44"/>
    </row>
    <row r="176" spans="14:14" ht="15.75" customHeight="1" x14ac:dyDescent="0.2">
      <c r="N176" s="44"/>
    </row>
    <row r="177" spans="14:14" ht="15.75" customHeight="1" x14ac:dyDescent="0.2">
      <c r="N177" s="44"/>
    </row>
    <row r="178" spans="14:14" ht="15.75" customHeight="1" x14ac:dyDescent="0.2">
      <c r="N178" s="44"/>
    </row>
    <row r="179" spans="14:14" ht="15.75" customHeight="1" x14ac:dyDescent="0.2">
      <c r="N179" s="44"/>
    </row>
    <row r="180" spans="14:14" ht="15.75" customHeight="1" x14ac:dyDescent="0.2">
      <c r="N180" s="44"/>
    </row>
    <row r="181" spans="14:14" ht="15.75" customHeight="1" x14ac:dyDescent="0.2">
      <c r="N181" s="44"/>
    </row>
    <row r="182" spans="14:14" ht="15.75" customHeight="1" x14ac:dyDescent="0.2">
      <c r="N182" s="44"/>
    </row>
    <row r="183" spans="14:14" ht="15.75" customHeight="1" x14ac:dyDescent="0.2">
      <c r="N183" s="44"/>
    </row>
    <row r="184" spans="14:14" ht="15.75" customHeight="1" x14ac:dyDescent="0.2">
      <c r="N184" s="44"/>
    </row>
    <row r="185" spans="14:14" ht="15.75" customHeight="1" x14ac:dyDescent="0.2">
      <c r="N185" s="44"/>
    </row>
    <row r="186" spans="14:14" ht="15.75" customHeight="1" x14ac:dyDescent="0.2">
      <c r="N186" s="44"/>
    </row>
    <row r="187" spans="14:14" ht="15.75" customHeight="1" x14ac:dyDescent="0.2">
      <c r="N187" s="44"/>
    </row>
    <row r="188" spans="14:14" ht="15.75" customHeight="1" x14ac:dyDescent="0.2">
      <c r="N188" s="44"/>
    </row>
    <row r="189" spans="14:14" ht="15.75" customHeight="1" x14ac:dyDescent="0.2">
      <c r="N189" s="44"/>
    </row>
    <row r="190" spans="14:14" ht="15.75" customHeight="1" x14ac:dyDescent="0.2">
      <c r="N190" s="44"/>
    </row>
    <row r="191" spans="14:14" ht="15.75" customHeight="1" x14ac:dyDescent="0.2">
      <c r="N191" s="44"/>
    </row>
    <row r="192" spans="14:14" ht="15.75" customHeight="1" x14ac:dyDescent="0.2">
      <c r="N192" s="44"/>
    </row>
    <row r="193" spans="14:14" ht="15.75" customHeight="1" x14ac:dyDescent="0.2">
      <c r="N193" s="44"/>
    </row>
    <row r="194" spans="14:14" ht="15.75" customHeight="1" x14ac:dyDescent="0.2">
      <c r="N194" s="44"/>
    </row>
    <row r="195" spans="14:14" ht="15.75" customHeight="1" x14ac:dyDescent="0.2">
      <c r="N195" s="44"/>
    </row>
    <row r="196" spans="14:14" ht="15.75" customHeight="1" x14ac:dyDescent="0.2">
      <c r="N196" s="44"/>
    </row>
    <row r="197" spans="14:14" ht="15.75" customHeight="1" x14ac:dyDescent="0.2">
      <c r="N197" s="44"/>
    </row>
    <row r="198" spans="14:14" ht="15.75" customHeight="1" x14ac:dyDescent="0.2">
      <c r="N198" s="44"/>
    </row>
    <row r="199" spans="14:14" ht="15.75" customHeight="1" x14ac:dyDescent="0.2">
      <c r="N199" s="44"/>
    </row>
    <row r="200" spans="14:14" ht="15.75" customHeight="1" x14ac:dyDescent="0.2">
      <c r="N200" s="44"/>
    </row>
    <row r="201" spans="14:14" ht="15.75" customHeight="1" x14ac:dyDescent="0.2">
      <c r="N201" s="44"/>
    </row>
    <row r="202" spans="14:14" ht="15.75" customHeight="1" x14ac:dyDescent="0.2">
      <c r="N202" s="44"/>
    </row>
    <row r="203" spans="14:14" ht="15.75" customHeight="1" x14ac:dyDescent="0.2">
      <c r="N203" s="44"/>
    </row>
    <row r="204" spans="14:14" ht="15.75" customHeight="1" x14ac:dyDescent="0.2">
      <c r="N204" s="44"/>
    </row>
    <row r="205" spans="14:14" ht="15.75" customHeight="1" x14ac:dyDescent="0.2">
      <c r="N205" s="44"/>
    </row>
    <row r="206" spans="14:14" ht="15.75" customHeight="1" x14ac:dyDescent="0.2">
      <c r="N206" s="44"/>
    </row>
    <row r="207" spans="14:14" ht="15.75" customHeight="1" x14ac:dyDescent="0.2">
      <c r="N207" s="44"/>
    </row>
    <row r="208" spans="14:14" ht="15.75" customHeight="1" x14ac:dyDescent="0.2">
      <c r="N208" s="44"/>
    </row>
    <row r="209" spans="14:14" ht="15.75" customHeight="1" x14ac:dyDescent="0.2">
      <c r="N209" s="44"/>
    </row>
    <row r="210" spans="14:14" ht="15.75" customHeight="1" x14ac:dyDescent="0.2">
      <c r="N210" s="44"/>
    </row>
    <row r="211" spans="14:14" ht="15.75" customHeight="1" x14ac:dyDescent="0.2">
      <c r="N211" s="44"/>
    </row>
    <row r="212" spans="14:14" ht="15.75" customHeight="1" x14ac:dyDescent="0.2">
      <c r="N212" s="44"/>
    </row>
    <row r="213" spans="14:14" ht="15.75" customHeight="1" x14ac:dyDescent="0.2">
      <c r="N213" s="44"/>
    </row>
    <row r="214" spans="14:14" ht="15.75" customHeight="1" x14ac:dyDescent="0.2">
      <c r="N214" s="44"/>
    </row>
    <row r="215" spans="14:14" ht="15.75" customHeight="1" x14ac:dyDescent="0.2">
      <c r="N215" s="44"/>
    </row>
    <row r="216" spans="14:14" ht="15.75" customHeight="1" x14ac:dyDescent="0.2">
      <c r="N216" s="44"/>
    </row>
    <row r="217" spans="14:14" ht="15.75" customHeight="1" x14ac:dyDescent="0.2">
      <c r="N217" s="44"/>
    </row>
    <row r="218" spans="14:14" ht="15.75" customHeight="1" x14ac:dyDescent="0.2">
      <c r="N218" s="44"/>
    </row>
    <row r="219" spans="14:14" ht="15.75" customHeight="1" x14ac:dyDescent="0.2">
      <c r="N219" s="44"/>
    </row>
    <row r="220" spans="14:14" ht="15.75" customHeight="1" x14ac:dyDescent="0.2">
      <c r="N220" s="44"/>
    </row>
    <row r="221" spans="14:14" ht="15.75" customHeight="1" x14ac:dyDescent="0.2">
      <c r="N221" s="44"/>
    </row>
    <row r="222" spans="14:14" ht="15.75" customHeight="1" x14ac:dyDescent="0.2">
      <c r="N222" s="44"/>
    </row>
    <row r="223" spans="14:14" ht="15.75" customHeight="1" x14ac:dyDescent="0.2">
      <c r="N223" s="44"/>
    </row>
    <row r="224" spans="14:14" ht="15.75" customHeight="1" x14ac:dyDescent="0.2">
      <c r="N224" s="44"/>
    </row>
    <row r="225" spans="14:14" ht="15.75" customHeight="1" x14ac:dyDescent="0.2">
      <c r="N225" s="44"/>
    </row>
    <row r="226" spans="14:14" ht="15.75" customHeight="1" x14ac:dyDescent="0.2">
      <c r="N226" s="44"/>
    </row>
    <row r="227" spans="14:14" ht="15.75" customHeight="1" x14ac:dyDescent="0.2">
      <c r="N227" s="44"/>
    </row>
    <row r="228" spans="14:14" ht="15.75" customHeight="1" x14ac:dyDescent="0.2">
      <c r="N228" s="44"/>
    </row>
    <row r="229" spans="14:14" ht="15.75" customHeight="1" x14ac:dyDescent="0.2">
      <c r="N229" s="44"/>
    </row>
    <row r="230" spans="14:14" ht="15.75" customHeight="1" x14ac:dyDescent="0.2">
      <c r="N230" s="44"/>
    </row>
    <row r="231" spans="14:14" ht="15.75" customHeight="1" x14ac:dyDescent="0.2">
      <c r="N231" s="44"/>
    </row>
    <row r="232" spans="14:14" ht="15.75" customHeight="1" x14ac:dyDescent="0.2">
      <c r="N232" s="44"/>
    </row>
    <row r="233" spans="14:14" ht="15.75" customHeight="1" x14ac:dyDescent="0.2">
      <c r="N233" s="44"/>
    </row>
    <row r="234" spans="14:14" ht="15.75" customHeight="1" x14ac:dyDescent="0.2">
      <c r="N234" s="44"/>
    </row>
    <row r="235" spans="14:14" ht="15.75" customHeight="1" x14ac:dyDescent="0.2">
      <c r="N235" s="44"/>
    </row>
    <row r="236" spans="14:14" ht="15.75" customHeight="1" x14ac:dyDescent="0.2">
      <c r="N236" s="44"/>
    </row>
    <row r="237" spans="14:14" ht="15.75" customHeight="1" x14ac:dyDescent="0.2">
      <c r="N237" s="44"/>
    </row>
    <row r="238" spans="14:14" ht="15.75" customHeight="1" x14ac:dyDescent="0.2">
      <c r="N238" s="44"/>
    </row>
    <row r="239" spans="14:14" ht="15.75" customHeight="1" x14ac:dyDescent="0.2">
      <c r="N239" s="44"/>
    </row>
    <row r="240" spans="14:14" ht="15.75" customHeight="1" x14ac:dyDescent="0.2">
      <c r="N240" s="44"/>
    </row>
    <row r="241" spans="14:14" ht="15.75" customHeight="1" x14ac:dyDescent="0.2">
      <c r="N241" s="44"/>
    </row>
    <row r="242" spans="14:14" ht="15.75" customHeight="1" x14ac:dyDescent="0.2">
      <c r="N242" s="44"/>
    </row>
    <row r="243" spans="14:14" ht="15.75" customHeight="1" x14ac:dyDescent="0.2">
      <c r="N243" s="44"/>
    </row>
    <row r="244" spans="14:14" ht="15.75" customHeight="1" x14ac:dyDescent="0.2">
      <c r="N244" s="44"/>
    </row>
    <row r="245" spans="14:14" ht="15.75" customHeight="1" x14ac:dyDescent="0.2">
      <c r="N245" s="44"/>
    </row>
    <row r="246" spans="14:14" ht="15.75" customHeight="1" x14ac:dyDescent="0.2">
      <c r="N246" s="44"/>
    </row>
    <row r="247" spans="14:14" ht="15.75" customHeight="1" x14ac:dyDescent="0.2">
      <c r="N247" s="44"/>
    </row>
    <row r="248" spans="14:14" ht="15.75" customHeight="1" x14ac:dyDescent="0.2">
      <c r="N248" s="44"/>
    </row>
    <row r="249" spans="14:14" ht="15.75" customHeight="1" x14ac:dyDescent="0.2">
      <c r="N249" s="44"/>
    </row>
    <row r="250" spans="14:14" ht="15.75" customHeight="1" x14ac:dyDescent="0.2">
      <c r="N250" s="44"/>
    </row>
    <row r="251" spans="14:14" ht="15.75" customHeight="1" x14ac:dyDescent="0.2">
      <c r="N251" s="44"/>
    </row>
    <row r="252" spans="14:14" ht="15.75" customHeight="1" x14ac:dyDescent="0.2">
      <c r="N252" s="44"/>
    </row>
    <row r="253" spans="14:14" ht="15.75" customHeight="1" x14ac:dyDescent="0.2">
      <c r="N253" s="44"/>
    </row>
    <row r="254" spans="14:14" ht="15.75" customHeight="1" x14ac:dyDescent="0.2">
      <c r="N254" s="44"/>
    </row>
    <row r="255" spans="14:14" ht="15.75" customHeight="1" x14ac:dyDescent="0.2">
      <c r="N255" s="44"/>
    </row>
    <row r="256" spans="14:14" ht="15.75" customHeight="1" x14ac:dyDescent="0.2">
      <c r="N256" s="44"/>
    </row>
    <row r="257" spans="14:14" ht="15.75" customHeight="1" x14ac:dyDescent="0.2">
      <c r="N257" s="44"/>
    </row>
    <row r="258" spans="14:14" ht="15.75" customHeight="1" x14ac:dyDescent="0.2">
      <c r="N258" s="44"/>
    </row>
    <row r="259" spans="14:14" ht="15.75" customHeight="1" x14ac:dyDescent="0.2">
      <c r="N259" s="44"/>
    </row>
    <row r="260" spans="14:14" ht="15.75" customHeight="1" x14ac:dyDescent="0.2">
      <c r="N260" s="44"/>
    </row>
    <row r="261" spans="14:14" ht="15.75" customHeight="1" x14ac:dyDescent="0.2">
      <c r="N261" s="44"/>
    </row>
    <row r="262" spans="14:14" ht="15.75" customHeight="1" x14ac:dyDescent="0.2">
      <c r="N262" s="44"/>
    </row>
    <row r="263" spans="14:14" ht="15.75" customHeight="1" x14ac:dyDescent="0.2">
      <c r="N263" s="44"/>
    </row>
    <row r="264" spans="14:14" ht="15.75" customHeight="1" x14ac:dyDescent="0.2">
      <c r="N264" s="44"/>
    </row>
    <row r="265" spans="14:14" ht="15.75" customHeight="1" x14ac:dyDescent="0.2">
      <c r="N265" s="44"/>
    </row>
    <row r="266" spans="14:14" ht="15.75" customHeight="1" x14ac:dyDescent="0.2">
      <c r="N266" s="44"/>
    </row>
    <row r="267" spans="14:14" ht="15.75" customHeight="1" x14ac:dyDescent="0.2">
      <c r="N267" s="44"/>
    </row>
    <row r="268" spans="14:14" ht="15.75" customHeight="1" x14ac:dyDescent="0.2">
      <c r="N268" s="44"/>
    </row>
    <row r="269" spans="14:14" ht="15.75" customHeight="1" x14ac:dyDescent="0.2">
      <c r="N269" s="44"/>
    </row>
    <row r="270" spans="14:14" ht="15.75" customHeight="1" x14ac:dyDescent="0.2">
      <c r="N270" s="44"/>
    </row>
    <row r="271" spans="14:14" ht="15.75" customHeight="1" x14ac:dyDescent="0.2">
      <c r="N271" s="44"/>
    </row>
    <row r="272" spans="14:14" ht="15.75" customHeight="1" x14ac:dyDescent="0.2">
      <c r="N272" s="44"/>
    </row>
    <row r="273" spans="14:14" ht="15.75" customHeight="1" x14ac:dyDescent="0.2">
      <c r="N273" s="44"/>
    </row>
    <row r="274" spans="14:14" ht="15.75" customHeight="1" x14ac:dyDescent="0.2">
      <c r="N274" s="44"/>
    </row>
    <row r="275" spans="14:14" ht="15.75" customHeight="1" x14ac:dyDescent="0.2">
      <c r="N275" s="44"/>
    </row>
    <row r="276" spans="14:14" ht="15.75" customHeight="1" x14ac:dyDescent="0.2">
      <c r="N276" s="44"/>
    </row>
    <row r="277" spans="14:14" ht="15.75" customHeight="1" x14ac:dyDescent="0.2">
      <c r="N277" s="44"/>
    </row>
    <row r="278" spans="14:14" ht="15.75" customHeight="1" x14ac:dyDescent="0.2">
      <c r="N278" s="44"/>
    </row>
    <row r="279" spans="14:14" ht="15.75" customHeight="1" x14ac:dyDescent="0.2">
      <c r="N279" s="44"/>
    </row>
    <row r="280" spans="14:14" ht="15.75" customHeight="1" x14ac:dyDescent="0.2">
      <c r="N280" s="44"/>
    </row>
    <row r="281" spans="14:14" ht="15.75" customHeight="1" x14ac:dyDescent="0.2">
      <c r="N281" s="44"/>
    </row>
    <row r="282" spans="14:14" ht="15.75" customHeight="1" x14ac:dyDescent="0.2">
      <c r="N282" s="44"/>
    </row>
    <row r="283" spans="14:14" ht="15.75" customHeight="1" x14ac:dyDescent="0.2">
      <c r="N283" s="44"/>
    </row>
    <row r="284" spans="14:14" ht="15.75" customHeight="1" x14ac:dyDescent="0.2">
      <c r="N284" s="44"/>
    </row>
    <row r="285" spans="14:14" ht="15.75" customHeight="1" x14ac:dyDescent="0.2">
      <c r="N285" s="44"/>
    </row>
    <row r="286" spans="14:14" ht="15.75" customHeight="1" x14ac:dyDescent="0.2">
      <c r="N286" s="44"/>
    </row>
    <row r="287" spans="14:14" ht="15.75" customHeight="1" x14ac:dyDescent="0.2">
      <c r="N287" s="44"/>
    </row>
    <row r="288" spans="14:14" ht="15.75" customHeight="1" x14ac:dyDescent="0.2">
      <c r="N288" s="44"/>
    </row>
    <row r="289" spans="14:14" ht="15.75" customHeight="1" x14ac:dyDescent="0.2">
      <c r="N289" s="44"/>
    </row>
    <row r="290" spans="14:14" ht="15.75" customHeight="1" x14ac:dyDescent="0.2">
      <c r="N290" s="44"/>
    </row>
    <row r="291" spans="14:14" ht="15.75" customHeight="1" x14ac:dyDescent="0.2">
      <c r="N291" s="44"/>
    </row>
    <row r="292" spans="14:14" ht="15.75" customHeight="1" x14ac:dyDescent="0.2">
      <c r="N292" s="44"/>
    </row>
    <row r="293" spans="14:14" ht="15.75" customHeight="1" x14ac:dyDescent="0.2">
      <c r="N293" s="44"/>
    </row>
    <row r="294" spans="14:14" ht="15.75" customHeight="1" x14ac:dyDescent="0.2">
      <c r="N294" s="44"/>
    </row>
    <row r="295" spans="14:14" ht="15.75" customHeight="1" x14ac:dyDescent="0.2">
      <c r="N295" s="44"/>
    </row>
    <row r="296" spans="14:14" ht="15.75" customHeight="1" x14ac:dyDescent="0.2">
      <c r="N296" s="44"/>
    </row>
    <row r="297" spans="14:14" ht="15.75" customHeight="1" x14ac:dyDescent="0.2">
      <c r="N297" s="44"/>
    </row>
    <row r="298" spans="14:14" ht="15.75" customHeight="1" x14ac:dyDescent="0.2">
      <c r="N298" s="44"/>
    </row>
    <row r="299" spans="14:14" ht="15.75" customHeight="1" x14ac:dyDescent="0.2">
      <c r="N299" s="44"/>
    </row>
    <row r="300" spans="14:14" ht="15.75" customHeight="1" x14ac:dyDescent="0.2">
      <c r="N300" s="44"/>
    </row>
    <row r="301" spans="14:14" ht="15.75" customHeight="1" x14ac:dyDescent="0.2">
      <c r="N301" s="44"/>
    </row>
    <row r="302" spans="14:14" ht="15.75" customHeight="1" x14ac:dyDescent="0.2">
      <c r="N302" s="44"/>
    </row>
    <row r="303" spans="14:14" ht="15.75" customHeight="1" x14ac:dyDescent="0.2">
      <c r="N303" s="44"/>
    </row>
    <row r="304" spans="14:14" ht="15.75" customHeight="1" x14ac:dyDescent="0.2">
      <c r="N304" s="44"/>
    </row>
    <row r="305" spans="14:14" ht="15.75" customHeight="1" x14ac:dyDescent="0.2">
      <c r="N305" s="44"/>
    </row>
    <row r="306" spans="14:14" ht="15.75" customHeight="1" x14ac:dyDescent="0.2">
      <c r="N306" s="44"/>
    </row>
    <row r="307" spans="14:14" ht="15.75" customHeight="1" x14ac:dyDescent="0.2">
      <c r="N307" s="44"/>
    </row>
    <row r="308" spans="14:14" ht="15.75" customHeight="1" x14ac:dyDescent="0.2">
      <c r="N308" s="44"/>
    </row>
    <row r="309" spans="14:14" ht="15.75" customHeight="1" x14ac:dyDescent="0.2">
      <c r="N309" s="44"/>
    </row>
    <row r="310" spans="14:14" ht="15.75" customHeight="1" x14ac:dyDescent="0.2">
      <c r="N310" s="44"/>
    </row>
    <row r="311" spans="14:14" ht="15.75" customHeight="1" x14ac:dyDescent="0.2">
      <c r="N311" s="44"/>
    </row>
    <row r="312" spans="14:14" ht="15.75" customHeight="1" x14ac:dyDescent="0.2">
      <c r="N312" s="44"/>
    </row>
    <row r="313" spans="14:14" ht="15.75" customHeight="1" x14ac:dyDescent="0.2">
      <c r="N313" s="44"/>
    </row>
    <row r="314" spans="14:14" ht="15.75" customHeight="1" x14ac:dyDescent="0.2">
      <c r="N314" s="44"/>
    </row>
    <row r="315" spans="14:14" ht="15.75" customHeight="1" x14ac:dyDescent="0.2">
      <c r="N315" s="44"/>
    </row>
    <row r="316" spans="14:14" ht="15.75" customHeight="1" x14ac:dyDescent="0.2">
      <c r="N316" s="44"/>
    </row>
    <row r="317" spans="14:14" ht="15.75" customHeight="1" x14ac:dyDescent="0.2">
      <c r="N317" s="44"/>
    </row>
    <row r="318" spans="14:14" ht="15.75" customHeight="1" x14ac:dyDescent="0.2">
      <c r="N318" s="44"/>
    </row>
    <row r="319" spans="14:14" ht="15.75" customHeight="1" x14ac:dyDescent="0.2">
      <c r="N319" s="44"/>
    </row>
    <row r="320" spans="14:14" ht="15.75" customHeight="1" x14ac:dyDescent="0.2">
      <c r="N320" s="44"/>
    </row>
    <row r="321" spans="14:14" ht="15.75" customHeight="1" x14ac:dyDescent="0.2">
      <c r="N321" s="44"/>
    </row>
    <row r="322" spans="14:14" ht="15.75" customHeight="1" x14ac:dyDescent="0.2">
      <c r="N322" s="44"/>
    </row>
    <row r="323" spans="14:14" ht="15.75" customHeight="1" x14ac:dyDescent="0.2">
      <c r="N323" s="44"/>
    </row>
    <row r="324" spans="14:14" ht="15.75" customHeight="1" x14ac:dyDescent="0.2">
      <c r="N324" s="44"/>
    </row>
    <row r="325" spans="14:14" ht="15.75" customHeight="1" x14ac:dyDescent="0.2">
      <c r="N325" s="44"/>
    </row>
    <row r="326" spans="14:14" ht="15.75" customHeight="1" x14ac:dyDescent="0.2">
      <c r="N326" s="44"/>
    </row>
    <row r="327" spans="14:14" ht="15.75" customHeight="1" x14ac:dyDescent="0.2">
      <c r="N327" s="44"/>
    </row>
    <row r="328" spans="14:14" ht="15.75" customHeight="1" x14ac:dyDescent="0.2">
      <c r="N328" s="44"/>
    </row>
    <row r="329" spans="14:14" ht="15.75" customHeight="1" x14ac:dyDescent="0.2">
      <c r="N329" s="44"/>
    </row>
    <row r="330" spans="14:14" ht="15.75" customHeight="1" x14ac:dyDescent="0.2">
      <c r="N330" s="44"/>
    </row>
    <row r="331" spans="14:14" ht="15.75" customHeight="1" x14ac:dyDescent="0.2">
      <c r="N331" s="44"/>
    </row>
    <row r="332" spans="14:14" ht="15.75" customHeight="1" x14ac:dyDescent="0.2">
      <c r="N332" s="44"/>
    </row>
    <row r="333" spans="14:14" ht="15.75" customHeight="1" x14ac:dyDescent="0.2">
      <c r="N333" s="44"/>
    </row>
    <row r="334" spans="14:14" ht="15.75" customHeight="1" x14ac:dyDescent="0.2">
      <c r="N334" s="44"/>
    </row>
    <row r="335" spans="14:14" ht="15.75" customHeight="1" x14ac:dyDescent="0.2">
      <c r="N335" s="44"/>
    </row>
    <row r="336" spans="14:14" ht="15.75" customHeight="1" x14ac:dyDescent="0.2">
      <c r="N336" s="44"/>
    </row>
    <row r="337" spans="14:14" ht="15.75" customHeight="1" x14ac:dyDescent="0.2">
      <c r="N337" s="44"/>
    </row>
    <row r="338" spans="14:14" ht="15.75" customHeight="1" x14ac:dyDescent="0.2">
      <c r="N338" s="44"/>
    </row>
    <row r="339" spans="14:14" ht="15.75" customHeight="1" x14ac:dyDescent="0.2">
      <c r="N339" s="44"/>
    </row>
    <row r="340" spans="14:14" ht="15.75" customHeight="1" x14ac:dyDescent="0.2">
      <c r="N340" s="44"/>
    </row>
    <row r="341" spans="14:14" ht="15.75" customHeight="1" x14ac:dyDescent="0.2">
      <c r="N341" s="44"/>
    </row>
    <row r="342" spans="14:14" ht="15.75" customHeight="1" x14ac:dyDescent="0.2">
      <c r="N342" s="44"/>
    </row>
    <row r="343" spans="14:14" ht="15.75" customHeight="1" x14ac:dyDescent="0.2">
      <c r="N343" s="44"/>
    </row>
    <row r="344" spans="14:14" ht="15.75" customHeight="1" x14ac:dyDescent="0.2">
      <c r="N344" s="44"/>
    </row>
    <row r="345" spans="14:14" ht="15.75" customHeight="1" x14ac:dyDescent="0.2">
      <c r="N345" s="44"/>
    </row>
    <row r="346" spans="14:14" ht="15.75" customHeight="1" x14ac:dyDescent="0.2">
      <c r="N346" s="44"/>
    </row>
    <row r="347" spans="14:14" ht="15.75" customHeight="1" x14ac:dyDescent="0.2">
      <c r="N347" s="44"/>
    </row>
    <row r="348" spans="14:14" ht="15.75" customHeight="1" x14ac:dyDescent="0.2">
      <c r="N348" s="44"/>
    </row>
    <row r="349" spans="14:14" ht="15.75" customHeight="1" x14ac:dyDescent="0.2">
      <c r="N349" s="44"/>
    </row>
    <row r="350" spans="14:14" ht="15.75" customHeight="1" x14ac:dyDescent="0.2">
      <c r="N350" s="44"/>
    </row>
    <row r="351" spans="14:14" ht="15.75" customHeight="1" x14ac:dyDescent="0.2">
      <c r="N351" s="44"/>
    </row>
    <row r="352" spans="14:14" ht="15.75" customHeight="1" x14ac:dyDescent="0.2">
      <c r="N352" s="44"/>
    </row>
    <row r="353" spans="14:14" ht="15.75" customHeight="1" x14ac:dyDescent="0.2">
      <c r="N353" s="44"/>
    </row>
    <row r="354" spans="14:14" ht="15.75" customHeight="1" x14ac:dyDescent="0.2">
      <c r="N354" s="44"/>
    </row>
    <row r="355" spans="14:14" ht="15.75" customHeight="1" x14ac:dyDescent="0.2">
      <c r="N355" s="44"/>
    </row>
    <row r="356" spans="14:14" ht="15.75" customHeight="1" x14ac:dyDescent="0.2">
      <c r="N356" s="44"/>
    </row>
    <row r="357" spans="14:14" ht="15.75" customHeight="1" x14ac:dyDescent="0.2">
      <c r="N357" s="44"/>
    </row>
    <row r="358" spans="14:14" ht="15.75" customHeight="1" x14ac:dyDescent="0.2">
      <c r="N358" s="44"/>
    </row>
    <row r="359" spans="14:14" ht="15.75" customHeight="1" x14ac:dyDescent="0.2">
      <c r="N359" s="44"/>
    </row>
    <row r="360" spans="14:14" ht="15.75" customHeight="1" x14ac:dyDescent="0.2">
      <c r="N360" s="44"/>
    </row>
    <row r="361" spans="14:14" ht="15.75" customHeight="1" x14ac:dyDescent="0.2">
      <c r="N361" s="44"/>
    </row>
    <row r="362" spans="14:14" ht="15.75" customHeight="1" x14ac:dyDescent="0.2">
      <c r="N362" s="44"/>
    </row>
    <row r="363" spans="14:14" ht="15.75" customHeight="1" x14ac:dyDescent="0.2">
      <c r="N363" s="44"/>
    </row>
    <row r="364" spans="14:14" ht="15.75" customHeight="1" x14ac:dyDescent="0.2">
      <c r="N364" s="44"/>
    </row>
    <row r="365" spans="14:14" ht="15.75" customHeight="1" x14ac:dyDescent="0.2">
      <c r="N365" s="44"/>
    </row>
    <row r="366" spans="14:14" ht="15.75" customHeight="1" x14ac:dyDescent="0.2">
      <c r="N366" s="44"/>
    </row>
    <row r="367" spans="14:14" ht="15.75" customHeight="1" x14ac:dyDescent="0.2">
      <c r="N367" s="44"/>
    </row>
    <row r="368" spans="14:14" ht="15.75" customHeight="1" x14ac:dyDescent="0.2">
      <c r="N368" s="44"/>
    </row>
    <row r="369" spans="14:14" ht="15.75" customHeight="1" x14ac:dyDescent="0.2">
      <c r="N369" s="44"/>
    </row>
    <row r="370" spans="14:14" ht="15.75" customHeight="1" x14ac:dyDescent="0.2">
      <c r="N370" s="44"/>
    </row>
    <row r="371" spans="14:14" ht="15.75" customHeight="1" x14ac:dyDescent="0.2">
      <c r="N371" s="44"/>
    </row>
    <row r="372" spans="14:14" ht="15.75" customHeight="1" x14ac:dyDescent="0.2">
      <c r="N372" s="44"/>
    </row>
    <row r="373" spans="14:14" ht="15.75" customHeight="1" x14ac:dyDescent="0.2">
      <c r="N373" s="44"/>
    </row>
    <row r="374" spans="14:14" ht="15.75" customHeight="1" x14ac:dyDescent="0.2">
      <c r="N374" s="44"/>
    </row>
    <row r="375" spans="14:14" ht="15.75" customHeight="1" x14ac:dyDescent="0.2">
      <c r="N375" s="44"/>
    </row>
    <row r="376" spans="14:14" ht="15.75" customHeight="1" x14ac:dyDescent="0.2">
      <c r="N376" s="44"/>
    </row>
    <row r="377" spans="14:14" ht="15.75" customHeight="1" x14ac:dyDescent="0.2">
      <c r="N377" s="44"/>
    </row>
    <row r="378" spans="14:14" ht="15.75" customHeight="1" x14ac:dyDescent="0.2">
      <c r="N378" s="44"/>
    </row>
    <row r="379" spans="14:14" ht="15.75" customHeight="1" x14ac:dyDescent="0.2">
      <c r="N379" s="44"/>
    </row>
    <row r="380" spans="14:14" ht="15.75" customHeight="1" x14ac:dyDescent="0.2">
      <c r="N380" s="44"/>
    </row>
    <row r="381" spans="14:14" ht="15.75" customHeight="1" x14ac:dyDescent="0.2">
      <c r="N381" s="44"/>
    </row>
    <row r="382" spans="14:14" ht="15.75" customHeight="1" x14ac:dyDescent="0.2">
      <c r="N382" s="44"/>
    </row>
    <row r="383" spans="14:14" ht="15.75" customHeight="1" x14ac:dyDescent="0.2">
      <c r="N383" s="44"/>
    </row>
    <row r="384" spans="14:14" ht="15.75" customHeight="1" x14ac:dyDescent="0.2">
      <c r="N384" s="44"/>
    </row>
    <row r="385" spans="14:14" ht="15.75" customHeight="1" x14ac:dyDescent="0.2">
      <c r="N385" s="44"/>
    </row>
    <row r="386" spans="14:14" ht="15.75" customHeight="1" x14ac:dyDescent="0.2">
      <c r="N386" s="44"/>
    </row>
    <row r="387" spans="14:14" ht="15.75" customHeight="1" x14ac:dyDescent="0.2">
      <c r="N387" s="44"/>
    </row>
    <row r="388" spans="14:14" ht="15.75" customHeight="1" x14ac:dyDescent="0.2">
      <c r="N388" s="44"/>
    </row>
    <row r="389" spans="14:14" ht="15.75" customHeight="1" x14ac:dyDescent="0.2">
      <c r="N389" s="44"/>
    </row>
    <row r="390" spans="14:14" ht="15.75" customHeight="1" x14ac:dyDescent="0.2">
      <c r="N390" s="44"/>
    </row>
    <row r="391" spans="14:14" ht="15.75" customHeight="1" x14ac:dyDescent="0.2">
      <c r="N391" s="44"/>
    </row>
    <row r="392" spans="14:14" ht="15.75" customHeight="1" x14ac:dyDescent="0.2">
      <c r="N392" s="44"/>
    </row>
    <row r="393" spans="14:14" ht="15.75" customHeight="1" x14ac:dyDescent="0.2">
      <c r="N393" s="44"/>
    </row>
    <row r="394" spans="14:14" ht="15.75" customHeight="1" x14ac:dyDescent="0.2">
      <c r="N394" s="44"/>
    </row>
    <row r="395" spans="14:14" ht="15.75" customHeight="1" x14ac:dyDescent="0.2">
      <c r="N395" s="44"/>
    </row>
    <row r="396" spans="14:14" ht="15.75" customHeight="1" x14ac:dyDescent="0.2">
      <c r="N396" s="44"/>
    </row>
    <row r="397" spans="14:14" ht="15.75" customHeight="1" x14ac:dyDescent="0.2">
      <c r="N397" s="44"/>
    </row>
    <row r="398" spans="14:14" ht="15.75" customHeight="1" x14ac:dyDescent="0.2">
      <c r="N398" s="44"/>
    </row>
    <row r="399" spans="14:14" ht="15.75" customHeight="1" x14ac:dyDescent="0.2">
      <c r="N399" s="44"/>
    </row>
    <row r="400" spans="14:14" ht="15.75" customHeight="1" x14ac:dyDescent="0.2">
      <c r="N400" s="44"/>
    </row>
    <row r="401" spans="14:14" ht="15.75" customHeight="1" x14ac:dyDescent="0.2">
      <c r="N401" s="44"/>
    </row>
    <row r="402" spans="14:14" ht="15.75" customHeight="1" x14ac:dyDescent="0.2">
      <c r="N402" s="44"/>
    </row>
    <row r="403" spans="14:14" ht="15.75" customHeight="1" x14ac:dyDescent="0.2">
      <c r="N403" s="44"/>
    </row>
    <row r="404" spans="14:14" ht="15.75" customHeight="1" x14ac:dyDescent="0.2">
      <c r="N404" s="44"/>
    </row>
    <row r="405" spans="14:14" ht="15.75" customHeight="1" x14ac:dyDescent="0.2">
      <c r="N405" s="44"/>
    </row>
    <row r="406" spans="14:14" ht="15.75" customHeight="1" x14ac:dyDescent="0.2">
      <c r="N406" s="44"/>
    </row>
    <row r="407" spans="14:14" ht="15.75" customHeight="1" x14ac:dyDescent="0.2">
      <c r="N407" s="44"/>
    </row>
    <row r="408" spans="14:14" ht="15.75" customHeight="1" x14ac:dyDescent="0.2">
      <c r="N408" s="44"/>
    </row>
    <row r="409" spans="14:14" ht="15.75" customHeight="1" x14ac:dyDescent="0.2">
      <c r="N409" s="44"/>
    </row>
    <row r="410" spans="14:14" ht="15.75" customHeight="1" x14ac:dyDescent="0.2">
      <c r="N410" s="44"/>
    </row>
    <row r="411" spans="14:14" ht="15.75" customHeight="1" x14ac:dyDescent="0.2">
      <c r="N411" s="44"/>
    </row>
    <row r="412" spans="14:14" ht="15.75" customHeight="1" x14ac:dyDescent="0.2">
      <c r="N412" s="44"/>
    </row>
    <row r="413" spans="14:14" ht="15.75" customHeight="1" x14ac:dyDescent="0.2">
      <c r="N413" s="44"/>
    </row>
    <row r="414" spans="14:14" ht="15.75" customHeight="1" x14ac:dyDescent="0.2">
      <c r="N414" s="44"/>
    </row>
    <row r="415" spans="14:14" ht="15.75" customHeight="1" x14ac:dyDescent="0.2">
      <c r="N415" s="44"/>
    </row>
    <row r="416" spans="14:14" ht="15.75" customHeight="1" x14ac:dyDescent="0.2">
      <c r="N416" s="44"/>
    </row>
    <row r="417" spans="14:14" ht="15.75" customHeight="1" x14ac:dyDescent="0.2">
      <c r="N417" s="44"/>
    </row>
    <row r="418" spans="14:14" ht="15.75" customHeight="1" x14ac:dyDescent="0.2">
      <c r="N418" s="44"/>
    </row>
    <row r="419" spans="14:14" ht="15.75" customHeight="1" x14ac:dyDescent="0.2">
      <c r="N419" s="44"/>
    </row>
    <row r="420" spans="14:14" ht="15.75" customHeight="1" x14ac:dyDescent="0.2">
      <c r="N420" s="44"/>
    </row>
    <row r="421" spans="14:14" ht="15.75" customHeight="1" x14ac:dyDescent="0.2">
      <c r="N421" s="44"/>
    </row>
    <row r="422" spans="14:14" ht="15.75" customHeight="1" x14ac:dyDescent="0.2">
      <c r="N422" s="44"/>
    </row>
    <row r="423" spans="14:14" ht="15.75" customHeight="1" x14ac:dyDescent="0.2">
      <c r="N423" s="44"/>
    </row>
    <row r="424" spans="14:14" ht="15.75" customHeight="1" x14ac:dyDescent="0.2">
      <c r="N424" s="44"/>
    </row>
    <row r="425" spans="14:14" ht="15.75" customHeight="1" x14ac:dyDescent="0.2">
      <c r="N425" s="44"/>
    </row>
    <row r="426" spans="14:14" ht="15.75" customHeight="1" x14ac:dyDescent="0.2">
      <c r="N426" s="44"/>
    </row>
    <row r="427" spans="14:14" ht="15.75" customHeight="1" x14ac:dyDescent="0.2">
      <c r="N427" s="44"/>
    </row>
    <row r="428" spans="14:14" ht="15.75" customHeight="1" x14ac:dyDescent="0.2">
      <c r="N428" s="44"/>
    </row>
    <row r="429" spans="14:14" ht="15.75" customHeight="1" x14ac:dyDescent="0.2">
      <c r="N429" s="44"/>
    </row>
    <row r="430" spans="14:14" ht="15.75" customHeight="1" x14ac:dyDescent="0.2">
      <c r="N430" s="44"/>
    </row>
    <row r="431" spans="14:14" ht="15.75" customHeight="1" x14ac:dyDescent="0.2">
      <c r="N431" s="44"/>
    </row>
    <row r="432" spans="14:14" ht="15.75" customHeight="1" x14ac:dyDescent="0.2">
      <c r="N432" s="44"/>
    </row>
    <row r="433" spans="14:14" ht="15.75" customHeight="1" x14ac:dyDescent="0.2">
      <c r="N433" s="44"/>
    </row>
    <row r="434" spans="14:14" ht="15.75" customHeight="1" x14ac:dyDescent="0.2">
      <c r="N434" s="44"/>
    </row>
    <row r="435" spans="14:14" ht="15.75" customHeight="1" x14ac:dyDescent="0.2">
      <c r="N435" s="44"/>
    </row>
    <row r="436" spans="14:14" ht="15.75" customHeight="1" x14ac:dyDescent="0.2">
      <c r="N436" s="44"/>
    </row>
    <row r="437" spans="14:14" ht="15.75" customHeight="1" x14ac:dyDescent="0.2">
      <c r="N437" s="44"/>
    </row>
    <row r="438" spans="14:14" ht="15.75" customHeight="1" x14ac:dyDescent="0.2">
      <c r="N438" s="44"/>
    </row>
    <row r="439" spans="14:14" ht="15.75" customHeight="1" x14ac:dyDescent="0.2">
      <c r="N439" s="44"/>
    </row>
    <row r="440" spans="14:14" ht="15.75" customHeight="1" x14ac:dyDescent="0.2">
      <c r="N440" s="44"/>
    </row>
    <row r="441" spans="14:14" ht="15.75" customHeight="1" x14ac:dyDescent="0.2">
      <c r="N441" s="44"/>
    </row>
    <row r="442" spans="14:14" ht="15.75" customHeight="1" x14ac:dyDescent="0.2">
      <c r="N442" s="44"/>
    </row>
    <row r="443" spans="14:14" ht="15.75" customHeight="1" x14ac:dyDescent="0.2">
      <c r="N443" s="44"/>
    </row>
    <row r="444" spans="14:14" ht="15.75" customHeight="1" x14ac:dyDescent="0.2">
      <c r="N444" s="44"/>
    </row>
    <row r="445" spans="14:14" ht="15.75" customHeight="1" x14ac:dyDescent="0.2">
      <c r="N445" s="44"/>
    </row>
    <row r="446" spans="14:14" ht="15.75" customHeight="1" x14ac:dyDescent="0.2">
      <c r="N446" s="44"/>
    </row>
    <row r="447" spans="14:14" ht="15.75" customHeight="1" x14ac:dyDescent="0.2">
      <c r="N447" s="44"/>
    </row>
    <row r="448" spans="14:14" ht="15.75" customHeight="1" x14ac:dyDescent="0.2">
      <c r="N448" s="44"/>
    </row>
    <row r="449" spans="14:14" ht="15.75" customHeight="1" x14ac:dyDescent="0.2">
      <c r="N449" s="44"/>
    </row>
    <row r="450" spans="14:14" ht="15.75" customHeight="1" x14ac:dyDescent="0.2">
      <c r="N450" s="44"/>
    </row>
    <row r="451" spans="14:14" ht="15.75" customHeight="1" x14ac:dyDescent="0.2">
      <c r="N451" s="44"/>
    </row>
    <row r="452" spans="14:14" ht="15.75" customHeight="1" x14ac:dyDescent="0.2">
      <c r="N452" s="44"/>
    </row>
    <row r="453" spans="14:14" ht="15.75" customHeight="1" x14ac:dyDescent="0.2">
      <c r="N453" s="44"/>
    </row>
    <row r="454" spans="14:14" ht="15.75" customHeight="1" x14ac:dyDescent="0.2">
      <c r="N454" s="44"/>
    </row>
    <row r="455" spans="14:14" ht="15.75" customHeight="1" x14ac:dyDescent="0.2">
      <c r="N455" s="44"/>
    </row>
    <row r="456" spans="14:14" ht="15.75" customHeight="1" x14ac:dyDescent="0.2">
      <c r="N456" s="44"/>
    </row>
    <row r="457" spans="14:14" ht="15.75" customHeight="1" x14ac:dyDescent="0.2">
      <c r="N457" s="44"/>
    </row>
    <row r="458" spans="14:14" ht="15.75" customHeight="1" x14ac:dyDescent="0.2">
      <c r="N458" s="44"/>
    </row>
    <row r="459" spans="14:14" ht="15.75" customHeight="1" x14ac:dyDescent="0.2">
      <c r="N459" s="44"/>
    </row>
    <row r="460" spans="14:14" ht="15.75" customHeight="1" x14ac:dyDescent="0.2">
      <c r="N460" s="44"/>
    </row>
    <row r="461" spans="14:14" ht="15.75" customHeight="1" x14ac:dyDescent="0.2">
      <c r="N461" s="44"/>
    </row>
    <row r="462" spans="14:14" ht="15.75" customHeight="1" x14ac:dyDescent="0.2">
      <c r="N462" s="44"/>
    </row>
    <row r="463" spans="14:14" ht="15.75" customHeight="1" x14ac:dyDescent="0.2">
      <c r="N463" s="44"/>
    </row>
    <row r="464" spans="14:14" ht="15.75" customHeight="1" x14ac:dyDescent="0.2">
      <c r="N464" s="44"/>
    </row>
    <row r="465" spans="14:14" ht="15.75" customHeight="1" x14ac:dyDescent="0.2">
      <c r="N465" s="44"/>
    </row>
    <row r="466" spans="14:14" ht="15.75" customHeight="1" x14ac:dyDescent="0.2">
      <c r="N466" s="44"/>
    </row>
    <row r="467" spans="14:14" ht="15.75" customHeight="1" x14ac:dyDescent="0.2">
      <c r="N467" s="44"/>
    </row>
    <row r="468" spans="14:14" ht="15.75" customHeight="1" x14ac:dyDescent="0.2">
      <c r="N468" s="44"/>
    </row>
    <row r="469" spans="14:14" ht="15.75" customHeight="1" x14ac:dyDescent="0.2">
      <c r="N469" s="44"/>
    </row>
    <row r="470" spans="14:14" ht="15.75" customHeight="1" x14ac:dyDescent="0.2">
      <c r="N470" s="44"/>
    </row>
    <row r="471" spans="14:14" ht="15.75" customHeight="1" x14ac:dyDescent="0.2">
      <c r="N471" s="44"/>
    </row>
    <row r="472" spans="14:14" ht="15.75" customHeight="1" x14ac:dyDescent="0.2">
      <c r="N472" s="44"/>
    </row>
    <row r="473" spans="14:14" ht="15.75" customHeight="1" x14ac:dyDescent="0.2">
      <c r="N473" s="44"/>
    </row>
    <row r="474" spans="14:14" ht="15.75" customHeight="1" x14ac:dyDescent="0.2">
      <c r="N474" s="44"/>
    </row>
    <row r="475" spans="14:14" ht="15.75" customHeight="1" x14ac:dyDescent="0.2">
      <c r="N475" s="44"/>
    </row>
    <row r="476" spans="14:14" ht="15.75" customHeight="1" x14ac:dyDescent="0.2">
      <c r="N476" s="44"/>
    </row>
    <row r="477" spans="14:14" ht="15.75" customHeight="1" x14ac:dyDescent="0.2">
      <c r="N477" s="44"/>
    </row>
    <row r="478" spans="14:14" ht="15.75" customHeight="1" x14ac:dyDescent="0.2">
      <c r="N478" s="44"/>
    </row>
    <row r="479" spans="14:14" ht="15.75" customHeight="1" x14ac:dyDescent="0.2">
      <c r="N479" s="44"/>
    </row>
    <row r="480" spans="14:14" ht="15.75" customHeight="1" x14ac:dyDescent="0.2">
      <c r="N480" s="44"/>
    </row>
    <row r="481" spans="14:14" ht="15.75" customHeight="1" x14ac:dyDescent="0.2">
      <c r="N481" s="44"/>
    </row>
    <row r="482" spans="14:14" ht="15.75" customHeight="1" x14ac:dyDescent="0.2">
      <c r="N482" s="44"/>
    </row>
    <row r="483" spans="14:14" ht="15.75" customHeight="1" x14ac:dyDescent="0.2">
      <c r="N483" s="44"/>
    </row>
    <row r="484" spans="14:14" ht="15.75" customHeight="1" x14ac:dyDescent="0.2">
      <c r="N484" s="44"/>
    </row>
    <row r="485" spans="14:14" ht="15.75" customHeight="1" x14ac:dyDescent="0.2">
      <c r="N485" s="44"/>
    </row>
    <row r="486" spans="14:14" ht="15.75" customHeight="1" x14ac:dyDescent="0.2">
      <c r="N486" s="44"/>
    </row>
    <row r="487" spans="14:14" ht="15.75" customHeight="1" x14ac:dyDescent="0.2">
      <c r="N487" s="44"/>
    </row>
    <row r="488" spans="14:14" ht="15.75" customHeight="1" x14ac:dyDescent="0.2">
      <c r="N488" s="44"/>
    </row>
    <row r="489" spans="14:14" ht="15.75" customHeight="1" x14ac:dyDescent="0.2">
      <c r="N489" s="44"/>
    </row>
    <row r="490" spans="14:14" ht="15.75" customHeight="1" x14ac:dyDescent="0.2">
      <c r="N490" s="44"/>
    </row>
    <row r="491" spans="14:14" ht="15.75" customHeight="1" x14ac:dyDescent="0.2">
      <c r="N491" s="44"/>
    </row>
    <row r="492" spans="14:14" ht="15.75" customHeight="1" x14ac:dyDescent="0.2">
      <c r="N492" s="44"/>
    </row>
    <row r="493" spans="14:14" ht="15.75" customHeight="1" x14ac:dyDescent="0.2">
      <c r="N493" s="44"/>
    </row>
    <row r="494" spans="14:14" ht="15.75" customHeight="1" x14ac:dyDescent="0.2">
      <c r="N494" s="44"/>
    </row>
    <row r="495" spans="14:14" ht="15.75" customHeight="1" x14ac:dyDescent="0.2">
      <c r="N495" s="44"/>
    </row>
    <row r="496" spans="14:14" ht="15.75" customHeight="1" x14ac:dyDescent="0.2">
      <c r="N496" s="44"/>
    </row>
    <row r="497" spans="14:14" ht="15.75" customHeight="1" x14ac:dyDescent="0.2">
      <c r="N497" s="44"/>
    </row>
    <row r="498" spans="14:14" ht="15.75" customHeight="1" x14ac:dyDescent="0.2">
      <c r="N498" s="44"/>
    </row>
    <row r="499" spans="14:14" ht="15.75" customHeight="1" x14ac:dyDescent="0.2">
      <c r="N499" s="44"/>
    </row>
    <row r="500" spans="14:14" ht="15.75" customHeight="1" x14ac:dyDescent="0.2">
      <c r="N500" s="44"/>
    </row>
    <row r="501" spans="14:14" ht="15.75" customHeight="1" x14ac:dyDescent="0.2">
      <c r="N501" s="44"/>
    </row>
    <row r="502" spans="14:14" ht="15.75" customHeight="1" x14ac:dyDescent="0.2">
      <c r="N502" s="44"/>
    </row>
    <row r="503" spans="14:14" ht="15.75" customHeight="1" x14ac:dyDescent="0.2">
      <c r="N503" s="44"/>
    </row>
    <row r="504" spans="14:14" ht="15.75" customHeight="1" x14ac:dyDescent="0.2">
      <c r="N504" s="44"/>
    </row>
    <row r="505" spans="14:14" ht="15.75" customHeight="1" x14ac:dyDescent="0.2">
      <c r="N505" s="44"/>
    </row>
    <row r="506" spans="14:14" ht="15.75" customHeight="1" x14ac:dyDescent="0.2">
      <c r="N506" s="44"/>
    </row>
    <row r="507" spans="14:14" ht="15.75" customHeight="1" x14ac:dyDescent="0.2">
      <c r="N507" s="44"/>
    </row>
    <row r="508" spans="14:14" ht="15.75" customHeight="1" x14ac:dyDescent="0.2">
      <c r="N508" s="44"/>
    </row>
    <row r="509" spans="14:14" ht="15.75" customHeight="1" x14ac:dyDescent="0.2">
      <c r="N509" s="44"/>
    </row>
    <row r="510" spans="14:14" ht="15.75" customHeight="1" x14ac:dyDescent="0.2">
      <c r="N510" s="44"/>
    </row>
    <row r="511" spans="14:14" ht="15.75" customHeight="1" x14ac:dyDescent="0.2">
      <c r="N511" s="44"/>
    </row>
    <row r="512" spans="14:14" ht="15.75" customHeight="1" x14ac:dyDescent="0.2">
      <c r="N512" s="44"/>
    </row>
    <row r="513" spans="14:14" ht="15.75" customHeight="1" x14ac:dyDescent="0.2">
      <c r="N513" s="44"/>
    </row>
    <row r="514" spans="14:14" ht="15.75" customHeight="1" x14ac:dyDescent="0.2">
      <c r="N514" s="44"/>
    </row>
    <row r="515" spans="14:14" ht="15.75" customHeight="1" x14ac:dyDescent="0.2">
      <c r="N515" s="44"/>
    </row>
    <row r="516" spans="14:14" ht="15.75" customHeight="1" x14ac:dyDescent="0.2">
      <c r="N516" s="44"/>
    </row>
    <row r="517" spans="14:14" ht="15.75" customHeight="1" x14ac:dyDescent="0.2">
      <c r="N517" s="44"/>
    </row>
    <row r="518" spans="14:14" ht="15.75" customHeight="1" x14ac:dyDescent="0.2">
      <c r="N518" s="44"/>
    </row>
    <row r="519" spans="14:14" ht="15.75" customHeight="1" x14ac:dyDescent="0.2">
      <c r="N519" s="44"/>
    </row>
    <row r="520" spans="14:14" ht="15.75" customHeight="1" x14ac:dyDescent="0.2">
      <c r="N520" s="44"/>
    </row>
    <row r="521" spans="14:14" ht="15.75" customHeight="1" x14ac:dyDescent="0.2">
      <c r="N521" s="44"/>
    </row>
    <row r="522" spans="14:14" ht="15.75" customHeight="1" x14ac:dyDescent="0.2">
      <c r="N522" s="44"/>
    </row>
    <row r="523" spans="14:14" ht="15.75" customHeight="1" x14ac:dyDescent="0.2">
      <c r="N523" s="44"/>
    </row>
    <row r="524" spans="14:14" ht="15.75" customHeight="1" x14ac:dyDescent="0.2">
      <c r="N524" s="44"/>
    </row>
    <row r="525" spans="14:14" ht="15.75" customHeight="1" x14ac:dyDescent="0.2">
      <c r="N525" s="44"/>
    </row>
    <row r="526" spans="14:14" ht="15.75" customHeight="1" x14ac:dyDescent="0.2">
      <c r="N526" s="44"/>
    </row>
    <row r="527" spans="14:14" ht="15.75" customHeight="1" x14ac:dyDescent="0.2">
      <c r="N527" s="44"/>
    </row>
    <row r="528" spans="14:14" ht="15.75" customHeight="1" x14ac:dyDescent="0.2">
      <c r="N528" s="44"/>
    </row>
    <row r="529" spans="14:14" ht="15.75" customHeight="1" x14ac:dyDescent="0.2">
      <c r="N529" s="44"/>
    </row>
    <row r="530" spans="14:14" ht="15.75" customHeight="1" x14ac:dyDescent="0.2">
      <c r="N530" s="44"/>
    </row>
    <row r="531" spans="14:14" ht="15.75" customHeight="1" x14ac:dyDescent="0.2">
      <c r="N531" s="44"/>
    </row>
    <row r="532" spans="14:14" ht="15.75" customHeight="1" x14ac:dyDescent="0.2">
      <c r="N532" s="44"/>
    </row>
    <row r="533" spans="14:14" ht="15.75" customHeight="1" x14ac:dyDescent="0.2">
      <c r="N533" s="44"/>
    </row>
    <row r="534" spans="14:14" ht="15.75" customHeight="1" x14ac:dyDescent="0.2">
      <c r="N534" s="44"/>
    </row>
    <row r="535" spans="14:14" ht="15.75" customHeight="1" x14ac:dyDescent="0.2">
      <c r="N535" s="44"/>
    </row>
    <row r="536" spans="14:14" ht="15.75" customHeight="1" x14ac:dyDescent="0.2">
      <c r="N536" s="44"/>
    </row>
    <row r="537" spans="14:14" ht="15.75" customHeight="1" x14ac:dyDescent="0.2">
      <c r="N537" s="44"/>
    </row>
    <row r="538" spans="14:14" ht="15.75" customHeight="1" x14ac:dyDescent="0.2">
      <c r="N538" s="44"/>
    </row>
    <row r="539" spans="14:14" ht="15.75" customHeight="1" x14ac:dyDescent="0.2">
      <c r="N539" s="44"/>
    </row>
    <row r="540" spans="14:14" ht="15.75" customHeight="1" x14ac:dyDescent="0.2">
      <c r="N540" s="44"/>
    </row>
    <row r="541" spans="14:14" ht="15.75" customHeight="1" x14ac:dyDescent="0.2">
      <c r="N541" s="44"/>
    </row>
    <row r="542" spans="14:14" ht="15.75" customHeight="1" x14ac:dyDescent="0.2">
      <c r="N542" s="44"/>
    </row>
    <row r="543" spans="14:14" ht="15.75" customHeight="1" x14ac:dyDescent="0.2">
      <c r="N543" s="44"/>
    </row>
    <row r="544" spans="14:14" ht="15.75" customHeight="1" x14ac:dyDescent="0.2">
      <c r="N544" s="44"/>
    </row>
    <row r="545" spans="14:14" ht="15.75" customHeight="1" x14ac:dyDescent="0.2">
      <c r="N545" s="44"/>
    </row>
    <row r="546" spans="14:14" ht="15.75" customHeight="1" x14ac:dyDescent="0.2">
      <c r="N546" s="44"/>
    </row>
    <row r="547" spans="14:14" ht="15.75" customHeight="1" x14ac:dyDescent="0.2">
      <c r="N547" s="44"/>
    </row>
    <row r="548" spans="14:14" ht="15.75" customHeight="1" x14ac:dyDescent="0.2">
      <c r="N548" s="44"/>
    </row>
    <row r="549" spans="14:14" ht="15.75" customHeight="1" x14ac:dyDescent="0.2">
      <c r="N549" s="44"/>
    </row>
    <row r="550" spans="14:14" ht="15.75" customHeight="1" x14ac:dyDescent="0.2">
      <c r="N550" s="44"/>
    </row>
    <row r="551" spans="14:14" ht="15.75" customHeight="1" x14ac:dyDescent="0.2">
      <c r="N551" s="44"/>
    </row>
    <row r="552" spans="14:14" ht="15.75" customHeight="1" x14ac:dyDescent="0.2">
      <c r="N552" s="44"/>
    </row>
    <row r="553" spans="14:14" ht="15.75" customHeight="1" x14ac:dyDescent="0.2">
      <c r="N553" s="44"/>
    </row>
    <row r="554" spans="14:14" ht="15.75" customHeight="1" x14ac:dyDescent="0.2">
      <c r="N554" s="44"/>
    </row>
    <row r="555" spans="14:14" ht="15.75" customHeight="1" x14ac:dyDescent="0.2">
      <c r="N555" s="44"/>
    </row>
    <row r="556" spans="14:14" ht="15.75" customHeight="1" x14ac:dyDescent="0.2">
      <c r="N556" s="44"/>
    </row>
    <row r="557" spans="14:14" ht="15.75" customHeight="1" x14ac:dyDescent="0.2">
      <c r="N557" s="44"/>
    </row>
    <row r="558" spans="14:14" ht="15.75" customHeight="1" x14ac:dyDescent="0.2">
      <c r="N558" s="44"/>
    </row>
    <row r="559" spans="14:14" ht="15.75" customHeight="1" x14ac:dyDescent="0.2">
      <c r="N559" s="44"/>
    </row>
    <row r="560" spans="14:14" ht="15.75" customHeight="1" x14ac:dyDescent="0.2">
      <c r="N560" s="44"/>
    </row>
    <row r="561" spans="14:14" ht="15.75" customHeight="1" x14ac:dyDescent="0.2">
      <c r="N561" s="44"/>
    </row>
    <row r="562" spans="14:14" ht="15.75" customHeight="1" x14ac:dyDescent="0.2">
      <c r="N562" s="44"/>
    </row>
    <row r="563" spans="14:14" ht="15.75" customHeight="1" x14ac:dyDescent="0.2">
      <c r="N563" s="44"/>
    </row>
    <row r="564" spans="14:14" ht="15.75" customHeight="1" x14ac:dyDescent="0.2">
      <c r="N564" s="44"/>
    </row>
    <row r="565" spans="14:14" ht="15.75" customHeight="1" x14ac:dyDescent="0.2">
      <c r="N565" s="44"/>
    </row>
    <row r="566" spans="14:14" ht="15.75" customHeight="1" x14ac:dyDescent="0.2">
      <c r="N566" s="44"/>
    </row>
    <row r="567" spans="14:14" ht="15.75" customHeight="1" x14ac:dyDescent="0.2">
      <c r="N567" s="44"/>
    </row>
    <row r="568" spans="14:14" ht="15.75" customHeight="1" x14ac:dyDescent="0.2">
      <c r="N568" s="44"/>
    </row>
    <row r="569" spans="14:14" ht="15.75" customHeight="1" x14ac:dyDescent="0.2">
      <c r="N569" s="44"/>
    </row>
    <row r="570" spans="14:14" ht="15.75" customHeight="1" x14ac:dyDescent="0.2">
      <c r="N570" s="44"/>
    </row>
    <row r="571" spans="14:14" ht="15.75" customHeight="1" x14ac:dyDescent="0.2">
      <c r="N571" s="44"/>
    </row>
    <row r="572" spans="14:14" ht="15.75" customHeight="1" x14ac:dyDescent="0.2">
      <c r="N572" s="44"/>
    </row>
    <row r="573" spans="14:14" ht="15.75" customHeight="1" x14ac:dyDescent="0.2">
      <c r="N573" s="44"/>
    </row>
    <row r="574" spans="14:14" ht="15.75" customHeight="1" x14ac:dyDescent="0.2">
      <c r="N574" s="44"/>
    </row>
    <row r="575" spans="14:14" ht="15.75" customHeight="1" x14ac:dyDescent="0.2">
      <c r="N575" s="44"/>
    </row>
    <row r="576" spans="14:14" ht="15.75" customHeight="1" x14ac:dyDescent="0.2">
      <c r="N576" s="44"/>
    </row>
    <row r="577" spans="14:14" ht="15.75" customHeight="1" x14ac:dyDescent="0.2">
      <c r="N577" s="44"/>
    </row>
    <row r="578" spans="14:14" ht="15.75" customHeight="1" x14ac:dyDescent="0.2">
      <c r="N578" s="44"/>
    </row>
    <row r="579" spans="14:14" ht="15.75" customHeight="1" x14ac:dyDescent="0.2">
      <c r="N579" s="44"/>
    </row>
    <row r="580" spans="14:14" ht="15.75" customHeight="1" x14ac:dyDescent="0.2">
      <c r="N580" s="44"/>
    </row>
    <row r="581" spans="14:14" ht="15.75" customHeight="1" x14ac:dyDescent="0.2">
      <c r="N581" s="44"/>
    </row>
    <row r="582" spans="14:14" ht="15.75" customHeight="1" x14ac:dyDescent="0.2">
      <c r="N582" s="44"/>
    </row>
    <row r="583" spans="14:14" ht="15.75" customHeight="1" x14ac:dyDescent="0.2">
      <c r="N583" s="44"/>
    </row>
    <row r="584" spans="14:14" ht="15.75" customHeight="1" x14ac:dyDescent="0.2">
      <c r="N584" s="44"/>
    </row>
    <row r="585" spans="14:14" ht="15.75" customHeight="1" x14ac:dyDescent="0.2">
      <c r="N585" s="44"/>
    </row>
    <row r="586" spans="14:14" ht="15.75" customHeight="1" x14ac:dyDescent="0.2">
      <c r="N586" s="44"/>
    </row>
    <row r="587" spans="14:14" ht="15.75" customHeight="1" x14ac:dyDescent="0.2">
      <c r="N587" s="44"/>
    </row>
    <row r="588" spans="14:14" ht="15.75" customHeight="1" x14ac:dyDescent="0.2">
      <c r="N588" s="44"/>
    </row>
    <row r="589" spans="14:14" ht="15.75" customHeight="1" x14ac:dyDescent="0.2">
      <c r="N589" s="44"/>
    </row>
    <row r="590" spans="14:14" ht="15.75" customHeight="1" x14ac:dyDescent="0.2">
      <c r="N590" s="44"/>
    </row>
    <row r="591" spans="14:14" ht="15.75" customHeight="1" x14ac:dyDescent="0.2">
      <c r="N591" s="44"/>
    </row>
    <row r="592" spans="14:14" ht="15.75" customHeight="1" x14ac:dyDescent="0.2">
      <c r="N592" s="44"/>
    </row>
    <row r="593" spans="14:14" ht="15.75" customHeight="1" x14ac:dyDescent="0.2">
      <c r="N593" s="44"/>
    </row>
    <row r="594" spans="14:14" ht="15.75" customHeight="1" x14ac:dyDescent="0.2">
      <c r="N594" s="44"/>
    </row>
    <row r="595" spans="14:14" ht="15.75" customHeight="1" x14ac:dyDescent="0.2">
      <c r="N595" s="44"/>
    </row>
    <row r="596" spans="14:14" ht="15.75" customHeight="1" x14ac:dyDescent="0.2">
      <c r="N596" s="44"/>
    </row>
    <row r="597" spans="14:14" ht="15.75" customHeight="1" x14ac:dyDescent="0.2">
      <c r="N597" s="44"/>
    </row>
    <row r="598" spans="14:14" ht="15.75" customHeight="1" x14ac:dyDescent="0.2">
      <c r="N598" s="44"/>
    </row>
    <row r="599" spans="14:14" ht="15.75" customHeight="1" x14ac:dyDescent="0.2">
      <c r="N599" s="44"/>
    </row>
    <row r="600" spans="14:14" ht="15.75" customHeight="1" x14ac:dyDescent="0.2">
      <c r="N600" s="44"/>
    </row>
    <row r="601" spans="14:14" ht="15.75" customHeight="1" x14ac:dyDescent="0.2">
      <c r="N601" s="44"/>
    </row>
    <row r="602" spans="14:14" ht="15.75" customHeight="1" x14ac:dyDescent="0.2">
      <c r="N602" s="44"/>
    </row>
    <row r="603" spans="14:14" ht="15.75" customHeight="1" x14ac:dyDescent="0.2">
      <c r="N603" s="44"/>
    </row>
    <row r="604" spans="14:14" ht="15.75" customHeight="1" x14ac:dyDescent="0.2">
      <c r="N604" s="44"/>
    </row>
    <row r="605" spans="14:14" ht="15.75" customHeight="1" x14ac:dyDescent="0.2">
      <c r="N605" s="44"/>
    </row>
    <row r="606" spans="14:14" ht="15.75" customHeight="1" x14ac:dyDescent="0.2">
      <c r="N606" s="44"/>
    </row>
    <row r="607" spans="14:14" ht="15.75" customHeight="1" x14ac:dyDescent="0.2">
      <c r="N607" s="44"/>
    </row>
    <row r="608" spans="14:14" ht="15.75" customHeight="1" x14ac:dyDescent="0.2">
      <c r="N608" s="44"/>
    </row>
    <row r="609" spans="14:14" ht="15.75" customHeight="1" x14ac:dyDescent="0.2">
      <c r="N609" s="44"/>
    </row>
    <row r="610" spans="14:14" ht="15.75" customHeight="1" x14ac:dyDescent="0.2">
      <c r="N610" s="44"/>
    </row>
    <row r="611" spans="14:14" ht="15.75" customHeight="1" x14ac:dyDescent="0.2">
      <c r="N611" s="44"/>
    </row>
    <row r="612" spans="14:14" ht="15.75" customHeight="1" x14ac:dyDescent="0.2">
      <c r="N612" s="44"/>
    </row>
    <row r="613" spans="14:14" ht="15.75" customHeight="1" x14ac:dyDescent="0.2">
      <c r="N613" s="44"/>
    </row>
    <row r="614" spans="14:14" ht="15.75" customHeight="1" x14ac:dyDescent="0.2">
      <c r="N614" s="44"/>
    </row>
    <row r="615" spans="14:14" ht="15.75" customHeight="1" x14ac:dyDescent="0.2">
      <c r="N615" s="44"/>
    </row>
    <row r="616" spans="14:14" ht="15.75" customHeight="1" x14ac:dyDescent="0.2">
      <c r="N616" s="44"/>
    </row>
    <row r="617" spans="14:14" ht="15.75" customHeight="1" x14ac:dyDescent="0.2">
      <c r="N617" s="44"/>
    </row>
    <row r="618" spans="14:14" ht="15.75" customHeight="1" x14ac:dyDescent="0.2">
      <c r="N618" s="44"/>
    </row>
    <row r="619" spans="14:14" ht="15.75" customHeight="1" x14ac:dyDescent="0.2">
      <c r="N619" s="44"/>
    </row>
    <row r="620" spans="14:14" ht="15.75" customHeight="1" x14ac:dyDescent="0.2">
      <c r="N620" s="44"/>
    </row>
    <row r="621" spans="14:14" ht="15.75" customHeight="1" x14ac:dyDescent="0.2">
      <c r="N621" s="44"/>
    </row>
    <row r="622" spans="14:14" ht="15.75" customHeight="1" x14ac:dyDescent="0.2">
      <c r="N622" s="44"/>
    </row>
    <row r="623" spans="14:14" ht="15.75" customHeight="1" x14ac:dyDescent="0.2">
      <c r="N623" s="44"/>
    </row>
    <row r="624" spans="14:14" ht="15.75" customHeight="1" x14ac:dyDescent="0.2">
      <c r="N624" s="44"/>
    </row>
    <row r="625" spans="14:14" ht="15.75" customHeight="1" x14ac:dyDescent="0.2">
      <c r="N625" s="44"/>
    </row>
    <row r="626" spans="14:14" ht="15.75" customHeight="1" x14ac:dyDescent="0.2">
      <c r="N626" s="44"/>
    </row>
    <row r="627" spans="14:14" ht="15.75" customHeight="1" x14ac:dyDescent="0.2">
      <c r="N627" s="44"/>
    </row>
    <row r="628" spans="14:14" ht="15.75" customHeight="1" x14ac:dyDescent="0.2">
      <c r="N628" s="44"/>
    </row>
    <row r="629" spans="14:14" ht="15.75" customHeight="1" x14ac:dyDescent="0.2">
      <c r="N629" s="44"/>
    </row>
    <row r="630" spans="14:14" ht="15.75" customHeight="1" x14ac:dyDescent="0.2">
      <c r="N630" s="44"/>
    </row>
    <row r="631" spans="14:14" ht="15.75" customHeight="1" x14ac:dyDescent="0.2">
      <c r="N631" s="44"/>
    </row>
    <row r="632" spans="14:14" ht="15.75" customHeight="1" x14ac:dyDescent="0.2">
      <c r="N632" s="44"/>
    </row>
    <row r="633" spans="14:14" ht="15.75" customHeight="1" x14ac:dyDescent="0.2">
      <c r="N633" s="44"/>
    </row>
    <row r="634" spans="14:14" ht="15.75" customHeight="1" x14ac:dyDescent="0.2">
      <c r="N634" s="44"/>
    </row>
    <row r="635" spans="14:14" ht="15.75" customHeight="1" x14ac:dyDescent="0.2">
      <c r="N635" s="44"/>
    </row>
    <row r="636" spans="14:14" ht="15.75" customHeight="1" x14ac:dyDescent="0.2">
      <c r="N636" s="44"/>
    </row>
    <row r="637" spans="14:14" ht="15.75" customHeight="1" x14ac:dyDescent="0.2">
      <c r="N637" s="44"/>
    </row>
    <row r="638" spans="14:14" ht="15.75" customHeight="1" x14ac:dyDescent="0.2">
      <c r="N638" s="44"/>
    </row>
    <row r="639" spans="14:14" ht="15.75" customHeight="1" x14ac:dyDescent="0.2">
      <c r="N639" s="44"/>
    </row>
    <row r="640" spans="14:14" ht="15.75" customHeight="1" x14ac:dyDescent="0.2">
      <c r="N640" s="44"/>
    </row>
    <row r="641" spans="14:14" ht="15.75" customHeight="1" x14ac:dyDescent="0.2">
      <c r="N641" s="44"/>
    </row>
    <row r="642" spans="14:14" ht="15.75" customHeight="1" x14ac:dyDescent="0.2">
      <c r="N642" s="44"/>
    </row>
    <row r="643" spans="14:14" ht="15.75" customHeight="1" x14ac:dyDescent="0.2">
      <c r="N643" s="44"/>
    </row>
    <row r="644" spans="14:14" ht="15.75" customHeight="1" x14ac:dyDescent="0.2">
      <c r="N644" s="44"/>
    </row>
    <row r="645" spans="14:14" ht="15.75" customHeight="1" x14ac:dyDescent="0.2">
      <c r="N645" s="44"/>
    </row>
    <row r="646" spans="14:14" ht="15.75" customHeight="1" x14ac:dyDescent="0.2">
      <c r="N646" s="44"/>
    </row>
    <row r="647" spans="14:14" ht="15.75" customHeight="1" x14ac:dyDescent="0.2">
      <c r="N647" s="44"/>
    </row>
    <row r="648" spans="14:14" ht="15.75" customHeight="1" x14ac:dyDescent="0.2">
      <c r="N648" s="44"/>
    </row>
    <row r="649" spans="14:14" ht="15.75" customHeight="1" x14ac:dyDescent="0.2">
      <c r="N649" s="44"/>
    </row>
    <row r="650" spans="14:14" ht="15.75" customHeight="1" x14ac:dyDescent="0.2">
      <c r="N650" s="44"/>
    </row>
    <row r="651" spans="14:14" ht="15.75" customHeight="1" x14ac:dyDescent="0.2">
      <c r="N651" s="44"/>
    </row>
    <row r="652" spans="14:14" ht="15.75" customHeight="1" x14ac:dyDescent="0.2">
      <c r="N652" s="44"/>
    </row>
    <row r="653" spans="14:14" ht="15.75" customHeight="1" x14ac:dyDescent="0.2">
      <c r="N653" s="44"/>
    </row>
    <row r="654" spans="14:14" ht="15.75" customHeight="1" x14ac:dyDescent="0.2">
      <c r="N654" s="44"/>
    </row>
    <row r="655" spans="14:14" ht="15.75" customHeight="1" x14ac:dyDescent="0.2">
      <c r="N655" s="44"/>
    </row>
    <row r="656" spans="14:14" ht="15.75" customHeight="1" x14ac:dyDescent="0.2">
      <c r="N656" s="44"/>
    </row>
    <row r="657" spans="14:14" ht="15.75" customHeight="1" x14ac:dyDescent="0.2">
      <c r="N657" s="44"/>
    </row>
    <row r="658" spans="14:14" ht="15.75" customHeight="1" x14ac:dyDescent="0.2">
      <c r="N658" s="44"/>
    </row>
    <row r="659" spans="14:14" ht="15.75" customHeight="1" x14ac:dyDescent="0.2">
      <c r="N659" s="44"/>
    </row>
    <row r="660" spans="14:14" ht="15.75" customHeight="1" x14ac:dyDescent="0.2">
      <c r="N660" s="44"/>
    </row>
    <row r="661" spans="14:14" ht="15.75" customHeight="1" x14ac:dyDescent="0.2">
      <c r="N661" s="44"/>
    </row>
    <row r="662" spans="14:14" ht="15.75" customHeight="1" x14ac:dyDescent="0.2">
      <c r="N662" s="44"/>
    </row>
    <row r="663" spans="14:14" ht="15.75" customHeight="1" x14ac:dyDescent="0.2">
      <c r="N663" s="44"/>
    </row>
    <row r="664" spans="14:14" ht="15.75" customHeight="1" x14ac:dyDescent="0.2">
      <c r="N664" s="44"/>
    </row>
    <row r="665" spans="14:14" ht="15.75" customHeight="1" x14ac:dyDescent="0.2">
      <c r="N665" s="44"/>
    </row>
    <row r="666" spans="14:14" ht="15.75" customHeight="1" x14ac:dyDescent="0.2">
      <c r="N666" s="44"/>
    </row>
    <row r="667" spans="14:14" ht="15.75" customHeight="1" x14ac:dyDescent="0.2">
      <c r="N667" s="44"/>
    </row>
    <row r="668" spans="14:14" ht="15.75" customHeight="1" x14ac:dyDescent="0.2">
      <c r="N668" s="44"/>
    </row>
    <row r="669" spans="14:14" ht="15.75" customHeight="1" x14ac:dyDescent="0.2">
      <c r="N669" s="44"/>
    </row>
    <row r="670" spans="14:14" ht="15.75" customHeight="1" x14ac:dyDescent="0.2">
      <c r="N670" s="44"/>
    </row>
    <row r="671" spans="14:14" ht="15.75" customHeight="1" x14ac:dyDescent="0.2">
      <c r="N671" s="44"/>
    </row>
    <row r="672" spans="14:14" ht="15.75" customHeight="1" x14ac:dyDescent="0.2">
      <c r="N672" s="44"/>
    </row>
    <row r="673" spans="14:14" ht="15.75" customHeight="1" x14ac:dyDescent="0.2">
      <c r="N673" s="44"/>
    </row>
    <row r="674" spans="14:14" ht="15.75" customHeight="1" x14ac:dyDescent="0.2">
      <c r="N674" s="44"/>
    </row>
    <row r="675" spans="14:14" ht="15.75" customHeight="1" x14ac:dyDescent="0.2">
      <c r="N675" s="44"/>
    </row>
    <row r="676" spans="14:14" ht="15.75" customHeight="1" x14ac:dyDescent="0.2">
      <c r="N676" s="44"/>
    </row>
    <row r="677" spans="14:14" ht="15.75" customHeight="1" x14ac:dyDescent="0.2">
      <c r="N677" s="44"/>
    </row>
    <row r="678" spans="14:14" ht="15.75" customHeight="1" x14ac:dyDescent="0.2">
      <c r="N678" s="44"/>
    </row>
    <row r="679" spans="14:14" ht="15.75" customHeight="1" x14ac:dyDescent="0.2">
      <c r="N679" s="44"/>
    </row>
    <row r="680" spans="14:14" ht="15.75" customHeight="1" x14ac:dyDescent="0.2">
      <c r="N680" s="44"/>
    </row>
    <row r="681" spans="14:14" ht="15.75" customHeight="1" x14ac:dyDescent="0.2">
      <c r="N681" s="44"/>
    </row>
    <row r="682" spans="14:14" ht="15.75" customHeight="1" x14ac:dyDescent="0.2">
      <c r="N682" s="44"/>
    </row>
    <row r="683" spans="14:14" ht="15.75" customHeight="1" x14ac:dyDescent="0.2">
      <c r="N683" s="44"/>
    </row>
    <row r="684" spans="14:14" ht="15.75" customHeight="1" x14ac:dyDescent="0.2">
      <c r="N684" s="44"/>
    </row>
    <row r="685" spans="14:14" ht="15.75" customHeight="1" x14ac:dyDescent="0.2">
      <c r="N685" s="44"/>
    </row>
    <row r="686" spans="14:14" ht="15.75" customHeight="1" x14ac:dyDescent="0.2">
      <c r="N686" s="44"/>
    </row>
    <row r="687" spans="14:14" ht="15.75" customHeight="1" x14ac:dyDescent="0.2">
      <c r="N687" s="44"/>
    </row>
    <row r="688" spans="14:14" ht="15.75" customHeight="1" x14ac:dyDescent="0.2">
      <c r="N688" s="44"/>
    </row>
    <row r="689" spans="14:14" ht="15.75" customHeight="1" x14ac:dyDescent="0.2">
      <c r="N689" s="44"/>
    </row>
    <row r="690" spans="14:14" ht="15.75" customHeight="1" x14ac:dyDescent="0.2">
      <c r="N690" s="44"/>
    </row>
    <row r="691" spans="14:14" ht="15.75" customHeight="1" x14ac:dyDescent="0.2">
      <c r="N691" s="44"/>
    </row>
    <row r="692" spans="14:14" ht="15.75" customHeight="1" x14ac:dyDescent="0.2">
      <c r="N692" s="44"/>
    </row>
    <row r="693" spans="14:14" ht="15.75" customHeight="1" x14ac:dyDescent="0.2">
      <c r="N693" s="44"/>
    </row>
    <row r="694" spans="14:14" ht="15.75" customHeight="1" x14ac:dyDescent="0.2">
      <c r="N694" s="44"/>
    </row>
    <row r="695" spans="14:14" ht="15.75" customHeight="1" x14ac:dyDescent="0.2">
      <c r="N695" s="44"/>
    </row>
    <row r="696" spans="14:14" ht="15.75" customHeight="1" x14ac:dyDescent="0.2">
      <c r="N696" s="44"/>
    </row>
    <row r="697" spans="14:14" ht="15.75" customHeight="1" x14ac:dyDescent="0.2">
      <c r="N697" s="44"/>
    </row>
    <row r="698" spans="14:14" ht="15.75" customHeight="1" x14ac:dyDescent="0.2">
      <c r="N698" s="44"/>
    </row>
    <row r="699" spans="14:14" ht="15.75" customHeight="1" x14ac:dyDescent="0.2">
      <c r="N699" s="44"/>
    </row>
    <row r="700" spans="14:14" ht="15.75" customHeight="1" x14ac:dyDescent="0.2">
      <c r="N700" s="44"/>
    </row>
    <row r="701" spans="14:14" ht="15.75" customHeight="1" x14ac:dyDescent="0.2">
      <c r="N701" s="44"/>
    </row>
    <row r="702" spans="14:14" ht="15.75" customHeight="1" x14ac:dyDescent="0.2">
      <c r="N702" s="44"/>
    </row>
    <row r="703" spans="14:14" ht="15.75" customHeight="1" x14ac:dyDescent="0.2">
      <c r="N703" s="44"/>
    </row>
    <row r="704" spans="14:14" ht="15.75" customHeight="1" x14ac:dyDescent="0.2">
      <c r="N704" s="44"/>
    </row>
    <row r="705" spans="14:14" ht="15.75" customHeight="1" x14ac:dyDescent="0.2">
      <c r="N705" s="44"/>
    </row>
    <row r="706" spans="14:14" ht="15.75" customHeight="1" x14ac:dyDescent="0.2">
      <c r="N706" s="44"/>
    </row>
    <row r="707" spans="14:14" ht="15.75" customHeight="1" x14ac:dyDescent="0.2">
      <c r="N707" s="44"/>
    </row>
    <row r="708" spans="14:14" ht="15.75" customHeight="1" x14ac:dyDescent="0.2">
      <c r="N708" s="44"/>
    </row>
    <row r="709" spans="14:14" ht="15.75" customHeight="1" x14ac:dyDescent="0.2">
      <c r="N709" s="44"/>
    </row>
    <row r="710" spans="14:14" ht="15.75" customHeight="1" x14ac:dyDescent="0.2">
      <c r="N710" s="44"/>
    </row>
    <row r="711" spans="14:14" ht="15.75" customHeight="1" x14ac:dyDescent="0.2">
      <c r="N711" s="44"/>
    </row>
    <row r="712" spans="14:14" ht="15.75" customHeight="1" x14ac:dyDescent="0.2">
      <c r="N712" s="44"/>
    </row>
    <row r="713" spans="14:14" ht="15.75" customHeight="1" x14ac:dyDescent="0.2">
      <c r="N713" s="44"/>
    </row>
    <row r="714" spans="14:14" ht="15.75" customHeight="1" x14ac:dyDescent="0.2">
      <c r="N714" s="44"/>
    </row>
    <row r="715" spans="14:14" ht="15.75" customHeight="1" x14ac:dyDescent="0.2">
      <c r="N715" s="44"/>
    </row>
    <row r="716" spans="14:14" ht="15.75" customHeight="1" x14ac:dyDescent="0.2">
      <c r="N716" s="44"/>
    </row>
    <row r="717" spans="14:14" ht="15.75" customHeight="1" x14ac:dyDescent="0.2">
      <c r="N717" s="44"/>
    </row>
    <row r="718" spans="14:14" ht="15.75" customHeight="1" x14ac:dyDescent="0.2">
      <c r="N718" s="44"/>
    </row>
    <row r="719" spans="14:14" ht="15.75" customHeight="1" x14ac:dyDescent="0.2">
      <c r="N719" s="44"/>
    </row>
    <row r="720" spans="14:14" ht="15.75" customHeight="1" x14ac:dyDescent="0.2">
      <c r="N720" s="44"/>
    </row>
    <row r="721" spans="14:14" ht="15.75" customHeight="1" x14ac:dyDescent="0.2">
      <c r="N721" s="44"/>
    </row>
    <row r="722" spans="14:14" ht="15.75" customHeight="1" x14ac:dyDescent="0.2">
      <c r="N722" s="44"/>
    </row>
    <row r="723" spans="14:14" ht="15.75" customHeight="1" x14ac:dyDescent="0.2">
      <c r="N723" s="44"/>
    </row>
    <row r="724" spans="14:14" ht="15.75" customHeight="1" x14ac:dyDescent="0.2">
      <c r="N724" s="44"/>
    </row>
    <row r="725" spans="14:14" ht="15.75" customHeight="1" x14ac:dyDescent="0.2">
      <c r="N725" s="44"/>
    </row>
    <row r="726" spans="14:14" ht="15.75" customHeight="1" x14ac:dyDescent="0.2">
      <c r="N726" s="44"/>
    </row>
    <row r="727" spans="14:14" ht="15.75" customHeight="1" x14ac:dyDescent="0.2">
      <c r="N727" s="44"/>
    </row>
    <row r="728" spans="14:14" ht="15.75" customHeight="1" x14ac:dyDescent="0.2">
      <c r="N728" s="44"/>
    </row>
    <row r="729" spans="14:14" ht="15.75" customHeight="1" x14ac:dyDescent="0.2">
      <c r="N729" s="44"/>
    </row>
    <row r="730" spans="14:14" ht="15.75" customHeight="1" x14ac:dyDescent="0.2">
      <c r="N730" s="44"/>
    </row>
    <row r="731" spans="14:14" ht="15.75" customHeight="1" x14ac:dyDescent="0.2">
      <c r="N731" s="44"/>
    </row>
    <row r="732" spans="14:14" ht="15.75" customHeight="1" x14ac:dyDescent="0.2">
      <c r="N732" s="44"/>
    </row>
    <row r="733" spans="14:14" ht="15.75" customHeight="1" x14ac:dyDescent="0.2">
      <c r="N733" s="44"/>
    </row>
    <row r="734" spans="14:14" ht="15.75" customHeight="1" x14ac:dyDescent="0.2">
      <c r="N734" s="44"/>
    </row>
    <row r="735" spans="14:14" ht="15.75" customHeight="1" x14ac:dyDescent="0.2">
      <c r="N735" s="44"/>
    </row>
    <row r="736" spans="14:14" ht="15.75" customHeight="1" x14ac:dyDescent="0.2">
      <c r="N736" s="44"/>
    </row>
    <row r="737" spans="14:14" ht="15.75" customHeight="1" x14ac:dyDescent="0.2">
      <c r="N737" s="44"/>
    </row>
    <row r="738" spans="14:14" ht="15.75" customHeight="1" x14ac:dyDescent="0.2">
      <c r="N738" s="44"/>
    </row>
    <row r="739" spans="14:14" ht="15.75" customHeight="1" x14ac:dyDescent="0.2">
      <c r="N739" s="44"/>
    </row>
    <row r="740" spans="14:14" ht="15.75" customHeight="1" x14ac:dyDescent="0.2">
      <c r="N740" s="44"/>
    </row>
    <row r="741" spans="14:14" ht="15.75" customHeight="1" x14ac:dyDescent="0.2">
      <c r="N741" s="44"/>
    </row>
    <row r="742" spans="14:14" ht="15.75" customHeight="1" x14ac:dyDescent="0.2">
      <c r="N742" s="44"/>
    </row>
    <row r="743" spans="14:14" ht="15.75" customHeight="1" x14ac:dyDescent="0.2">
      <c r="N743" s="44"/>
    </row>
    <row r="744" spans="14:14" ht="15.75" customHeight="1" x14ac:dyDescent="0.2">
      <c r="N744" s="44"/>
    </row>
    <row r="745" spans="14:14" ht="15.75" customHeight="1" x14ac:dyDescent="0.2">
      <c r="N745" s="44"/>
    </row>
    <row r="746" spans="14:14" ht="15.75" customHeight="1" x14ac:dyDescent="0.2">
      <c r="N746" s="44"/>
    </row>
    <row r="747" spans="14:14" ht="15.75" customHeight="1" x14ac:dyDescent="0.2">
      <c r="N747" s="44"/>
    </row>
    <row r="748" spans="14:14" ht="15.75" customHeight="1" x14ac:dyDescent="0.2">
      <c r="N748" s="44"/>
    </row>
    <row r="749" spans="14:14" ht="15.75" customHeight="1" x14ac:dyDescent="0.2">
      <c r="N749" s="44"/>
    </row>
    <row r="750" spans="14:14" ht="15.75" customHeight="1" x14ac:dyDescent="0.2">
      <c r="N750" s="44"/>
    </row>
    <row r="751" spans="14:14" ht="15.75" customHeight="1" x14ac:dyDescent="0.2">
      <c r="N751" s="44"/>
    </row>
    <row r="752" spans="14:14" ht="15.75" customHeight="1" x14ac:dyDescent="0.2">
      <c r="N752" s="44"/>
    </row>
    <row r="753" spans="14:14" ht="15.75" customHeight="1" x14ac:dyDescent="0.2">
      <c r="N753" s="44"/>
    </row>
    <row r="754" spans="14:14" ht="15.75" customHeight="1" x14ac:dyDescent="0.2">
      <c r="N754" s="44"/>
    </row>
    <row r="755" spans="14:14" ht="15.75" customHeight="1" x14ac:dyDescent="0.2">
      <c r="N755" s="44"/>
    </row>
    <row r="756" spans="14:14" ht="15.75" customHeight="1" x14ac:dyDescent="0.2">
      <c r="N756" s="44"/>
    </row>
    <row r="757" spans="14:14" ht="15.75" customHeight="1" x14ac:dyDescent="0.2">
      <c r="N757" s="44"/>
    </row>
    <row r="758" spans="14:14" ht="15.75" customHeight="1" x14ac:dyDescent="0.2">
      <c r="N758" s="44"/>
    </row>
    <row r="759" spans="14:14" ht="15.75" customHeight="1" x14ac:dyDescent="0.2">
      <c r="N759" s="44"/>
    </row>
    <row r="760" spans="14:14" ht="15.75" customHeight="1" x14ac:dyDescent="0.2">
      <c r="N760" s="44"/>
    </row>
    <row r="761" spans="14:14" ht="15.75" customHeight="1" x14ac:dyDescent="0.2">
      <c r="N761" s="44"/>
    </row>
    <row r="762" spans="14:14" ht="15.75" customHeight="1" x14ac:dyDescent="0.2">
      <c r="N762" s="44"/>
    </row>
    <row r="763" spans="14:14" ht="15.75" customHeight="1" x14ac:dyDescent="0.2">
      <c r="N763" s="44"/>
    </row>
    <row r="764" spans="14:14" ht="15.75" customHeight="1" x14ac:dyDescent="0.2">
      <c r="N764" s="44"/>
    </row>
    <row r="765" spans="14:14" ht="15.75" customHeight="1" x14ac:dyDescent="0.2">
      <c r="N765" s="44"/>
    </row>
    <row r="766" spans="14:14" ht="15.75" customHeight="1" x14ac:dyDescent="0.2">
      <c r="N766" s="44"/>
    </row>
    <row r="767" spans="14:14" ht="15.75" customHeight="1" x14ac:dyDescent="0.2">
      <c r="N767" s="44"/>
    </row>
    <row r="768" spans="14:14" ht="15.75" customHeight="1" x14ac:dyDescent="0.2">
      <c r="N768" s="44"/>
    </row>
    <row r="769" spans="14:14" ht="15.75" customHeight="1" x14ac:dyDescent="0.2">
      <c r="N769" s="44"/>
    </row>
    <row r="770" spans="14:14" ht="15.75" customHeight="1" x14ac:dyDescent="0.2">
      <c r="N770" s="44"/>
    </row>
    <row r="771" spans="14:14" ht="15.75" customHeight="1" x14ac:dyDescent="0.2">
      <c r="N771" s="44"/>
    </row>
    <row r="772" spans="14:14" ht="15.75" customHeight="1" x14ac:dyDescent="0.2">
      <c r="N772" s="44"/>
    </row>
    <row r="773" spans="14:14" ht="15.75" customHeight="1" x14ac:dyDescent="0.2">
      <c r="N773" s="44"/>
    </row>
    <row r="774" spans="14:14" ht="15.75" customHeight="1" x14ac:dyDescent="0.2">
      <c r="N774" s="44"/>
    </row>
    <row r="775" spans="14:14" ht="15.75" customHeight="1" x14ac:dyDescent="0.2">
      <c r="N775" s="44"/>
    </row>
    <row r="776" spans="14:14" ht="15.75" customHeight="1" x14ac:dyDescent="0.2">
      <c r="N776" s="44"/>
    </row>
    <row r="777" spans="14:14" ht="15.75" customHeight="1" x14ac:dyDescent="0.2">
      <c r="N777" s="44"/>
    </row>
    <row r="778" spans="14:14" ht="15.75" customHeight="1" x14ac:dyDescent="0.2">
      <c r="N778" s="44"/>
    </row>
    <row r="779" spans="14:14" ht="15.75" customHeight="1" x14ac:dyDescent="0.2">
      <c r="N779" s="44"/>
    </row>
    <row r="780" spans="14:14" ht="15.75" customHeight="1" x14ac:dyDescent="0.2">
      <c r="N780" s="44"/>
    </row>
    <row r="781" spans="14:14" ht="15.75" customHeight="1" x14ac:dyDescent="0.2">
      <c r="N781" s="44"/>
    </row>
    <row r="782" spans="14:14" ht="15.75" customHeight="1" x14ac:dyDescent="0.2">
      <c r="N782" s="44"/>
    </row>
    <row r="783" spans="14:14" ht="15.75" customHeight="1" x14ac:dyDescent="0.2">
      <c r="N783" s="44"/>
    </row>
    <row r="784" spans="14:14" ht="15.75" customHeight="1" x14ac:dyDescent="0.2">
      <c r="N784" s="44"/>
    </row>
    <row r="785" spans="14:14" ht="15.75" customHeight="1" x14ac:dyDescent="0.2">
      <c r="N785" s="44"/>
    </row>
    <row r="786" spans="14:14" ht="15.75" customHeight="1" x14ac:dyDescent="0.2">
      <c r="N786" s="44"/>
    </row>
    <row r="787" spans="14:14" ht="15.75" customHeight="1" x14ac:dyDescent="0.2">
      <c r="N787" s="44"/>
    </row>
    <row r="788" spans="14:14" ht="15.75" customHeight="1" x14ac:dyDescent="0.2">
      <c r="N788" s="44"/>
    </row>
    <row r="789" spans="14:14" ht="15.75" customHeight="1" x14ac:dyDescent="0.2">
      <c r="N789" s="44"/>
    </row>
    <row r="790" spans="14:14" ht="15.75" customHeight="1" x14ac:dyDescent="0.2">
      <c r="N790" s="44"/>
    </row>
    <row r="791" spans="14:14" ht="15.75" customHeight="1" x14ac:dyDescent="0.2">
      <c r="N791" s="44"/>
    </row>
    <row r="792" spans="14:14" ht="15.75" customHeight="1" x14ac:dyDescent="0.2">
      <c r="N792" s="44"/>
    </row>
    <row r="793" spans="14:14" ht="15.75" customHeight="1" x14ac:dyDescent="0.2">
      <c r="N793" s="44"/>
    </row>
    <row r="794" spans="14:14" ht="15.75" customHeight="1" x14ac:dyDescent="0.2">
      <c r="N794" s="44"/>
    </row>
    <row r="795" spans="14:14" ht="15.75" customHeight="1" x14ac:dyDescent="0.2">
      <c r="N795" s="44"/>
    </row>
    <row r="796" spans="14:14" ht="15.75" customHeight="1" x14ac:dyDescent="0.2">
      <c r="N796" s="44"/>
    </row>
    <row r="797" spans="14:14" ht="15.75" customHeight="1" x14ac:dyDescent="0.2">
      <c r="N797" s="44"/>
    </row>
    <row r="798" spans="14:14" ht="15.75" customHeight="1" x14ac:dyDescent="0.2">
      <c r="N798" s="44"/>
    </row>
    <row r="799" spans="14:14" ht="15.75" customHeight="1" x14ac:dyDescent="0.2">
      <c r="N799" s="44"/>
    </row>
    <row r="800" spans="14:14" ht="15.75" customHeight="1" x14ac:dyDescent="0.2">
      <c r="N800" s="44"/>
    </row>
    <row r="801" spans="14:14" ht="15.75" customHeight="1" x14ac:dyDescent="0.2">
      <c r="N801" s="44"/>
    </row>
    <row r="802" spans="14:14" ht="15.75" customHeight="1" x14ac:dyDescent="0.2">
      <c r="N802" s="44"/>
    </row>
    <row r="803" spans="14:14" ht="15.75" customHeight="1" x14ac:dyDescent="0.2">
      <c r="N803" s="44"/>
    </row>
    <row r="804" spans="14:14" ht="15.75" customHeight="1" x14ac:dyDescent="0.2">
      <c r="N804" s="44"/>
    </row>
    <row r="805" spans="14:14" ht="15.75" customHeight="1" x14ac:dyDescent="0.2">
      <c r="N805" s="44"/>
    </row>
    <row r="806" spans="14:14" ht="15.75" customHeight="1" x14ac:dyDescent="0.2">
      <c r="N806" s="44"/>
    </row>
    <row r="807" spans="14:14" ht="15.75" customHeight="1" x14ac:dyDescent="0.2">
      <c r="N807" s="44"/>
    </row>
    <row r="808" spans="14:14" ht="15.75" customHeight="1" x14ac:dyDescent="0.2">
      <c r="N808" s="44"/>
    </row>
    <row r="809" spans="14:14" ht="15.75" customHeight="1" x14ac:dyDescent="0.2">
      <c r="N809" s="44"/>
    </row>
    <row r="810" spans="14:14" ht="15.75" customHeight="1" x14ac:dyDescent="0.2">
      <c r="N810" s="44"/>
    </row>
    <row r="811" spans="14:14" ht="15.75" customHeight="1" x14ac:dyDescent="0.2">
      <c r="N811" s="44"/>
    </row>
    <row r="812" spans="14:14" ht="15.75" customHeight="1" x14ac:dyDescent="0.2">
      <c r="N812" s="44"/>
    </row>
    <row r="813" spans="14:14" ht="15.75" customHeight="1" x14ac:dyDescent="0.2">
      <c r="N813" s="44"/>
    </row>
    <row r="814" spans="14:14" ht="15.75" customHeight="1" x14ac:dyDescent="0.2">
      <c r="N814" s="44"/>
    </row>
    <row r="815" spans="14:14" ht="15.75" customHeight="1" x14ac:dyDescent="0.2">
      <c r="N815" s="44"/>
    </row>
    <row r="816" spans="14:14" ht="15.75" customHeight="1" x14ac:dyDescent="0.2">
      <c r="N816" s="44"/>
    </row>
    <row r="817" spans="14:14" ht="15.75" customHeight="1" x14ac:dyDescent="0.2">
      <c r="N817" s="44"/>
    </row>
    <row r="818" spans="14:14" ht="15.75" customHeight="1" x14ac:dyDescent="0.2">
      <c r="N818" s="44"/>
    </row>
    <row r="819" spans="14:14" ht="15.75" customHeight="1" x14ac:dyDescent="0.2">
      <c r="N819" s="44"/>
    </row>
    <row r="820" spans="14:14" ht="15.75" customHeight="1" x14ac:dyDescent="0.2">
      <c r="N820" s="44"/>
    </row>
    <row r="821" spans="14:14" ht="15.75" customHeight="1" x14ac:dyDescent="0.2">
      <c r="N821" s="44"/>
    </row>
    <row r="822" spans="14:14" ht="15.75" customHeight="1" x14ac:dyDescent="0.2">
      <c r="N822" s="44"/>
    </row>
    <row r="823" spans="14:14" ht="15.75" customHeight="1" x14ac:dyDescent="0.2">
      <c r="N823" s="44"/>
    </row>
    <row r="824" spans="14:14" ht="15.75" customHeight="1" x14ac:dyDescent="0.2">
      <c r="N824" s="44"/>
    </row>
    <row r="825" spans="14:14" ht="15.75" customHeight="1" x14ac:dyDescent="0.2">
      <c r="N825" s="44"/>
    </row>
    <row r="826" spans="14:14" ht="15.75" customHeight="1" x14ac:dyDescent="0.2">
      <c r="N826" s="44"/>
    </row>
    <row r="827" spans="14:14" ht="15.75" customHeight="1" x14ac:dyDescent="0.2">
      <c r="N827" s="44"/>
    </row>
    <row r="828" spans="14:14" ht="15.75" customHeight="1" x14ac:dyDescent="0.2">
      <c r="N828" s="44"/>
    </row>
    <row r="829" spans="14:14" ht="15.75" customHeight="1" x14ac:dyDescent="0.2">
      <c r="N829" s="44"/>
    </row>
    <row r="830" spans="14:14" ht="15.75" customHeight="1" x14ac:dyDescent="0.2">
      <c r="N830" s="44"/>
    </row>
    <row r="831" spans="14:14" ht="15.75" customHeight="1" x14ac:dyDescent="0.2">
      <c r="N831" s="44"/>
    </row>
    <row r="832" spans="14:14" ht="15.75" customHeight="1" x14ac:dyDescent="0.2">
      <c r="N832" s="44"/>
    </row>
    <row r="833" spans="14:14" ht="15.75" customHeight="1" x14ac:dyDescent="0.2">
      <c r="N833" s="44"/>
    </row>
    <row r="834" spans="14:14" ht="15.75" customHeight="1" x14ac:dyDescent="0.2">
      <c r="N834" s="44"/>
    </row>
    <row r="835" spans="14:14" ht="15.75" customHeight="1" x14ac:dyDescent="0.2">
      <c r="N835" s="44"/>
    </row>
    <row r="836" spans="14:14" ht="15.75" customHeight="1" x14ac:dyDescent="0.2">
      <c r="N836" s="44"/>
    </row>
    <row r="837" spans="14:14" ht="15.75" customHeight="1" x14ac:dyDescent="0.2">
      <c r="N837" s="44"/>
    </row>
    <row r="838" spans="14:14" ht="15.75" customHeight="1" x14ac:dyDescent="0.2">
      <c r="N838" s="44"/>
    </row>
    <row r="839" spans="14:14" ht="15.75" customHeight="1" x14ac:dyDescent="0.2">
      <c r="N839" s="44"/>
    </row>
    <row r="840" spans="14:14" ht="15.75" customHeight="1" x14ac:dyDescent="0.2">
      <c r="N840" s="44"/>
    </row>
    <row r="841" spans="14:14" ht="15.75" customHeight="1" x14ac:dyDescent="0.2">
      <c r="N841" s="44"/>
    </row>
    <row r="842" spans="14:14" ht="15.75" customHeight="1" x14ac:dyDescent="0.2">
      <c r="N842" s="44"/>
    </row>
    <row r="843" spans="14:14" ht="15.75" customHeight="1" x14ac:dyDescent="0.2">
      <c r="N843" s="44"/>
    </row>
    <row r="844" spans="14:14" ht="15.75" customHeight="1" x14ac:dyDescent="0.2">
      <c r="N844" s="44"/>
    </row>
    <row r="845" spans="14:14" ht="15.75" customHeight="1" x14ac:dyDescent="0.2">
      <c r="N845" s="44"/>
    </row>
    <row r="846" spans="14:14" ht="15.75" customHeight="1" x14ac:dyDescent="0.2">
      <c r="N846" s="44"/>
    </row>
    <row r="847" spans="14:14" ht="15.75" customHeight="1" x14ac:dyDescent="0.2">
      <c r="N847" s="44"/>
    </row>
    <row r="848" spans="14:14" ht="15.75" customHeight="1" x14ac:dyDescent="0.2">
      <c r="N848" s="44"/>
    </row>
    <row r="849" spans="14:14" ht="15.75" customHeight="1" x14ac:dyDescent="0.2">
      <c r="N849" s="44"/>
    </row>
    <row r="850" spans="14:14" ht="15.75" customHeight="1" x14ac:dyDescent="0.2">
      <c r="N850" s="44"/>
    </row>
    <row r="851" spans="14:14" ht="15.75" customHeight="1" x14ac:dyDescent="0.2">
      <c r="N851" s="44"/>
    </row>
    <row r="852" spans="14:14" ht="15.75" customHeight="1" x14ac:dyDescent="0.2">
      <c r="N852" s="44"/>
    </row>
    <row r="853" spans="14:14" ht="15.75" customHeight="1" x14ac:dyDescent="0.2">
      <c r="N853" s="44"/>
    </row>
    <row r="854" spans="14:14" ht="15.75" customHeight="1" x14ac:dyDescent="0.2">
      <c r="N854" s="44"/>
    </row>
    <row r="855" spans="14:14" ht="15.75" customHeight="1" x14ac:dyDescent="0.2">
      <c r="N855" s="44"/>
    </row>
    <row r="856" spans="14:14" ht="15.75" customHeight="1" x14ac:dyDescent="0.2">
      <c r="N856" s="44"/>
    </row>
    <row r="857" spans="14:14" ht="15.75" customHeight="1" x14ac:dyDescent="0.2">
      <c r="N857" s="44"/>
    </row>
    <row r="858" spans="14:14" ht="15.75" customHeight="1" x14ac:dyDescent="0.2">
      <c r="N858" s="44"/>
    </row>
    <row r="859" spans="14:14" ht="15.75" customHeight="1" x14ac:dyDescent="0.2">
      <c r="N859" s="44"/>
    </row>
    <row r="860" spans="14:14" ht="15.75" customHeight="1" x14ac:dyDescent="0.2">
      <c r="N860" s="44"/>
    </row>
    <row r="861" spans="14:14" ht="15.75" customHeight="1" x14ac:dyDescent="0.2">
      <c r="N861" s="44"/>
    </row>
    <row r="862" spans="14:14" ht="15.75" customHeight="1" x14ac:dyDescent="0.2">
      <c r="N862" s="44"/>
    </row>
    <row r="863" spans="14:14" ht="15.75" customHeight="1" x14ac:dyDescent="0.2">
      <c r="N863" s="44"/>
    </row>
    <row r="864" spans="14:14" ht="15.75" customHeight="1" x14ac:dyDescent="0.2">
      <c r="N864" s="44"/>
    </row>
    <row r="865" spans="14:14" ht="15.75" customHeight="1" x14ac:dyDescent="0.2">
      <c r="N865" s="44"/>
    </row>
    <row r="866" spans="14:14" ht="15.75" customHeight="1" x14ac:dyDescent="0.2">
      <c r="N866" s="44"/>
    </row>
    <row r="867" spans="14:14" ht="15.75" customHeight="1" x14ac:dyDescent="0.2">
      <c r="N867" s="44"/>
    </row>
    <row r="868" spans="14:14" ht="15.75" customHeight="1" x14ac:dyDescent="0.2">
      <c r="N868" s="44"/>
    </row>
    <row r="869" spans="14:14" ht="15.75" customHeight="1" x14ac:dyDescent="0.2">
      <c r="N869" s="44"/>
    </row>
    <row r="870" spans="14:14" ht="15.75" customHeight="1" x14ac:dyDescent="0.2">
      <c r="N870" s="44"/>
    </row>
    <row r="871" spans="14:14" ht="15.75" customHeight="1" x14ac:dyDescent="0.2">
      <c r="N871" s="44"/>
    </row>
    <row r="872" spans="14:14" ht="15.75" customHeight="1" x14ac:dyDescent="0.2">
      <c r="N872" s="44"/>
    </row>
    <row r="873" spans="14:14" ht="15.75" customHeight="1" x14ac:dyDescent="0.2">
      <c r="N873" s="44"/>
    </row>
    <row r="874" spans="14:14" ht="15.75" customHeight="1" x14ac:dyDescent="0.2">
      <c r="N874" s="44"/>
    </row>
    <row r="875" spans="14:14" ht="15.75" customHeight="1" x14ac:dyDescent="0.2">
      <c r="N875" s="44"/>
    </row>
    <row r="876" spans="14:14" ht="15.75" customHeight="1" x14ac:dyDescent="0.2">
      <c r="N876" s="44"/>
    </row>
    <row r="877" spans="14:14" ht="15.75" customHeight="1" x14ac:dyDescent="0.2">
      <c r="N877" s="44"/>
    </row>
    <row r="878" spans="14:14" ht="15.75" customHeight="1" x14ac:dyDescent="0.2">
      <c r="N878" s="44"/>
    </row>
    <row r="879" spans="14:14" ht="15.75" customHeight="1" x14ac:dyDescent="0.2">
      <c r="N879" s="44"/>
    </row>
    <row r="880" spans="14:14" ht="15.75" customHeight="1" x14ac:dyDescent="0.2">
      <c r="N880" s="44"/>
    </row>
    <row r="881" spans="14:14" ht="15.75" customHeight="1" x14ac:dyDescent="0.2">
      <c r="N881" s="44"/>
    </row>
    <row r="882" spans="14:14" ht="15.75" customHeight="1" x14ac:dyDescent="0.2">
      <c r="N882" s="44"/>
    </row>
    <row r="883" spans="14:14" ht="15.75" customHeight="1" x14ac:dyDescent="0.2">
      <c r="N883" s="44"/>
    </row>
    <row r="884" spans="14:14" ht="15.75" customHeight="1" x14ac:dyDescent="0.2">
      <c r="N884" s="44"/>
    </row>
    <row r="885" spans="14:14" ht="15.75" customHeight="1" x14ac:dyDescent="0.2">
      <c r="N885" s="44"/>
    </row>
    <row r="886" spans="14:14" ht="15.75" customHeight="1" x14ac:dyDescent="0.2">
      <c r="N886" s="44"/>
    </row>
    <row r="887" spans="14:14" ht="15.75" customHeight="1" x14ac:dyDescent="0.2">
      <c r="N887" s="44"/>
    </row>
    <row r="888" spans="14:14" ht="15.75" customHeight="1" x14ac:dyDescent="0.2">
      <c r="N888" s="44"/>
    </row>
    <row r="889" spans="14:14" ht="15.75" customHeight="1" x14ac:dyDescent="0.2">
      <c r="N889" s="44"/>
    </row>
    <row r="890" spans="14:14" ht="15.75" customHeight="1" x14ac:dyDescent="0.2">
      <c r="N890" s="44"/>
    </row>
    <row r="891" spans="14:14" ht="15.75" customHeight="1" x14ac:dyDescent="0.2">
      <c r="N891" s="44"/>
    </row>
    <row r="892" spans="14:14" ht="15.75" customHeight="1" x14ac:dyDescent="0.2">
      <c r="N892" s="44"/>
    </row>
    <row r="893" spans="14:14" ht="15.75" customHeight="1" x14ac:dyDescent="0.2">
      <c r="N893" s="44"/>
    </row>
    <row r="894" spans="14:14" ht="15.75" customHeight="1" x14ac:dyDescent="0.2">
      <c r="N894" s="44"/>
    </row>
    <row r="895" spans="14:14" ht="15.75" customHeight="1" x14ac:dyDescent="0.2">
      <c r="N895" s="44"/>
    </row>
    <row r="896" spans="14:14" ht="15.75" customHeight="1" x14ac:dyDescent="0.2">
      <c r="N896" s="44"/>
    </row>
    <row r="897" spans="14:14" ht="15.75" customHeight="1" x14ac:dyDescent="0.2">
      <c r="N897" s="44"/>
    </row>
    <row r="898" spans="14:14" ht="15.75" customHeight="1" x14ac:dyDescent="0.2">
      <c r="N898" s="44"/>
    </row>
    <row r="899" spans="14:14" ht="15.75" customHeight="1" x14ac:dyDescent="0.2">
      <c r="N899" s="44"/>
    </row>
    <row r="900" spans="14:14" ht="15.75" customHeight="1" x14ac:dyDescent="0.2">
      <c r="N900" s="44"/>
    </row>
    <row r="901" spans="14:14" ht="15.75" customHeight="1" x14ac:dyDescent="0.2">
      <c r="N901" s="44"/>
    </row>
    <row r="902" spans="14:14" ht="15.75" customHeight="1" x14ac:dyDescent="0.2">
      <c r="N902" s="44"/>
    </row>
    <row r="903" spans="14:14" ht="15.75" customHeight="1" x14ac:dyDescent="0.2">
      <c r="N903" s="44"/>
    </row>
    <row r="904" spans="14:14" ht="15.75" customHeight="1" x14ac:dyDescent="0.2">
      <c r="N904" s="44"/>
    </row>
    <row r="905" spans="14:14" ht="15.75" customHeight="1" x14ac:dyDescent="0.2">
      <c r="N905" s="44"/>
    </row>
    <row r="906" spans="14:14" ht="15.75" customHeight="1" x14ac:dyDescent="0.2">
      <c r="N906" s="44"/>
    </row>
    <row r="907" spans="14:14" ht="15.75" customHeight="1" x14ac:dyDescent="0.2">
      <c r="N907" s="44"/>
    </row>
    <row r="908" spans="14:14" ht="15.75" customHeight="1" x14ac:dyDescent="0.2">
      <c r="N908" s="44"/>
    </row>
    <row r="909" spans="14:14" ht="15.75" customHeight="1" x14ac:dyDescent="0.2">
      <c r="N909" s="44"/>
    </row>
    <row r="910" spans="14:14" ht="15.75" customHeight="1" x14ac:dyDescent="0.2">
      <c r="N910" s="44"/>
    </row>
    <row r="911" spans="14:14" ht="15.75" customHeight="1" x14ac:dyDescent="0.2">
      <c r="N911" s="44"/>
    </row>
    <row r="912" spans="14:14" ht="15.75" customHeight="1" x14ac:dyDescent="0.2">
      <c r="N912" s="44"/>
    </row>
    <row r="913" spans="14:14" ht="15.75" customHeight="1" x14ac:dyDescent="0.2">
      <c r="N913" s="44"/>
    </row>
    <row r="914" spans="14:14" ht="15.75" customHeight="1" x14ac:dyDescent="0.2">
      <c r="N914" s="44"/>
    </row>
    <row r="915" spans="14:14" ht="15.75" customHeight="1" x14ac:dyDescent="0.2">
      <c r="N915" s="44"/>
    </row>
    <row r="916" spans="14:14" ht="15.75" customHeight="1" x14ac:dyDescent="0.2">
      <c r="N916" s="44"/>
    </row>
    <row r="917" spans="14:14" ht="15.75" customHeight="1" x14ac:dyDescent="0.2">
      <c r="N917" s="44"/>
    </row>
    <row r="918" spans="14:14" ht="15.75" customHeight="1" x14ac:dyDescent="0.2">
      <c r="N918" s="44"/>
    </row>
    <row r="919" spans="14:14" ht="15.75" customHeight="1" x14ac:dyDescent="0.2">
      <c r="N919" s="44"/>
    </row>
    <row r="920" spans="14:14" ht="15.75" customHeight="1" x14ac:dyDescent="0.2">
      <c r="N920" s="44"/>
    </row>
    <row r="921" spans="14:14" ht="15.75" customHeight="1" x14ac:dyDescent="0.2">
      <c r="N921" s="44"/>
    </row>
    <row r="922" spans="14:14" ht="15.75" customHeight="1" x14ac:dyDescent="0.2">
      <c r="N922" s="44"/>
    </row>
    <row r="923" spans="14:14" ht="15.75" customHeight="1" x14ac:dyDescent="0.2">
      <c r="N923" s="44"/>
    </row>
    <row r="924" spans="14:14" ht="15.75" customHeight="1" x14ac:dyDescent="0.2">
      <c r="N924" s="44"/>
    </row>
    <row r="925" spans="14:14" ht="15.75" customHeight="1" x14ac:dyDescent="0.2">
      <c r="N925" s="44"/>
    </row>
    <row r="926" spans="14:14" ht="15.75" customHeight="1" x14ac:dyDescent="0.2">
      <c r="N926" s="44"/>
    </row>
    <row r="927" spans="14:14" ht="15.75" customHeight="1" x14ac:dyDescent="0.2">
      <c r="N927" s="44"/>
    </row>
    <row r="928" spans="14:14" ht="15.75" customHeight="1" x14ac:dyDescent="0.2">
      <c r="N928" s="44"/>
    </row>
    <row r="929" spans="14:14" ht="15.75" customHeight="1" x14ac:dyDescent="0.2">
      <c r="N929" s="44"/>
    </row>
    <row r="930" spans="14:14" ht="15.75" customHeight="1" x14ac:dyDescent="0.2">
      <c r="N930" s="44"/>
    </row>
    <row r="931" spans="14:14" ht="15.75" customHeight="1" x14ac:dyDescent="0.2">
      <c r="N931" s="44"/>
    </row>
    <row r="932" spans="14:14" ht="15.75" customHeight="1" x14ac:dyDescent="0.2">
      <c r="N932" s="44"/>
    </row>
    <row r="933" spans="14:14" ht="15.75" customHeight="1" x14ac:dyDescent="0.2">
      <c r="N933" s="44"/>
    </row>
    <row r="934" spans="14:14" ht="15.75" customHeight="1" x14ac:dyDescent="0.2">
      <c r="N934" s="44"/>
    </row>
    <row r="935" spans="14:14" ht="15.75" customHeight="1" x14ac:dyDescent="0.2">
      <c r="N935" s="44"/>
    </row>
    <row r="936" spans="14:14" ht="15.75" customHeight="1" x14ac:dyDescent="0.2">
      <c r="N936" s="44"/>
    </row>
    <row r="937" spans="14:14" ht="15.75" customHeight="1" x14ac:dyDescent="0.2">
      <c r="N937" s="44"/>
    </row>
    <row r="938" spans="14:14" ht="15.75" customHeight="1" x14ac:dyDescent="0.2">
      <c r="N938" s="44"/>
    </row>
    <row r="939" spans="14:14" ht="15.75" customHeight="1" x14ac:dyDescent="0.2">
      <c r="N939" s="44"/>
    </row>
    <row r="940" spans="14:14" ht="15.75" customHeight="1" x14ac:dyDescent="0.2">
      <c r="N940" s="44"/>
    </row>
    <row r="941" spans="14:14" ht="15.75" customHeight="1" x14ac:dyDescent="0.2">
      <c r="N941" s="44"/>
    </row>
    <row r="942" spans="14:14" ht="15.75" customHeight="1" x14ac:dyDescent="0.2">
      <c r="N942" s="44"/>
    </row>
    <row r="943" spans="14:14" ht="15.75" customHeight="1" x14ac:dyDescent="0.2">
      <c r="N943" s="44"/>
    </row>
    <row r="944" spans="14:14" ht="15.75" customHeight="1" x14ac:dyDescent="0.2">
      <c r="N944" s="44"/>
    </row>
    <row r="945" spans="14:14" ht="15.75" customHeight="1" x14ac:dyDescent="0.2">
      <c r="N945" s="44"/>
    </row>
    <row r="946" spans="14:14" ht="15.75" customHeight="1" x14ac:dyDescent="0.2">
      <c r="N946" s="44"/>
    </row>
    <row r="947" spans="14:14" ht="15.75" customHeight="1" x14ac:dyDescent="0.2">
      <c r="N947" s="44"/>
    </row>
    <row r="948" spans="14:14" ht="15.75" customHeight="1" x14ac:dyDescent="0.2">
      <c r="N948" s="44"/>
    </row>
    <row r="949" spans="14:14" ht="15.75" customHeight="1" x14ac:dyDescent="0.2">
      <c r="N949" s="44"/>
    </row>
    <row r="950" spans="14:14" ht="15.75" customHeight="1" x14ac:dyDescent="0.2">
      <c r="N950" s="44"/>
    </row>
    <row r="951" spans="14:14" ht="15.75" customHeight="1" x14ac:dyDescent="0.2">
      <c r="N951" s="44"/>
    </row>
    <row r="952" spans="14:14" ht="15.75" customHeight="1" x14ac:dyDescent="0.2">
      <c r="N952" s="44"/>
    </row>
    <row r="953" spans="14:14" ht="15.75" customHeight="1" x14ac:dyDescent="0.2">
      <c r="N953" s="44"/>
    </row>
    <row r="954" spans="14:14" ht="15.75" customHeight="1" x14ac:dyDescent="0.2">
      <c r="N954" s="44"/>
    </row>
    <row r="955" spans="14:14" ht="15.75" customHeight="1" x14ac:dyDescent="0.2">
      <c r="N955" s="44"/>
    </row>
    <row r="956" spans="14:14" ht="15.75" customHeight="1" x14ac:dyDescent="0.2">
      <c r="N956" s="44"/>
    </row>
    <row r="957" spans="14:14" ht="15.75" customHeight="1" x14ac:dyDescent="0.2">
      <c r="N957" s="44"/>
    </row>
    <row r="958" spans="14:14" ht="15.75" customHeight="1" x14ac:dyDescent="0.2">
      <c r="N958" s="44"/>
    </row>
    <row r="959" spans="14:14" ht="15.75" customHeight="1" x14ac:dyDescent="0.2">
      <c r="N959" s="44"/>
    </row>
    <row r="960" spans="14:14" ht="15.75" customHeight="1" x14ac:dyDescent="0.2">
      <c r="N960" s="44"/>
    </row>
    <row r="961" spans="14:14" ht="15.75" customHeight="1" x14ac:dyDescent="0.2">
      <c r="N961" s="44"/>
    </row>
    <row r="962" spans="14:14" ht="15.75" customHeight="1" x14ac:dyDescent="0.2">
      <c r="N962" s="44"/>
    </row>
    <row r="963" spans="14:14" ht="15.75" customHeight="1" x14ac:dyDescent="0.2">
      <c r="N963" s="44"/>
    </row>
    <row r="964" spans="14:14" ht="15.75" customHeight="1" x14ac:dyDescent="0.2">
      <c r="N964" s="44"/>
    </row>
    <row r="965" spans="14:14" ht="15.75" customHeight="1" x14ac:dyDescent="0.2">
      <c r="N965" s="44"/>
    </row>
    <row r="966" spans="14:14" ht="15.75" customHeight="1" x14ac:dyDescent="0.2">
      <c r="N966" s="44"/>
    </row>
    <row r="967" spans="14:14" ht="15.75" customHeight="1" x14ac:dyDescent="0.2">
      <c r="N967" s="44"/>
    </row>
    <row r="968" spans="14:14" ht="15.75" customHeight="1" x14ac:dyDescent="0.2">
      <c r="N968" s="44"/>
    </row>
    <row r="969" spans="14:14" ht="15.75" customHeight="1" x14ac:dyDescent="0.2">
      <c r="N969" s="44"/>
    </row>
    <row r="970" spans="14:14" ht="15.75" customHeight="1" x14ac:dyDescent="0.2">
      <c r="N970" s="44"/>
    </row>
    <row r="971" spans="14:14" ht="15.75" customHeight="1" x14ac:dyDescent="0.2">
      <c r="N971" s="44"/>
    </row>
    <row r="972" spans="14:14" ht="15.75" customHeight="1" x14ac:dyDescent="0.2">
      <c r="N972" s="44"/>
    </row>
    <row r="973" spans="14:14" ht="15.75" customHeight="1" x14ac:dyDescent="0.2">
      <c r="N973" s="44"/>
    </row>
    <row r="974" spans="14:14" ht="15.75" customHeight="1" x14ac:dyDescent="0.2">
      <c r="N974" s="44"/>
    </row>
    <row r="975" spans="14:14" ht="15.75" customHeight="1" x14ac:dyDescent="0.2">
      <c r="N975" s="44"/>
    </row>
    <row r="976" spans="14:14" ht="15.75" customHeight="1" x14ac:dyDescent="0.2">
      <c r="N976" s="44"/>
    </row>
    <row r="977" spans="14:14" ht="15.75" customHeight="1" x14ac:dyDescent="0.2">
      <c r="N977" s="44"/>
    </row>
    <row r="978" spans="14:14" ht="15.75" customHeight="1" x14ac:dyDescent="0.2">
      <c r="N978" s="44"/>
    </row>
    <row r="979" spans="14:14" ht="15.75" customHeight="1" x14ac:dyDescent="0.2">
      <c r="N979" s="44"/>
    </row>
    <row r="980" spans="14:14" ht="15.75" customHeight="1" x14ac:dyDescent="0.2">
      <c r="N980" s="44"/>
    </row>
    <row r="981" spans="14:14" ht="15.75" customHeight="1" x14ac:dyDescent="0.2">
      <c r="N981" s="44"/>
    </row>
    <row r="982" spans="14:14" ht="15.75" customHeight="1" x14ac:dyDescent="0.2">
      <c r="N982" s="44"/>
    </row>
    <row r="983" spans="14:14" ht="15.75" customHeight="1" x14ac:dyDescent="0.2">
      <c r="N983" s="44"/>
    </row>
    <row r="984" spans="14:14" ht="15.75" customHeight="1" x14ac:dyDescent="0.2">
      <c r="N984" s="44"/>
    </row>
    <row r="985" spans="14:14" ht="15.75" customHeight="1" x14ac:dyDescent="0.2">
      <c r="N985" s="44"/>
    </row>
    <row r="986" spans="14:14" ht="15.75" customHeight="1" x14ac:dyDescent="0.2">
      <c r="N986" s="44"/>
    </row>
    <row r="987" spans="14:14" ht="15.75" customHeight="1" x14ac:dyDescent="0.2">
      <c r="N987" s="44"/>
    </row>
    <row r="988" spans="14:14" ht="15.75" customHeight="1" x14ac:dyDescent="0.2">
      <c r="N988" s="44"/>
    </row>
    <row r="989" spans="14:14" ht="15.75" customHeight="1" x14ac:dyDescent="0.2">
      <c r="N989" s="44"/>
    </row>
    <row r="990" spans="14:14" ht="15.75" customHeight="1" x14ac:dyDescent="0.2">
      <c r="N990" s="44"/>
    </row>
    <row r="991" spans="14:14" ht="15.75" customHeight="1" x14ac:dyDescent="0.2">
      <c r="N991" s="44"/>
    </row>
    <row r="992" spans="14:14" ht="15.75" customHeight="1" x14ac:dyDescent="0.2">
      <c r="N992" s="44"/>
    </row>
    <row r="993" spans="14:14" ht="15.75" customHeight="1" x14ac:dyDescent="0.2">
      <c r="N993" s="44"/>
    </row>
    <row r="994" spans="14:14" ht="15.75" customHeight="1" x14ac:dyDescent="0.2">
      <c r="N994" s="44"/>
    </row>
    <row r="995" spans="14:14" ht="15.75" customHeight="1" x14ac:dyDescent="0.2">
      <c r="N995" s="44"/>
    </row>
    <row r="996" spans="14:14" ht="15.75" customHeight="1" x14ac:dyDescent="0.2">
      <c r="N996" s="44"/>
    </row>
    <row r="997" spans="14:14" ht="15.75" customHeight="1" x14ac:dyDescent="0.2">
      <c r="N997" s="44"/>
    </row>
    <row r="998" spans="14:14" ht="15.75" customHeight="1" x14ac:dyDescent="0.2">
      <c r="N998" s="44"/>
    </row>
    <row r="999" spans="14:14" ht="15.75" customHeight="1" x14ac:dyDescent="0.2">
      <c r="N999" s="44"/>
    </row>
    <row r="1000" spans="14:14" ht="15.75" customHeight="1" x14ac:dyDescent="0.2">
      <c r="N1000" s="44"/>
    </row>
  </sheetData>
  <mergeCells count="4">
    <mergeCell ref="R6:R8"/>
    <mergeCell ref="R13:R14"/>
    <mergeCell ref="R20:R22"/>
    <mergeCell ref="A1:AA4"/>
  </mergeCells>
  <conditionalFormatting sqref="N6:N16">
    <cfRule type="cellIs" dxfId="9" priority="1" operator="greaterThan">
      <formula>0</formula>
    </cfRule>
  </conditionalFormatting>
  <conditionalFormatting sqref="N6:N16">
    <cfRule type="cellIs" dxfId="8" priority="2" operator="lessThan">
      <formula>0</formula>
    </cfRule>
  </conditionalFormatting>
  <conditionalFormatting sqref="P6:P16">
    <cfRule type="cellIs" dxfId="7" priority="3" operator="greaterThan">
      <formula>0</formula>
    </cfRule>
  </conditionalFormatting>
  <conditionalFormatting sqref="P6:P16">
    <cfRule type="cellIs" dxfId="6" priority="4" operator="lessThan">
      <formula>0</formula>
    </cfRule>
  </conditionalFormatting>
  <conditionalFormatting sqref="Z6:Z15">
    <cfRule type="cellIs" dxfId="5" priority="5" operator="equal">
      <formula>"Выполнил"</formula>
    </cfRule>
  </conditionalFormatting>
  <conditionalFormatting sqref="Z6:Z15">
    <cfRule type="cellIs" dxfId="4" priority="6" operator="equal">
      <formula>"Нет"</formula>
    </cfRule>
  </conditionalFormatting>
  <conditionalFormatting sqref="AA6:AA15">
    <cfRule type="cellIs" dxfId="3" priority="7" operator="equal">
      <formula>"Выполнил"</formula>
    </cfRule>
  </conditionalFormatting>
  <conditionalFormatting sqref="AA6:AA15">
    <cfRule type="cellIs" dxfId="2" priority="8" operator="equal">
      <formula>"Нет"</formula>
    </cfRule>
  </conditionalFormatting>
  <pageMargins left="0.7" right="0.7" top="0.75" bottom="0.75" header="0" footer="0"/>
  <pageSetup orientation="landscape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954"/>
  <sheetViews>
    <sheetView showGridLines="0" tabSelected="1" workbookViewId="0">
      <selection activeCell="AI13" sqref="AI13"/>
    </sheetView>
  </sheetViews>
  <sheetFormatPr defaultColWidth="12.625" defaultRowHeight="15" customHeight="1" x14ac:dyDescent="0.2"/>
  <cols>
    <col min="1" max="1" width="21" customWidth="1"/>
    <col min="2" max="4" width="3.25" customWidth="1"/>
    <col min="5" max="7" width="3.5" customWidth="1"/>
    <col min="8" max="10" width="3.25" customWidth="1"/>
    <col min="11" max="11" width="3.5" customWidth="1"/>
    <col min="12" max="25" width="3.25" customWidth="1"/>
    <col min="26" max="26" width="3.5" customWidth="1"/>
    <col min="27" max="32" width="3.25" customWidth="1"/>
    <col min="33" max="33" width="11.5" customWidth="1"/>
    <col min="34" max="34" width="6.625" customWidth="1"/>
    <col min="35" max="35" width="24.625" customWidth="1"/>
    <col min="36" max="36" width="9.25" customWidth="1"/>
    <col min="37" max="37" width="12" customWidth="1"/>
    <col min="38" max="38" width="6.25" customWidth="1"/>
    <col min="39" max="39" width="4.875" customWidth="1"/>
    <col min="40" max="40" width="6.625" customWidth="1"/>
    <col min="41" max="41" width="7" customWidth="1"/>
    <col min="42" max="44" width="6.625" customWidth="1"/>
    <col min="45" max="45" width="6.625" hidden="1" customWidth="1"/>
    <col min="46" max="46" width="6.625" customWidth="1"/>
    <col min="47" max="47" width="5.75" customWidth="1"/>
    <col min="48" max="59" width="6.625" customWidth="1"/>
  </cols>
  <sheetData>
    <row r="1" spans="1:45" x14ac:dyDescent="0.25">
      <c r="O1" s="324" t="s">
        <v>56</v>
      </c>
      <c r="P1" s="313"/>
      <c r="Q1" s="313"/>
      <c r="R1" s="313"/>
      <c r="S1" s="313"/>
    </row>
    <row r="2" spans="1:45" x14ac:dyDescent="0.25">
      <c r="A2" s="123"/>
      <c r="B2" s="123"/>
      <c r="C2" s="123"/>
      <c r="D2" s="123"/>
      <c r="E2" s="123"/>
      <c r="F2" s="123"/>
      <c r="G2" s="123"/>
      <c r="H2" s="123"/>
      <c r="I2" s="123"/>
      <c r="J2" s="325" t="s">
        <v>57</v>
      </c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123"/>
      <c r="Z2" s="123"/>
      <c r="AA2" s="123"/>
      <c r="AB2" s="123"/>
      <c r="AC2" s="123"/>
      <c r="AD2" s="123"/>
      <c r="AE2" s="123"/>
      <c r="AF2" s="123"/>
      <c r="AG2" s="124"/>
      <c r="AP2" s="125"/>
    </row>
    <row r="3" spans="1:45" x14ac:dyDescent="0.25">
      <c r="A3" s="126" t="s">
        <v>0</v>
      </c>
      <c r="B3" s="127" t="s">
        <v>58</v>
      </c>
      <c r="C3" s="127" t="s">
        <v>59</v>
      </c>
      <c r="D3" s="127" t="s">
        <v>60</v>
      </c>
      <c r="E3" s="127" t="s">
        <v>61</v>
      </c>
      <c r="F3" s="127" t="s">
        <v>62</v>
      </c>
      <c r="G3" s="127" t="s">
        <v>63</v>
      </c>
      <c r="H3" s="127" t="s">
        <v>64</v>
      </c>
      <c r="I3" s="127" t="s">
        <v>65</v>
      </c>
      <c r="J3" s="127" t="s">
        <v>66</v>
      </c>
      <c r="K3" s="127" t="s">
        <v>67</v>
      </c>
      <c r="L3" s="127" t="s">
        <v>68</v>
      </c>
      <c r="M3" s="127" t="s">
        <v>69</v>
      </c>
      <c r="N3" s="127" t="s">
        <v>70</v>
      </c>
      <c r="O3" s="127" t="s">
        <v>71</v>
      </c>
      <c r="P3" s="127" t="s">
        <v>72</v>
      </c>
      <c r="Q3" s="127" t="s">
        <v>73</v>
      </c>
      <c r="R3" s="127" t="s">
        <v>74</v>
      </c>
      <c r="S3" s="127" t="s">
        <v>75</v>
      </c>
      <c r="T3" s="127" t="s">
        <v>76</v>
      </c>
      <c r="U3" s="127" t="s">
        <v>77</v>
      </c>
      <c r="V3" s="127" t="s">
        <v>78</v>
      </c>
      <c r="W3" s="127" t="s">
        <v>79</v>
      </c>
      <c r="X3" s="127" t="s">
        <v>80</v>
      </c>
      <c r="Y3" s="127" t="s">
        <v>81</v>
      </c>
      <c r="Z3" s="127" t="s">
        <v>82</v>
      </c>
      <c r="AA3" s="127" t="s">
        <v>83</v>
      </c>
      <c r="AB3" s="127" t="s">
        <v>84</v>
      </c>
      <c r="AC3" s="127" t="s">
        <v>85</v>
      </c>
      <c r="AD3" s="127" t="s">
        <v>86</v>
      </c>
      <c r="AE3" s="127" t="s">
        <v>87</v>
      </c>
      <c r="AF3" s="128" t="s">
        <v>88</v>
      </c>
      <c r="AG3" s="322" t="s">
        <v>89</v>
      </c>
      <c r="AI3" s="129" t="s">
        <v>90</v>
      </c>
      <c r="AJ3" s="130"/>
      <c r="AL3" s="130"/>
      <c r="AM3" s="130"/>
      <c r="AR3" s="131"/>
    </row>
    <row r="4" spans="1:45" ht="13.5" customHeight="1" x14ac:dyDescent="0.35">
      <c r="A4" s="132"/>
      <c r="B4" s="133" t="s">
        <v>91</v>
      </c>
      <c r="C4" s="133" t="s">
        <v>92</v>
      </c>
      <c r="D4" s="133" t="s">
        <v>93</v>
      </c>
      <c r="E4" s="133" t="s">
        <v>94</v>
      </c>
      <c r="F4" s="133" t="s">
        <v>95</v>
      </c>
      <c r="G4" s="133" t="s">
        <v>96</v>
      </c>
      <c r="H4" s="133" t="s">
        <v>97</v>
      </c>
      <c r="I4" s="133" t="s">
        <v>91</v>
      </c>
      <c r="J4" s="133" t="s">
        <v>92</v>
      </c>
      <c r="K4" s="133" t="s">
        <v>93</v>
      </c>
      <c r="L4" s="133" t="s">
        <v>94</v>
      </c>
      <c r="M4" s="133" t="s">
        <v>95</v>
      </c>
      <c r="N4" s="133" t="s">
        <v>96</v>
      </c>
      <c r="O4" s="133" t="s">
        <v>97</v>
      </c>
      <c r="P4" s="133" t="s">
        <v>91</v>
      </c>
      <c r="Q4" s="133" t="s">
        <v>92</v>
      </c>
      <c r="R4" s="133" t="s">
        <v>93</v>
      </c>
      <c r="S4" s="133" t="s">
        <v>94</v>
      </c>
      <c r="T4" s="133" t="s">
        <v>95</v>
      </c>
      <c r="U4" s="133" t="s">
        <v>96</v>
      </c>
      <c r="V4" s="133" t="s">
        <v>97</v>
      </c>
      <c r="W4" s="133" t="s">
        <v>91</v>
      </c>
      <c r="X4" s="133" t="s">
        <v>92</v>
      </c>
      <c r="Y4" s="133" t="s">
        <v>93</v>
      </c>
      <c r="Z4" s="133" t="s">
        <v>94</v>
      </c>
      <c r="AA4" s="133" t="s">
        <v>95</v>
      </c>
      <c r="AB4" s="133" t="s">
        <v>96</v>
      </c>
      <c r="AC4" s="133" t="s">
        <v>97</v>
      </c>
      <c r="AD4" s="133" t="s">
        <v>91</v>
      </c>
      <c r="AE4" s="133" t="s">
        <v>92</v>
      </c>
      <c r="AF4" s="133" t="s">
        <v>93</v>
      </c>
      <c r="AG4" s="323"/>
      <c r="AI4" s="134" t="s">
        <v>98</v>
      </c>
      <c r="AJ4" s="135" t="s">
        <v>37</v>
      </c>
      <c r="AK4" s="136"/>
      <c r="AL4" s="137"/>
      <c r="AM4" s="138"/>
      <c r="AR4" s="131"/>
      <c r="AS4" s="139" t="s">
        <v>11</v>
      </c>
    </row>
    <row r="5" spans="1:45" ht="13.5" customHeight="1" x14ac:dyDescent="0.35">
      <c r="A5" s="140" t="s">
        <v>99</v>
      </c>
      <c r="B5" s="141"/>
      <c r="C5" s="141"/>
      <c r="D5" s="141"/>
      <c r="E5" s="142"/>
      <c r="F5" s="142"/>
      <c r="G5" s="142"/>
      <c r="H5" s="141"/>
      <c r="I5" s="142"/>
      <c r="J5" s="142"/>
      <c r="K5" s="142">
        <v>1</v>
      </c>
      <c r="L5" s="142">
        <v>1</v>
      </c>
      <c r="M5" s="142">
        <v>1</v>
      </c>
      <c r="N5" s="142">
        <v>1</v>
      </c>
      <c r="O5" s="143"/>
      <c r="P5" s="142">
        <v>1</v>
      </c>
      <c r="Q5" s="142">
        <v>1</v>
      </c>
      <c r="R5" s="142">
        <v>1</v>
      </c>
      <c r="S5" s="142">
        <v>1</v>
      </c>
      <c r="T5" s="142">
        <v>1</v>
      </c>
      <c r="U5" s="142">
        <v>1</v>
      </c>
      <c r="V5" s="141"/>
      <c r="W5" s="142"/>
      <c r="X5" s="142"/>
      <c r="Y5" s="144"/>
      <c r="Z5" s="142"/>
      <c r="AA5" s="142"/>
      <c r="AB5" s="142"/>
      <c r="AC5" s="145"/>
      <c r="AD5" s="146"/>
      <c r="AE5" s="146"/>
      <c r="AF5" s="146"/>
      <c r="AG5" s="147">
        <f>SUM(B5:AF5)</f>
        <v>10</v>
      </c>
      <c r="AI5" s="148" t="s">
        <v>10</v>
      </c>
      <c r="AJ5" s="149">
        <f>E16+F17+G17+I16+J16+K16+M16+P17+Q17+R18+S18+T17+U17+W16+X18+Z16</f>
        <v>6144</v>
      </c>
      <c r="AK5" s="136"/>
      <c r="AL5" s="137"/>
      <c r="AM5" s="138"/>
      <c r="AR5" s="131"/>
      <c r="AS5" s="150"/>
    </row>
    <row r="6" spans="1:45" ht="13.5" customHeight="1" x14ac:dyDescent="0.35">
      <c r="A6" s="151" t="s">
        <v>10</v>
      </c>
      <c r="B6" s="141"/>
      <c r="C6" s="141"/>
      <c r="D6" s="141"/>
      <c r="E6" s="142">
        <v>1</v>
      </c>
      <c r="F6" s="142">
        <v>1</v>
      </c>
      <c r="G6" s="142">
        <v>1</v>
      </c>
      <c r="H6" s="141"/>
      <c r="I6" s="142">
        <v>1</v>
      </c>
      <c r="J6" s="142">
        <v>1</v>
      </c>
      <c r="K6" s="142">
        <v>1</v>
      </c>
      <c r="L6" s="142">
        <v>1</v>
      </c>
      <c r="M6" s="142">
        <v>1</v>
      </c>
      <c r="N6" s="142">
        <v>1</v>
      </c>
      <c r="O6" s="143"/>
      <c r="P6" s="142">
        <v>1</v>
      </c>
      <c r="Q6" s="142">
        <v>1</v>
      </c>
      <c r="R6" s="142">
        <v>1</v>
      </c>
      <c r="S6" s="142">
        <v>1</v>
      </c>
      <c r="T6" s="142">
        <v>1</v>
      </c>
      <c r="U6" s="142">
        <v>1</v>
      </c>
      <c r="V6" s="141"/>
      <c r="W6" s="142">
        <v>1</v>
      </c>
      <c r="X6" s="142">
        <v>1</v>
      </c>
      <c r="Y6" s="142" t="s">
        <v>100</v>
      </c>
      <c r="Z6" s="142">
        <v>1</v>
      </c>
      <c r="AA6" s="142"/>
      <c r="AB6" s="142"/>
      <c r="AC6" s="145"/>
      <c r="AD6" s="146"/>
      <c r="AE6" s="146"/>
      <c r="AF6" s="146"/>
      <c r="AG6" s="152">
        <f>SUBTOTAL(109,Данные!$B6:$AF6)</f>
        <v>18</v>
      </c>
      <c r="AI6" s="148" t="s">
        <v>12</v>
      </c>
      <c r="AJ6" s="149">
        <f>K16+S18+T17+U17+W16+X18+Y18+Z16</f>
        <v>3512</v>
      </c>
      <c r="AK6" s="136"/>
      <c r="AL6" s="137"/>
      <c r="AM6" s="138"/>
      <c r="AR6" s="131"/>
      <c r="AS6" s="150">
        <v>20000</v>
      </c>
    </row>
    <row r="7" spans="1:45" ht="13.5" customHeight="1" x14ac:dyDescent="0.25">
      <c r="A7" s="151" t="s">
        <v>12</v>
      </c>
      <c r="B7" s="141"/>
      <c r="C7" s="141"/>
      <c r="D7" s="143"/>
      <c r="E7" s="142" t="s">
        <v>100</v>
      </c>
      <c r="F7" s="142" t="s">
        <v>100</v>
      </c>
      <c r="G7" s="142" t="s">
        <v>100</v>
      </c>
      <c r="H7" s="141"/>
      <c r="I7" s="142" t="s">
        <v>100</v>
      </c>
      <c r="J7" s="142" t="s">
        <v>100</v>
      </c>
      <c r="K7" s="142">
        <v>1</v>
      </c>
      <c r="L7" s="142">
        <v>1</v>
      </c>
      <c r="M7" s="142" t="s">
        <v>100</v>
      </c>
      <c r="N7" s="142">
        <v>1</v>
      </c>
      <c r="O7" s="143"/>
      <c r="P7" s="142" t="s">
        <v>100</v>
      </c>
      <c r="Q7" s="142" t="s">
        <v>100</v>
      </c>
      <c r="R7" s="142" t="s">
        <v>100</v>
      </c>
      <c r="S7" s="142">
        <v>1</v>
      </c>
      <c r="T7" s="142">
        <v>1</v>
      </c>
      <c r="U7" s="142">
        <v>1</v>
      </c>
      <c r="V7" s="141"/>
      <c r="W7" s="142">
        <v>1</v>
      </c>
      <c r="X7" s="142">
        <v>1</v>
      </c>
      <c r="Y7" s="142">
        <v>1</v>
      </c>
      <c r="Z7" s="142">
        <v>1</v>
      </c>
      <c r="AA7" s="142"/>
      <c r="AB7" s="142"/>
      <c r="AC7" s="145"/>
      <c r="AD7" s="146"/>
      <c r="AE7" s="146"/>
      <c r="AF7" s="146"/>
      <c r="AG7" s="152">
        <f>SUBTOTAL(109,Данные!$B7:$AF7)</f>
        <v>10</v>
      </c>
      <c r="AI7" s="148" t="s">
        <v>13</v>
      </c>
      <c r="AJ7" s="149">
        <f>E16+F17+G17+I16+J16+M16+P17+Q17+R18+T17+U17+W16+X18+Y18+Z16</f>
        <v>5925</v>
      </c>
      <c r="AK7" s="136"/>
      <c r="AL7" s="137"/>
      <c r="AM7" s="138"/>
      <c r="AR7" s="131"/>
    </row>
    <row r="8" spans="1:45" ht="13.5" customHeight="1" x14ac:dyDescent="0.25">
      <c r="A8" s="151" t="s">
        <v>13</v>
      </c>
      <c r="B8" s="141"/>
      <c r="C8" s="141"/>
      <c r="D8" s="143"/>
      <c r="E8" s="142">
        <v>1</v>
      </c>
      <c r="F8" s="142">
        <v>1</v>
      </c>
      <c r="G8" s="142">
        <v>1</v>
      </c>
      <c r="H8" s="141"/>
      <c r="I8" s="142">
        <v>1</v>
      </c>
      <c r="J8" s="142">
        <v>1</v>
      </c>
      <c r="K8" s="142" t="s">
        <v>100</v>
      </c>
      <c r="L8" s="142">
        <v>1</v>
      </c>
      <c r="M8" s="142">
        <v>1</v>
      </c>
      <c r="N8" s="142">
        <v>1</v>
      </c>
      <c r="O8" s="143"/>
      <c r="P8" s="142">
        <v>1</v>
      </c>
      <c r="Q8" s="142">
        <v>1</v>
      </c>
      <c r="R8" s="142">
        <v>1</v>
      </c>
      <c r="S8" s="142" t="s">
        <v>100</v>
      </c>
      <c r="T8" s="142">
        <v>1</v>
      </c>
      <c r="U8" s="142">
        <v>1</v>
      </c>
      <c r="V8" s="141"/>
      <c r="W8" s="142">
        <v>1</v>
      </c>
      <c r="X8" s="142">
        <v>1</v>
      </c>
      <c r="Y8" s="142">
        <v>1</v>
      </c>
      <c r="Z8" s="142">
        <v>1</v>
      </c>
      <c r="AA8" s="142"/>
      <c r="AB8" s="142"/>
      <c r="AC8" s="141"/>
      <c r="AD8" s="146"/>
      <c r="AE8" s="146"/>
      <c r="AF8" s="78"/>
      <c r="AG8" s="152">
        <f>SUBTOTAL(109,Данные!$B8:$AF8)</f>
        <v>17</v>
      </c>
      <c r="AI8" s="148" t="s">
        <v>15</v>
      </c>
      <c r="AJ8" s="149">
        <f>E16+I16+J16+K16+M16+T17+U17+W16+Z16</f>
        <v>2411</v>
      </c>
      <c r="AK8" s="136"/>
      <c r="AL8" s="137"/>
      <c r="AM8" s="138"/>
    </row>
    <row r="9" spans="1:45" ht="13.5" customHeight="1" x14ac:dyDescent="0.25">
      <c r="A9" s="151" t="s">
        <v>15</v>
      </c>
      <c r="B9" s="143"/>
      <c r="C9" s="141"/>
      <c r="D9" s="143"/>
      <c r="E9" s="142">
        <v>1</v>
      </c>
      <c r="F9" s="142" t="s">
        <v>100</v>
      </c>
      <c r="G9" s="142" t="s">
        <v>100</v>
      </c>
      <c r="H9" s="141"/>
      <c r="I9" s="142">
        <v>1</v>
      </c>
      <c r="J9" s="142">
        <v>1</v>
      </c>
      <c r="K9" s="142">
        <v>1</v>
      </c>
      <c r="L9" s="142">
        <v>1</v>
      </c>
      <c r="M9" s="142">
        <v>1</v>
      </c>
      <c r="N9" s="142">
        <v>1</v>
      </c>
      <c r="O9" s="143"/>
      <c r="P9" s="142" t="s">
        <v>100</v>
      </c>
      <c r="Q9" s="142" t="s">
        <v>100</v>
      </c>
      <c r="R9" s="142" t="s">
        <v>100</v>
      </c>
      <c r="S9" s="142" t="s">
        <v>100</v>
      </c>
      <c r="T9" s="142">
        <v>1</v>
      </c>
      <c r="U9" s="142">
        <v>1</v>
      </c>
      <c r="V9" s="141"/>
      <c r="W9" s="142">
        <v>1</v>
      </c>
      <c r="X9" s="142" t="s">
        <v>100</v>
      </c>
      <c r="Y9" s="142" t="s">
        <v>100</v>
      </c>
      <c r="Z9" s="142">
        <v>1</v>
      </c>
      <c r="AA9" s="142"/>
      <c r="AB9" s="142"/>
      <c r="AC9" s="145"/>
      <c r="AD9" s="146"/>
      <c r="AE9" s="146"/>
      <c r="AF9" s="146"/>
      <c r="AG9" s="152">
        <f>SUBTOTAL(109,Данные!$B9:$AF9)</f>
        <v>11</v>
      </c>
      <c r="AI9" s="148" t="s">
        <v>16</v>
      </c>
      <c r="AJ9" s="149">
        <f>E16+F17+G17+I16+J16+K16+M16+P17+Q17+R18+S18+Y18+Z16</f>
        <v>5047</v>
      </c>
      <c r="AK9" s="136"/>
      <c r="AL9" s="137"/>
      <c r="AM9" s="138"/>
    </row>
    <row r="10" spans="1:45" ht="13.5" customHeight="1" x14ac:dyDescent="0.25">
      <c r="A10" s="151" t="s">
        <v>16</v>
      </c>
      <c r="B10" s="141"/>
      <c r="C10" s="141"/>
      <c r="D10" s="143"/>
      <c r="E10" s="142">
        <v>1</v>
      </c>
      <c r="F10" s="142">
        <v>1</v>
      </c>
      <c r="G10" s="142">
        <v>1</v>
      </c>
      <c r="H10" s="141"/>
      <c r="I10" s="142">
        <v>1</v>
      </c>
      <c r="J10" s="142">
        <v>1</v>
      </c>
      <c r="K10" s="142">
        <v>1</v>
      </c>
      <c r="L10" s="142">
        <v>1</v>
      </c>
      <c r="M10" s="142">
        <v>1</v>
      </c>
      <c r="N10" s="142">
        <v>1</v>
      </c>
      <c r="O10" s="143"/>
      <c r="P10" s="142">
        <v>1</v>
      </c>
      <c r="Q10" s="142">
        <v>1</v>
      </c>
      <c r="R10" s="142">
        <v>1</v>
      </c>
      <c r="S10" s="142">
        <v>1</v>
      </c>
      <c r="T10" s="142" t="s">
        <v>100</v>
      </c>
      <c r="U10" s="142" t="s">
        <v>100</v>
      </c>
      <c r="V10" s="141"/>
      <c r="W10" s="142" t="s">
        <v>100</v>
      </c>
      <c r="X10" s="142" t="s">
        <v>100</v>
      </c>
      <c r="Y10" s="142">
        <v>1</v>
      </c>
      <c r="Z10" s="142">
        <v>1</v>
      </c>
      <c r="AA10" s="142"/>
      <c r="AB10" s="142"/>
      <c r="AC10" s="145"/>
      <c r="AD10" s="146"/>
      <c r="AE10" s="146"/>
      <c r="AF10" s="146"/>
      <c r="AG10" s="152">
        <f>SUBTOTAL(109,Данные!$B10:$AF10)</f>
        <v>15</v>
      </c>
      <c r="AI10" s="148" t="s">
        <v>17</v>
      </c>
      <c r="AJ10" s="149">
        <f>E16+F17+G17+I16+J16+K16+M16+P17+Q17+R18+S18+T17+U17+W16+X18+Y18+Z16</f>
        <v>6803</v>
      </c>
      <c r="AK10" s="136"/>
      <c r="AL10" s="137"/>
      <c r="AM10" s="138"/>
    </row>
    <row r="11" spans="1:45" ht="13.5" customHeight="1" x14ac:dyDescent="0.35">
      <c r="A11" s="151" t="s">
        <v>17</v>
      </c>
      <c r="B11" s="153"/>
      <c r="C11" s="153"/>
      <c r="D11" s="143"/>
      <c r="E11" s="142">
        <v>1</v>
      </c>
      <c r="F11" s="142">
        <v>1</v>
      </c>
      <c r="G11" s="142">
        <v>1</v>
      </c>
      <c r="H11" s="141"/>
      <c r="I11" s="142">
        <v>1</v>
      </c>
      <c r="J11" s="142">
        <v>1</v>
      </c>
      <c r="K11" s="142">
        <v>1</v>
      </c>
      <c r="L11" s="142">
        <v>1</v>
      </c>
      <c r="M11" s="142">
        <v>1</v>
      </c>
      <c r="N11" s="142">
        <v>1</v>
      </c>
      <c r="O11" s="143"/>
      <c r="P11" s="142">
        <v>1</v>
      </c>
      <c r="Q11" s="142">
        <v>1</v>
      </c>
      <c r="R11" s="142">
        <v>1</v>
      </c>
      <c r="S11" s="142">
        <v>1</v>
      </c>
      <c r="T11" s="142">
        <v>1</v>
      </c>
      <c r="U11" s="142">
        <v>1</v>
      </c>
      <c r="V11" s="141"/>
      <c r="W11" s="142">
        <v>1</v>
      </c>
      <c r="X11" s="142">
        <v>1</v>
      </c>
      <c r="Y11" s="142">
        <v>1</v>
      </c>
      <c r="Z11" s="142">
        <v>1</v>
      </c>
      <c r="AA11" s="142"/>
      <c r="AB11" s="142"/>
      <c r="AC11" s="145"/>
      <c r="AD11" s="146"/>
      <c r="AE11" s="146"/>
      <c r="AF11" s="146"/>
      <c r="AG11" s="152">
        <f>SUBTOTAL(109,Данные!$B11:$AF11)</f>
        <v>19</v>
      </c>
      <c r="AI11" s="148" t="s">
        <v>19</v>
      </c>
      <c r="AJ11" s="149">
        <f>E16+F17+G17+I16+J16+K16+M16+P17+Q17+W16</f>
        <v>3070</v>
      </c>
      <c r="AK11" s="136"/>
      <c r="AL11" s="137"/>
      <c r="AM11" s="138"/>
      <c r="AS11" s="139" t="s">
        <v>11</v>
      </c>
    </row>
    <row r="12" spans="1:45" ht="13.5" customHeight="1" x14ac:dyDescent="0.35">
      <c r="A12" s="140" t="s">
        <v>52</v>
      </c>
      <c r="B12" s="143"/>
      <c r="C12" s="141"/>
      <c r="D12" s="143"/>
      <c r="E12" s="142" t="s">
        <v>100</v>
      </c>
      <c r="F12" s="142" t="s">
        <v>100</v>
      </c>
      <c r="G12" s="142">
        <v>1</v>
      </c>
      <c r="H12" s="141"/>
      <c r="I12" s="142" t="s">
        <v>100</v>
      </c>
      <c r="J12" s="142" t="s">
        <v>100</v>
      </c>
      <c r="K12" s="142" t="s">
        <v>100</v>
      </c>
      <c r="L12" s="142" t="s">
        <v>100</v>
      </c>
      <c r="M12" s="142">
        <v>1</v>
      </c>
      <c r="N12" s="142">
        <v>1</v>
      </c>
      <c r="O12" s="141"/>
      <c r="P12" s="142">
        <v>1</v>
      </c>
      <c r="Q12" s="142">
        <v>1</v>
      </c>
      <c r="R12" s="142">
        <v>1</v>
      </c>
      <c r="S12" s="142">
        <v>1</v>
      </c>
      <c r="T12" s="142" t="s">
        <v>100</v>
      </c>
      <c r="U12" s="142">
        <v>1</v>
      </c>
      <c r="V12" s="141"/>
      <c r="W12" s="142" t="s">
        <v>100</v>
      </c>
      <c r="X12" s="142" t="s">
        <v>100</v>
      </c>
      <c r="Y12" s="142" t="s">
        <v>100</v>
      </c>
      <c r="Z12" s="142" t="s">
        <v>100</v>
      </c>
      <c r="AA12" s="142"/>
      <c r="AB12" s="142"/>
      <c r="AC12" s="145"/>
      <c r="AD12" s="146"/>
      <c r="AE12" s="146"/>
      <c r="AF12" s="146"/>
      <c r="AG12" s="152">
        <f>SUBTOTAL(109,Данные!$B12:$AF12)</f>
        <v>8</v>
      </c>
      <c r="AI12" s="154"/>
      <c r="AJ12" s="138"/>
      <c r="AK12" s="136"/>
      <c r="AL12" s="137"/>
      <c r="AM12" s="138"/>
      <c r="AS12" s="150">
        <v>20000</v>
      </c>
    </row>
    <row r="13" spans="1:45" ht="13.5" customHeight="1" x14ac:dyDescent="0.25">
      <c r="A13" s="155" t="s">
        <v>19</v>
      </c>
      <c r="B13" s="156"/>
      <c r="C13" s="156"/>
      <c r="D13" s="143"/>
      <c r="E13" s="157">
        <v>1</v>
      </c>
      <c r="F13" s="157">
        <v>1</v>
      </c>
      <c r="G13" s="157">
        <v>1</v>
      </c>
      <c r="H13" s="156"/>
      <c r="I13" s="157">
        <v>1</v>
      </c>
      <c r="J13" s="157">
        <v>1</v>
      </c>
      <c r="K13" s="142">
        <v>1</v>
      </c>
      <c r="L13" s="157">
        <v>1</v>
      </c>
      <c r="M13" s="157">
        <v>1</v>
      </c>
      <c r="N13" s="157">
        <v>1</v>
      </c>
      <c r="O13" s="158"/>
      <c r="P13" s="157">
        <v>1</v>
      </c>
      <c r="Q13" s="157">
        <v>1</v>
      </c>
      <c r="R13" s="142" t="s">
        <v>100</v>
      </c>
      <c r="S13" s="157" t="s">
        <v>100</v>
      </c>
      <c r="T13" s="157" t="s">
        <v>100</v>
      </c>
      <c r="U13" s="157" t="s">
        <v>100</v>
      </c>
      <c r="V13" s="156"/>
      <c r="W13" s="157">
        <v>1</v>
      </c>
      <c r="X13" s="157" t="s">
        <v>100</v>
      </c>
      <c r="Y13" s="142" t="s">
        <v>100</v>
      </c>
      <c r="Z13" s="157" t="s">
        <v>100</v>
      </c>
      <c r="AA13" s="157"/>
      <c r="AB13" s="157"/>
      <c r="AC13" s="159"/>
      <c r="AD13" s="160"/>
      <c r="AE13" s="160"/>
      <c r="AF13" s="146"/>
      <c r="AG13" s="152">
        <f>SUBTOTAL(109,Данные!$B13:$AF13)</f>
        <v>12</v>
      </c>
      <c r="AI13" s="154"/>
      <c r="AJ13" s="138"/>
      <c r="AK13" s="136"/>
      <c r="AL13" s="137"/>
      <c r="AM13" s="138"/>
    </row>
    <row r="14" spans="1:45" x14ac:dyDescent="0.25">
      <c r="A14" s="151" t="s">
        <v>20</v>
      </c>
      <c r="B14" s="161"/>
      <c r="C14" s="161"/>
      <c r="D14" s="143"/>
      <c r="E14" s="162">
        <v>1</v>
      </c>
      <c r="F14" s="162">
        <v>1</v>
      </c>
      <c r="G14" s="162">
        <v>1</v>
      </c>
      <c r="H14" s="161"/>
      <c r="I14" s="162">
        <v>1</v>
      </c>
      <c r="J14" s="162">
        <v>1</v>
      </c>
      <c r="K14" s="142">
        <v>1</v>
      </c>
      <c r="L14" s="162">
        <v>1</v>
      </c>
      <c r="M14" s="162">
        <v>1</v>
      </c>
      <c r="N14" s="162">
        <v>1</v>
      </c>
      <c r="O14" s="161"/>
      <c r="P14" s="162">
        <v>1</v>
      </c>
      <c r="Q14" s="162">
        <v>1</v>
      </c>
      <c r="R14" s="142">
        <v>1</v>
      </c>
      <c r="S14" s="162">
        <v>1</v>
      </c>
      <c r="T14" s="162">
        <v>1</v>
      </c>
      <c r="U14" s="162">
        <v>1</v>
      </c>
      <c r="V14" s="161"/>
      <c r="W14" s="162">
        <v>1</v>
      </c>
      <c r="X14" s="162">
        <v>1</v>
      </c>
      <c r="Y14" s="142">
        <v>1</v>
      </c>
      <c r="Z14" s="162">
        <v>1</v>
      </c>
      <c r="AA14" s="162">
        <v>1</v>
      </c>
      <c r="AB14" s="162">
        <v>1</v>
      </c>
      <c r="AC14" s="161"/>
      <c r="AD14" s="162"/>
      <c r="AE14" s="163"/>
      <c r="AF14" s="146"/>
      <c r="AG14" s="152">
        <f>SUBTOTAL(109,Данные!$B14:$AF14)</f>
        <v>21</v>
      </c>
      <c r="AI14" s="164"/>
      <c r="AJ14" s="138"/>
      <c r="AK14" s="136"/>
      <c r="AL14" s="138"/>
      <c r="AM14" s="164"/>
      <c r="AP14" s="125"/>
    </row>
    <row r="15" spans="1:45" hidden="1" x14ac:dyDescent="0.25">
      <c r="A15" s="165" t="s">
        <v>101</v>
      </c>
      <c r="B15" s="161">
        <v>0</v>
      </c>
      <c r="C15" s="161">
        <v>0</v>
      </c>
      <c r="D15" s="161">
        <v>0</v>
      </c>
      <c r="E15" s="162">
        <f t="shared" ref="E15:AF15" si="0">SUM(E6:E11,E13)</f>
        <v>6</v>
      </c>
      <c r="F15" s="162">
        <f t="shared" si="0"/>
        <v>5</v>
      </c>
      <c r="G15" s="162">
        <f t="shared" si="0"/>
        <v>5</v>
      </c>
      <c r="H15" s="162">
        <f t="shared" si="0"/>
        <v>0</v>
      </c>
      <c r="I15" s="162">
        <f t="shared" si="0"/>
        <v>6</v>
      </c>
      <c r="J15" s="162">
        <f t="shared" si="0"/>
        <v>6</v>
      </c>
      <c r="K15" s="162">
        <f t="shared" si="0"/>
        <v>6</v>
      </c>
      <c r="L15" s="162">
        <f t="shared" si="0"/>
        <v>7</v>
      </c>
      <c r="M15" s="162">
        <f t="shared" si="0"/>
        <v>6</v>
      </c>
      <c r="N15" s="162">
        <f t="shared" si="0"/>
        <v>7</v>
      </c>
      <c r="O15" s="162">
        <f t="shared" si="0"/>
        <v>0</v>
      </c>
      <c r="P15" s="162">
        <f t="shared" si="0"/>
        <v>5</v>
      </c>
      <c r="Q15" s="162">
        <f t="shared" si="0"/>
        <v>5</v>
      </c>
      <c r="R15" s="162">
        <f t="shared" si="0"/>
        <v>4</v>
      </c>
      <c r="S15" s="162">
        <f t="shared" si="0"/>
        <v>4</v>
      </c>
      <c r="T15" s="162">
        <f t="shared" si="0"/>
        <v>5</v>
      </c>
      <c r="U15" s="162">
        <f t="shared" si="0"/>
        <v>5</v>
      </c>
      <c r="V15" s="162">
        <f t="shared" si="0"/>
        <v>0</v>
      </c>
      <c r="W15" s="162">
        <f t="shared" si="0"/>
        <v>6</v>
      </c>
      <c r="X15" s="162">
        <f t="shared" si="0"/>
        <v>4</v>
      </c>
      <c r="Y15" s="162">
        <f t="shared" si="0"/>
        <v>4</v>
      </c>
      <c r="Z15" s="162">
        <f t="shared" si="0"/>
        <v>6</v>
      </c>
      <c r="AA15" s="162">
        <f t="shared" si="0"/>
        <v>0</v>
      </c>
      <c r="AB15" s="162">
        <f t="shared" si="0"/>
        <v>0</v>
      </c>
      <c r="AC15" s="162">
        <f t="shared" si="0"/>
        <v>0</v>
      </c>
      <c r="AD15" s="162">
        <f t="shared" si="0"/>
        <v>0</v>
      </c>
      <c r="AE15" s="162">
        <f t="shared" si="0"/>
        <v>0</v>
      </c>
      <c r="AF15" s="162">
        <f t="shared" si="0"/>
        <v>0</v>
      </c>
      <c r="AG15" s="152"/>
      <c r="AI15" s="2"/>
      <c r="AJ15" s="36"/>
      <c r="AK15" s="36"/>
      <c r="AL15" s="36"/>
      <c r="AM15" s="2"/>
      <c r="AP15" s="125"/>
    </row>
    <row r="16" spans="1:45" ht="15.75" customHeight="1" x14ac:dyDescent="0.25">
      <c r="A16" s="166" t="s">
        <v>102</v>
      </c>
      <c r="B16" s="167">
        <f t="shared" ref="B16:AF16" si="1">IF(B15=6,219,0)</f>
        <v>0</v>
      </c>
      <c r="C16" s="167">
        <f t="shared" si="1"/>
        <v>0</v>
      </c>
      <c r="D16" s="167">
        <f t="shared" si="1"/>
        <v>0</v>
      </c>
      <c r="E16" s="167">
        <f t="shared" si="1"/>
        <v>219</v>
      </c>
      <c r="F16" s="167">
        <f t="shared" si="1"/>
        <v>0</v>
      </c>
      <c r="G16" s="167">
        <f t="shared" si="1"/>
        <v>0</v>
      </c>
      <c r="H16" s="167">
        <f t="shared" si="1"/>
        <v>0</v>
      </c>
      <c r="I16" s="167">
        <f t="shared" si="1"/>
        <v>219</v>
      </c>
      <c r="J16" s="167">
        <f t="shared" si="1"/>
        <v>219</v>
      </c>
      <c r="K16" s="167">
        <f t="shared" si="1"/>
        <v>219</v>
      </c>
      <c r="L16" s="167">
        <f t="shared" si="1"/>
        <v>0</v>
      </c>
      <c r="M16" s="167">
        <f t="shared" si="1"/>
        <v>219</v>
      </c>
      <c r="N16" s="167">
        <f t="shared" si="1"/>
        <v>0</v>
      </c>
      <c r="O16" s="167">
        <f t="shared" si="1"/>
        <v>0</v>
      </c>
      <c r="P16" s="167">
        <f t="shared" si="1"/>
        <v>0</v>
      </c>
      <c r="Q16" s="167">
        <f t="shared" si="1"/>
        <v>0</v>
      </c>
      <c r="R16" s="167">
        <f t="shared" si="1"/>
        <v>0</v>
      </c>
      <c r="S16" s="167">
        <f t="shared" si="1"/>
        <v>0</v>
      </c>
      <c r="T16" s="167">
        <f t="shared" si="1"/>
        <v>0</v>
      </c>
      <c r="U16" s="167">
        <f t="shared" si="1"/>
        <v>0</v>
      </c>
      <c r="V16" s="167">
        <f t="shared" si="1"/>
        <v>0</v>
      </c>
      <c r="W16" s="167">
        <f t="shared" si="1"/>
        <v>219</v>
      </c>
      <c r="X16" s="167">
        <f t="shared" si="1"/>
        <v>0</v>
      </c>
      <c r="Y16" s="167">
        <f t="shared" si="1"/>
        <v>0</v>
      </c>
      <c r="Z16" s="167">
        <f t="shared" si="1"/>
        <v>219</v>
      </c>
      <c r="AA16" s="167">
        <f t="shared" si="1"/>
        <v>0</v>
      </c>
      <c r="AB16" s="167">
        <f t="shared" si="1"/>
        <v>0</v>
      </c>
      <c r="AC16" s="167">
        <f t="shared" si="1"/>
        <v>0</v>
      </c>
      <c r="AD16" s="167">
        <f t="shared" si="1"/>
        <v>0</v>
      </c>
      <c r="AE16" s="167">
        <f t="shared" si="1"/>
        <v>0</v>
      </c>
      <c r="AF16" s="167">
        <f t="shared" si="1"/>
        <v>0</v>
      </c>
      <c r="AG16" s="168">
        <f>SUBTOTAL(109,Данные!$B16:$AF16)</f>
        <v>1533</v>
      </c>
      <c r="AI16" s="164"/>
      <c r="AJ16" s="138"/>
      <c r="AK16" s="138"/>
      <c r="AL16" s="138"/>
      <c r="AM16" s="164"/>
      <c r="AP16" s="125"/>
    </row>
    <row r="17" spans="1:59" ht="15.75" customHeight="1" x14ac:dyDescent="0.25">
      <c r="A17" s="166" t="s">
        <v>103</v>
      </c>
      <c r="B17" s="167">
        <f t="shared" ref="B17:AF17" si="2">IF(B15=5,439,0)</f>
        <v>0</v>
      </c>
      <c r="C17" s="167">
        <f t="shared" si="2"/>
        <v>0</v>
      </c>
      <c r="D17" s="167">
        <f t="shared" si="2"/>
        <v>0</v>
      </c>
      <c r="E17" s="167">
        <f t="shared" si="2"/>
        <v>0</v>
      </c>
      <c r="F17" s="167">
        <f t="shared" si="2"/>
        <v>439</v>
      </c>
      <c r="G17" s="167">
        <f t="shared" si="2"/>
        <v>439</v>
      </c>
      <c r="H17" s="167">
        <f t="shared" si="2"/>
        <v>0</v>
      </c>
      <c r="I17" s="167">
        <f t="shared" si="2"/>
        <v>0</v>
      </c>
      <c r="J17" s="167">
        <f t="shared" si="2"/>
        <v>0</v>
      </c>
      <c r="K17" s="167">
        <f t="shared" si="2"/>
        <v>0</v>
      </c>
      <c r="L17" s="167">
        <f t="shared" si="2"/>
        <v>0</v>
      </c>
      <c r="M17" s="167">
        <f t="shared" si="2"/>
        <v>0</v>
      </c>
      <c r="N17" s="167">
        <f t="shared" si="2"/>
        <v>0</v>
      </c>
      <c r="O17" s="167">
        <f t="shared" si="2"/>
        <v>0</v>
      </c>
      <c r="P17" s="167">
        <f t="shared" si="2"/>
        <v>439</v>
      </c>
      <c r="Q17" s="167">
        <f t="shared" si="2"/>
        <v>439</v>
      </c>
      <c r="R17" s="167">
        <f t="shared" si="2"/>
        <v>0</v>
      </c>
      <c r="S17" s="167">
        <f t="shared" si="2"/>
        <v>0</v>
      </c>
      <c r="T17" s="167">
        <f t="shared" si="2"/>
        <v>439</v>
      </c>
      <c r="U17" s="167">
        <f t="shared" si="2"/>
        <v>439</v>
      </c>
      <c r="V17" s="167">
        <f t="shared" si="2"/>
        <v>0</v>
      </c>
      <c r="W17" s="167">
        <f t="shared" si="2"/>
        <v>0</v>
      </c>
      <c r="X17" s="167">
        <f t="shared" si="2"/>
        <v>0</v>
      </c>
      <c r="Y17" s="167">
        <f t="shared" si="2"/>
        <v>0</v>
      </c>
      <c r="Z17" s="167">
        <f t="shared" si="2"/>
        <v>0</v>
      </c>
      <c r="AA17" s="167">
        <f t="shared" si="2"/>
        <v>0</v>
      </c>
      <c r="AB17" s="167">
        <f t="shared" si="2"/>
        <v>0</v>
      </c>
      <c r="AC17" s="167">
        <f t="shared" si="2"/>
        <v>0</v>
      </c>
      <c r="AD17" s="167">
        <f t="shared" si="2"/>
        <v>0</v>
      </c>
      <c r="AE17" s="167">
        <f t="shared" si="2"/>
        <v>0</v>
      </c>
      <c r="AF17" s="167">
        <f t="shared" si="2"/>
        <v>0</v>
      </c>
      <c r="AG17" s="168">
        <f>SUBTOTAL(109,Данные!$B17:$AF17)</f>
        <v>2634</v>
      </c>
      <c r="AI17" s="164"/>
      <c r="AJ17" s="138"/>
      <c r="AK17" s="138"/>
      <c r="AL17" s="138"/>
      <c r="AM17" s="164"/>
      <c r="AP17" s="125"/>
    </row>
    <row r="18" spans="1:59" ht="15.75" customHeight="1" x14ac:dyDescent="0.25">
      <c r="A18" s="163" t="s">
        <v>104</v>
      </c>
      <c r="B18" s="167">
        <f t="shared" ref="B18:AF18" si="3">IF(B15=4,659,0)</f>
        <v>0</v>
      </c>
      <c r="C18" s="167">
        <f t="shared" si="3"/>
        <v>0</v>
      </c>
      <c r="D18" s="167">
        <f t="shared" si="3"/>
        <v>0</v>
      </c>
      <c r="E18" s="167">
        <f t="shared" si="3"/>
        <v>0</v>
      </c>
      <c r="F18" s="167">
        <f t="shared" si="3"/>
        <v>0</v>
      </c>
      <c r="G18" s="167">
        <f t="shared" si="3"/>
        <v>0</v>
      </c>
      <c r="H18" s="167">
        <f t="shared" si="3"/>
        <v>0</v>
      </c>
      <c r="I18" s="167">
        <f t="shared" si="3"/>
        <v>0</v>
      </c>
      <c r="J18" s="167">
        <f t="shared" si="3"/>
        <v>0</v>
      </c>
      <c r="K18" s="167">
        <f t="shared" si="3"/>
        <v>0</v>
      </c>
      <c r="L18" s="167">
        <f t="shared" si="3"/>
        <v>0</v>
      </c>
      <c r="M18" s="167">
        <f t="shared" si="3"/>
        <v>0</v>
      </c>
      <c r="N18" s="167">
        <f t="shared" si="3"/>
        <v>0</v>
      </c>
      <c r="O18" s="167">
        <f t="shared" si="3"/>
        <v>0</v>
      </c>
      <c r="P18" s="167">
        <f t="shared" si="3"/>
        <v>0</v>
      </c>
      <c r="Q18" s="167">
        <f t="shared" si="3"/>
        <v>0</v>
      </c>
      <c r="R18" s="167">
        <f t="shared" si="3"/>
        <v>659</v>
      </c>
      <c r="S18" s="167">
        <f t="shared" si="3"/>
        <v>659</v>
      </c>
      <c r="T18" s="167">
        <f t="shared" si="3"/>
        <v>0</v>
      </c>
      <c r="U18" s="167">
        <f t="shared" si="3"/>
        <v>0</v>
      </c>
      <c r="V18" s="167">
        <f t="shared" si="3"/>
        <v>0</v>
      </c>
      <c r="W18" s="167">
        <f t="shared" si="3"/>
        <v>0</v>
      </c>
      <c r="X18" s="167">
        <f t="shared" si="3"/>
        <v>659</v>
      </c>
      <c r="Y18" s="167">
        <f t="shared" si="3"/>
        <v>659</v>
      </c>
      <c r="Z18" s="167">
        <f t="shared" si="3"/>
        <v>0</v>
      </c>
      <c r="AA18" s="167">
        <f t="shared" si="3"/>
        <v>0</v>
      </c>
      <c r="AB18" s="167">
        <f t="shared" si="3"/>
        <v>0</v>
      </c>
      <c r="AC18" s="167">
        <f t="shared" si="3"/>
        <v>0</v>
      </c>
      <c r="AD18" s="167">
        <f t="shared" si="3"/>
        <v>0</v>
      </c>
      <c r="AE18" s="167">
        <f t="shared" si="3"/>
        <v>0</v>
      </c>
      <c r="AF18" s="167">
        <f t="shared" si="3"/>
        <v>0</v>
      </c>
      <c r="AG18" s="169">
        <f>SUBTOTAL(109,Данные!$B18:$AF18)</f>
        <v>2636</v>
      </c>
      <c r="AI18" s="2"/>
      <c r="AJ18" s="36"/>
      <c r="AK18" s="36"/>
      <c r="AL18" s="36"/>
      <c r="AM18" s="2"/>
      <c r="AP18" s="125"/>
    </row>
    <row r="19" spans="1:59" x14ac:dyDescent="0.25">
      <c r="A19" s="85"/>
      <c r="B19" s="85"/>
      <c r="C19" s="85"/>
      <c r="D19" s="85"/>
      <c r="E19" s="85"/>
      <c r="F19" s="85"/>
      <c r="G19" s="85"/>
      <c r="H19" s="85"/>
      <c r="I19" s="85"/>
      <c r="J19" s="326" t="s">
        <v>105</v>
      </c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85"/>
      <c r="Z19" s="85"/>
      <c r="AA19" s="85"/>
      <c r="AB19" s="85"/>
      <c r="AC19" s="85"/>
      <c r="AD19" s="85"/>
      <c r="AE19" s="85"/>
      <c r="AF19" s="85"/>
      <c r="AG19" s="85"/>
      <c r="AH19" s="170"/>
      <c r="AP19" s="125"/>
    </row>
    <row r="20" spans="1:59" x14ac:dyDescent="0.25">
      <c r="A20" s="126" t="s">
        <v>0</v>
      </c>
      <c r="B20" s="127" t="s">
        <v>58</v>
      </c>
      <c r="C20" s="127" t="s">
        <v>59</v>
      </c>
      <c r="D20" s="127" t="s">
        <v>60</v>
      </c>
      <c r="E20" s="127" t="s">
        <v>61</v>
      </c>
      <c r="F20" s="127" t="s">
        <v>62</v>
      </c>
      <c r="G20" s="127" t="s">
        <v>63</v>
      </c>
      <c r="H20" s="127" t="s">
        <v>64</v>
      </c>
      <c r="I20" s="127" t="s">
        <v>65</v>
      </c>
      <c r="J20" s="127" t="s">
        <v>66</v>
      </c>
      <c r="K20" s="127" t="s">
        <v>67</v>
      </c>
      <c r="L20" s="127" t="s">
        <v>68</v>
      </c>
      <c r="M20" s="127" t="s">
        <v>69</v>
      </c>
      <c r="N20" s="127" t="s">
        <v>70</v>
      </c>
      <c r="O20" s="127" t="s">
        <v>71</v>
      </c>
      <c r="P20" s="127" t="s">
        <v>72</v>
      </c>
      <c r="Q20" s="127" t="s">
        <v>73</v>
      </c>
      <c r="R20" s="127" t="s">
        <v>74</v>
      </c>
      <c r="S20" s="127" t="s">
        <v>75</v>
      </c>
      <c r="T20" s="127" t="s">
        <v>76</v>
      </c>
      <c r="U20" s="127" t="s">
        <v>77</v>
      </c>
      <c r="V20" s="127" t="s">
        <v>78</v>
      </c>
      <c r="W20" s="127" t="s">
        <v>79</v>
      </c>
      <c r="X20" s="127" t="s">
        <v>80</v>
      </c>
      <c r="Y20" s="127" t="s">
        <v>81</v>
      </c>
      <c r="Z20" s="127" t="s">
        <v>82</v>
      </c>
      <c r="AA20" s="127" t="s">
        <v>83</v>
      </c>
      <c r="AB20" s="127" t="s">
        <v>84</v>
      </c>
      <c r="AC20" s="127" t="s">
        <v>85</v>
      </c>
      <c r="AD20" s="127" t="s">
        <v>86</v>
      </c>
      <c r="AE20" s="127" t="s">
        <v>87</v>
      </c>
      <c r="AF20" s="128" t="s">
        <v>88</v>
      </c>
      <c r="AG20" s="322" t="s">
        <v>89</v>
      </c>
      <c r="AI20" s="171" t="s">
        <v>0</v>
      </c>
      <c r="AJ20" s="172" t="s">
        <v>106</v>
      </c>
      <c r="AK20" s="172" t="s">
        <v>107</v>
      </c>
      <c r="AL20" s="172" t="s">
        <v>22</v>
      </c>
      <c r="AM20" s="172" t="s">
        <v>108</v>
      </c>
      <c r="AO20" s="173" t="s">
        <v>109</v>
      </c>
      <c r="AP20" s="125"/>
    </row>
    <row r="21" spans="1:59" ht="14.25" customHeight="1" x14ac:dyDescent="0.25">
      <c r="A21" s="132"/>
      <c r="B21" s="133" t="s">
        <v>91</v>
      </c>
      <c r="C21" s="133" t="s">
        <v>92</v>
      </c>
      <c r="D21" s="133" t="s">
        <v>93</v>
      </c>
      <c r="E21" s="133" t="s">
        <v>94</v>
      </c>
      <c r="F21" s="133" t="s">
        <v>95</v>
      </c>
      <c r="G21" s="133" t="s">
        <v>96</v>
      </c>
      <c r="H21" s="133" t="s">
        <v>97</v>
      </c>
      <c r="I21" s="133" t="s">
        <v>91</v>
      </c>
      <c r="J21" s="133" t="s">
        <v>92</v>
      </c>
      <c r="K21" s="133" t="s">
        <v>93</v>
      </c>
      <c r="L21" s="133" t="s">
        <v>94</v>
      </c>
      <c r="M21" s="133" t="s">
        <v>95</v>
      </c>
      <c r="N21" s="133" t="s">
        <v>96</v>
      </c>
      <c r="O21" s="133" t="s">
        <v>97</v>
      </c>
      <c r="P21" s="133" t="s">
        <v>91</v>
      </c>
      <c r="Q21" s="133" t="s">
        <v>92</v>
      </c>
      <c r="R21" s="133" t="s">
        <v>93</v>
      </c>
      <c r="S21" s="133" t="s">
        <v>94</v>
      </c>
      <c r="T21" s="133" t="s">
        <v>95</v>
      </c>
      <c r="U21" s="133" t="s">
        <v>96</v>
      </c>
      <c r="V21" s="133" t="s">
        <v>97</v>
      </c>
      <c r="W21" s="133" t="s">
        <v>91</v>
      </c>
      <c r="X21" s="133" t="s">
        <v>92</v>
      </c>
      <c r="Y21" s="133" t="s">
        <v>93</v>
      </c>
      <c r="Z21" s="133" t="s">
        <v>94</v>
      </c>
      <c r="AA21" s="133" t="s">
        <v>95</v>
      </c>
      <c r="AB21" s="133" t="s">
        <v>96</v>
      </c>
      <c r="AC21" s="133" t="s">
        <v>97</v>
      </c>
      <c r="AD21" s="133" t="s">
        <v>91</v>
      </c>
      <c r="AE21" s="133" t="s">
        <v>92</v>
      </c>
      <c r="AF21" s="133" t="s">
        <v>93</v>
      </c>
      <c r="AG21" s="323"/>
      <c r="AI21" s="174" t="s">
        <v>10</v>
      </c>
      <c r="AJ21" s="175">
        <f t="shared" ref="AJ21:AJ26" si="4">AG22</f>
        <v>206015</v>
      </c>
      <c r="AK21" s="175">
        <f t="shared" ref="AK21:AK26" si="5">AG34</f>
        <v>6510</v>
      </c>
      <c r="AL21" s="175">
        <f t="shared" ref="AL21:AL26" si="6">AG46</f>
        <v>72097</v>
      </c>
      <c r="AM21" s="175">
        <f t="shared" ref="AM21:AM26" si="7">AG58</f>
        <v>4074</v>
      </c>
      <c r="AO21" s="176">
        <v>2307.6930000000002</v>
      </c>
      <c r="AP21" s="125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</row>
    <row r="22" spans="1:59" ht="13.5" customHeight="1" x14ac:dyDescent="0.25">
      <c r="A22" s="151" t="s">
        <v>10</v>
      </c>
      <c r="B22" s="178"/>
      <c r="C22" s="178"/>
      <c r="D22" s="179"/>
      <c r="E22" s="178">
        <f>3300+3600+2700+2000+3000</f>
        <v>14600</v>
      </c>
      <c r="F22" s="178">
        <f>3800+2500+2500+3800+4000+4200+1350</f>
        <v>22150</v>
      </c>
      <c r="G22" s="178">
        <f>3300+3700+3900+3200</f>
        <v>14100</v>
      </c>
      <c r="H22" s="180"/>
      <c r="I22" s="179">
        <f>3300+3800+2800+2000</f>
        <v>11900</v>
      </c>
      <c r="J22" s="178"/>
      <c r="K22" s="178">
        <f>2200+3700+3700+2500</f>
        <v>12100</v>
      </c>
      <c r="L22" s="178">
        <f>3000+600+2700+825</f>
        <v>7125</v>
      </c>
      <c r="M22" s="178">
        <f>3300+3300+6450+2300</f>
        <v>15350</v>
      </c>
      <c r="N22" s="178">
        <f>3500+3300+1600</f>
        <v>8400</v>
      </c>
      <c r="O22" s="180"/>
      <c r="P22" s="178">
        <f>3000+3000+2000+2700</f>
        <v>10700</v>
      </c>
      <c r="Q22" s="178">
        <f>1080+960+650</f>
        <v>2690</v>
      </c>
      <c r="R22" s="178">
        <f>3500+5550+3500</f>
        <v>12550</v>
      </c>
      <c r="S22" s="181">
        <f>2800+3800</f>
        <v>6600</v>
      </c>
      <c r="T22" s="182">
        <f>2700+2800+2300+3500+550</f>
        <v>11850</v>
      </c>
      <c r="U22" s="178">
        <f>3000+2700+2700+4500+2200</f>
        <v>15100</v>
      </c>
      <c r="V22" s="183"/>
      <c r="W22" s="178">
        <f>3900+3700+3400</f>
        <v>11000</v>
      </c>
      <c r="X22" s="184"/>
      <c r="Y22" s="178">
        <f>2500+2200+3400</f>
        <v>8100</v>
      </c>
      <c r="Z22" s="178">
        <f>3500+3000+3500</f>
        <v>10000</v>
      </c>
      <c r="AA22" s="178">
        <f>3700+4200</f>
        <v>7900</v>
      </c>
      <c r="AB22" s="178">
        <f>3800</f>
        <v>3800</v>
      </c>
      <c r="AC22" s="180"/>
      <c r="AD22" s="178"/>
      <c r="AE22" s="178"/>
      <c r="AF22" s="185"/>
      <c r="AG22" s="152">
        <f>SUBTOTAL(109,Данные!$B22:$AF22)</f>
        <v>206015</v>
      </c>
      <c r="AI22" s="174" t="s">
        <v>12</v>
      </c>
      <c r="AJ22" s="175">
        <f t="shared" si="4"/>
        <v>15348</v>
      </c>
      <c r="AK22" s="175">
        <f t="shared" si="5"/>
        <v>97</v>
      </c>
      <c r="AL22" s="175">
        <f t="shared" si="6"/>
        <v>56226</v>
      </c>
      <c r="AM22" s="175">
        <f t="shared" si="7"/>
        <v>3344</v>
      </c>
      <c r="AO22" s="176">
        <v>1538.47</v>
      </c>
      <c r="AP22" s="125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</row>
    <row r="23" spans="1:59" ht="13.5" customHeight="1" x14ac:dyDescent="0.25">
      <c r="A23" s="151" t="s">
        <v>12</v>
      </c>
      <c r="B23" s="178"/>
      <c r="C23" s="178"/>
      <c r="D23" s="179"/>
      <c r="E23" s="178"/>
      <c r="F23" s="178"/>
      <c r="G23" s="178"/>
      <c r="H23" s="180"/>
      <c r="I23" s="178"/>
      <c r="J23" s="178"/>
      <c r="K23" s="178"/>
      <c r="L23" s="178"/>
      <c r="M23" s="178"/>
      <c r="N23" s="178">
        <f>3700</f>
        <v>3700</v>
      </c>
      <c r="O23" s="180"/>
      <c r="P23" s="178"/>
      <c r="Q23" s="178"/>
      <c r="R23" s="178"/>
      <c r="S23" s="178">
        <f>700</f>
        <v>700</v>
      </c>
      <c r="T23" s="178">
        <f>2100</f>
        <v>2100</v>
      </c>
      <c r="U23" s="178"/>
      <c r="V23" s="183"/>
      <c r="W23" s="178">
        <f>3400</f>
        <v>3400</v>
      </c>
      <c r="X23" s="184">
        <f>3000</f>
        <v>3000</v>
      </c>
      <c r="Y23" s="181">
        <f>248</f>
        <v>248</v>
      </c>
      <c r="Z23" s="178"/>
      <c r="AA23" s="178">
        <f>2200</f>
        <v>2200</v>
      </c>
      <c r="AB23" s="178"/>
      <c r="AC23" s="186"/>
      <c r="AD23" s="178"/>
      <c r="AE23" s="178"/>
      <c r="AF23" s="185"/>
      <c r="AG23" s="152">
        <f>SUBTOTAL(109,Данные!$B23:$AF23)</f>
        <v>15348</v>
      </c>
      <c r="AI23" s="174" t="s">
        <v>13</v>
      </c>
      <c r="AJ23" s="175">
        <f t="shared" si="4"/>
        <v>182582</v>
      </c>
      <c r="AK23" s="175">
        <f t="shared" si="5"/>
        <v>6095</v>
      </c>
      <c r="AL23" s="175">
        <f t="shared" si="6"/>
        <v>99282</v>
      </c>
      <c r="AM23" s="175">
        <f t="shared" si="7"/>
        <v>5109</v>
      </c>
      <c r="AO23" s="176">
        <v>1538.47</v>
      </c>
      <c r="AP23" s="125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</row>
    <row r="24" spans="1:59" ht="13.5" customHeight="1" x14ac:dyDescent="0.25">
      <c r="A24" s="151" t="s">
        <v>13</v>
      </c>
      <c r="B24" s="178"/>
      <c r="C24" s="178"/>
      <c r="D24" s="179"/>
      <c r="E24" s="178">
        <f>3175+2000+3000</f>
        <v>8175</v>
      </c>
      <c r="F24" s="178">
        <f>2600+3800+3300+4550</f>
        <v>14250</v>
      </c>
      <c r="G24" s="178">
        <f>3700</f>
        <v>3700</v>
      </c>
      <c r="H24" s="180"/>
      <c r="I24" s="178">
        <f>6500</f>
        <v>6500</v>
      </c>
      <c r="J24" s="179">
        <f>2600+480+4300</f>
        <v>7380</v>
      </c>
      <c r="K24" s="178"/>
      <c r="L24" s="178">
        <f>2800+3400+3200</f>
        <v>9400</v>
      </c>
      <c r="M24" s="178">
        <f>2000+350</f>
        <v>2350</v>
      </c>
      <c r="N24" s="178">
        <f>2200+3000+2500+3329</f>
        <v>11029</v>
      </c>
      <c r="O24" s="180"/>
      <c r="P24" s="178">
        <f>3600+3700+4000</f>
        <v>11300</v>
      </c>
      <c r="Q24" s="178">
        <f>1200+1100+650+950</f>
        <v>3900</v>
      </c>
      <c r="R24" s="178">
        <f>2300+2700+2800+2000+2600+2700+3500+1750</f>
        <v>20350</v>
      </c>
      <c r="S24" s="178"/>
      <c r="T24" s="178">
        <f>3500+3800+500</f>
        <v>7800</v>
      </c>
      <c r="U24" s="178">
        <f>3300+2300+1700</f>
        <v>7300</v>
      </c>
      <c r="V24" s="183"/>
      <c r="W24" s="178">
        <f>3000+3200+3000+2900+3000+275</f>
        <v>15375</v>
      </c>
      <c r="X24" s="184">
        <f>3700+3800+3000+3200+3000</f>
        <v>16700</v>
      </c>
      <c r="Y24" s="178">
        <f>2273</f>
        <v>2273</v>
      </c>
      <c r="Z24" s="178">
        <f>1800+3000+3500+2200</f>
        <v>10500</v>
      </c>
      <c r="AA24" s="178">
        <f>2700+3700+2500+3300</f>
        <v>12200</v>
      </c>
      <c r="AB24" s="178">
        <f>3600+2200+3000+3300</f>
        <v>12100</v>
      </c>
      <c r="AC24" s="180"/>
      <c r="AD24" s="178"/>
      <c r="AE24" s="178"/>
      <c r="AF24" s="185"/>
      <c r="AG24" s="152">
        <f>SUBTOTAL(109,Данные!$B24:$AF24)</f>
        <v>182582</v>
      </c>
      <c r="AI24" s="174" t="s">
        <v>15</v>
      </c>
      <c r="AJ24" s="175">
        <f t="shared" si="4"/>
        <v>85190</v>
      </c>
      <c r="AK24" s="175">
        <f t="shared" si="5"/>
        <v>1334</v>
      </c>
      <c r="AL24" s="175">
        <f t="shared" si="6"/>
        <v>19779</v>
      </c>
      <c r="AM24" s="175">
        <f t="shared" si="7"/>
        <v>1129</v>
      </c>
      <c r="AO24" s="176">
        <v>1538.47</v>
      </c>
      <c r="AP24" s="125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  <c r="BB24" s="177"/>
      <c r="BC24" s="177"/>
      <c r="BD24" s="177"/>
      <c r="BE24" s="177"/>
      <c r="BF24" s="177"/>
      <c r="BG24" s="177"/>
    </row>
    <row r="25" spans="1:59" ht="13.5" customHeight="1" x14ac:dyDescent="0.25">
      <c r="A25" s="151" t="s">
        <v>15</v>
      </c>
      <c r="B25" s="178"/>
      <c r="C25" s="178"/>
      <c r="D25" s="179"/>
      <c r="E25" s="178"/>
      <c r="F25" s="178"/>
      <c r="G25" s="178"/>
      <c r="H25" s="180"/>
      <c r="I25" s="178">
        <f>3600+2500</f>
        <v>6100</v>
      </c>
      <c r="J25" s="178">
        <f>4800+1500+4100+4650</f>
        <v>15050</v>
      </c>
      <c r="K25" s="178">
        <f>3700+370</f>
        <v>4070</v>
      </c>
      <c r="L25" s="178"/>
      <c r="M25" s="179">
        <f>3600+3800+170</f>
        <v>7570</v>
      </c>
      <c r="N25" s="178">
        <f>1500+3000+1100</f>
        <v>5600</v>
      </c>
      <c r="O25" s="180"/>
      <c r="P25" s="178"/>
      <c r="Q25" s="178"/>
      <c r="R25" s="178"/>
      <c r="S25" s="178"/>
      <c r="T25" s="178">
        <f>4000+3800</f>
        <v>7800</v>
      </c>
      <c r="U25" s="178">
        <f>3000+4000+3000</f>
        <v>10000</v>
      </c>
      <c r="V25" s="183"/>
      <c r="W25" s="178">
        <f>3000</f>
        <v>3000</v>
      </c>
      <c r="X25" s="184"/>
      <c r="Y25" s="178"/>
      <c r="Z25" s="178">
        <f>3000+3200+2000</f>
        <v>8200</v>
      </c>
      <c r="AA25" s="178">
        <f>3800+3500+3000</f>
        <v>10300</v>
      </c>
      <c r="AB25" s="178">
        <f>3500+4000</f>
        <v>7500</v>
      </c>
      <c r="AC25" s="180"/>
      <c r="AD25" s="178"/>
      <c r="AE25" s="178"/>
      <c r="AF25" s="185"/>
      <c r="AG25" s="152">
        <f>SUBTOTAL(109,Данные!$B25:$AF25)</f>
        <v>85190</v>
      </c>
      <c r="AI25" s="174" t="s">
        <v>16</v>
      </c>
      <c r="AJ25" s="175">
        <f t="shared" si="4"/>
        <v>214819</v>
      </c>
      <c r="AK25" s="175">
        <f t="shared" si="5"/>
        <v>5742</v>
      </c>
      <c r="AL25" s="175">
        <f t="shared" si="6"/>
        <v>82754</v>
      </c>
      <c r="AM25" s="175">
        <f t="shared" si="7"/>
        <v>4109</v>
      </c>
      <c r="AO25" s="176">
        <v>1538.47</v>
      </c>
      <c r="AP25" s="125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</row>
    <row r="26" spans="1:59" ht="13.5" customHeight="1" x14ac:dyDescent="0.25">
      <c r="A26" s="151" t="s">
        <v>16</v>
      </c>
      <c r="B26" s="178"/>
      <c r="C26" s="178"/>
      <c r="D26" s="179"/>
      <c r="E26" s="178">
        <f>3000+3400+250+800+4450</f>
        <v>11900</v>
      </c>
      <c r="F26" s="178">
        <f>2100+650+1350</f>
        <v>4100</v>
      </c>
      <c r="G26" s="178">
        <f>3600+1600+3200+800+1260+15140</f>
        <v>25600</v>
      </c>
      <c r="H26" s="180"/>
      <c r="I26" s="178">
        <f>2700+2500+2220+2450+4780</f>
        <v>14650</v>
      </c>
      <c r="J26" s="178">
        <f>1800+4000+3800+3000+1600</f>
        <v>14200</v>
      </c>
      <c r="K26" s="178">
        <f>3000+3500+4250</f>
        <v>10750</v>
      </c>
      <c r="L26" s="178">
        <f>3000+3700+3964+2000+3500+500+825</f>
        <v>17489</v>
      </c>
      <c r="M26" s="178">
        <f>4000+1950+3640</f>
        <v>9590</v>
      </c>
      <c r="N26" s="178">
        <f>2600+4500+3200</f>
        <v>10300</v>
      </c>
      <c r="O26" s="180"/>
      <c r="P26" s="178">
        <f>3200+3100+400+900</f>
        <v>7600</v>
      </c>
      <c r="Q26" s="178">
        <f>800+900+1200+1400+2100+900+290+650</f>
        <v>8240</v>
      </c>
      <c r="R26" s="178">
        <f>2800+3800+3000+3000+2500</f>
        <v>15100</v>
      </c>
      <c r="S26" s="182">
        <f>2700+3000+3700+2550+3350</f>
        <v>15300</v>
      </c>
      <c r="T26" s="178"/>
      <c r="U26" s="178"/>
      <c r="V26" s="183"/>
      <c r="W26" s="178"/>
      <c r="X26" s="184">
        <f>3800+2700+2550+3600+3100+3000+1000</f>
        <v>19750</v>
      </c>
      <c r="Y26" s="178"/>
      <c r="Z26" s="178">
        <f>4400+3600+4550+1800</f>
        <v>14350</v>
      </c>
      <c r="AA26" s="178">
        <f>2200+2700+2400</f>
        <v>7300</v>
      </c>
      <c r="AB26" s="178">
        <f>2700+3300+2600</f>
        <v>8600</v>
      </c>
      <c r="AC26" s="180"/>
      <c r="AD26" s="178"/>
      <c r="AE26" s="178"/>
      <c r="AF26" s="185"/>
      <c r="AG26" s="152">
        <f>SUBTOTAL(109,Данные!$B26:$AF26)</f>
        <v>214819</v>
      </c>
      <c r="AI26" s="174" t="s">
        <v>17</v>
      </c>
      <c r="AJ26" s="175">
        <f t="shared" si="4"/>
        <v>273487</v>
      </c>
      <c r="AK26" s="175">
        <f t="shared" si="5"/>
        <v>9238</v>
      </c>
      <c r="AL26" s="175">
        <f t="shared" si="6"/>
        <v>57151</v>
      </c>
      <c r="AM26" s="175">
        <f t="shared" si="7"/>
        <v>2232</v>
      </c>
      <c r="AO26" s="176">
        <v>1538.47</v>
      </c>
      <c r="AP26" s="125"/>
    </row>
    <row r="27" spans="1:59" ht="13.5" customHeight="1" x14ac:dyDescent="0.25">
      <c r="A27" s="151" t="s">
        <v>17</v>
      </c>
      <c r="B27" s="178"/>
      <c r="C27" s="178"/>
      <c r="D27" s="179"/>
      <c r="E27" s="178">
        <f>3500+3300+4000+1500+2580+1750</f>
        <v>16630</v>
      </c>
      <c r="F27" s="178">
        <f>2500+3300+3400+3300</f>
        <v>12500</v>
      </c>
      <c r="G27" s="178">
        <f>3200+2400+2200+2000+2750</f>
        <v>12550</v>
      </c>
      <c r="H27" s="180"/>
      <c r="I27" s="178">
        <f>2800+3500+3000+3000</f>
        <v>12300</v>
      </c>
      <c r="J27" s="178">
        <f>3200+3800</f>
        <v>7000</v>
      </c>
      <c r="K27" s="178">
        <f>2700+3200+4200+270</f>
        <v>10370</v>
      </c>
      <c r="L27" s="178">
        <f>3300+3200+3300+4000+3500</f>
        <v>17300</v>
      </c>
      <c r="M27" s="178">
        <f>3400+3500+3400+2200</f>
        <v>12500</v>
      </c>
      <c r="N27" s="178">
        <f>3000+2000+3500</f>
        <v>8500</v>
      </c>
      <c r="O27" s="180"/>
      <c r="P27" s="178">
        <f>4000+3000+2800+4000+4200</f>
        <v>18000</v>
      </c>
      <c r="Q27" s="178">
        <f>1800</f>
        <v>1800</v>
      </c>
      <c r="R27" s="178">
        <f>3500+3800+2700+3000</f>
        <v>13000</v>
      </c>
      <c r="S27" s="178">
        <f>2800+3600+3000+3000+3000+2500</f>
        <v>17900</v>
      </c>
      <c r="T27" s="178">
        <f>2700+3000+3600+4000</f>
        <v>13300</v>
      </c>
      <c r="U27" s="178">
        <f>2500+3300+2600+2800+3600+3700+2522</f>
        <v>21022</v>
      </c>
      <c r="V27" s="183"/>
      <c r="W27" s="178">
        <f>3000+2500+3700+3300</f>
        <v>12500</v>
      </c>
      <c r="X27" s="184">
        <f>3200+3000+3100</f>
        <v>9300</v>
      </c>
      <c r="Y27" s="178">
        <f>2700+3600+2000+3328+1800+1800+3300</f>
        <v>18528</v>
      </c>
      <c r="Z27" s="178">
        <f>2800+500</f>
        <v>3300</v>
      </c>
      <c r="AA27" s="178">
        <f>3300+3500+3700+2800</f>
        <v>13300</v>
      </c>
      <c r="AB27" s="178">
        <f>3500+3000+3260+3700+2700+3500+527+1700</f>
        <v>21887</v>
      </c>
      <c r="AC27" s="180"/>
      <c r="AD27" s="178"/>
      <c r="AE27" s="178"/>
      <c r="AF27" s="185"/>
      <c r="AG27" s="152">
        <f>SUBTOTAL(109,Данные!$B27:$AF27)</f>
        <v>273487</v>
      </c>
      <c r="AI27" s="174" t="s">
        <v>19</v>
      </c>
      <c r="AJ27" s="175">
        <f>AG29</f>
        <v>88993</v>
      </c>
      <c r="AK27" s="175">
        <f>AG41</f>
        <v>1965</v>
      </c>
      <c r="AL27" s="175">
        <f>AG53</f>
        <v>63742</v>
      </c>
      <c r="AM27" s="175">
        <f>AG65</f>
        <v>2683</v>
      </c>
      <c r="AO27" s="176">
        <v>1538.47</v>
      </c>
      <c r="AP27" s="125"/>
    </row>
    <row r="28" spans="1:59" ht="13.5" customHeight="1" x14ac:dyDescent="0.25">
      <c r="A28" s="140" t="s">
        <v>52</v>
      </c>
      <c r="B28" s="178"/>
      <c r="C28" s="178"/>
      <c r="D28" s="179"/>
      <c r="E28" s="178"/>
      <c r="F28" s="178"/>
      <c r="G28" s="178">
        <f>4500+4000</f>
        <v>8500</v>
      </c>
      <c r="H28" s="180"/>
      <c r="I28" s="178"/>
      <c r="J28" s="179"/>
      <c r="K28" s="178"/>
      <c r="L28" s="178"/>
      <c r="M28" s="178"/>
      <c r="N28" s="178">
        <f>3600+4000+2300+5300</f>
        <v>15200</v>
      </c>
      <c r="O28" s="180"/>
      <c r="P28" s="178">
        <f>6900+4500</f>
        <v>11400</v>
      </c>
      <c r="Q28" s="178">
        <f>2050+1300+620+340+1050+300+860+600</f>
        <v>7120</v>
      </c>
      <c r="R28" s="178">
        <f>3000+2900+4500</f>
        <v>10400</v>
      </c>
      <c r="S28" s="178">
        <f>2000+4000+2750</f>
        <v>8750</v>
      </c>
      <c r="T28" s="178">
        <f>4200+3200+4500</f>
        <v>11900</v>
      </c>
      <c r="U28" s="178"/>
      <c r="V28" s="183"/>
      <c r="W28" s="178"/>
      <c r="X28" s="184"/>
      <c r="Y28" s="178"/>
      <c r="Z28" s="178"/>
      <c r="AA28" s="178"/>
      <c r="AB28" s="178"/>
      <c r="AC28" s="180"/>
      <c r="AD28" s="178"/>
      <c r="AE28" s="178"/>
      <c r="AF28" s="185"/>
      <c r="AG28" s="152">
        <f>SUBTOTAL(109,Данные!$B28:$AF28)</f>
        <v>73270</v>
      </c>
      <c r="AP28" s="125"/>
    </row>
    <row r="29" spans="1:59" ht="13.5" customHeight="1" x14ac:dyDescent="0.25">
      <c r="A29" s="155" t="s">
        <v>19</v>
      </c>
      <c r="B29" s="187"/>
      <c r="C29" s="187"/>
      <c r="D29" s="188"/>
      <c r="E29" s="187">
        <f>1750</f>
        <v>1750</v>
      </c>
      <c r="F29" s="187">
        <f>3300+3500</f>
        <v>6800</v>
      </c>
      <c r="G29" s="187">
        <f>2000+3200</f>
        <v>5200</v>
      </c>
      <c r="H29" s="189"/>
      <c r="I29" s="187">
        <f>3500+3700+4050+4300+2500</f>
        <v>18050</v>
      </c>
      <c r="J29" s="187">
        <f>2900+560</f>
        <v>3460</v>
      </c>
      <c r="K29" s="188">
        <f>2300+3200</f>
        <v>5500</v>
      </c>
      <c r="L29" s="187">
        <f>3200+3400+3500</f>
        <v>10100</v>
      </c>
      <c r="M29" s="187">
        <f>4300+3500+700+675</f>
        <v>9175</v>
      </c>
      <c r="N29" s="187">
        <f>2700</f>
        <v>2700</v>
      </c>
      <c r="O29" s="189"/>
      <c r="P29" s="187">
        <f>2400+2700</f>
        <v>5100</v>
      </c>
      <c r="Q29" s="187"/>
      <c r="R29" s="188"/>
      <c r="S29" s="187"/>
      <c r="T29" s="187"/>
      <c r="U29" s="187"/>
      <c r="V29" s="183"/>
      <c r="W29" s="187">
        <f>3200+3000+2000+700+1158</f>
        <v>10058</v>
      </c>
      <c r="X29" s="184"/>
      <c r="Y29" s="187">
        <f>2900+3500+1200</f>
        <v>7600</v>
      </c>
      <c r="Z29" s="188"/>
      <c r="AA29" s="187"/>
      <c r="AB29" s="187">
        <f>3500</f>
        <v>3500</v>
      </c>
      <c r="AC29" s="189"/>
      <c r="AD29" s="187"/>
      <c r="AE29" s="187"/>
      <c r="AF29" s="190"/>
      <c r="AG29" s="152">
        <f>SUBTOTAL(109,Данные!$B29:$AF29)</f>
        <v>88993</v>
      </c>
    </row>
    <row r="30" spans="1:59" ht="13.5" customHeight="1" x14ac:dyDescent="0.25">
      <c r="A30" s="191" t="s">
        <v>20</v>
      </c>
      <c r="B30" s="78"/>
      <c r="C30" s="78"/>
      <c r="D30" s="78"/>
      <c r="E30" s="78">
        <f>3500+4500+3800+4000</f>
        <v>15800</v>
      </c>
      <c r="F30" s="78">
        <f>4000+4300+6500+2500+1200+5200</f>
        <v>23700</v>
      </c>
      <c r="G30" s="78">
        <f>3500</f>
        <v>3500</v>
      </c>
      <c r="H30" s="192"/>
      <c r="I30" s="78">
        <f>2700+3500+4000</f>
        <v>10200</v>
      </c>
      <c r="J30" s="78">
        <f>2700+4300+4000+6600+3700</f>
        <v>21300</v>
      </c>
      <c r="K30" s="78">
        <f>3000+3700+6700+3000+3000+4250</f>
        <v>23650</v>
      </c>
      <c r="L30" s="78">
        <f>3200+3200+3800+5000</f>
        <v>15200</v>
      </c>
      <c r="M30" s="78">
        <f>3800+4500+2300+5000+5600</f>
        <v>21200</v>
      </c>
      <c r="N30" s="78"/>
      <c r="O30" s="192"/>
      <c r="P30" s="78">
        <f>4000+2800</f>
        <v>6800</v>
      </c>
      <c r="Q30" s="78">
        <f>800+1500+1200+800+480</f>
        <v>4780</v>
      </c>
      <c r="R30" s="78">
        <f>3800+3800+4500</f>
        <v>12100</v>
      </c>
      <c r="S30" s="78">
        <f>3800</f>
        <v>3800</v>
      </c>
      <c r="T30" s="78">
        <f>2700</f>
        <v>2700</v>
      </c>
      <c r="U30" s="78">
        <f>3700+2600+5200+10000+4800</f>
        <v>26300</v>
      </c>
      <c r="V30" s="183"/>
      <c r="W30" s="78">
        <f>3200+6800+3700+3600+3700</f>
        <v>21000</v>
      </c>
      <c r="X30" s="193">
        <f>3500+4400+2800+14616+3000</f>
        <v>28316</v>
      </c>
      <c r="Y30" s="78">
        <f>3500+4700</f>
        <v>8200</v>
      </c>
      <c r="Z30" s="78">
        <f>3800+3200</f>
        <v>7000</v>
      </c>
      <c r="AA30" s="78">
        <f>3500+2500+4500+2700</f>
        <v>13200</v>
      </c>
      <c r="AB30" s="78"/>
      <c r="AC30" s="192"/>
      <c r="AD30" s="78"/>
      <c r="AE30" s="78"/>
      <c r="AF30" s="78"/>
      <c r="AG30" s="194">
        <f>SUBTOTAL(109,Данные!$B30:$AF30)</f>
        <v>268746</v>
      </c>
      <c r="AN30" s="136"/>
      <c r="AO30" s="138"/>
    </row>
    <row r="31" spans="1:59" ht="15.75" customHeight="1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326" t="s">
        <v>110</v>
      </c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85"/>
      <c r="Z31" s="85"/>
      <c r="AA31" s="85"/>
      <c r="AB31" s="85"/>
      <c r="AC31" s="85"/>
      <c r="AD31" s="85"/>
      <c r="AE31" s="85"/>
      <c r="AF31" s="85"/>
      <c r="AG31" s="85"/>
      <c r="AI31" s="195" t="s">
        <v>0</v>
      </c>
      <c r="AJ31" s="196" t="s">
        <v>111</v>
      </c>
      <c r="AK31" s="197" t="s">
        <v>112</v>
      </c>
      <c r="AL31" s="197" t="s">
        <v>113</v>
      </c>
      <c r="AM31" s="136"/>
    </row>
    <row r="32" spans="1:59" ht="15.75" customHeight="1" x14ac:dyDescent="0.25">
      <c r="A32" s="126" t="s">
        <v>0</v>
      </c>
      <c r="B32" s="127" t="s">
        <v>58</v>
      </c>
      <c r="C32" s="127" t="s">
        <v>59</v>
      </c>
      <c r="D32" s="127" t="s">
        <v>60</v>
      </c>
      <c r="E32" s="127" t="s">
        <v>61</v>
      </c>
      <c r="F32" s="127" t="s">
        <v>62</v>
      </c>
      <c r="G32" s="127" t="s">
        <v>63</v>
      </c>
      <c r="H32" s="127" t="s">
        <v>64</v>
      </c>
      <c r="I32" s="127" t="s">
        <v>65</v>
      </c>
      <c r="J32" s="127" t="s">
        <v>66</v>
      </c>
      <c r="K32" s="127" t="s">
        <v>67</v>
      </c>
      <c r="L32" s="127" t="s">
        <v>68</v>
      </c>
      <c r="M32" s="127" t="s">
        <v>69</v>
      </c>
      <c r="N32" s="127" t="s">
        <v>70</v>
      </c>
      <c r="O32" s="127" t="s">
        <v>71</v>
      </c>
      <c r="P32" s="127" t="s">
        <v>72</v>
      </c>
      <c r="Q32" s="127" t="s">
        <v>73</v>
      </c>
      <c r="R32" s="127" t="s">
        <v>74</v>
      </c>
      <c r="S32" s="127" t="s">
        <v>75</v>
      </c>
      <c r="T32" s="127" t="s">
        <v>76</v>
      </c>
      <c r="U32" s="127" t="s">
        <v>77</v>
      </c>
      <c r="V32" s="127" t="s">
        <v>78</v>
      </c>
      <c r="W32" s="127" t="s">
        <v>79</v>
      </c>
      <c r="X32" s="127" t="s">
        <v>80</v>
      </c>
      <c r="Y32" s="127" t="s">
        <v>81</v>
      </c>
      <c r="Z32" s="127" t="s">
        <v>82</v>
      </c>
      <c r="AA32" s="127" t="s">
        <v>83</v>
      </c>
      <c r="AB32" s="127" t="s">
        <v>84</v>
      </c>
      <c r="AC32" s="127" t="s">
        <v>85</v>
      </c>
      <c r="AD32" s="127" t="s">
        <v>86</v>
      </c>
      <c r="AE32" s="127" t="s">
        <v>87</v>
      </c>
      <c r="AF32" s="128" t="s">
        <v>88</v>
      </c>
      <c r="AG32" s="322" t="s">
        <v>89</v>
      </c>
      <c r="AI32" s="198" t="s">
        <v>10</v>
      </c>
      <c r="AJ32" s="199"/>
      <c r="AK32" s="200">
        <v>24</v>
      </c>
      <c r="AL32" s="201">
        <f t="shared" ref="AL32:AL37" si="8">AK32-AG6</f>
        <v>6</v>
      </c>
      <c r="AM32" s="136"/>
    </row>
    <row r="33" spans="1:42" ht="15.75" customHeight="1" x14ac:dyDescent="0.25">
      <c r="A33" s="132"/>
      <c r="B33" s="133" t="s">
        <v>91</v>
      </c>
      <c r="C33" s="133" t="s">
        <v>92</v>
      </c>
      <c r="D33" s="133" t="s">
        <v>93</v>
      </c>
      <c r="E33" s="133" t="s">
        <v>94</v>
      </c>
      <c r="F33" s="133" t="s">
        <v>95</v>
      </c>
      <c r="G33" s="133" t="s">
        <v>96</v>
      </c>
      <c r="H33" s="133" t="s">
        <v>97</v>
      </c>
      <c r="I33" s="133" t="s">
        <v>91</v>
      </c>
      <c r="J33" s="133" t="s">
        <v>92</v>
      </c>
      <c r="K33" s="133" t="s">
        <v>93</v>
      </c>
      <c r="L33" s="133" t="s">
        <v>94</v>
      </c>
      <c r="M33" s="133" t="s">
        <v>95</v>
      </c>
      <c r="N33" s="133" t="s">
        <v>96</v>
      </c>
      <c r="O33" s="133" t="s">
        <v>97</v>
      </c>
      <c r="P33" s="133" t="s">
        <v>91</v>
      </c>
      <c r="Q33" s="133" t="s">
        <v>92</v>
      </c>
      <c r="R33" s="133" t="s">
        <v>93</v>
      </c>
      <c r="S33" s="133" t="s">
        <v>94</v>
      </c>
      <c r="T33" s="133" t="s">
        <v>95</v>
      </c>
      <c r="U33" s="133" t="s">
        <v>96</v>
      </c>
      <c r="V33" s="133" t="s">
        <v>97</v>
      </c>
      <c r="W33" s="133" t="s">
        <v>91</v>
      </c>
      <c r="X33" s="133" t="s">
        <v>92</v>
      </c>
      <c r="Y33" s="133" t="s">
        <v>93</v>
      </c>
      <c r="Z33" s="133" t="s">
        <v>94</v>
      </c>
      <c r="AA33" s="133" t="s">
        <v>95</v>
      </c>
      <c r="AB33" s="133" t="s">
        <v>96</v>
      </c>
      <c r="AC33" s="133" t="s">
        <v>97</v>
      </c>
      <c r="AD33" s="133" t="s">
        <v>91</v>
      </c>
      <c r="AE33" s="133" t="s">
        <v>92</v>
      </c>
      <c r="AF33" s="133" t="s">
        <v>93</v>
      </c>
      <c r="AG33" s="323"/>
      <c r="AI33" s="198" t="s">
        <v>12</v>
      </c>
      <c r="AJ33" s="199"/>
      <c r="AK33" s="200">
        <v>24</v>
      </c>
      <c r="AL33" s="201">
        <f t="shared" si="8"/>
        <v>14</v>
      </c>
      <c r="AM33" s="136"/>
    </row>
    <row r="34" spans="1:42" ht="15.75" customHeight="1" x14ac:dyDescent="0.25">
      <c r="A34" s="151" t="s">
        <v>10</v>
      </c>
      <c r="B34" s="179"/>
      <c r="C34" s="179"/>
      <c r="D34" s="202"/>
      <c r="E34" s="179">
        <f>52+126+83</f>
        <v>261</v>
      </c>
      <c r="F34" s="179">
        <f>50+121+23+50+37+20</f>
        <v>301</v>
      </c>
      <c r="G34" s="179">
        <f>44+57+192</f>
        <v>293</v>
      </c>
      <c r="H34" s="192"/>
      <c r="I34" s="179">
        <f>91+127+110</f>
        <v>328</v>
      </c>
      <c r="J34" s="179"/>
      <c r="K34" s="179">
        <f>221+101+97+104</f>
        <v>523</v>
      </c>
      <c r="L34" s="179">
        <f>98+4+120+6</f>
        <v>228</v>
      </c>
      <c r="M34" s="179">
        <f>239+88+5</f>
        <v>332</v>
      </c>
      <c r="N34" s="179">
        <f>7+92+90</f>
        <v>189</v>
      </c>
      <c r="O34" s="192"/>
      <c r="P34" s="179">
        <f>93+40+32+112</f>
        <v>277</v>
      </c>
      <c r="Q34" s="179">
        <f>38+30+28</f>
        <v>96</v>
      </c>
      <c r="R34" s="179">
        <f>173+3+185</f>
        <v>361</v>
      </c>
      <c r="S34" s="203">
        <f>206+58</f>
        <v>264</v>
      </c>
      <c r="T34" s="179">
        <f>198+330+34+58+8</f>
        <v>628</v>
      </c>
      <c r="U34" s="179">
        <f>301+288+77+30+80</f>
        <v>776</v>
      </c>
      <c r="V34" s="183"/>
      <c r="W34" s="179">
        <f>50+90+3</f>
        <v>143</v>
      </c>
      <c r="X34" s="184"/>
      <c r="Y34" s="179">
        <f>244+133+192</f>
        <v>569</v>
      </c>
      <c r="Z34" s="179">
        <f>128+13+342</f>
        <v>483</v>
      </c>
      <c r="AA34" s="179">
        <f>136+237</f>
        <v>373</v>
      </c>
      <c r="AB34" s="179">
        <f>85</f>
        <v>85</v>
      </c>
      <c r="AC34" s="192"/>
      <c r="AD34" s="179"/>
      <c r="AE34" s="179"/>
      <c r="AF34" s="204"/>
      <c r="AG34" s="152">
        <f>SUBTOTAL(109,Данные!$B34:$AF34)</f>
        <v>6510</v>
      </c>
      <c r="AI34" s="198" t="s">
        <v>13</v>
      </c>
      <c r="AJ34" s="199"/>
      <c r="AK34" s="200">
        <v>24</v>
      </c>
      <c r="AL34" s="201">
        <f t="shared" si="8"/>
        <v>7</v>
      </c>
      <c r="AM34" s="136"/>
    </row>
    <row r="35" spans="1:42" ht="15.75" customHeight="1" x14ac:dyDescent="0.25">
      <c r="A35" s="151" t="s">
        <v>12</v>
      </c>
      <c r="B35" s="179"/>
      <c r="C35" s="179"/>
      <c r="D35" s="202"/>
      <c r="E35" s="179"/>
      <c r="F35" s="179"/>
      <c r="G35" s="179"/>
      <c r="H35" s="192"/>
      <c r="I35" s="179"/>
      <c r="J35" s="179"/>
      <c r="K35" s="179"/>
      <c r="L35" s="179"/>
      <c r="M35" s="179"/>
      <c r="N35" s="179">
        <f>59</f>
        <v>59</v>
      </c>
      <c r="O35" s="192"/>
      <c r="P35" s="179"/>
      <c r="Q35" s="179"/>
      <c r="R35" s="179"/>
      <c r="S35" s="179">
        <f>1</f>
        <v>1</v>
      </c>
      <c r="T35" s="205">
        <f>6</f>
        <v>6</v>
      </c>
      <c r="U35" s="179"/>
      <c r="V35" s="183"/>
      <c r="W35" s="179">
        <f>6</f>
        <v>6</v>
      </c>
      <c r="X35" s="184">
        <f>18</f>
        <v>18</v>
      </c>
      <c r="Y35" s="181">
        <f>1</f>
        <v>1</v>
      </c>
      <c r="Z35" s="179"/>
      <c r="AA35" s="179">
        <f>6</f>
        <v>6</v>
      </c>
      <c r="AB35" s="179"/>
      <c r="AC35" s="192"/>
      <c r="AD35" s="179"/>
      <c r="AE35" s="179"/>
      <c r="AF35" s="204"/>
      <c r="AG35" s="152">
        <f>SUBTOTAL(109,Данные!$B35:$AF35)</f>
        <v>97</v>
      </c>
      <c r="AI35" s="198" t="s">
        <v>15</v>
      </c>
      <c r="AJ35" s="199"/>
      <c r="AK35" s="200">
        <v>24</v>
      </c>
      <c r="AL35" s="201">
        <f t="shared" si="8"/>
        <v>13</v>
      </c>
      <c r="AM35" s="136"/>
    </row>
    <row r="36" spans="1:42" ht="15.75" customHeight="1" x14ac:dyDescent="0.25">
      <c r="A36" s="151" t="s">
        <v>13</v>
      </c>
      <c r="B36" s="179"/>
      <c r="C36" s="179"/>
      <c r="D36" s="202"/>
      <c r="E36" s="179">
        <f>43+118+135</f>
        <v>296</v>
      </c>
      <c r="F36" s="179">
        <f>251+65+75+3</f>
        <v>394</v>
      </c>
      <c r="G36" s="179">
        <f>39</f>
        <v>39</v>
      </c>
      <c r="H36" s="192"/>
      <c r="I36" s="179">
        <f>22</f>
        <v>22</v>
      </c>
      <c r="J36" s="179">
        <f>191+38</f>
        <v>229</v>
      </c>
      <c r="K36" s="179"/>
      <c r="L36" s="179">
        <f>77+46+24</f>
        <v>147</v>
      </c>
      <c r="M36" s="179">
        <f>1+37</f>
        <v>38</v>
      </c>
      <c r="N36" s="179">
        <f>307+167+120+60</f>
        <v>654</v>
      </c>
      <c r="O36" s="192"/>
      <c r="P36" s="179">
        <f>21+141+60</f>
        <v>222</v>
      </c>
      <c r="Q36" s="179">
        <f>55+76+57+83</f>
        <v>271</v>
      </c>
      <c r="R36" s="179">
        <f>288+93+163+52+3+45+48+2</f>
        <v>694</v>
      </c>
      <c r="S36" s="179"/>
      <c r="T36" s="179">
        <f>110+53+8</f>
        <v>171</v>
      </c>
      <c r="U36" s="179">
        <f>160+112+48</f>
        <v>320</v>
      </c>
      <c r="V36" s="183"/>
      <c r="W36" s="179">
        <f>105+13+71+217+107+32</f>
        <v>545</v>
      </c>
      <c r="X36" s="184">
        <f>283+183+100+94</f>
        <v>660</v>
      </c>
      <c r="Y36" s="179">
        <f>28</f>
        <v>28</v>
      </c>
      <c r="Z36" s="179">
        <f>113+154+192</f>
        <v>459</v>
      </c>
      <c r="AA36" s="179">
        <f>308+141+37+37</f>
        <v>523</v>
      </c>
      <c r="AB36" s="179">
        <f>128+170+11+74</f>
        <v>383</v>
      </c>
      <c r="AC36" s="192"/>
      <c r="AD36" s="179"/>
      <c r="AE36" s="179"/>
      <c r="AF36" s="204"/>
      <c r="AG36" s="152">
        <f>SUBTOTAL(109,Данные!$B36:$AF36)</f>
        <v>6095</v>
      </c>
      <c r="AI36" s="198" t="s">
        <v>16</v>
      </c>
      <c r="AJ36" s="199"/>
      <c r="AK36" s="200">
        <v>24</v>
      </c>
      <c r="AL36" s="201">
        <f t="shared" si="8"/>
        <v>9</v>
      </c>
      <c r="AM36" s="136"/>
    </row>
    <row r="37" spans="1:42" ht="15.75" customHeight="1" x14ac:dyDescent="0.25">
      <c r="A37" s="151" t="s">
        <v>15</v>
      </c>
      <c r="B37" s="179"/>
      <c r="C37" s="179"/>
      <c r="D37" s="202"/>
      <c r="E37" s="179"/>
      <c r="F37" s="179"/>
      <c r="G37" s="179"/>
      <c r="H37" s="192"/>
      <c r="I37" s="179">
        <f>54+1</f>
        <v>55</v>
      </c>
      <c r="J37" s="179">
        <f>26+33+15+27</f>
        <v>101</v>
      </c>
      <c r="K37" s="179">
        <f>50+2</f>
        <v>52</v>
      </c>
      <c r="L37" s="179"/>
      <c r="M37" s="181">
        <f>60+80</f>
        <v>140</v>
      </c>
      <c r="N37" s="179">
        <f>54+106+10</f>
        <v>170</v>
      </c>
      <c r="O37" s="192"/>
      <c r="P37" s="179"/>
      <c r="Q37" s="179"/>
      <c r="R37" s="179"/>
      <c r="S37" s="179"/>
      <c r="T37" s="179">
        <f>80+57+13</f>
        <v>150</v>
      </c>
      <c r="U37" s="179">
        <f>62+29+67</f>
        <v>158</v>
      </c>
      <c r="V37" s="183"/>
      <c r="W37" s="179">
        <f>51</f>
        <v>51</v>
      </c>
      <c r="X37" s="184"/>
      <c r="Y37" s="179"/>
      <c r="Z37" s="179">
        <f>5+51+75</f>
        <v>131</v>
      </c>
      <c r="AA37" s="179">
        <f>107+97</f>
        <v>204</v>
      </c>
      <c r="AB37" s="179">
        <f>46+76</f>
        <v>122</v>
      </c>
      <c r="AC37" s="192"/>
      <c r="AD37" s="179"/>
      <c r="AE37" s="179"/>
      <c r="AF37" s="204"/>
      <c r="AG37" s="152">
        <f>SUBTOTAL(109,Данные!$B37:$AF37)</f>
        <v>1334</v>
      </c>
      <c r="AI37" s="198" t="s">
        <v>17</v>
      </c>
      <c r="AJ37" s="199"/>
      <c r="AK37" s="200">
        <v>24</v>
      </c>
      <c r="AL37" s="201">
        <f t="shared" si="8"/>
        <v>5</v>
      </c>
      <c r="AM37" s="136"/>
    </row>
    <row r="38" spans="1:42" ht="15.75" customHeight="1" x14ac:dyDescent="0.25">
      <c r="A38" s="151" t="s">
        <v>16</v>
      </c>
      <c r="B38" s="179"/>
      <c r="C38" s="179"/>
      <c r="D38" s="202"/>
      <c r="E38" s="179">
        <f>124+47+17</f>
        <v>188</v>
      </c>
      <c r="F38" s="179">
        <f>20</f>
        <v>20</v>
      </c>
      <c r="G38" s="179">
        <f>142+120+54+15+63+1</f>
        <v>395</v>
      </c>
      <c r="H38" s="192"/>
      <c r="I38" s="179">
        <f>191+131+8+73+1</f>
        <v>404</v>
      </c>
      <c r="J38" s="179">
        <f>18+95+60+96+96</f>
        <v>365</v>
      </c>
      <c r="K38" s="179">
        <f>52+46+31</f>
        <v>129</v>
      </c>
      <c r="L38" s="179">
        <f>13+102+16+37+15+10+1+6</f>
        <v>200</v>
      </c>
      <c r="M38" s="179">
        <f>235+51+1</f>
        <v>287</v>
      </c>
      <c r="N38" s="179">
        <f>244+24+113</f>
        <v>381</v>
      </c>
      <c r="O38" s="192"/>
      <c r="P38" s="179">
        <f>411+74+31+15</f>
        <v>531</v>
      </c>
      <c r="Q38" s="179">
        <f>59+58+84+64+58+33+46+18</f>
        <v>420</v>
      </c>
      <c r="R38" s="179">
        <f>124+95+50+62+30</f>
        <v>361</v>
      </c>
      <c r="S38" s="179">
        <f>98+52+91+8</f>
        <v>249</v>
      </c>
      <c r="T38" s="179"/>
      <c r="U38" s="179"/>
      <c r="V38" s="183"/>
      <c r="W38" s="179"/>
      <c r="X38" s="184">
        <f>64+183+43+97+4+3+1</f>
        <v>395</v>
      </c>
      <c r="Y38" s="179"/>
      <c r="Z38" s="179">
        <f>13+79+47+115</f>
        <v>254</v>
      </c>
      <c r="AA38" s="179">
        <f>317+137+48</f>
        <v>502</v>
      </c>
      <c r="AB38" s="179">
        <f>337+205+119</f>
        <v>661</v>
      </c>
      <c r="AC38" s="192"/>
      <c r="AD38" s="179"/>
      <c r="AE38" s="179"/>
      <c r="AF38" s="204"/>
      <c r="AG38" s="152">
        <f>SUBTOTAL(109,Данные!$B38:$AF38)</f>
        <v>5742</v>
      </c>
      <c r="AI38" s="206" t="s">
        <v>19</v>
      </c>
      <c r="AJ38" s="207"/>
      <c r="AK38" s="207">
        <v>24</v>
      </c>
      <c r="AL38" s="208">
        <f>AK38-AG13</f>
        <v>12</v>
      </c>
      <c r="AM38" s="136"/>
    </row>
    <row r="39" spans="1:42" ht="15.75" customHeight="1" x14ac:dyDescent="0.25">
      <c r="A39" s="151" t="s">
        <v>17</v>
      </c>
      <c r="B39" s="179"/>
      <c r="C39" s="179"/>
      <c r="D39" s="202"/>
      <c r="E39" s="179">
        <f>317+72+5+26</f>
        <v>420</v>
      </c>
      <c r="F39" s="179">
        <f>145+149+154+66</f>
        <v>514</v>
      </c>
      <c r="G39" s="179">
        <f>43+46+3</f>
        <v>92</v>
      </c>
      <c r="H39" s="209"/>
      <c r="I39" s="179">
        <f>116+359+164</f>
        <v>639</v>
      </c>
      <c r="J39" s="179">
        <f>97</f>
        <v>97</v>
      </c>
      <c r="K39" s="179">
        <f>193+210+133</f>
        <v>536</v>
      </c>
      <c r="L39" s="179">
        <f>59+288+83+39+56</f>
        <v>525</v>
      </c>
      <c r="M39" s="179">
        <f>453+141+7+43</f>
        <v>644</v>
      </c>
      <c r="N39" s="179">
        <f>281+87+70</f>
        <v>438</v>
      </c>
      <c r="O39" s="192"/>
      <c r="P39" s="179">
        <f>3+178+165+91+6</f>
        <v>443</v>
      </c>
      <c r="Q39" s="179">
        <f>97</f>
        <v>97</v>
      </c>
      <c r="R39" s="179">
        <f>210+65+49+248</f>
        <v>572</v>
      </c>
      <c r="S39" s="179">
        <f>190+137+298+42+58+121</f>
        <v>846</v>
      </c>
      <c r="T39" s="179">
        <f>46+175+40+180</f>
        <v>441</v>
      </c>
      <c r="U39" s="179">
        <f>249+164+74+27+100+4+2</f>
        <v>620</v>
      </c>
      <c r="V39" s="183"/>
      <c r="W39" s="179">
        <f>118+31+41+325</f>
        <v>515</v>
      </c>
      <c r="X39" s="184">
        <f>168+82+85</f>
        <v>335</v>
      </c>
      <c r="Y39" s="179">
        <f>33+92+82+2</f>
        <v>209</v>
      </c>
      <c r="Z39" s="179">
        <f>238</f>
        <v>238</v>
      </c>
      <c r="AA39" s="179">
        <f>147+45+7+88</f>
        <v>287</v>
      </c>
      <c r="AB39" s="179">
        <f>105+273+12+65+139+44+1+91</f>
        <v>730</v>
      </c>
      <c r="AC39" s="192"/>
      <c r="AD39" s="179"/>
      <c r="AE39" s="179"/>
      <c r="AF39" s="204"/>
      <c r="AG39" s="152">
        <f>SUBTOTAL(109,Данные!$B39:$AF39)</f>
        <v>9238</v>
      </c>
      <c r="AP39" s="210"/>
    </row>
    <row r="40" spans="1:42" ht="15.75" customHeight="1" x14ac:dyDescent="0.25">
      <c r="A40" s="140" t="s">
        <v>52</v>
      </c>
      <c r="B40" s="179"/>
      <c r="C40" s="179"/>
      <c r="D40" s="202"/>
      <c r="E40" s="179"/>
      <c r="F40" s="179"/>
      <c r="G40" s="179">
        <f>130+39</f>
        <v>169</v>
      </c>
      <c r="H40" s="192"/>
      <c r="I40" s="179"/>
      <c r="J40" s="202"/>
      <c r="K40" s="179"/>
      <c r="L40" s="179"/>
      <c r="M40" s="179"/>
      <c r="N40" s="179">
        <f>90+108+148+1</f>
        <v>347</v>
      </c>
      <c r="O40" s="192"/>
      <c r="P40" s="179">
        <f>66+66</f>
        <v>132</v>
      </c>
      <c r="Q40" s="179">
        <f>88+73+61+46+47+14+30+28</f>
        <v>387</v>
      </c>
      <c r="R40" s="179">
        <f>14+5+1</f>
        <v>20</v>
      </c>
      <c r="S40" s="179">
        <f>102+99+1</f>
        <v>202</v>
      </c>
      <c r="T40" s="179">
        <f>89+5+2</f>
        <v>96</v>
      </c>
      <c r="U40" s="179"/>
      <c r="V40" s="183"/>
      <c r="W40" s="179"/>
      <c r="X40" s="184"/>
      <c r="Y40" s="179"/>
      <c r="Z40" s="179"/>
      <c r="AA40" s="179"/>
      <c r="AB40" s="179"/>
      <c r="AC40" s="192"/>
      <c r="AD40" s="179"/>
      <c r="AE40" s="179"/>
      <c r="AF40" s="204"/>
      <c r="AG40" s="152">
        <f>SUBTOTAL(109,Данные!$B40:$AF40)</f>
        <v>1353</v>
      </c>
      <c r="AI40" s="195" t="s">
        <v>0</v>
      </c>
      <c r="AJ40" s="196" t="s">
        <v>111</v>
      </c>
      <c r="AK40" s="211" t="s">
        <v>112</v>
      </c>
      <c r="AL40" s="211" t="s">
        <v>29</v>
      </c>
      <c r="AM40" s="212" t="s">
        <v>114</v>
      </c>
    </row>
    <row r="41" spans="1:42" ht="15.75" customHeight="1" x14ac:dyDescent="0.25">
      <c r="A41" s="155" t="s">
        <v>19</v>
      </c>
      <c r="B41" s="213"/>
      <c r="C41" s="213"/>
      <c r="D41" s="214"/>
      <c r="E41" s="213">
        <f>26</f>
        <v>26</v>
      </c>
      <c r="F41" s="213">
        <f>54</f>
        <v>54</v>
      </c>
      <c r="G41" s="213">
        <f>121+202</f>
        <v>323</v>
      </c>
      <c r="H41" s="215"/>
      <c r="I41" s="213">
        <f>91+51+37</f>
        <v>179</v>
      </c>
      <c r="J41" s="213">
        <f>28+2</f>
        <v>30</v>
      </c>
      <c r="K41" s="214">
        <f>53</f>
        <v>53</v>
      </c>
      <c r="L41" s="213">
        <f>138+304+37</f>
        <v>479</v>
      </c>
      <c r="M41" s="213">
        <f>42+51+34</f>
        <v>127</v>
      </c>
      <c r="N41" s="213"/>
      <c r="O41" s="215"/>
      <c r="P41" s="213">
        <f>142+60</f>
        <v>202</v>
      </c>
      <c r="Q41" s="213"/>
      <c r="R41" s="214"/>
      <c r="S41" s="213"/>
      <c r="T41" s="213"/>
      <c r="U41" s="213"/>
      <c r="V41" s="183"/>
      <c r="W41" s="213">
        <f>32+155+143+7+14</f>
        <v>351</v>
      </c>
      <c r="X41" s="184"/>
      <c r="Y41" s="213">
        <f>17+71</f>
        <v>88</v>
      </c>
      <c r="Z41" s="214"/>
      <c r="AA41" s="213"/>
      <c r="AB41" s="213">
        <f>53</f>
        <v>53</v>
      </c>
      <c r="AC41" s="215"/>
      <c r="AD41" s="213"/>
      <c r="AE41" s="213"/>
      <c r="AF41" s="216"/>
      <c r="AG41" s="152">
        <f>SUBTOTAL(109,Данные!$B41:$AF41)</f>
        <v>1965</v>
      </c>
      <c r="AI41" s="217" t="s">
        <v>52</v>
      </c>
      <c r="AJ41" s="199">
        <v>1923.08</v>
      </c>
      <c r="AK41" s="218">
        <v>24</v>
      </c>
      <c r="AL41" s="219">
        <f>AK41-AG12</f>
        <v>16</v>
      </c>
      <c r="AM41" s="220">
        <f t="shared" ref="AM41:AM42" si="9">AL41*AO46</f>
        <v>30769.279999999999</v>
      </c>
    </row>
    <row r="42" spans="1:42" ht="15.75" customHeight="1" x14ac:dyDescent="0.25">
      <c r="A42" s="191" t="s">
        <v>20</v>
      </c>
      <c r="B42" s="221"/>
      <c r="C42" s="221"/>
      <c r="D42" s="221"/>
      <c r="E42" s="221">
        <f>39+58+98+42</f>
        <v>237</v>
      </c>
      <c r="F42" s="221">
        <f>242+57+28+93+1+1</f>
        <v>422</v>
      </c>
      <c r="G42" s="221">
        <f>133</f>
        <v>133</v>
      </c>
      <c r="H42" s="222"/>
      <c r="I42" s="221">
        <f>50+76+141</f>
        <v>267</v>
      </c>
      <c r="J42" s="221">
        <f>29+63+67+25+55</f>
        <v>239</v>
      </c>
      <c r="K42" s="221">
        <f>60+46+25+76+118+2</f>
        <v>327</v>
      </c>
      <c r="L42" s="221">
        <f>41+35+149+3</f>
        <v>228</v>
      </c>
      <c r="M42" s="221">
        <f>56+26+69+1+2</f>
        <v>154</v>
      </c>
      <c r="N42" s="221"/>
      <c r="O42" s="222"/>
      <c r="P42" s="163">
        <f>95+127</f>
        <v>222</v>
      </c>
      <c r="Q42" s="221">
        <f>82+53+42+32+21</f>
        <v>230</v>
      </c>
      <c r="R42" s="221">
        <f>74+81+5</f>
        <v>160</v>
      </c>
      <c r="S42" s="221">
        <f>156</f>
        <v>156</v>
      </c>
      <c r="T42" s="221">
        <f>60</f>
        <v>60</v>
      </c>
      <c r="U42" s="221">
        <f>148+189+1+1+47</f>
        <v>386</v>
      </c>
      <c r="V42" s="183"/>
      <c r="W42" s="221">
        <f>24+51+117+146+45</f>
        <v>383</v>
      </c>
      <c r="X42" s="193">
        <f>107+32+100+11+1</f>
        <v>251</v>
      </c>
      <c r="Y42" s="221">
        <f>113+14</f>
        <v>127</v>
      </c>
      <c r="Z42" s="221">
        <f>27+142</f>
        <v>169</v>
      </c>
      <c r="AA42" s="221">
        <f>60+39+17+84</f>
        <v>200</v>
      </c>
      <c r="AB42" s="221"/>
      <c r="AC42" s="222"/>
      <c r="AD42" s="221"/>
      <c r="AE42" s="221"/>
      <c r="AF42" s="223"/>
      <c r="AG42" s="194">
        <f>SUBTOTAL(109,Данные!$B42:$AF42)</f>
        <v>4351</v>
      </c>
      <c r="AI42" s="224" t="s">
        <v>20</v>
      </c>
      <c r="AJ42" s="199">
        <v>1807.7</v>
      </c>
      <c r="AK42" s="225">
        <v>24</v>
      </c>
      <c r="AL42" s="219">
        <f>AK42-AG14</f>
        <v>3</v>
      </c>
      <c r="AM42" s="220">
        <f t="shared" si="9"/>
        <v>5423.1</v>
      </c>
    </row>
    <row r="43" spans="1:42" ht="15.75" customHeight="1" x14ac:dyDescent="0.25">
      <c r="A43" s="85"/>
      <c r="B43" s="85"/>
      <c r="C43" s="85"/>
      <c r="D43" s="85"/>
      <c r="E43" s="85"/>
      <c r="F43" s="85"/>
      <c r="G43" s="85"/>
      <c r="H43" s="85"/>
      <c r="I43" s="85"/>
      <c r="J43" s="326" t="s">
        <v>115</v>
      </c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85"/>
      <c r="Z43" s="85"/>
      <c r="AA43" s="85"/>
      <c r="AB43" s="85"/>
      <c r="AC43" s="85"/>
      <c r="AD43" s="85"/>
      <c r="AE43" s="85"/>
      <c r="AF43" s="85"/>
      <c r="AG43" s="85"/>
      <c r="AI43" s="226"/>
      <c r="AJ43" s="227"/>
      <c r="AK43" s="227"/>
      <c r="AL43" s="227"/>
      <c r="AM43" s="228"/>
      <c r="AN43" s="136"/>
      <c r="AO43" s="136"/>
    </row>
    <row r="44" spans="1:42" ht="15.75" customHeight="1" x14ac:dyDescent="0.25">
      <c r="A44" s="126" t="s">
        <v>0</v>
      </c>
      <c r="B44" s="127" t="s">
        <v>58</v>
      </c>
      <c r="C44" s="127" t="s">
        <v>59</v>
      </c>
      <c r="D44" s="127" t="s">
        <v>60</v>
      </c>
      <c r="E44" s="127" t="s">
        <v>61</v>
      </c>
      <c r="F44" s="127" t="s">
        <v>62</v>
      </c>
      <c r="G44" s="127" t="s">
        <v>63</v>
      </c>
      <c r="H44" s="127" t="s">
        <v>64</v>
      </c>
      <c r="I44" s="127" t="s">
        <v>65</v>
      </c>
      <c r="J44" s="127" t="s">
        <v>66</v>
      </c>
      <c r="K44" s="127" t="s">
        <v>67</v>
      </c>
      <c r="L44" s="127" t="s">
        <v>68</v>
      </c>
      <c r="M44" s="127" t="s">
        <v>69</v>
      </c>
      <c r="N44" s="127" t="s">
        <v>70</v>
      </c>
      <c r="O44" s="127" t="s">
        <v>71</v>
      </c>
      <c r="P44" s="127" t="s">
        <v>72</v>
      </c>
      <c r="Q44" s="127" t="s">
        <v>73</v>
      </c>
      <c r="R44" s="127" t="s">
        <v>74</v>
      </c>
      <c r="S44" s="127" t="s">
        <v>75</v>
      </c>
      <c r="T44" s="127" t="s">
        <v>76</v>
      </c>
      <c r="U44" s="127" t="s">
        <v>77</v>
      </c>
      <c r="V44" s="127" t="s">
        <v>78</v>
      </c>
      <c r="W44" s="127" t="s">
        <v>79</v>
      </c>
      <c r="X44" s="127" t="s">
        <v>80</v>
      </c>
      <c r="Y44" s="127" t="s">
        <v>81</v>
      </c>
      <c r="Z44" s="127" t="s">
        <v>82</v>
      </c>
      <c r="AA44" s="127" t="s">
        <v>83</v>
      </c>
      <c r="AB44" s="127" t="s">
        <v>84</v>
      </c>
      <c r="AC44" s="127" t="s">
        <v>85</v>
      </c>
      <c r="AD44" s="127" t="s">
        <v>86</v>
      </c>
      <c r="AE44" s="127" t="s">
        <v>87</v>
      </c>
      <c r="AF44" s="128" t="s">
        <v>88</v>
      </c>
      <c r="AG44" s="322" t="s">
        <v>89</v>
      </c>
    </row>
    <row r="45" spans="1:42" ht="15.75" customHeight="1" x14ac:dyDescent="0.2">
      <c r="A45" s="132"/>
      <c r="B45" s="133" t="s">
        <v>91</v>
      </c>
      <c r="C45" s="133" t="s">
        <v>92</v>
      </c>
      <c r="D45" s="133" t="s">
        <v>93</v>
      </c>
      <c r="E45" s="133" t="s">
        <v>94</v>
      </c>
      <c r="F45" s="133" t="s">
        <v>95</v>
      </c>
      <c r="G45" s="133" t="s">
        <v>96</v>
      </c>
      <c r="H45" s="133" t="s">
        <v>97</v>
      </c>
      <c r="I45" s="133" t="s">
        <v>91</v>
      </c>
      <c r="J45" s="133" t="s">
        <v>92</v>
      </c>
      <c r="K45" s="133" t="s">
        <v>93</v>
      </c>
      <c r="L45" s="133" t="s">
        <v>94</v>
      </c>
      <c r="M45" s="133" t="s">
        <v>95</v>
      </c>
      <c r="N45" s="133" t="s">
        <v>96</v>
      </c>
      <c r="O45" s="133" t="s">
        <v>97</v>
      </c>
      <c r="P45" s="133" t="s">
        <v>91</v>
      </c>
      <c r="Q45" s="133" t="s">
        <v>92</v>
      </c>
      <c r="R45" s="133" t="s">
        <v>93</v>
      </c>
      <c r="S45" s="133" t="s">
        <v>94</v>
      </c>
      <c r="T45" s="133" t="s">
        <v>95</v>
      </c>
      <c r="U45" s="133" t="s">
        <v>96</v>
      </c>
      <c r="V45" s="133" t="s">
        <v>97</v>
      </c>
      <c r="W45" s="133" t="s">
        <v>91</v>
      </c>
      <c r="X45" s="133" t="s">
        <v>92</v>
      </c>
      <c r="Y45" s="133" t="s">
        <v>93</v>
      </c>
      <c r="Z45" s="133" t="s">
        <v>94</v>
      </c>
      <c r="AA45" s="133" t="s">
        <v>95</v>
      </c>
      <c r="AB45" s="133" t="s">
        <v>96</v>
      </c>
      <c r="AC45" s="133" t="s">
        <v>97</v>
      </c>
      <c r="AD45" s="133" t="s">
        <v>91</v>
      </c>
      <c r="AE45" s="133" t="s">
        <v>92</v>
      </c>
      <c r="AF45" s="133" t="s">
        <v>93</v>
      </c>
      <c r="AG45" s="323"/>
    </row>
    <row r="46" spans="1:42" ht="15.75" customHeight="1" x14ac:dyDescent="0.25">
      <c r="A46" s="151" t="s">
        <v>10</v>
      </c>
      <c r="B46" s="178"/>
      <c r="C46" s="178"/>
      <c r="D46" s="179"/>
      <c r="E46" s="178">
        <f>1600+890+436+383+808</f>
        <v>4117</v>
      </c>
      <c r="F46" s="178">
        <f>439+889+792</f>
        <v>2120</v>
      </c>
      <c r="G46" s="178">
        <f>900+470+500+300</f>
        <v>2170</v>
      </c>
      <c r="H46" s="180"/>
      <c r="I46" s="178"/>
      <c r="J46" s="178">
        <f>514+837+610+960+702+949</f>
        <v>4572</v>
      </c>
      <c r="K46" s="178">
        <f>2400</f>
        <v>2400</v>
      </c>
      <c r="L46" s="178">
        <f>1880+1140+962+1050</f>
        <v>5032</v>
      </c>
      <c r="M46" s="178">
        <f>808+458+670+630</f>
        <v>2566</v>
      </c>
      <c r="N46" s="178">
        <f>1900+470+720</f>
        <v>3090</v>
      </c>
      <c r="O46" s="180"/>
      <c r="P46" s="178">
        <f>850+950+860+1100+360</f>
        <v>4120</v>
      </c>
      <c r="Q46" s="178">
        <f>2700</f>
        <v>2700</v>
      </c>
      <c r="R46" s="178">
        <f>600+400+600+1250+800+770</f>
        <v>4420</v>
      </c>
      <c r="S46" s="178">
        <f>1691+1350+600+1800+1000+923</f>
        <v>7364</v>
      </c>
      <c r="T46" s="178">
        <f>850+600+310+970+450</f>
        <v>3180</v>
      </c>
      <c r="U46" s="182">
        <f>1900+1200+542+495+370</f>
        <v>4507</v>
      </c>
      <c r="V46" s="183"/>
      <c r="W46" s="178">
        <f>1935+910+961+794+447</f>
        <v>5047</v>
      </c>
      <c r="X46" s="184"/>
      <c r="Y46" s="178">
        <f>145+621+966</f>
        <v>1732</v>
      </c>
      <c r="Z46" s="184">
        <f>650+710+550</f>
        <v>1910</v>
      </c>
      <c r="AA46" s="182">
        <f>350+770+470+1100+780+800</f>
        <v>4270</v>
      </c>
      <c r="AB46" s="178">
        <f>260+860+1420+730+1000+760+1750</f>
        <v>6780</v>
      </c>
      <c r="AC46" s="180"/>
      <c r="AD46" s="178"/>
      <c r="AE46" s="178"/>
      <c r="AF46" s="185"/>
      <c r="AG46" s="152">
        <f>SUBTOTAL(109,Данные!$B46:$AF46)</f>
        <v>72097</v>
      </c>
      <c r="AI46" s="229" t="s">
        <v>52</v>
      </c>
      <c r="AJ46" s="175">
        <f>AG28</f>
        <v>73270</v>
      </c>
      <c r="AK46" s="175">
        <f>AG40</f>
        <v>1353</v>
      </c>
      <c r="AL46" s="175">
        <f>AG52</f>
        <v>23429</v>
      </c>
      <c r="AM46" s="175">
        <f>AG64</f>
        <v>754</v>
      </c>
      <c r="AN46" s="230"/>
      <c r="AO46" s="176">
        <v>1923.08</v>
      </c>
    </row>
    <row r="47" spans="1:42" ht="15.75" customHeight="1" x14ac:dyDescent="0.25">
      <c r="A47" s="151" t="s">
        <v>12</v>
      </c>
      <c r="B47" s="178"/>
      <c r="C47" s="178"/>
      <c r="D47" s="179"/>
      <c r="E47" s="178"/>
      <c r="F47" s="178"/>
      <c r="G47" s="178"/>
      <c r="H47" s="180"/>
      <c r="I47" s="178"/>
      <c r="J47" s="178"/>
      <c r="K47" s="178">
        <f>1300+319</f>
        <v>1619</v>
      </c>
      <c r="L47" s="178">
        <f>1100+1190+1110+890</f>
        <v>4290</v>
      </c>
      <c r="M47" s="178"/>
      <c r="N47" s="178">
        <f>1300+1050+700</f>
        <v>3050</v>
      </c>
      <c r="O47" s="180"/>
      <c r="P47" s="178"/>
      <c r="Q47" s="178"/>
      <c r="R47" s="178"/>
      <c r="S47" s="178">
        <f>618+425+1850+1600+1550+900</f>
        <v>6943</v>
      </c>
      <c r="T47" s="178">
        <f>1300+1350+1100+900+650+600+350+630</f>
        <v>6880</v>
      </c>
      <c r="U47" s="178">
        <f>1750+1360+900+930+870+655</f>
        <v>6465</v>
      </c>
      <c r="V47" s="183"/>
      <c r="W47" s="178">
        <f>350+445+1360+790+710+1750+330+870+663</f>
        <v>7268</v>
      </c>
      <c r="X47" s="184">
        <f>2100</f>
        <v>2100</v>
      </c>
      <c r="Y47" s="178">
        <f>350+650+540+1241+1230</f>
        <v>4011</v>
      </c>
      <c r="Z47" s="184">
        <f>1500+1100+600</f>
        <v>3200</v>
      </c>
      <c r="AA47" s="178">
        <f>820+1100+1050+900</f>
        <v>3870</v>
      </c>
      <c r="AB47" s="178">
        <f>430+530+1200+800+900+2100+570</f>
        <v>6530</v>
      </c>
      <c r="AC47" s="180"/>
      <c r="AD47" s="178"/>
      <c r="AE47" s="178"/>
      <c r="AF47" s="185"/>
      <c r="AG47" s="152">
        <f>SUBTOTAL(109,Данные!$B47:$AF47)</f>
        <v>56226</v>
      </c>
      <c r="AI47" s="174" t="s">
        <v>20</v>
      </c>
      <c r="AJ47" s="175">
        <f>AG30</f>
        <v>268746</v>
      </c>
      <c r="AK47" s="175">
        <f>AG42</f>
        <v>4351</v>
      </c>
      <c r="AL47" s="175">
        <f>AG54</f>
        <v>96526</v>
      </c>
      <c r="AM47" s="175">
        <f>AG66</f>
        <v>5394</v>
      </c>
      <c r="AN47" s="230"/>
      <c r="AO47" s="176">
        <v>1807.7</v>
      </c>
    </row>
    <row r="48" spans="1:42" ht="15.75" customHeight="1" x14ac:dyDescent="0.25">
      <c r="A48" s="151" t="s">
        <v>13</v>
      </c>
      <c r="B48" s="178"/>
      <c r="C48" s="178"/>
      <c r="D48" s="179"/>
      <c r="E48" s="178">
        <f>2100+912+864</f>
        <v>3876</v>
      </c>
      <c r="F48" s="178">
        <f>700+950+1050+384+417+740+723+250</f>
        <v>5214</v>
      </c>
      <c r="G48" s="178">
        <f>1650+1450+1250+550+320</f>
        <v>5220</v>
      </c>
      <c r="H48" s="180"/>
      <c r="I48" s="178">
        <f>570+700+1450+1120+1600+1000+1500+800+350+1150+950</f>
        <v>11190</v>
      </c>
      <c r="J48" s="178">
        <f>1450+115+1200+572+774</f>
        <v>4111</v>
      </c>
      <c r="K48" s="178"/>
      <c r="L48" s="178">
        <f>400+950+1400+1030+741</f>
        <v>4521</v>
      </c>
      <c r="M48" s="178">
        <f>651+273+1250+1280+1000+884+1064+1440+590+531</f>
        <v>8963</v>
      </c>
      <c r="N48" s="178">
        <f>830+650</f>
        <v>1480</v>
      </c>
      <c r="O48" s="180"/>
      <c r="P48" s="178">
        <f>1350+2000+1200+1050+700+650</f>
        <v>6950</v>
      </c>
      <c r="Q48" s="178">
        <f>3200+4489</f>
        <v>7689</v>
      </c>
      <c r="R48" s="178"/>
      <c r="S48" s="178"/>
      <c r="T48" s="178">
        <f>1000+520+700+950+1350+850+700+550</f>
        <v>6620</v>
      </c>
      <c r="U48" s="178">
        <f>600+331+962+1350+1550+2050+600+722</f>
        <v>8165</v>
      </c>
      <c r="V48" s="183"/>
      <c r="W48" s="178">
        <f>1600+1630+533+992</f>
        <v>4755</v>
      </c>
      <c r="X48" s="184">
        <f>800+900+1000</f>
        <v>2700</v>
      </c>
      <c r="Y48" s="178">
        <f>1310+674+1150+464+660+1030+1379+62+616+397+376</f>
        <v>8118</v>
      </c>
      <c r="Z48" s="184">
        <f>1050+620</f>
        <v>1670</v>
      </c>
      <c r="AA48" s="178">
        <f>1350+480</f>
        <v>1830</v>
      </c>
      <c r="AB48" s="178">
        <f>1700+340+670+3500</f>
        <v>6210</v>
      </c>
      <c r="AC48" s="180"/>
      <c r="AD48" s="178"/>
      <c r="AE48" s="178"/>
      <c r="AF48" s="185"/>
      <c r="AG48" s="152">
        <f>SUBTOTAL(109,Данные!$B48:$AF48)</f>
        <v>99282</v>
      </c>
    </row>
    <row r="49" spans="1:33" ht="15.75" customHeight="1" x14ac:dyDescent="0.25">
      <c r="A49" s="151" t="s">
        <v>15</v>
      </c>
      <c r="B49" s="178"/>
      <c r="C49" s="178"/>
      <c r="D49" s="179"/>
      <c r="E49" s="178"/>
      <c r="F49" s="178"/>
      <c r="G49" s="178"/>
      <c r="H49" s="180"/>
      <c r="J49" s="178"/>
      <c r="K49" s="178">
        <f>900+950+943</f>
        <v>2793</v>
      </c>
      <c r="L49" s="178">
        <f>289+496+850+669</f>
        <v>2304</v>
      </c>
      <c r="M49" s="178">
        <f>656</f>
        <v>656</v>
      </c>
      <c r="N49" s="178">
        <f>310+610+570+570+1650</f>
        <v>3710</v>
      </c>
      <c r="O49" s="180"/>
      <c r="P49" s="178"/>
      <c r="Q49" s="178"/>
      <c r="R49" s="178"/>
      <c r="S49" s="178"/>
      <c r="T49" s="178">
        <f>530</f>
        <v>530</v>
      </c>
      <c r="U49" s="182">
        <f>1870+515+450+618+713</f>
        <v>4166</v>
      </c>
      <c r="V49" s="183"/>
      <c r="W49" s="178"/>
      <c r="X49" s="184"/>
      <c r="Y49" s="178"/>
      <c r="Z49" s="184">
        <f>1150+270</f>
        <v>1420</v>
      </c>
      <c r="AA49" s="178">
        <f>700+760+700</f>
        <v>2160</v>
      </c>
      <c r="AB49" s="178">
        <f>730+660+650</f>
        <v>2040</v>
      </c>
      <c r="AC49" s="180"/>
      <c r="AD49" s="178"/>
      <c r="AE49" s="178"/>
      <c r="AF49" s="185"/>
      <c r="AG49" s="152">
        <f>SUBTOTAL(109,Данные!$B49:$AF49)</f>
        <v>19779</v>
      </c>
    </row>
    <row r="50" spans="1:33" ht="15.75" customHeight="1" x14ac:dyDescent="0.25">
      <c r="A50" s="151" t="s">
        <v>16</v>
      </c>
      <c r="B50" s="178"/>
      <c r="C50" s="178"/>
      <c r="D50" s="179"/>
      <c r="E50" s="178">
        <f>1425+360+368+1150</f>
        <v>3303</v>
      </c>
      <c r="F50" s="178">
        <f>2000+1950+1040+950+633+1200+525</f>
        <v>8298</v>
      </c>
      <c r="G50" s="178">
        <f>850+1200+900+280+830+1000+340+650+725</f>
        <v>6775</v>
      </c>
      <c r="H50" s="180"/>
      <c r="I50" s="178">
        <f>1850+1500+550+700+970+650</f>
        <v>6220</v>
      </c>
      <c r="J50" s="178">
        <f>934+1800+489</f>
        <v>3223</v>
      </c>
      <c r="K50" s="178">
        <f>783+2100+1050+273+413+700+720</f>
        <v>6039</v>
      </c>
      <c r="L50" s="178">
        <f>1500+385+2000+335</f>
        <v>4220</v>
      </c>
      <c r="M50" s="178">
        <f>920+730+650+876+981+800</f>
        <v>4957</v>
      </c>
      <c r="N50" s="178">
        <f>1650+700+1150+860</f>
        <v>4360</v>
      </c>
      <c r="O50" s="180"/>
      <c r="P50" s="178">
        <f>500+400+1700+1000+1000</f>
        <v>4600</v>
      </c>
      <c r="Q50" s="178">
        <f>2000+2500+870</f>
        <v>5370</v>
      </c>
      <c r="R50" s="178">
        <f>1250+2100+900+780+400+600+700+700+750</f>
        <v>8180</v>
      </c>
      <c r="S50" s="178">
        <f>1000+800+1054+370+490</f>
        <v>3714</v>
      </c>
      <c r="T50" s="178"/>
      <c r="U50" s="178"/>
      <c r="V50" s="183"/>
      <c r="W50" s="178">
        <f>790+953+882+1100</f>
        <v>3725</v>
      </c>
      <c r="X50" s="184"/>
      <c r="Y50" s="178"/>
      <c r="Z50" s="184">
        <f>1400+1150+800+450</f>
        <v>3800</v>
      </c>
      <c r="AA50" s="178">
        <f>1900+950</f>
        <v>2850</v>
      </c>
      <c r="AB50" s="178">
        <f>700+2100+320</f>
        <v>3120</v>
      </c>
      <c r="AC50" s="180"/>
      <c r="AD50" s="178"/>
      <c r="AE50" s="178"/>
      <c r="AF50" s="185"/>
      <c r="AG50" s="152">
        <f>SUBTOTAL(109,Данные!$B50:$AF50)</f>
        <v>82754</v>
      </c>
    </row>
    <row r="51" spans="1:33" ht="15.75" customHeight="1" x14ac:dyDescent="0.25">
      <c r="A51" s="151" t="s">
        <v>17</v>
      </c>
      <c r="B51" s="178"/>
      <c r="C51" s="178"/>
      <c r="D51" s="179"/>
      <c r="E51" s="178"/>
      <c r="F51" s="178"/>
      <c r="G51" s="178">
        <f>1200</f>
        <v>1200</v>
      </c>
      <c r="H51" s="180"/>
      <c r="I51" s="178"/>
      <c r="J51" s="178">
        <f>991+1700+1124</f>
        <v>3815</v>
      </c>
      <c r="K51" s="178">
        <f>1240+725</f>
        <v>1965</v>
      </c>
      <c r="L51" s="178">
        <f>1090</f>
        <v>1090</v>
      </c>
      <c r="M51" s="178">
        <f>711</f>
        <v>711</v>
      </c>
      <c r="N51" s="178">
        <f>1000+1850+800</f>
        <v>3650</v>
      </c>
      <c r="O51" s="180"/>
      <c r="P51" s="178"/>
      <c r="Q51" s="178">
        <f>2500+2300+3300+3750+3000+2480+4800</f>
        <v>22130</v>
      </c>
      <c r="R51" s="178">
        <f>1350+650</f>
        <v>2000</v>
      </c>
      <c r="S51" s="178"/>
      <c r="T51" s="178"/>
      <c r="U51" s="178"/>
      <c r="V51" s="183"/>
      <c r="W51" s="178">
        <f>1202+342+890+924</f>
        <v>3358</v>
      </c>
      <c r="X51" s="184">
        <f>611+1040+1010+636+790+1135+544+371</f>
        <v>6137</v>
      </c>
      <c r="Y51" s="178">
        <f>768+657</f>
        <v>1425</v>
      </c>
      <c r="Z51" s="184">
        <f>2500+1400+830+500</f>
        <v>5230</v>
      </c>
      <c r="AA51" s="178">
        <f>1650+620+840+770+560</f>
        <v>4440</v>
      </c>
      <c r="AB51" s="178"/>
      <c r="AC51" s="180"/>
      <c r="AD51" s="178"/>
      <c r="AE51" s="178"/>
      <c r="AF51" s="185"/>
      <c r="AG51" s="152">
        <f>SUBTOTAL(109,Данные!$B51:$AF51)</f>
        <v>57151</v>
      </c>
    </row>
    <row r="52" spans="1:33" ht="15.75" customHeight="1" x14ac:dyDescent="0.25">
      <c r="A52" s="140" t="s">
        <v>52</v>
      </c>
      <c r="B52" s="178"/>
      <c r="C52" s="178"/>
      <c r="D52" s="179"/>
      <c r="E52" s="178"/>
      <c r="F52" s="178"/>
      <c r="G52" s="178">
        <f>950</f>
        <v>950</v>
      </c>
      <c r="H52" s="180"/>
      <c r="I52" s="178"/>
      <c r="J52" s="178"/>
      <c r="K52" s="178"/>
      <c r="L52" s="178"/>
      <c r="M52" s="178"/>
      <c r="N52" s="178">
        <f>850+850+700</f>
        <v>2400</v>
      </c>
      <c r="O52" s="180"/>
      <c r="P52" s="178">
        <f>1800+1010</f>
        <v>2810</v>
      </c>
      <c r="Q52" s="182">
        <f>7600</f>
        <v>7600</v>
      </c>
      <c r="R52" s="178">
        <f>1450+1200+1050+430</f>
        <v>4130</v>
      </c>
      <c r="S52" s="178">
        <f>1250+820+709+330+760</f>
        <v>3869</v>
      </c>
      <c r="T52" s="178">
        <f>1050+620</f>
        <v>1670</v>
      </c>
      <c r="U52" s="178"/>
      <c r="V52" s="183"/>
      <c r="W52" s="178"/>
      <c r="X52" s="184"/>
      <c r="Y52" s="178"/>
      <c r="Z52" s="184"/>
      <c r="AA52" s="178"/>
      <c r="AB52" s="178"/>
      <c r="AC52" s="180"/>
      <c r="AD52" s="178"/>
      <c r="AE52" s="178"/>
      <c r="AF52" s="185"/>
      <c r="AG52" s="152">
        <f>SUBTOTAL(109,Данные!$B52:$AF52)</f>
        <v>23429</v>
      </c>
    </row>
    <row r="53" spans="1:33" ht="15.75" customHeight="1" x14ac:dyDescent="0.25">
      <c r="A53" s="155" t="s">
        <v>19</v>
      </c>
      <c r="B53" s="187"/>
      <c r="C53" s="187"/>
      <c r="D53" s="179"/>
      <c r="E53" s="187">
        <f>450+350+1030+536+692+704+844+624</f>
        <v>5230</v>
      </c>
      <c r="F53" s="187">
        <f>900+978+737</f>
        <v>2615</v>
      </c>
      <c r="G53" s="187">
        <f>800+360+750+670</f>
        <v>2580</v>
      </c>
      <c r="H53" s="189"/>
      <c r="I53" s="187">
        <f>1650</f>
        <v>1650</v>
      </c>
      <c r="J53" s="187">
        <f>800+760+263+339+556</f>
        <v>2718</v>
      </c>
      <c r="K53" s="213">
        <f>474+1350+1350+1200+1000+1000</f>
        <v>6374</v>
      </c>
      <c r="L53" s="187">
        <f>1000+384</f>
        <v>1384</v>
      </c>
      <c r="M53" s="187">
        <f>673+371+630+879</f>
        <v>2553</v>
      </c>
      <c r="N53" s="187">
        <f>825+420+2000+1100+400+650+760</f>
        <v>6155</v>
      </c>
      <c r="O53" s="189"/>
      <c r="P53" s="187">
        <f>1900+950+1200+1150</f>
        <v>5200</v>
      </c>
      <c r="Q53" s="187">
        <f>2500+3000+4000+2400+2000</f>
        <v>13900</v>
      </c>
      <c r="R53" s="188"/>
      <c r="S53" s="187"/>
      <c r="T53" s="187"/>
      <c r="U53" s="187"/>
      <c r="V53" s="183"/>
      <c r="W53" s="187">
        <f>1700+1150+386+757</f>
        <v>3993</v>
      </c>
      <c r="X53" s="184"/>
      <c r="Y53" s="187">
        <f>1130+2100</f>
        <v>3230</v>
      </c>
      <c r="Z53" s="184"/>
      <c r="AA53" s="187"/>
      <c r="AB53" s="187">
        <f>1700+1200+300+1500+730+730</f>
        <v>6160</v>
      </c>
      <c r="AC53" s="180"/>
      <c r="AD53" s="187"/>
      <c r="AE53" s="187"/>
      <c r="AF53" s="190"/>
      <c r="AG53" s="152">
        <f>SUBTOTAL(109,Данные!$B53:$AF53)</f>
        <v>63742</v>
      </c>
    </row>
    <row r="54" spans="1:33" ht="15.75" customHeight="1" x14ac:dyDescent="0.25">
      <c r="A54" s="191" t="s">
        <v>20</v>
      </c>
      <c r="B54" s="78"/>
      <c r="C54" s="78"/>
      <c r="D54" s="78"/>
      <c r="E54" s="78">
        <f>1170+310+1350+591</f>
        <v>3421</v>
      </c>
      <c r="F54" s="78">
        <f>970+500+218+1517+982+422+520</f>
        <v>5129</v>
      </c>
      <c r="G54" s="78">
        <f>600+600+2200+900+550</f>
        <v>4850</v>
      </c>
      <c r="H54" s="192"/>
      <c r="I54" s="78">
        <f>1400+1400+320+720+500</f>
        <v>4340</v>
      </c>
      <c r="J54" s="78">
        <f>800+760+1800+263+339+556</f>
        <v>4518</v>
      </c>
      <c r="K54" s="78">
        <f>1200+1450+700+850+1111+850+500+664</f>
        <v>7325</v>
      </c>
      <c r="L54" s="78">
        <f>1200+620+1050+245+863+469</f>
        <v>4447</v>
      </c>
      <c r="M54" s="78">
        <f>1400+786+590+1079</f>
        <v>3855</v>
      </c>
      <c r="N54" s="78">
        <f>825+170</f>
        <v>995</v>
      </c>
      <c r="O54" s="192"/>
      <c r="P54" s="78">
        <f>2000+2000+970+1200+520+610</f>
        <v>7300</v>
      </c>
      <c r="Q54" s="78">
        <f>1800+3600+3200</f>
        <v>8600</v>
      </c>
      <c r="R54" s="78">
        <f>1400+1250+1700+360+1500+370+1100+500</f>
        <v>8180</v>
      </c>
      <c r="S54" s="78">
        <f>1750+1750</f>
        <v>3500</v>
      </c>
      <c r="T54" s="78">
        <f>2800+1050+350+600+950+510</f>
        <v>6260</v>
      </c>
      <c r="U54" s="78">
        <f>1500+1500+1290+845+900+531</f>
        <v>6566</v>
      </c>
      <c r="V54" s="183"/>
      <c r="W54" s="78">
        <f>1120+461</f>
        <v>1581</v>
      </c>
      <c r="X54" s="193">
        <f>1000+1150+230+1200+412</f>
        <v>3992</v>
      </c>
      <c r="Y54" s="78">
        <f>600+700+520+912+545</f>
        <v>3277</v>
      </c>
      <c r="Z54" s="193">
        <f>500+700+1150+160+900+520</f>
        <v>3930</v>
      </c>
      <c r="AA54" s="78">
        <f>1050+1000+820+960+630</f>
        <v>4460</v>
      </c>
      <c r="AB54" s="78"/>
      <c r="AC54" s="192"/>
      <c r="AD54" s="78"/>
      <c r="AE54" s="78"/>
      <c r="AF54" s="78"/>
      <c r="AG54" s="194">
        <f>SUBTOTAL(109,Данные!$B54:$AF54)</f>
        <v>96526</v>
      </c>
    </row>
    <row r="55" spans="1:33" ht="15.75" customHeight="1" x14ac:dyDescent="0.25">
      <c r="A55" s="124"/>
      <c r="B55" s="124"/>
      <c r="C55" s="124"/>
      <c r="D55" s="124"/>
      <c r="E55" s="124"/>
      <c r="F55" s="124"/>
      <c r="G55" s="124"/>
      <c r="H55" s="124"/>
      <c r="I55" s="124"/>
      <c r="J55" s="326" t="s">
        <v>116</v>
      </c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124"/>
      <c r="Z55" s="124"/>
      <c r="AA55" s="124"/>
      <c r="AB55" s="124"/>
      <c r="AC55" s="124"/>
      <c r="AD55" s="124"/>
      <c r="AE55" s="124"/>
      <c r="AF55" s="124"/>
      <c r="AG55" s="124"/>
    </row>
    <row r="56" spans="1:33" ht="15.75" customHeight="1" x14ac:dyDescent="0.25">
      <c r="A56" s="126" t="s">
        <v>0</v>
      </c>
      <c r="B56" s="127" t="s">
        <v>58</v>
      </c>
      <c r="C56" s="127" t="s">
        <v>59</v>
      </c>
      <c r="D56" s="127" t="s">
        <v>60</v>
      </c>
      <c r="E56" s="127" t="s">
        <v>61</v>
      </c>
      <c r="F56" s="127" t="s">
        <v>62</v>
      </c>
      <c r="G56" s="127" t="s">
        <v>63</v>
      </c>
      <c r="H56" s="127" t="s">
        <v>64</v>
      </c>
      <c r="I56" s="127" t="s">
        <v>65</v>
      </c>
      <c r="J56" s="127" t="s">
        <v>66</v>
      </c>
      <c r="K56" s="127" t="s">
        <v>67</v>
      </c>
      <c r="L56" s="127" t="s">
        <v>68</v>
      </c>
      <c r="M56" s="127" t="s">
        <v>69</v>
      </c>
      <c r="N56" s="127" t="s">
        <v>70</v>
      </c>
      <c r="O56" s="127" t="s">
        <v>71</v>
      </c>
      <c r="P56" s="127" t="s">
        <v>72</v>
      </c>
      <c r="Q56" s="127" t="s">
        <v>73</v>
      </c>
      <c r="R56" s="127" t="s">
        <v>74</v>
      </c>
      <c r="S56" s="127" t="s">
        <v>75</v>
      </c>
      <c r="T56" s="127" t="s">
        <v>76</v>
      </c>
      <c r="U56" s="127" t="s">
        <v>77</v>
      </c>
      <c r="V56" s="127" t="s">
        <v>78</v>
      </c>
      <c r="W56" s="127" t="s">
        <v>79</v>
      </c>
      <c r="X56" s="127" t="s">
        <v>80</v>
      </c>
      <c r="Y56" s="127" t="s">
        <v>81</v>
      </c>
      <c r="Z56" s="127" t="s">
        <v>82</v>
      </c>
      <c r="AA56" s="127" t="s">
        <v>83</v>
      </c>
      <c r="AB56" s="127" t="s">
        <v>84</v>
      </c>
      <c r="AC56" s="127" t="s">
        <v>85</v>
      </c>
      <c r="AD56" s="127" t="s">
        <v>86</v>
      </c>
      <c r="AE56" s="127" t="s">
        <v>87</v>
      </c>
      <c r="AF56" s="128" t="s">
        <v>88</v>
      </c>
      <c r="AG56" s="322" t="s">
        <v>89</v>
      </c>
    </row>
    <row r="57" spans="1:33" ht="15.75" customHeight="1" x14ac:dyDescent="0.2">
      <c r="A57" s="132"/>
      <c r="B57" s="133" t="s">
        <v>91</v>
      </c>
      <c r="C57" s="133" t="s">
        <v>92</v>
      </c>
      <c r="D57" s="133" t="s">
        <v>93</v>
      </c>
      <c r="E57" s="133" t="s">
        <v>94</v>
      </c>
      <c r="F57" s="133" t="s">
        <v>95</v>
      </c>
      <c r="G57" s="133" t="s">
        <v>96</v>
      </c>
      <c r="H57" s="133" t="s">
        <v>97</v>
      </c>
      <c r="I57" s="133" t="s">
        <v>91</v>
      </c>
      <c r="J57" s="133" t="s">
        <v>92</v>
      </c>
      <c r="K57" s="133" t="s">
        <v>93</v>
      </c>
      <c r="L57" s="133" t="s">
        <v>94</v>
      </c>
      <c r="M57" s="133" t="s">
        <v>95</v>
      </c>
      <c r="N57" s="133" t="s">
        <v>96</v>
      </c>
      <c r="O57" s="133" t="s">
        <v>97</v>
      </c>
      <c r="P57" s="133" t="s">
        <v>91</v>
      </c>
      <c r="Q57" s="133" t="s">
        <v>92</v>
      </c>
      <c r="R57" s="133" t="s">
        <v>93</v>
      </c>
      <c r="S57" s="133" t="s">
        <v>94</v>
      </c>
      <c r="T57" s="133" t="s">
        <v>95</v>
      </c>
      <c r="U57" s="133" t="s">
        <v>96</v>
      </c>
      <c r="V57" s="133" t="s">
        <v>97</v>
      </c>
      <c r="W57" s="133" t="s">
        <v>91</v>
      </c>
      <c r="X57" s="133" t="s">
        <v>92</v>
      </c>
      <c r="Y57" s="133" t="s">
        <v>93</v>
      </c>
      <c r="Z57" s="133" t="s">
        <v>94</v>
      </c>
      <c r="AA57" s="133" t="s">
        <v>95</v>
      </c>
      <c r="AB57" s="133" t="s">
        <v>96</v>
      </c>
      <c r="AC57" s="133" t="s">
        <v>97</v>
      </c>
      <c r="AD57" s="133" t="s">
        <v>91</v>
      </c>
      <c r="AE57" s="133" t="s">
        <v>92</v>
      </c>
      <c r="AF57" s="133" t="s">
        <v>93</v>
      </c>
      <c r="AG57" s="323"/>
    </row>
    <row r="58" spans="1:33" ht="15.75" customHeight="1" x14ac:dyDescent="0.25">
      <c r="A58" s="151" t="s">
        <v>10</v>
      </c>
      <c r="B58" s="179"/>
      <c r="C58" s="179"/>
      <c r="D58" s="202"/>
      <c r="E58" s="179">
        <f>56+49+27+39+47</f>
        <v>218</v>
      </c>
      <c r="F58" s="179">
        <f>25+38+32</f>
        <v>95</v>
      </c>
      <c r="G58" s="179">
        <f>54+17+24</f>
        <v>95</v>
      </c>
      <c r="H58" s="192"/>
      <c r="I58" s="179"/>
      <c r="J58" s="179">
        <f>55+54+71+40+36+32</f>
        <v>288</v>
      </c>
      <c r="K58" s="179">
        <f>1</f>
        <v>1</v>
      </c>
      <c r="L58" s="179">
        <f>89+74+56+57</f>
        <v>276</v>
      </c>
      <c r="M58" s="179">
        <f>38+27+162+25</f>
        <v>252</v>
      </c>
      <c r="N58" s="179">
        <f>98+35+46</f>
        <v>179</v>
      </c>
      <c r="O58" s="192"/>
      <c r="P58" s="179">
        <f>56+65+41+36+20</f>
        <v>218</v>
      </c>
      <c r="Q58" s="179">
        <f>299</f>
        <v>299</v>
      </c>
      <c r="R58" s="179">
        <f>43+38+70+68+60+30</f>
        <v>309</v>
      </c>
      <c r="S58" s="179">
        <f>84+61+55+66+49+32</f>
        <v>347</v>
      </c>
      <c r="T58" s="179">
        <f>45+41+15+27+27</f>
        <v>155</v>
      </c>
      <c r="U58" s="205">
        <f>73+55+29+39+24</f>
        <v>220</v>
      </c>
      <c r="V58" s="183"/>
      <c r="W58" s="179">
        <f>103+72+39+34+28</f>
        <v>276</v>
      </c>
      <c r="X58" s="184"/>
      <c r="Y58" s="179">
        <f>17+19+31</f>
        <v>67</v>
      </c>
      <c r="Z58" s="184">
        <f>49+33+19</f>
        <v>101</v>
      </c>
      <c r="AA58" s="179">
        <f>81+85+48+31+31+27</f>
        <v>303</v>
      </c>
      <c r="AB58" s="179">
        <f>77+81+71+22+41+54+29</f>
        <v>375</v>
      </c>
      <c r="AC58" s="192"/>
      <c r="AD58" s="179"/>
      <c r="AE58" s="179"/>
      <c r="AF58" s="204"/>
      <c r="AG58" s="152">
        <f>SUBTOTAL(109,Данные!$B58:$AF58)</f>
        <v>4074</v>
      </c>
    </row>
    <row r="59" spans="1:33" ht="15.75" customHeight="1" x14ac:dyDescent="0.25">
      <c r="A59" s="151" t="s">
        <v>12</v>
      </c>
      <c r="B59" s="179"/>
      <c r="C59" s="179"/>
      <c r="D59" s="202"/>
      <c r="E59" s="179"/>
      <c r="F59" s="179"/>
      <c r="G59" s="179"/>
      <c r="H59" s="192"/>
      <c r="I59" s="179"/>
      <c r="J59" s="179"/>
      <c r="K59" s="179">
        <f>94+27</f>
        <v>121</v>
      </c>
      <c r="L59" s="179">
        <f>103+61+70+59</f>
        <v>293</v>
      </c>
      <c r="M59" s="179"/>
      <c r="N59" s="179">
        <f>84+65+1</f>
        <v>150</v>
      </c>
      <c r="O59" s="192"/>
      <c r="P59" s="179"/>
      <c r="Q59" s="179"/>
      <c r="R59" s="179"/>
      <c r="S59" s="179">
        <f>61+41+65+55+73+46</f>
        <v>341</v>
      </c>
      <c r="T59" s="179">
        <f>54+72+77+71+74+49+37+23</f>
        <v>457</v>
      </c>
      <c r="U59" s="179">
        <f>47+90+80+64+82+30</f>
        <v>393</v>
      </c>
      <c r="V59" s="183"/>
      <c r="W59" s="179">
        <f>33+46+154+56+66+37+31+38+31</f>
        <v>492</v>
      </c>
      <c r="X59" s="184">
        <f>63</f>
        <v>63</v>
      </c>
      <c r="Y59" s="179">
        <f>39+43+66+78+46</f>
        <v>272</v>
      </c>
      <c r="Z59" s="184">
        <f>46+41+52</f>
        <v>139</v>
      </c>
      <c r="AA59" s="179">
        <f>48+54+88+75</f>
        <v>265</v>
      </c>
      <c r="AB59" s="179">
        <f>45+34+29+74+92+53+31</f>
        <v>358</v>
      </c>
      <c r="AC59" s="192"/>
      <c r="AD59" s="179"/>
      <c r="AE59" s="179"/>
      <c r="AF59" s="204"/>
      <c r="AG59" s="152">
        <f>SUBTOTAL(109,Данные!$B59:$AF59)</f>
        <v>3344</v>
      </c>
    </row>
    <row r="60" spans="1:33" ht="15.75" customHeight="1" x14ac:dyDescent="0.25">
      <c r="A60" s="151" t="s">
        <v>13</v>
      </c>
      <c r="B60" s="179"/>
      <c r="C60" s="179"/>
      <c r="D60" s="202"/>
      <c r="E60" s="179">
        <f>83+52+30</f>
        <v>165</v>
      </c>
      <c r="F60" s="179">
        <f>45+70+71+35+30+25+29+38</f>
        <v>343</v>
      </c>
      <c r="G60" s="179">
        <f>60+60+84+47+23</f>
        <v>274</v>
      </c>
      <c r="H60" s="192"/>
      <c r="I60" s="205">
        <f>47+37+77+71+64+67+110+41+21+70+39</f>
        <v>644</v>
      </c>
      <c r="J60" s="179">
        <f>74+32+64+50+37</f>
        <v>257</v>
      </c>
      <c r="K60" s="179"/>
      <c r="L60" s="179">
        <f>42+52+58+57+31</f>
        <v>240</v>
      </c>
      <c r="M60" s="179">
        <f>54+34+54+64+55+46+91+55+50+23</f>
        <v>526</v>
      </c>
      <c r="N60" s="179">
        <f>65</f>
        <v>65</v>
      </c>
      <c r="O60" s="192"/>
      <c r="P60" s="179">
        <f>92+57+82+65+31+30</f>
        <v>357</v>
      </c>
      <c r="Q60" s="179">
        <f>47+17</f>
        <v>64</v>
      </c>
      <c r="R60" s="179"/>
      <c r="S60" s="179"/>
      <c r="T60" s="179">
        <f>67+36+57+90+50+39+43+23</f>
        <v>405</v>
      </c>
      <c r="U60" s="179">
        <f>34+40+43+85+65+51+48+50</f>
        <v>416</v>
      </c>
      <c r="V60" s="183"/>
      <c r="W60" s="179">
        <f>83+51+40+34</f>
        <v>208</v>
      </c>
      <c r="X60" s="184">
        <f>69+68+43</f>
        <v>180</v>
      </c>
      <c r="Y60" s="179">
        <f>55+75+68+49+53+83+46+13+35+23+20</f>
        <v>520</v>
      </c>
      <c r="Z60" s="184">
        <f>83+29</f>
        <v>112</v>
      </c>
      <c r="AA60" s="179">
        <f>57+22</f>
        <v>79</v>
      </c>
      <c r="AB60" s="179">
        <f>92+22+29+111</f>
        <v>254</v>
      </c>
      <c r="AC60" s="192"/>
      <c r="AD60" s="179"/>
      <c r="AE60" s="179"/>
      <c r="AF60" s="204"/>
      <c r="AG60" s="152">
        <f>SUBTOTAL(109,Данные!$B60:$AF60)</f>
        <v>5109</v>
      </c>
    </row>
    <row r="61" spans="1:33" ht="15.75" customHeight="1" x14ac:dyDescent="0.25">
      <c r="A61" s="151" t="s">
        <v>15</v>
      </c>
      <c r="B61" s="179"/>
      <c r="C61" s="179"/>
      <c r="D61" s="202"/>
      <c r="E61" s="179"/>
      <c r="F61" s="179"/>
      <c r="G61" s="179"/>
      <c r="H61" s="192"/>
      <c r="I61" s="179"/>
      <c r="J61" s="179"/>
      <c r="K61" s="179">
        <f>112+35+42</f>
        <v>189</v>
      </c>
      <c r="L61" s="179">
        <f>24+21+25+44</f>
        <v>114</v>
      </c>
      <c r="M61" s="179">
        <f>33</f>
        <v>33</v>
      </c>
      <c r="N61" s="179">
        <f>29+29+27+32+107</f>
        <v>224</v>
      </c>
      <c r="O61" s="192"/>
      <c r="P61" s="179"/>
      <c r="Q61" s="179"/>
      <c r="R61" s="179"/>
      <c r="S61" s="179"/>
      <c r="T61" s="179">
        <f>18</f>
        <v>18</v>
      </c>
      <c r="U61" s="179">
        <f>99+37+30+28+26</f>
        <v>220</v>
      </c>
      <c r="V61" s="183"/>
      <c r="W61" s="179"/>
      <c r="X61" s="184"/>
      <c r="Y61" s="179"/>
      <c r="Z61" s="184">
        <f>88+23</f>
        <v>111</v>
      </c>
      <c r="AA61" s="179">
        <f>66+24+32</f>
        <v>122</v>
      </c>
      <c r="AB61" s="179">
        <f>37+35+26</f>
        <v>98</v>
      </c>
      <c r="AC61" s="192"/>
      <c r="AD61" s="179"/>
      <c r="AE61" s="179"/>
      <c r="AF61" s="204"/>
      <c r="AG61" s="152">
        <f>SUBTOTAL(109,Данные!$B61:$AF61)</f>
        <v>1129</v>
      </c>
    </row>
    <row r="62" spans="1:33" ht="15.75" customHeight="1" x14ac:dyDescent="0.25">
      <c r="A62" s="151" t="s">
        <v>16</v>
      </c>
      <c r="B62" s="179"/>
      <c r="C62" s="179"/>
      <c r="D62" s="202"/>
      <c r="E62" s="179">
        <f>51+48+16+60</f>
        <v>175</v>
      </c>
      <c r="F62" s="179">
        <f>80+107+70+52+35+47+24</f>
        <v>415</v>
      </c>
      <c r="G62" s="179">
        <f>77+65+79+19+29+31+31+29</f>
        <v>360</v>
      </c>
      <c r="H62" s="192"/>
      <c r="I62" s="179">
        <f>92+54+46+32+39+34</f>
        <v>297</v>
      </c>
      <c r="J62" s="179">
        <f>57+63+24</f>
        <v>144</v>
      </c>
      <c r="K62" s="179">
        <f>34+68+21+30+29+19</f>
        <v>201</v>
      </c>
      <c r="L62" s="179">
        <f>24+77+17+60</f>
        <v>178</v>
      </c>
      <c r="M62" s="179">
        <f>75+58+51+63+29+40</f>
        <v>316</v>
      </c>
      <c r="N62" s="179">
        <f>72+85+35+40</f>
        <v>232</v>
      </c>
      <c r="O62" s="192"/>
      <c r="P62" s="179">
        <f>43+16+84+67+43</f>
        <v>253</v>
      </c>
      <c r="Q62" s="179">
        <f>98+74+1</f>
        <v>173</v>
      </c>
      <c r="R62" s="179">
        <f>93+61+69+48+37+28+38+32+45</f>
        <v>451</v>
      </c>
      <c r="S62" s="179">
        <f>85+79+72+33+23</f>
        <v>292</v>
      </c>
      <c r="T62" s="179"/>
      <c r="U62" s="205"/>
      <c r="V62" s="183"/>
      <c r="W62" s="179">
        <f>64+45+28+52</f>
        <v>189</v>
      </c>
      <c r="X62" s="184"/>
      <c r="Y62" s="179"/>
      <c r="Z62" s="184">
        <f>64+69+53+36</f>
        <v>222</v>
      </c>
      <c r="AA62" s="179">
        <f>105+35</f>
        <v>140</v>
      </c>
      <c r="AB62" s="179">
        <f>30+40+1</f>
        <v>71</v>
      </c>
      <c r="AC62" s="192"/>
      <c r="AD62" s="179"/>
      <c r="AE62" s="179"/>
      <c r="AF62" s="204"/>
      <c r="AG62" s="152">
        <f>SUBTOTAL(109,Данные!$B62:$AF62)</f>
        <v>4109</v>
      </c>
    </row>
    <row r="63" spans="1:33" ht="15.75" customHeight="1" x14ac:dyDescent="0.25">
      <c r="A63" s="151" t="s">
        <v>17</v>
      </c>
      <c r="B63" s="179"/>
      <c r="C63" s="179"/>
      <c r="D63" s="202"/>
      <c r="E63" s="179"/>
      <c r="F63" s="179"/>
      <c r="G63" s="179">
        <f>26</f>
        <v>26</v>
      </c>
      <c r="H63" s="192"/>
      <c r="I63" s="179"/>
      <c r="J63" s="179">
        <f>75+92+38</f>
        <v>205</v>
      </c>
      <c r="K63" s="179">
        <f>79+27</f>
        <v>106</v>
      </c>
      <c r="L63" s="179">
        <f>75</f>
        <v>75</v>
      </c>
      <c r="M63" s="179">
        <f>69</f>
        <v>69</v>
      </c>
      <c r="N63" s="179">
        <f>67+72+60</f>
        <v>199</v>
      </c>
      <c r="O63" s="192"/>
      <c r="P63" s="179"/>
      <c r="Q63" s="179">
        <f>37+28+80+2+1+149+12</f>
        <v>309</v>
      </c>
      <c r="R63" s="179">
        <f>52+69</f>
        <v>121</v>
      </c>
      <c r="S63" s="179"/>
      <c r="T63" s="179"/>
      <c r="U63" s="179"/>
      <c r="V63" s="183"/>
      <c r="W63" s="179">
        <f>48+22+73+44</f>
        <v>187</v>
      </c>
      <c r="X63" s="184">
        <f>52+65+58+45+72+37+36+25</f>
        <v>390</v>
      </c>
      <c r="Y63" s="179">
        <f>37+23</f>
        <v>60</v>
      </c>
      <c r="Z63" s="184">
        <f>98+51+34+21</f>
        <v>204</v>
      </c>
      <c r="AA63" s="179">
        <f>98+43+60+40+40</f>
        <v>281</v>
      </c>
      <c r="AB63" s="179"/>
      <c r="AC63" s="192"/>
      <c r="AD63" s="179"/>
      <c r="AE63" s="179"/>
      <c r="AF63" s="204"/>
      <c r="AG63" s="152">
        <f>SUBTOTAL(109,Данные!$B63:$AF63)</f>
        <v>2232</v>
      </c>
    </row>
    <row r="64" spans="1:33" ht="15.75" customHeight="1" x14ac:dyDescent="0.25">
      <c r="A64" s="140" t="s">
        <v>52</v>
      </c>
      <c r="B64" s="179"/>
      <c r="C64" s="179"/>
      <c r="D64" s="202"/>
      <c r="E64" s="179"/>
      <c r="F64" s="179"/>
      <c r="G64" s="179">
        <f>29</f>
        <v>29</v>
      </c>
      <c r="H64" s="192"/>
      <c r="I64" s="179"/>
      <c r="J64" s="179"/>
      <c r="K64" s="179"/>
      <c r="L64" s="179"/>
      <c r="M64" s="179"/>
      <c r="N64" s="179">
        <f>77+43+34</f>
        <v>154</v>
      </c>
      <c r="O64" s="192"/>
      <c r="P64" s="179">
        <f>79+41</f>
        <v>120</v>
      </c>
      <c r="Q64" s="179">
        <f>15</f>
        <v>15</v>
      </c>
      <c r="R64" s="179">
        <f>65+89+39+18</f>
        <v>211</v>
      </c>
      <c r="S64" s="179">
        <f>43+35+31+16+29</f>
        <v>154</v>
      </c>
      <c r="T64" s="179">
        <f>26+45</f>
        <v>71</v>
      </c>
      <c r="U64" s="179"/>
      <c r="V64" s="183"/>
      <c r="W64" s="179"/>
      <c r="X64" s="184"/>
      <c r="Y64" s="179"/>
      <c r="Z64" s="184"/>
      <c r="AA64" s="179"/>
      <c r="AB64" s="179"/>
      <c r="AC64" s="192"/>
      <c r="AD64" s="179"/>
      <c r="AE64" s="179"/>
      <c r="AF64" s="204"/>
      <c r="AG64" s="152">
        <f>SUBTOTAL(109,Данные!$B64:$AF64)</f>
        <v>754</v>
      </c>
    </row>
    <row r="65" spans="1:33" ht="15.75" customHeight="1" x14ac:dyDescent="0.25">
      <c r="A65" s="155" t="s">
        <v>19</v>
      </c>
      <c r="B65" s="213"/>
      <c r="C65" s="213"/>
      <c r="D65" s="202"/>
      <c r="E65" s="213">
        <f>41+20+47+55+30+23+24+22</f>
        <v>262</v>
      </c>
      <c r="F65" s="213">
        <f>71+33+33</f>
        <v>137</v>
      </c>
      <c r="G65" s="213">
        <f>28+29+55+32</f>
        <v>144</v>
      </c>
      <c r="H65" s="215"/>
      <c r="I65" s="213">
        <f>51</f>
        <v>51</v>
      </c>
      <c r="J65" s="213">
        <f>59+45+5+23+29+19</f>
        <v>180</v>
      </c>
      <c r="K65" s="203">
        <f>4+74+93+67+86+37</f>
        <v>361</v>
      </c>
      <c r="L65" s="213">
        <f>49+19</f>
        <v>68</v>
      </c>
      <c r="M65" s="213">
        <f>39+24+25+26</f>
        <v>114</v>
      </c>
      <c r="N65" s="213">
        <f>53+60+85+57+56+27+25</f>
        <v>363</v>
      </c>
      <c r="O65" s="215"/>
      <c r="P65" s="213">
        <f>57+54+74+45</f>
        <v>230</v>
      </c>
      <c r="Q65" s="213">
        <f>80+40+63+2</f>
        <v>185</v>
      </c>
      <c r="R65" s="213"/>
      <c r="S65" s="213"/>
      <c r="T65" s="213"/>
      <c r="U65" s="213"/>
      <c r="V65" s="183"/>
      <c r="W65" s="213">
        <f>56+82+28+18</f>
        <v>184</v>
      </c>
      <c r="X65" s="184"/>
      <c r="Y65" s="213">
        <f>53+55</f>
        <v>108</v>
      </c>
      <c r="Z65" s="184"/>
      <c r="AA65" s="213"/>
      <c r="AB65" s="213">
        <f>124+47+65+33+27</f>
        <v>296</v>
      </c>
      <c r="AC65" s="192"/>
      <c r="AD65" s="213"/>
      <c r="AE65" s="213"/>
      <c r="AF65" s="231"/>
      <c r="AG65" s="152">
        <f>SUBTOTAL(109,Данные!$B65:$AF65)</f>
        <v>2683</v>
      </c>
    </row>
    <row r="66" spans="1:33" ht="15.75" customHeight="1" x14ac:dyDescent="0.25">
      <c r="A66" s="202" t="s">
        <v>20</v>
      </c>
      <c r="B66" s="202"/>
      <c r="C66" s="202"/>
      <c r="D66" s="202"/>
      <c r="E66" s="202">
        <f>72+11+47+29</f>
        <v>159</v>
      </c>
      <c r="F66" s="202">
        <f>84+43+10+65+38+29+28</f>
        <v>297</v>
      </c>
      <c r="G66" s="202">
        <f>53+53+67+56+25</f>
        <v>254</v>
      </c>
      <c r="H66" s="222"/>
      <c r="I66" s="202">
        <f>90+90+31+39+25</f>
        <v>275</v>
      </c>
      <c r="J66" s="202">
        <f>67+29+26+52+33+27</f>
        <v>234</v>
      </c>
      <c r="K66" s="202">
        <f>75+93+60+40+40+36+27+37</f>
        <v>408</v>
      </c>
      <c r="L66" s="202">
        <f>80+60+59+36+38+25</f>
        <v>298</v>
      </c>
      <c r="M66" s="202">
        <f>154+69+51+41</f>
        <v>315</v>
      </c>
      <c r="N66" s="202">
        <f>11+53</f>
        <v>64</v>
      </c>
      <c r="O66" s="222"/>
      <c r="P66" s="202">
        <f>120+120+52+32+26+29</f>
        <v>379</v>
      </c>
      <c r="Q66" s="202">
        <f>65+43+148</f>
        <v>256</v>
      </c>
      <c r="R66" s="202">
        <f>97+140+54+25+62+25+36+25</f>
        <v>464</v>
      </c>
      <c r="S66" s="202">
        <f>115+115</f>
        <v>230</v>
      </c>
      <c r="T66" s="202">
        <f>180+67+20+43+45+28</f>
        <v>383</v>
      </c>
      <c r="U66" s="202">
        <f>112+113+58+36+39+24</f>
        <v>382</v>
      </c>
      <c r="V66" s="183"/>
      <c r="W66" s="202">
        <f>55+22</f>
        <v>77</v>
      </c>
      <c r="X66" s="184">
        <f>67+42+27+69+27</f>
        <v>232</v>
      </c>
      <c r="Y66" s="166">
        <f>50+43+25+40+22</f>
        <v>180</v>
      </c>
      <c r="Z66" s="184">
        <f>45+47+88+15+39+22</f>
        <v>256</v>
      </c>
      <c r="AA66" s="202">
        <f>70+66+47+38+30</f>
        <v>251</v>
      </c>
      <c r="AB66" s="202"/>
      <c r="AC66" s="222"/>
      <c r="AD66" s="202"/>
      <c r="AE66" s="202"/>
      <c r="AF66" s="232"/>
      <c r="AG66" s="152">
        <f>SUBTOTAL(109,Данные!$B66:$AF66)</f>
        <v>5394</v>
      </c>
    </row>
    <row r="67" spans="1:33" ht="15.75" customHeight="1" x14ac:dyDescent="0.25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</row>
    <row r="68" spans="1:33" ht="15.75" customHeight="1" x14ac:dyDescent="0.25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</row>
    <row r="69" spans="1:33" ht="15.75" customHeight="1" x14ac:dyDescent="0.25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</row>
    <row r="70" spans="1:33" ht="15.75" customHeight="1" x14ac:dyDescent="0.25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</row>
    <row r="71" spans="1:33" ht="15.75" customHeight="1" x14ac:dyDescent="0.25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  <c r="AF71" s="136"/>
      <c r="AG71" s="136"/>
    </row>
    <row r="72" spans="1:33" ht="15.75" customHeight="1" x14ac:dyDescent="0.25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</row>
    <row r="73" spans="1:33" ht="15.75" customHeight="1" x14ac:dyDescent="0.25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</row>
    <row r="74" spans="1:33" ht="15.75" customHeight="1" x14ac:dyDescent="0.25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</row>
    <row r="75" spans="1:33" ht="15.75" customHeight="1" x14ac:dyDescent="0.25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</row>
    <row r="76" spans="1:33" ht="15.75" customHeight="1" x14ac:dyDescent="0.25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</row>
    <row r="77" spans="1:33" ht="15.75" customHeight="1" x14ac:dyDescent="0.25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</row>
    <row r="78" spans="1:33" ht="15.75" customHeight="1" x14ac:dyDescent="0.25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</row>
    <row r="79" spans="1:33" ht="15.75" customHeight="1" x14ac:dyDescent="0.2"/>
    <row r="80" spans="1:33" ht="15.75" customHeight="1" x14ac:dyDescent="0.2"/>
    <row r="81" spans="4:5" ht="15.75" customHeight="1" x14ac:dyDescent="0.2"/>
    <row r="82" spans="4:5" ht="15.75" customHeight="1" x14ac:dyDescent="0.25">
      <c r="D82" s="233"/>
      <c r="E82" s="233"/>
    </row>
    <row r="83" spans="4:5" ht="15.75" customHeight="1" x14ac:dyDescent="0.2"/>
    <row r="84" spans="4:5" ht="15.75" customHeight="1" x14ac:dyDescent="0.2"/>
    <row r="85" spans="4:5" ht="15.75" customHeight="1" x14ac:dyDescent="0.2"/>
    <row r="86" spans="4:5" ht="15.75" customHeight="1" x14ac:dyDescent="0.2"/>
    <row r="87" spans="4:5" ht="15.75" customHeight="1" x14ac:dyDescent="0.2"/>
    <row r="88" spans="4:5" ht="15.75" customHeight="1" x14ac:dyDescent="0.2"/>
    <row r="89" spans="4:5" ht="15.75" customHeight="1" x14ac:dyDescent="0.2"/>
    <row r="90" spans="4:5" ht="15.75" customHeight="1" x14ac:dyDescent="0.2"/>
    <row r="91" spans="4:5" ht="15.75" customHeight="1" x14ac:dyDescent="0.2"/>
    <row r="92" spans="4:5" ht="15.75" customHeight="1" x14ac:dyDescent="0.2"/>
    <row r="93" spans="4:5" ht="15.75" customHeight="1" x14ac:dyDescent="0.2"/>
    <row r="94" spans="4:5" ht="15.75" customHeight="1" x14ac:dyDescent="0.2"/>
    <row r="95" spans="4:5" ht="15.75" customHeight="1" x14ac:dyDescent="0.2"/>
    <row r="96" spans="4: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</sheetData>
  <mergeCells count="11">
    <mergeCell ref="AG32:AG33"/>
    <mergeCell ref="AG44:AG45"/>
    <mergeCell ref="AG56:AG57"/>
    <mergeCell ref="O1:S1"/>
    <mergeCell ref="J2:X2"/>
    <mergeCell ref="AG3:AG4"/>
    <mergeCell ref="J19:X19"/>
    <mergeCell ref="AG20:AG21"/>
    <mergeCell ref="J31:X31"/>
    <mergeCell ref="J43:X43"/>
    <mergeCell ref="J55:X55"/>
  </mergeCells>
  <pageMargins left="0.7" right="0.7" top="0.75" bottom="0.75" header="0" footer="0"/>
  <pageSetup orientation="landscape"/>
  <tableParts count="5">
    <tablePart r:id="rId1"/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2.625" defaultRowHeight="15" customHeight="1" x14ac:dyDescent="0.2"/>
  <cols>
    <col min="9" max="9" width="0.375" customWidth="1"/>
  </cols>
  <sheetData>
    <row r="1" spans="1:9" ht="15" customHeight="1" x14ac:dyDescent="0.35">
      <c r="A1" s="327" t="s">
        <v>117</v>
      </c>
      <c r="B1" s="320"/>
      <c r="C1" s="320"/>
      <c r="D1" s="234"/>
      <c r="E1" s="234"/>
      <c r="F1" s="234"/>
    </row>
    <row r="2" spans="1:9" x14ac:dyDescent="0.25">
      <c r="A2" s="328"/>
      <c r="B2" s="320"/>
      <c r="C2" s="320"/>
      <c r="D2" s="234"/>
      <c r="E2" s="234"/>
      <c r="F2" s="234"/>
    </row>
    <row r="3" spans="1:9" x14ac:dyDescent="0.25">
      <c r="A3" s="235"/>
      <c r="B3" s="235" t="s">
        <v>118</v>
      </c>
      <c r="C3" s="236" t="s">
        <v>119</v>
      </c>
      <c r="D3" s="236" t="s">
        <v>120</v>
      </c>
      <c r="E3" s="237" t="s">
        <v>21</v>
      </c>
      <c r="F3" s="237" t="s">
        <v>121</v>
      </c>
      <c r="G3" s="237" t="s">
        <v>122</v>
      </c>
    </row>
    <row r="4" spans="1:9" ht="15" customHeight="1" x14ac:dyDescent="0.4">
      <c r="A4" s="238"/>
      <c r="B4" s="239">
        <f>D37</f>
        <v>0</v>
      </c>
      <c r="C4" s="238" t="s">
        <v>123</v>
      </c>
      <c r="D4" s="239"/>
      <c r="E4" s="240">
        <f>E37</f>
        <v>0</v>
      </c>
      <c r="F4" s="240">
        <f>E4-40000</f>
        <v>-40000</v>
      </c>
      <c r="G4" s="241">
        <f>SUM(G5:G36)</f>
        <v>8</v>
      </c>
    </row>
    <row r="5" spans="1:9" x14ac:dyDescent="0.25">
      <c r="A5" s="242" t="s">
        <v>124</v>
      </c>
      <c r="B5" s="243" t="s">
        <v>125</v>
      </c>
      <c r="C5" s="243" t="s">
        <v>126</v>
      </c>
      <c r="D5" s="243" t="s">
        <v>127</v>
      </c>
      <c r="E5" s="243" t="s">
        <v>128</v>
      </c>
      <c r="F5" s="244" t="s">
        <v>129</v>
      </c>
      <c r="G5" s="244" t="s">
        <v>130</v>
      </c>
    </row>
    <row r="6" spans="1:9" x14ac:dyDescent="0.25">
      <c r="A6" s="245">
        <v>44562</v>
      </c>
      <c r="B6" s="246"/>
      <c r="C6" s="246"/>
      <c r="D6" s="247">
        <f t="shared" ref="D6:D36" si="0">C6-B6</f>
        <v>0</v>
      </c>
      <c r="E6" s="248">
        <f t="shared" ref="E6:E36" si="1">I6*D6*24</f>
        <v>0</v>
      </c>
      <c r="F6" s="249"/>
      <c r="G6" s="249"/>
      <c r="I6" s="250">
        <v>137.36199999999999</v>
      </c>
    </row>
    <row r="7" spans="1:9" x14ac:dyDescent="0.25">
      <c r="A7" s="245">
        <v>44563</v>
      </c>
      <c r="B7" s="246"/>
      <c r="C7" s="246"/>
      <c r="D7" s="247">
        <f t="shared" si="0"/>
        <v>0</v>
      </c>
      <c r="E7" s="248">
        <f t="shared" si="1"/>
        <v>0</v>
      </c>
      <c r="F7" s="249"/>
      <c r="G7" s="249"/>
      <c r="I7" s="250">
        <v>137.36199999999999</v>
      </c>
    </row>
    <row r="8" spans="1:9" x14ac:dyDescent="0.25">
      <c r="A8" s="245">
        <v>44564</v>
      </c>
      <c r="B8" s="246"/>
      <c r="C8" s="246"/>
      <c r="D8" s="247">
        <f t="shared" si="0"/>
        <v>0</v>
      </c>
      <c r="E8" s="248">
        <f t="shared" si="1"/>
        <v>0</v>
      </c>
      <c r="F8" s="249"/>
      <c r="G8" s="249"/>
      <c r="I8" s="250">
        <v>137.36199999999999</v>
      </c>
    </row>
    <row r="9" spans="1:9" x14ac:dyDescent="0.25">
      <c r="A9" s="251">
        <v>44565</v>
      </c>
      <c r="B9" s="252"/>
      <c r="C9" s="252"/>
      <c r="D9" s="253">
        <f t="shared" si="0"/>
        <v>0</v>
      </c>
      <c r="E9" s="254">
        <f t="shared" si="1"/>
        <v>0</v>
      </c>
      <c r="F9" s="254">
        <f t="shared" ref="F9:F11" si="2">E9-H9</f>
        <v>0</v>
      </c>
      <c r="G9" s="255"/>
      <c r="I9" s="250">
        <v>137.36199999999999</v>
      </c>
    </row>
    <row r="10" spans="1:9" x14ac:dyDescent="0.25">
      <c r="A10" s="251">
        <v>44566</v>
      </c>
      <c r="B10" s="252"/>
      <c r="C10" s="252"/>
      <c r="D10" s="253">
        <f t="shared" si="0"/>
        <v>0</v>
      </c>
      <c r="E10" s="254">
        <f t="shared" si="1"/>
        <v>0</v>
      </c>
      <c r="F10" s="254">
        <f t="shared" si="2"/>
        <v>0</v>
      </c>
      <c r="G10" s="256"/>
      <c r="I10" s="250">
        <v>137.36199999999999</v>
      </c>
    </row>
    <row r="11" spans="1:9" x14ac:dyDescent="0.25">
      <c r="A11" s="251">
        <v>44567</v>
      </c>
      <c r="B11" s="252"/>
      <c r="C11" s="252"/>
      <c r="D11" s="253">
        <f t="shared" si="0"/>
        <v>0</v>
      </c>
      <c r="E11" s="254">
        <f t="shared" si="1"/>
        <v>0</v>
      </c>
      <c r="F11" s="254">
        <f t="shared" si="2"/>
        <v>0</v>
      </c>
      <c r="G11" s="255"/>
      <c r="I11" s="250">
        <v>137.36199999999999</v>
      </c>
    </row>
    <row r="12" spans="1:9" x14ac:dyDescent="0.25">
      <c r="A12" s="245">
        <v>44568</v>
      </c>
      <c r="B12" s="257"/>
      <c r="C12" s="257"/>
      <c r="D12" s="258">
        <f t="shared" si="0"/>
        <v>0</v>
      </c>
      <c r="E12" s="248">
        <f t="shared" si="1"/>
        <v>0</v>
      </c>
      <c r="F12" s="249"/>
      <c r="G12" s="249"/>
      <c r="I12" s="250">
        <v>137.36199999999999</v>
      </c>
    </row>
    <row r="13" spans="1:9" x14ac:dyDescent="0.25">
      <c r="A13" s="251">
        <v>44569</v>
      </c>
      <c r="B13" s="252"/>
      <c r="C13" s="252"/>
      <c r="D13" s="253">
        <f t="shared" si="0"/>
        <v>0</v>
      </c>
      <c r="E13" s="254">
        <f t="shared" si="1"/>
        <v>0</v>
      </c>
      <c r="F13" s="254">
        <f t="shared" ref="F13:F18" si="3">E13-H13</f>
        <v>0</v>
      </c>
      <c r="G13" s="256"/>
      <c r="I13" s="250">
        <v>137.36199999999999</v>
      </c>
    </row>
    <row r="14" spans="1:9" x14ac:dyDescent="0.25">
      <c r="A14" s="251">
        <v>44570</v>
      </c>
      <c r="B14" s="252"/>
      <c r="C14" s="252"/>
      <c r="D14" s="253">
        <f t="shared" si="0"/>
        <v>0</v>
      </c>
      <c r="E14" s="254">
        <f t="shared" si="1"/>
        <v>0</v>
      </c>
      <c r="F14" s="254">
        <f t="shared" si="3"/>
        <v>0</v>
      </c>
      <c r="G14" s="255"/>
      <c r="I14" s="250">
        <v>137.36199999999999</v>
      </c>
    </row>
    <row r="15" spans="1:9" x14ac:dyDescent="0.25">
      <c r="A15" s="251">
        <v>44571</v>
      </c>
      <c r="B15" s="252"/>
      <c r="C15" s="252"/>
      <c r="D15" s="253">
        <f t="shared" si="0"/>
        <v>0</v>
      </c>
      <c r="E15" s="254">
        <f t="shared" si="1"/>
        <v>0</v>
      </c>
      <c r="F15" s="254">
        <f t="shared" si="3"/>
        <v>0</v>
      </c>
      <c r="G15" s="255"/>
      <c r="I15" s="250">
        <v>137.36199999999999</v>
      </c>
    </row>
    <row r="16" spans="1:9" x14ac:dyDescent="0.25">
      <c r="A16" s="251">
        <v>44572</v>
      </c>
      <c r="B16" s="252"/>
      <c r="C16" s="252"/>
      <c r="D16" s="253">
        <f t="shared" si="0"/>
        <v>0</v>
      </c>
      <c r="E16" s="254">
        <f t="shared" si="1"/>
        <v>0</v>
      </c>
      <c r="F16" s="254">
        <f t="shared" si="3"/>
        <v>0</v>
      </c>
      <c r="G16" s="256"/>
      <c r="I16" s="250">
        <v>137.36199999999999</v>
      </c>
    </row>
    <row r="17" spans="1:9" x14ac:dyDescent="0.25">
      <c r="A17" s="251">
        <v>44573</v>
      </c>
      <c r="B17" s="252"/>
      <c r="C17" s="252"/>
      <c r="D17" s="253">
        <f t="shared" si="0"/>
        <v>0</v>
      </c>
      <c r="E17" s="254">
        <f t="shared" si="1"/>
        <v>0</v>
      </c>
      <c r="F17" s="254">
        <f t="shared" si="3"/>
        <v>0</v>
      </c>
      <c r="G17" s="255"/>
      <c r="I17" s="250">
        <v>137.36199999999999</v>
      </c>
    </row>
    <row r="18" spans="1:9" x14ac:dyDescent="0.25">
      <c r="A18" s="251">
        <v>44574</v>
      </c>
      <c r="B18" s="252"/>
      <c r="C18" s="252"/>
      <c r="D18" s="253">
        <f t="shared" si="0"/>
        <v>0</v>
      </c>
      <c r="E18" s="254">
        <f t="shared" si="1"/>
        <v>0</v>
      </c>
      <c r="F18" s="254">
        <f t="shared" si="3"/>
        <v>0</v>
      </c>
      <c r="G18" s="256">
        <v>2</v>
      </c>
      <c r="I18" s="250">
        <v>137.36199999999999</v>
      </c>
    </row>
    <row r="19" spans="1:9" x14ac:dyDescent="0.25">
      <c r="A19" s="245">
        <v>44575</v>
      </c>
      <c r="B19" s="257"/>
      <c r="C19" s="257"/>
      <c r="D19" s="258">
        <f t="shared" si="0"/>
        <v>0</v>
      </c>
      <c r="E19" s="248">
        <f t="shared" si="1"/>
        <v>0</v>
      </c>
      <c r="F19" s="249"/>
      <c r="G19" s="249"/>
      <c r="I19" s="250">
        <v>137.36199999999999</v>
      </c>
    </row>
    <row r="20" spans="1:9" x14ac:dyDescent="0.25">
      <c r="A20" s="251">
        <v>44576</v>
      </c>
      <c r="B20" s="252"/>
      <c r="C20" s="252"/>
      <c r="D20" s="253">
        <f t="shared" si="0"/>
        <v>0</v>
      </c>
      <c r="E20" s="254">
        <f t="shared" si="1"/>
        <v>0</v>
      </c>
      <c r="F20" s="254">
        <f t="shared" ref="F20:F25" si="4">E20-H20</f>
        <v>0</v>
      </c>
      <c r="G20" s="256">
        <v>4</v>
      </c>
      <c r="I20" s="250">
        <v>137.36199999999999</v>
      </c>
    </row>
    <row r="21" spans="1:9" x14ac:dyDescent="0.25">
      <c r="A21" s="251">
        <v>44577</v>
      </c>
      <c r="B21" s="252"/>
      <c r="C21" s="252"/>
      <c r="D21" s="253">
        <f t="shared" si="0"/>
        <v>0</v>
      </c>
      <c r="E21" s="254">
        <f t="shared" si="1"/>
        <v>0</v>
      </c>
      <c r="F21" s="254">
        <f t="shared" si="4"/>
        <v>0</v>
      </c>
      <c r="G21" s="255"/>
      <c r="I21" s="250">
        <v>137.36199999999999</v>
      </c>
    </row>
    <row r="22" spans="1:9" x14ac:dyDescent="0.25">
      <c r="A22" s="251">
        <v>44578</v>
      </c>
      <c r="B22" s="252"/>
      <c r="C22" s="252"/>
      <c r="D22" s="253">
        <f t="shared" si="0"/>
        <v>0</v>
      </c>
      <c r="E22" s="254">
        <f t="shared" si="1"/>
        <v>0</v>
      </c>
      <c r="F22" s="254">
        <f t="shared" si="4"/>
        <v>0</v>
      </c>
      <c r="G22" s="256">
        <v>1</v>
      </c>
      <c r="I22" s="250">
        <v>137.36199999999999</v>
      </c>
    </row>
    <row r="23" spans="1:9" x14ac:dyDescent="0.25">
      <c r="A23" s="251">
        <v>44579</v>
      </c>
      <c r="B23" s="252"/>
      <c r="C23" s="252"/>
      <c r="D23" s="253">
        <f t="shared" si="0"/>
        <v>0</v>
      </c>
      <c r="E23" s="254">
        <f t="shared" si="1"/>
        <v>0</v>
      </c>
      <c r="F23" s="254">
        <f t="shared" si="4"/>
        <v>0</v>
      </c>
      <c r="G23" s="255"/>
      <c r="I23" s="250">
        <v>137.36199999999999</v>
      </c>
    </row>
    <row r="24" spans="1:9" x14ac:dyDescent="0.25">
      <c r="A24" s="251">
        <v>44580</v>
      </c>
      <c r="B24" s="252"/>
      <c r="C24" s="252"/>
      <c r="D24" s="253">
        <f t="shared" si="0"/>
        <v>0</v>
      </c>
      <c r="E24" s="254">
        <f t="shared" si="1"/>
        <v>0</v>
      </c>
      <c r="F24" s="254">
        <f t="shared" si="4"/>
        <v>0</v>
      </c>
      <c r="G24" s="256">
        <v>1</v>
      </c>
      <c r="I24" s="250">
        <v>137.36199999999999</v>
      </c>
    </row>
    <row r="25" spans="1:9" x14ac:dyDescent="0.25">
      <c r="A25" s="251">
        <v>44581</v>
      </c>
      <c r="B25" s="252"/>
      <c r="C25" s="252"/>
      <c r="D25" s="253">
        <f t="shared" si="0"/>
        <v>0</v>
      </c>
      <c r="E25" s="254">
        <f t="shared" si="1"/>
        <v>0</v>
      </c>
      <c r="F25" s="254">
        <f t="shared" si="4"/>
        <v>0</v>
      </c>
      <c r="G25" s="255"/>
      <c r="I25" s="250">
        <v>137.36199999999999</v>
      </c>
    </row>
    <row r="26" spans="1:9" x14ac:dyDescent="0.25">
      <c r="A26" s="245">
        <v>44582</v>
      </c>
      <c r="B26" s="257"/>
      <c r="C26" s="257"/>
      <c r="D26" s="258">
        <f t="shared" si="0"/>
        <v>0</v>
      </c>
      <c r="E26" s="248">
        <f t="shared" si="1"/>
        <v>0</v>
      </c>
      <c r="F26" s="249"/>
      <c r="G26" s="249"/>
      <c r="I26" s="250">
        <v>137.36199999999999</v>
      </c>
    </row>
    <row r="27" spans="1:9" x14ac:dyDescent="0.25">
      <c r="A27" s="251">
        <v>44583</v>
      </c>
      <c r="B27" s="252"/>
      <c r="C27" s="252"/>
      <c r="D27" s="253">
        <f t="shared" si="0"/>
        <v>0</v>
      </c>
      <c r="E27" s="254">
        <f t="shared" si="1"/>
        <v>0</v>
      </c>
      <c r="F27" s="254">
        <f t="shared" ref="F27:F32" si="5">E27-H27</f>
        <v>0</v>
      </c>
      <c r="G27" s="255"/>
      <c r="I27" s="250">
        <v>137.36199999999999</v>
      </c>
    </row>
    <row r="28" spans="1:9" x14ac:dyDescent="0.25">
      <c r="A28" s="251">
        <v>44584</v>
      </c>
      <c r="B28" s="252"/>
      <c r="C28" s="252"/>
      <c r="D28" s="253">
        <f t="shared" si="0"/>
        <v>0</v>
      </c>
      <c r="E28" s="254">
        <f t="shared" si="1"/>
        <v>0</v>
      </c>
      <c r="F28" s="254">
        <f t="shared" si="5"/>
        <v>0</v>
      </c>
      <c r="G28" s="255"/>
      <c r="I28" s="250">
        <v>137.36199999999999</v>
      </c>
    </row>
    <row r="29" spans="1:9" x14ac:dyDescent="0.25">
      <c r="A29" s="251">
        <v>44585</v>
      </c>
      <c r="B29" s="252"/>
      <c r="C29" s="252"/>
      <c r="D29" s="253">
        <f t="shared" si="0"/>
        <v>0</v>
      </c>
      <c r="E29" s="254">
        <f t="shared" si="1"/>
        <v>0</v>
      </c>
      <c r="F29" s="254">
        <f t="shared" si="5"/>
        <v>0</v>
      </c>
      <c r="G29" s="255"/>
      <c r="I29" s="250">
        <v>137.36199999999999</v>
      </c>
    </row>
    <row r="30" spans="1:9" x14ac:dyDescent="0.25">
      <c r="A30" s="251">
        <v>44586</v>
      </c>
      <c r="B30" s="252"/>
      <c r="C30" s="252"/>
      <c r="D30" s="253">
        <f t="shared" si="0"/>
        <v>0</v>
      </c>
      <c r="E30" s="254">
        <f t="shared" si="1"/>
        <v>0</v>
      </c>
      <c r="F30" s="254">
        <f t="shared" si="5"/>
        <v>0</v>
      </c>
      <c r="G30" s="255"/>
      <c r="I30" s="250">
        <v>137.36199999999999</v>
      </c>
    </row>
    <row r="31" spans="1:9" x14ac:dyDescent="0.25">
      <c r="A31" s="251">
        <v>44587</v>
      </c>
      <c r="B31" s="252"/>
      <c r="C31" s="252"/>
      <c r="D31" s="253">
        <f t="shared" si="0"/>
        <v>0</v>
      </c>
      <c r="E31" s="254">
        <f t="shared" si="1"/>
        <v>0</v>
      </c>
      <c r="F31" s="254">
        <f t="shared" si="5"/>
        <v>0</v>
      </c>
      <c r="G31" s="255"/>
      <c r="I31" s="250">
        <v>137.36199999999999</v>
      </c>
    </row>
    <row r="32" spans="1:9" x14ac:dyDescent="0.25">
      <c r="A32" s="251">
        <v>44588</v>
      </c>
      <c r="B32" s="252"/>
      <c r="C32" s="252"/>
      <c r="D32" s="253">
        <f t="shared" si="0"/>
        <v>0</v>
      </c>
      <c r="E32" s="254">
        <f t="shared" si="1"/>
        <v>0</v>
      </c>
      <c r="F32" s="254">
        <f t="shared" si="5"/>
        <v>0</v>
      </c>
      <c r="G32" s="255"/>
      <c r="I32" s="250">
        <v>137.36199999999999</v>
      </c>
    </row>
    <row r="33" spans="1:9" x14ac:dyDescent="0.25">
      <c r="A33" s="245">
        <v>44589</v>
      </c>
      <c r="B33" s="259"/>
      <c r="C33" s="249"/>
      <c r="D33" s="260">
        <f t="shared" si="0"/>
        <v>0</v>
      </c>
      <c r="E33" s="248">
        <f t="shared" si="1"/>
        <v>0</v>
      </c>
      <c r="F33" s="249"/>
      <c r="G33" s="249"/>
      <c r="I33" s="250">
        <v>137.36199999999999</v>
      </c>
    </row>
    <row r="34" spans="1:9" x14ac:dyDescent="0.25">
      <c r="A34" s="251">
        <v>44590</v>
      </c>
      <c r="B34" s="261"/>
      <c r="C34" s="261"/>
      <c r="D34" s="262">
        <f t="shared" si="0"/>
        <v>0</v>
      </c>
      <c r="E34" s="254">
        <f t="shared" si="1"/>
        <v>0</v>
      </c>
      <c r="F34" s="254">
        <f t="shared" ref="F34:F36" si="6">E34-H34</f>
        <v>0</v>
      </c>
      <c r="G34" s="255"/>
      <c r="I34" s="250">
        <v>137.36199999999999</v>
      </c>
    </row>
    <row r="35" spans="1:9" x14ac:dyDescent="0.25">
      <c r="A35" s="251">
        <v>44591</v>
      </c>
      <c r="B35" s="261"/>
      <c r="C35" s="261"/>
      <c r="D35" s="262">
        <f t="shared" si="0"/>
        <v>0</v>
      </c>
      <c r="E35" s="254">
        <f t="shared" si="1"/>
        <v>0</v>
      </c>
      <c r="F35" s="254">
        <f t="shared" si="6"/>
        <v>0</v>
      </c>
      <c r="G35" s="255"/>
      <c r="I35" s="250">
        <v>137.36199999999999</v>
      </c>
    </row>
    <row r="36" spans="1:9" x14ac:dyDescent="0.25">
      <c r="A36" s="251">
        <v>44592</v>
      </c>
      <c r="B36" s="261"/>
      <c r="C36" s="261"/>
      <c r="D36" s="262">
        <f t="shared" si="0"/>
        <v>0</v>
      </c>
      <c r="E36" s="254">
        <f t="shared" si="1"/>
        <v>0</v>
      </c>
      <c r="F36" s="254">
        <f t="shared" si="6"/>
        <v>0</v>
      </c>
      <c r="G36" s="255"/>
      <c r="I36" s="250">
        <v>137.36199999999999</v>
      </c>
    </row>
    <row r="37" spans="1:9" x14ac:dyDescent="0.25">
      <c r="A37" s="263" t="s">
        <v>21</v>
      </c>
      <c r="B37" s="264"/>
      <c r="C37" s="264"/>
      <c r="D37" s="265">
        <f t="shared" ref="D37:E37" si="7">SUM(D6:D36)</f>
        <v>0</v>
      </c>
      <c r="E37" s="266">
        <f t="shared" si="7"/>
        <v>0</v>
      </c>
      <c r="F37" s="267"/>
      <c r="G37" s="267"/>
    </row>
  </sheetData>
  <mergeCells count="2">
    <mergeCell ref="A1:C1"/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8"/>
  <sheetViews>
    <sheetView workbookViewId="0"/>
  </sheetViews>
  <sheetFormatPr defaultColWidth="12.625" defaultRowHeight="15" customHeight="1" x14ac:dyDescent="0.2"/>
  <cols>
    <col min="1" max="1" width="7" customWidth="1"/>
    <col min="2" max="2" width="18.375" customWidth="1"/>
    <col min="3" max="3" width="15.375" customWidth="1"/>
    <col min="4" max="4" width="14.5" customWidth="1"/>
    <col min="5" max="5" width="15.625" customWidth="1"/>
    <col min="6" max="6" width="16.875" customWidth="1"/>
    <col min="8" max="8" width="2.875" hidden="1" customWidth="1"/>
    <col min="9" max="9" width="2.25" hidden="1" customWidth="1"/>
    <col min="11" max="11" width="12.625" hidden="1"/>
  </cols>
  <sheetData>
    <row r="1" spans="1:9" ht="21" x14ac:dyDescent="0.35">
      <c r="A1" s="327" t="s">
        <v>117</v>
      </c>
      <c r="B1" s="320"/>
      <c r="C1" s="320"/>
      <c r="D1" s="234"/>
      <c r="E1" s="234"/>
      <c r="F1" s="234"/>
    </row>
    <row r="2" spans="1:9" ht="31.5" customHeight="1" x14ac:dyDescent="0.25">
      <c r="A2" s="328" t="s">
        <v>10</v>
      </c>
      <c r="B2" s="320"/>
      <c r="C2" s="320"/>
      <c r="D2" s="234"/>
      <c r="E2" s="234"/>
      <c r="F2" s="234"/>
    </row>
    <row r="3" spans="1:9" ht="15.75" x14ac:dyDescent="0.25">
      <c r="A3" s="235"/>
      <c r="B3" s="235" t="s">
        <v>118</v>
      </c>
      <c r="C3" s="236" t="s">
        <v>119</v>
      </c>
      <c r="D3" s="236" t="s">
        <v>120</v>
      </c>
      <c r="E3" s="237" t="s">
        <v>21</v>
      </c>
      <c r="F3" s="237" t="s">
        <v>121</v>
      </c>
      <c r="G3" s="237" t="s">
        <v>122</v>
      </c>
    </row>
    <row r="4" spans="1:9" ht="26.25" x14ac:dyDescent="0.4">
      <c r="A4" s="238"/>
      <c r="B4" s="239">
        <f>D37</f>
        <v>4.8069444444444445</v>
      </c>
      <c r="C4" s="239">
        <v>12</v>
      </c>
      <c r="D4" s="239">
        <f>C4-B4</f>
        <v>7.1930555555555555</v>
      </c>
      <c r="E4" s="240">
        <f>E37</f>
        <v>22185.817566666668</v>
      </c>
      <c r="F4" s="240">
        <f>E4-60000</f>
        <v>-37814.182433333335</v>
      </c>
      <c r="G4" s="241">
        <f>SUM(G6:G36)</f>
        <v>19</v>
      </c>
    </row>
    <row r="5" spans="1:9" x14ac:dyDescent="0.25">
      <c r="A5" s="242" t="s">
        <v>124</v>
      </c>
      <c r="B5" s="243" t="s">
        <v>125</v>
      </c>
      <c r="C5" s="243" t="s">
        <v>126</v>
      </c>
      <c r="D5" s="243" t="s">
        <v>127</v>
      </c>
      <c r="E5" s="243" t="s">
        <v>128</v>
      </c>
      <c r="F5" s="244" t="s">
        <v>129</v>
      </c>
      <c r="G5" s="244" t="s">
        <v>130</v>
      </c>
      <c r="H5" s="268"/>
    </row>
    <row r="6" spans="1:9" x14ac:dyDescent="0.25">
      <c r="A6" s="245">
        <v>44562</v>
      </c>
      <c r="B6" s="246"/>
      <c r="C6" s="246"/>
      <c r="D6" s="247">
        <f t="shared" ref="D6:D36" si="0">C6-B6</f>
        <v>0</v>
      </c>
      <c r="E6" s="248">
        <f t="shared" ref="E6:E36" si="1">I6*D6*24</f>
        <v>0</v>
      </c>
      <c r="F6" s="249"/>
      <c r="G6" s="249"/>
      <c r="I6" s="210">
        <v>192.30699999999999</v>
      </c>
    </row>
    <row r="7" spans="1:9" x14ac:dyDescent="0.25">
      <c r="A7" s="245">
        <v>44563</v>
      </c>
      <c r="B7" s="246"/>
      <c r="C7" s="246"/>
      <c r="D7" s="247">
        <f t="shared" si="0"/>
        <v>0</v>
      </c>
      <c r="E7" s="248">
        <f t="shared" si="1"/>
        <v>0</v>
      </c>
      <c r="F7" s="249"/>
      <c r="G7" s="249"/>
      <c r="I7" s="210">
        <v>192.30699999999999</v>
      </c>
    </row>
    <row r="8" spans="1:9" x14ac:dyDescent="0.25">
      <c r="A8" s="245">
        <v>44564</v>
      </c>
      <c r="B8" s="246"/>
      <c r="C8" s="246"/>
      <c r="D8" s="247">
        <f t="shared" si="0"/>
        <v>0</v>
      </c>
      <c r="E8" s="248">
        <f t="shared" si="1"/>
        <v>0</v>
      </c>
      <c r="F8" s="249"/>
      <c r="G8" s="249"/>
      <c r="I8" s="210">
        <v>192.30699999999999</v>
      </c>
    </row>
    <row r="9" spans="1:9" x14ac:dyDescent="0.25">
      <c r="A9" s="269">
        <v>44565</v>
      </c>
      <c r="B9" s="252">
        <v>0.25277777777777777</v>
      </c>
      <c r="C9" s="252">
        <v>0.76111111111111107</v>
      </c>
      <c r="D9" s="270">
        <f t="shared" si="0"/>
        <v>0.5083333333333333</v>
      </c>
      <c r="E9" s="254">
        <f t="shared" si="1"/>
        <v>2346.1453999999999</v>
      </c>
      <c r="F9" s="254">
        <f t="shared" ref="F9:F11" si="2">E9-H9</f>
        <v>38.145399999999881</v>
      </c>
      <c r="G9" s="255"/>
      <c r="H9" s="210">
        <v>2308</v>
      </c>
      <c r="I9" s="210">
        <v>192.30699999999999</v>
      </c>
    </row>
    <row r="10" spans="1:9" x14ac:dyDescent="0.25">
      <c r="A10" s="269">
        <v>44566</v>
      </c>
      <c r="B10" s="252">
        <v>0.25624999999999998</v>
      </c>
      <c r="C10" s="252">
        <v>0.7583333333333333</v>
      </c>
      <c r="D10" s="270">
        <f t="shared" si="0"/>
        <v>0.50208333333333333</v>
      </c>
      <c r="E10" s="254">
        <f t="shared" si="1"/>
        <v>2317.2993499999998</v>
      </c>
      <c r="F10" s="254">
        <f t="shared" si="2"/>
        <v>9.2993499999997766</v>
      </c>
      <c r="G10" s="256">
        <v>5</v>
      </c>
      <c r="H10" s="210">
        <v>2308</v>
      </c>
      <c r="I10" s="210">
        <v>192.30699999999999</v>
      </c>
    </row>
    <row r="11" spans="1:9" x14ac:dyDescent="0.25">
      <c r="A11" s="269">
        <v>44567</v>
      </c>
      <c r="B11" s="252">
        <v>0.25208333333333333</v>
      </c>
      <c r="C11" s="252">
        <v>0.77916666666666667</v>
      </c>
      <c r="D11" s="270">
        <f t="shared" si="0"/>
        <v>0.52708333333333335</v>
      </c>
      <c r="E11" s="254">
        <f t="shared" si="1"/>
        <v>2432.6835499999997</v>
      </c>
      <c r="F11" s="254">
        <f t="shared" si="2"/>
        <v>124.68354999999974</v>
      </c>
      <c r="G11" s="255"/>
      <c r="H11" s="210">
        <v>2308</v>
      </c>
      <c r="I11" s="210">
        <v>192.30699999999999</v>
      </c>
    </row>
    <row r="12" spans="1:9" x14ac:dyDescent="0.25">
      <c r="A12" s="271">
        <v>44568</v>
      </c>
      <c r="B12" s="257"/>
      <c r="C12" s="257"/>
      <c r="D12" s="272">
        <f t="shared" si="0"/>
        <v>0</v>
      </c>
      <c r="E12" s="248">
        <f t="shared" si="1"/>
        <v>0</v>
      </c>
      <c r="F12" s="249"/>
      <c r="G12" s="249"/>
      <c r="H12" s="210">
        <v>2308</v>
      </c>
      <c r="I12" s="210">
        <v>192.30699999999999</v>
      </c>
    </row>
    <row r="13" spans="1:9" x14ac:dyDescent="0.25">
      <c r="A13" s="269">
        <v>44569</v>
      </c>
      <c r="B13" s="252">
        <v>0.25277777777777777</v>
      </c>
      <c r="C13" s="252">
        <v>0.75416666666666665</v>
      </c>
      <c r="D13" s="270">
        <f t="shared" si="0"/>
        <v>0.50138888888888888</v>
      </c>
      <c r="E13" s="254">
        <f t="shared" si="1"/>
        <v>2314.0942333333332</v>
      </c>
      <c r="F13" s="254">
        <f t="shared" ref="F13:F18" si="3">E13-H13</f>
        <v>6.0942333333332499</v>
      </c>
      <c r="G13" s="256">
        <v>1</v>
      </c>
      <c r="H13" s="210">
        <v>2308</v>
      </c>
      <c r="I13" s="210">
        <v>192.30699999999999</v>
      </c>
    </row>
    <row r="14" spans="1:9" x14ac:dyDescent="0.25">
      <c r="A14" s="269">
        <v>44570</v>
      </c>
      <c r="B14" s="252">
        <v>0.25277777777777777</v>
      </c>
      <c r="C14" s="252">
        <v>0.36041666666666666</v>
      </c>
      <c r="D14" s="270">
        <f t="shared" si="0"/>
        <v>0.1076388888888889</v>
      </c>
      <c r="E14" s="254">
        <f t="shared" si="1"/>
        <v>496.79308333333336</v>
      </c>
      <c r="F14" s="254">
        <f t="shared" si="3"/>
        <v>-1811.2069166666665</v>
      </c>
      <c r="G14" s="255"/>
      <c r="H14" s="210">
        <v>2308</v>
      </c>
      <c r="I14" s="210">
        <v>192.30699999999999</v>
      </c>
    </row>
    <row r="15" spans="1:9" x14ac:dyDescent="0.25">
      <c r="A15" s="269">
        <v>44571</v>
      </c>
      <c r="B15" s="252">
        <v>0.25555555555555554</v>
      </c>
      <c r="C15" s="252">
        <v>0.76388888888888884</v>
      </c>
      <c r="D15" s="270">
        <f t="shared" si="0"/>
        <v>0.5083333333333333</v>
      </c>
      <c r="E15" s="254">
        <f t="shared" si="1"/>
        <v>2346.1453999999999</v>
      </c>
      <c r="F15" s="254">
        <f t="shared" si="3"/>
        <v>38.145399999999881</v>
      </c>
      <c r="G15" s="255"/>
      <c r="H15" s="210">
        <v>2308</v>
      </c>
      <c r="I15" s="210">
        <v>192.30699999999999</v>
      </c>
    </row>
    <row r="16" spans="1:9" x14ac:dyDescent="0.25">
      <c r="A16" s="269">
        <v>44572</v>
      </c>
      <c r="B16" s="252">
        <v>0.25277777777777777</v>
      </c>
      <c r="C16" s="252">
        <v>0.75624999999999998</v>
      </c>
      <c r="D16" s="270">
        <f t="shared" si="0"/>
        <v>0.50347222222222221</v>
      </c>
      <c r="E16" s="254">
        <f t="shared" si="1"/>
        <v>2323.7095833333333</v>
      </c>
      <c r="F16" s="254">
        <f t="shared" si="3"/>
        <v>15.709583333333285</v>
      </c>
      <c r="G16" s="256">
        <v>2</v>
      </c>
      <c r="H16" s="210">
        <v>2308</v>
      </c>
      <c r="I16" s="210">
        <v>192.30699999999999</v>
      </c>
    </row>
    <row r="17" spans="1:11" x14ac:dyDescent="0.25">
      <c r="A17" s="269">
        <v>44573</v>
      </c>
      <c r="B17" s="252">
        <v>0.25416666666666665</v>
      </c>
      <c r="C17" s="252">
        <v>0.7631944444444444</v>
      </c>
      <c r="D17" s="270">
        <f t="shared" si="0"/>
        <v>0.50902777777777775</v>
      </c>
      <c r="E17" s="254">
        <f t="shared" si="1"/>
        <v>2349.3505166666664</v>
      </c>
      <c r="F17" s="254">
        <f t="shared" si="3"/>
        <v>41.350516666666408</v>
      </c>
      <c r="G17" s="255"/>
      <c r="H17" s="210">
        <v>2308</v>
      </c>
      <c r="I17" s="210">
        <v>192.30699999999999</v>
      </c>
    </row>
    <row r="18" spans="1:11" x14ac:dyDescent="0.25">
      <c r="A18" s="269">
        <v>44574</v>
      </c>
      <c r="B18" s="252">
        <v>0.25208333333333333</v>
      </c>
      <c r="C18" s="252">
        <v>0.76249999999999996</v>
      </c>
      <c r="D18" s="270">
        <f t="shared" si="0"/>
        <v>0.51041666666666663</v>
      </c>
      <c r="E18" s="254">
        <f t="shared" si="1"/>
        <v>2355.7607499999999</v>
      </c>
      <c r="F18" s="254">
        <f t="shared" si="3"/>
        <v>47.760749999999916</v>
      </c>
      <c r="G18" s="255"/>
      <c r="H18" s="210">
        <v>2308</v>
      </c>
      <c r="I18" s="210">
        <v>192.30699999999999</v>
      </c>
    </row>
    <row r="19" spans="1:11" x14ac:dyDescent="0.25">
      <c r="A19" s="271">
        <v>44575</v>
      </c>
      <c r="B19" s="257">
        <v>0.3972222222222222</v>
      </c>
      <c r="C19" s="257">
        <v>0.44930555555555557</v>
      </c>
      <c r="D19" s="272">
        <f t="shared" si="0"/>
        <v>5.208333333333337E-2</v>
      </c>
      <c r="E19" s="248">
        <f t="shared" si="1"/>
        <v>240.38375000000016</v>
      </c>
      <c r="F19" s="249"/>
      <c r="G19" s="249"/>
      <c r="H19" s="210">
        <v>2308</v>
      </c>
      <c r="I19" s="210">
        <v>192.30699999999999</v>
      </c>
    </row>
    <row r="20" spans="1:11" x14ac:dyDescent="0.25">
      <c r="A20" s="269">
        <v>44576</v>
      </c>
      <c r="B20" s="252">
        <v>0.25347222222222221</v>
      </c>
      <c r="C20" s="252">
        <v>0.74583333333333335</v>
      </c>
      <c r="D20" s="270">
        <f t="shared" si="0"/>
        <v>0.49236111111111114</v>
      </c>
      <c r="E20" s="254">
        <f t="shared" si="1"/>
        <v>2272.4277166666666</v>
      </c>
      <c r="F20" s="254">
        <f t="shared" ref="F20:F25" si="4">E20-H20</f>
        <v>-35.572283333333417</v>
      </c>
      <c r="G20" s="255"/>
      <c r="H20" s="210">
        <v>2308</v>
      </c>
      <c r="I20" s="210">
        <v>192.30699999999999</v>
      </c>
    </row>
    <row r="21" spans="1:11" x14ac:dyDescent="0.25">
      <c r="A21" s="269">
        <v>44577</v>
      </c>
      <c r="B21" s="252">
        <v>0.25694444444444442</v>
      </c>
      <c r="C21" s="252">
        <v>0.34166666666666667</v>
      </c>
      <c r="D21" s="270">
        <f t="shared" si="0"/>
        <v>8.4722222222222254E-2</v>
      </c>
      <c r="E21" s="254">
        <f t="shared" si="1"/>
        <v>391.02423333333343</v>
      </c>
      <c r="F21" s="254">
        <f t="shared" si="4"/>
        <v>-1916.9757666666665</v>
      </c>
      <c r="G21" s="255"/>
      <c r="H21" s="210">
        <v>2308</v>
      </c>
      <c r="I21" s="210">
        <v>192.30699999999999</v>
      </c>
      <c r="K21" s="125">
        <f>I9*D37*24</f>
        <v>22185.817566666665</v>
      </c>
    </row>
    <row r="22" spans="1:11" x14ac:dyDescent="0.25">
      <c r="A22" s="269">
        <v>44578</v>
      </c>
      <c r="B22" s="252"/>
      <c r="C22" s="252"/>
      <c r="D22" s="270">
        <f t="shared" si="0"/>
        <v>0</v>
      </c>
      <c r="E22" s="254">
        <f t="shared" si="1"/>
        <v>0</v>
      </c>
      <c r="F22" s="254">
        <f t="shared" si="4"/>
        <v>-2308</v>
      </c>
      <c r="G22" s="255"/>
      <c r="H22" s="210">
        <v>2308</v>
      </c>
      <c r="I22" s="210">
        <v>192.30699999999999</v>
      </c>
    </row>
    <row r="23" spans="1:11" x14ac:dyDescent="0.25">
      <c r="A23" s="269">
        <v>44579</v>
      </c>
      <c r="B23" s="252"/>
      <c r="C23" s="252"/>
      <c r="D23" s="270">
        <f t="shared" si="0"/>
        <v>0</v>
      </c>
      <c r="E23" s="254">
        <f t="shared" si="1"/>
        <v>0</v>
      </c>
      <c r="F23" s="254">
        <f t="shared" si="4"/>
        <v>-2308</v>
      </c>
      <c r="G23" s="256">
        <v>7</v>
      </c>
      <c r="H23" s="210">
        <v>2308</v>
      </c>
      <c r="I23" s="210">
        <v>192.30699999999999</v>
      </c>
    </row>
    <row r="24" spans="1:11" x14ac:dyDescent="0.25">
      <c r="A24" s="269">
        <v>44580</v>
      </c>
      <c r="B24" s="252"/>
      <c r="C24" s="252"/>
      <c r="D24" s="270">
        <f t="shared" si="0"/>
        <v>0</v>
      </c>
      <c r="E24" s="254">
        <f t="shared" si="1"/>
        <v>0</v>
      </c>
      <c r="F24" s="254">
        <f t="shared" si="4"/>
        <v>-2308</v>
      </c>
      <c r="G24" s="256">
        <v>3</v>
      </c>
      <c r="H24" s="210">
        <v>2308</v>
      </c>
      <c r="I24" s="210">
        <v>192.30699999999999</v>
      </c>
    </row>
    <row r="25" spans="1:11" x14ac:dyDescent="0.25">
      <c r="A25" s="269">
        <v>44581</v>
      </c>
      <c r="B25" s="252"/>
      <c r="C25" s="252"/>
      <c r="D25" s="270">
        <f t="shared" si="0"/>
        <v>0</v>
      </c>
      <c r="E25" s="254">
        <f t="shared" si="1"/>
        <v>0</v>
      </c>
      <c r="F25" s="254">
        <f t="shared" si="4"/>
        <v>-2308</v>
      </c>
      <c r="G25" s="256">
        <v>1</v>
      </c>
      <c r="H25" s="210">
        <v>2308</v>
      </c>
      <c r="I25" s="210">
        <v>192.30699999999999</v>
      </c>
    </row>
    <row r="26" spans="1:11" x14ac:dyDescent="0.25">
      <c r="A26" s="271">
        <v>44582</v>
      </c>
      <c r="B26" s="257"/>
      <c r="C26" s="257"/>
      <c r="D26" s="272">
        <f t="shared" si="0"/>
        <v>0</v>
      </c>
      <c r="E26" s="248">
        <f t="shared" si="1"/>
        <v>0</v>
      </c>
      <c r="F26" s="249"/>
      <c r="G26" s="249"/>
      <c r="H26" s="210">
        <v>2308</v>
      </c>
      <c r="I26" s="210">
        <v>192.30699999999999</v>
      </c>
    </row>
    <row r="27" spans="1:11" x14ac:dyDescent="0.25">
      <c r="A27" s="269">
        <v>44583</v>
      </c>
      <c r="B27" s="252"/>
      <c r="C27" s="252"/>
      <c r="D27" s="270">
        <f t="shared" si="0"/>
        <v>0</v>
      </c>
      <c r="E27" s="254">
        <f t="shared" si="1"/>
        <v>0</v>
      </c>
      <c r="F27" s="254">
        <f t="shared" ref="F27:F32" si="5">E27-H27</f>
        <v>-2308</v>
      </c>
      <c r="G27" s="255"/>
      <c r="H27" s="210">
        <v>2308</v>
      </c>
      <c r="I27" s="210">
        <v>192.30699999999999</v>
      </c>
    </row>
    <row r="28" spans="1:11" x14ac:dyDescent="0.25">
      <c r="A28" s="269">
        <v>44584</v>
      </c>
      <c r="B28" s="252"/>
      <c r="C28" s="252"/>
      <c r="D28" s="270">
        <f t="shared" si="0"/>
        <v>0</v>
      </c>
      <c r="E28" s="254">
        <f t="shared" si="1"/>
        <v>0</v>
      </c>
      <c r="F28" s="254">
        <f t="shared" si="5"/>
        <v>-2308</v>
      </c>
      <c r="G28" s="255"/>
      <c r="H28" s="210">
        <v>2308</v>
      </c>
      <c r="I28" s="210">
        <v>192.30699999999999</v>
      </c>
    </row>
    <row r="29" spans="1:11" x14ac:dyDescent="0.25">
      <c r="A29" s="269">
        <v>44585</v>
      </c>
      <c r="B29" s="252"/>
      <c r="C29" s="252"/>
      <c r="D29" s="270">
        <f t="shared" si="0"/>
        <v>0</v>
      </c>
      <c r="E29" s="254">
        <f t="shared" si="1"/>
        <v>0</v>
      </c>
      <c r="F29" s="254">
        <f t="shared" si="5"/>
        <v>-2308</v>
      </c>
      <c r="G29" s="255"/>
      <c r="H29" s="210">
        <v>2308</v>
      </c>
      <c r="I29" s="210">
        <v>192.30699999999999</v>
      </c>
    </row>
    <row r="30" spans="1:11" x14ac:dyDescent="0.25">
      <c r="A30" s="269">
        <v>44586</v>
      </c>
      <c r="B30" s="252"/>
      <c r="C30" s="252"/>
      <c r="D30" s="270">
        <f t="shared" si="0"/>
        <v>0</v>
      </c>
      <c r="E30" s="254">
        <f t="shared" si="1"/>
        <v>0</v>
      </c>
      <c r="F30" s="254">
        <f t="shared" si="5"/>
        <v>-2308</v>
      </c>
      <c r="G30" s="255"/>
      <c r="H30" s="210">
        <v>2308</v>
      </c>
      <c r="I30" s="210">
        <v>192.30699999999999</v>
      </c>
    </row>
    <row r="31" spans="1:11" x14ac:dyDescent="0.25">
      <c r="A31" s="269">
        <v>44587</v>
      </c>
      <c r="B31" s="252"/>
      <c r="C31" s="252"/>
      <c r="D31" s="270">
        <f t="shared" si="0"/>
        <v>0</v>
      </c>
      <c r="E31" s="254">
        <f t="shared" si="1"/>
        <v>0</v>
      </c>
      <c r="F31" s="254">
        <f t="shared" si="5"/>
        <v>-2308</v>
      </c>
      <c r="G31" s="255"/>
      <c r="H31" s="210">
        <v>2308</v>
      </c>
      <c r="I31" s="210">
        <v>192.30699999999999</v>
      </c>
    </row>
    <row r="32" spans="1:11" x14ac:dyDescent="0.25">
      <c r="A32" s="269">
        <v>44588</v>
      </c>
      <c r="B32" s="252"/>
      <c r="C32" s="252"/>
      <c r="D32" s="270">
        <f t="shared" si="0"/>
        <v>0</v>
      </c>
      <c r="E32" s="254">
        <f t="shared" si="1"/>
        <v>0</v>
      </c>
      <c r="F32" s="254">
        <f t="shared" si="5"/>
        <v>-2308</v>
      </c>
      <c r="G32" s="255"/>
      <c r="H32" s="210">
        <v>2308</v>
      </c>
      <c r="I32" s="210">
        <v>192.30699999999999</v>
      </c>
    </row>
    <row r="33" spans="1:9" x14ac:dyDescent="0.25">
      <c r="A33" s="271">
        <v>44589</v>
      </c>
      <c r="B33" s="259"/>
      <c r="C33" s="249"/>
      <c r="D33" s="273">
        <f t="shared" si="0"/>
        <v>0</v>
      </c>
      <c r="E33" s="248">
        <f t="shared" si="1"/>
        <v>0</v>
      </c>
      <c r="F33" s="249"/>
      <c r="G33" s="249"/>
      <c r="H33" s="210">
        <v>2308</v>
      </c>
      <c r="I33" s="210">
        <v>192.30699999999999</v>
      </c>
    </row>
    <row r="34" spans="1:9" x14ac:dyDescent="0.25">
      <c r="A34" s="269">
        <v>44590</v>
      </c>
      <c r="B34" s="261"/>
      <c r="C34" s="261"/>
      <c r="D34" s="274">
        <f t="shared" si="0"/>
        <v>0</v>
      </c>
      <c r="E34" s="254">
        <f t="shared" si="1"/>
        <v>0</v>
      </c>
      <c r="F34" s="254">
        <f t="shared" ref="F34:F36" si="6">E34-H34</f>
        <v>-2308</v>
      </c>
      <c r="G34" s="255"/>
      <c r="H34" s="210">
        <v>2308</v>
      </c>
      <c r="I34" s="210">
        <v>192.30699999999999</v>
      </c>
    </row>
    <row r="35" spans="1:9" x14ac:dyDescent="0.25">
      <c r="A35" s="269">
        <v>44591</v>
      </c>
      <c r="B35" s="261"/>
      <c r="C35" s="261"/>
      <c r="D35" s="274">
        <f t="shared" si="0"/>
        <v>0</v>
      </c>
      <c r="E35" s="254">
        <f t="shared" si="1"/>
        <v>0</v>
      </c>
      <c r="F35" s="254">
        <f t="shared" si="6"/>
        <v>-2308</v>
      </c>
      <c r="G35" s="255"/>
      <c r="H35" s="210">
        <v>2308</v>
      </c>
      <c r="I35" s="210">
        <v>192.30699999999999</v>
      </c>
    </row>
    <row r="36" spans="1:9" x14ac:dyDescent="0.25">
      <c r="A36" s="269">
        <v>44592</v>
      </c>
      <c r="B36" s="261"/>
      <c r="C36" s="261"/>
      <c r="D36" s="274">
        <f t="shared" si="0"/>
        <v>0</v>
      </c>
      <c r="E36" s="254">
        <f t="shared" si="1"/>
        <v>0</v>
      </c>
      <c r="F36" s="254">
        <f t="shared" si="6"/>
        <v>-2308</v>
      </c>
      <c r="G36" s="255"/>
      <c r="H36" s="210">
        <v>2308</v>
      </c>
      <c r="I36" s="210">
        <v>192.30699999999999</v>
      </c>
    </row>
    <row r="37" spans="1:9" ht="15.75" x14ac:dyDescent="0.25">
      <c r="A37" s="263" t="s">
        <v>21</v>
      </c>
      <c r="B37" s="264"/>
      <c r="C37" s="264"/>
      <c r="D37" s="275">
        <f t="shared" ref="D37:E37" si="7">SUM(D6:D36)</f>
        <v>4.8069444444444445</v>
      </c>
      <c r="E37" s="266">
        <f t="shared" si="7"/>
        <v>22185.817566666668</v>
      </c>
      <c r="F37" s="267"/>
      <c r="G37" s="276">
        <f>50*G4</f>
        <v>950</v>
      </c>
      <c r="I37" s="210">
        <v>192.30699999999999</v>
      </c>
    </row>
    <row r="38" spans="1:9" x14ac:dyDescent="0.25">
      <c r="I38" s="210"/>
    </row>
  </sheetData>
  <mergeCells count="2">
    <mergeCell ref="A1:C1"/>
    <mergeCell ref="A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2.625" defaultRowHeight="15" customHeight="1" x14ac:dyDescent="0.2"/>
  <cols>
    <col min="7" max="7" width="13.375" customWidth="1"/>
    <col min="8" max="9" width="12.625" hidden="1"/>
  </cols>
  <sheetData>
    <row r="1" spans="1:9" ht="15" customHeight="1" x14ac:dyDescent="0.35">
      <c r="A1" s="327" t="s">
        <v>117</v>
      </c>
      <c r="B1" s="320"/>
      <c r="C1" s="320"/>
      <c r="D1" s="234"/>
      <c r="E1" s="234"/>
      <c r="F1" s="234"/>
    </row>
    <row r="2" spans="1:9" x14ac:dyDescent="0.25">
      <c r="A2" s="328"/>
      <c r="B2" s="320"/>
      <c r="C2" s="320"/>
      <c r="D2" s="234"/>
      <c r="E2" s="234"/>
      <c r="F2" s="234"/>
    </row>
    <row r="3" spans="1:9" x14ac:dyDescent="0.25">
      <c r="A3" s="235"/>
      <c r="B3" s="235" t="s">
        <v>118</v>
      </c>
      <c r="C3" s="236" t="s">
        <v>119</v>
      </c>
      <c r="D3" s="236" t="s">
        <v>120</v>
      </c>
      <c r="E3" s="237" t="s">
        <v>21</v>
      </c>
      <c r="F3" s="237" t="s">
        <v>121</v>
      </c>
      <c r="G3" s="237" t="s">
        <v>122</v>
      </c>
    </row>
    <row r="4" spans="1:9" ht="15" customHeight="1" x14ac:dyDescent="0.4">
      <c r="A4" s="238"/>
      <c r="B4" s="239">
        <f>D37</f>
        <v>4.977777777777777</v>
      </c>
      <c r="C4" s="239">
        <v>12</v>
      </c>
      <c r="D4" s="239">
        <f>B4-C4</f>
        <v>-7.022222222222223</v>
      </c>
      <c r="E4" s="240">
        <f>E37</f>
        <v>15316.224000000002</v>
      </c>
      <c r="F4" s="240">
        <f>E4-40000</f>
        <v>-24683.775999999998</v>
      </c>
      <c r="G4" s="241">
        <f>SUM(G9:G36)</f>
        <v>38</v>
      </c>
    </row>
    <row r="5" spans="1:9" x14ac:dyDescent="0.25">
      <c r="A5" s="242" t="s">
        <v>124</v>
      </c>
      <c r="B5" s="243" t="s">
        <v>125</v>
      </c>
      <c r="C5" s="243" t="s">
        <v>126</v>
      </c>
      <c r="D5" s="243" t="s">
        <v>127</v>
      </c>
      <c r="E5" s="243" t="s">
        <v>128</v>
      </c>
      <c r="F5" s="244" t="s">
        <v>129</v>
      </c>
      <c r="G5" s="277" t="s">
        <v>130</v>
      </c>
      <c r="H5" s="268"/>
    </row>
    <row r="6" spans="1:9" x14ac:dyDescent="0.25">
      <c r="A6" s="245">
        <v>44562</v>
      </c>
      <c r="B6" s="246"/>
      <c r="C6" s="246"/>
      <c r="D6" s="247">
        <f t="shared" ref="D6:D36" si="0">C6-B6</f>
        <v>0</v>
      </c>
      <c r="E6" s="248">
        <f t="shared" ref="E6:E36" si="1">I6*D6*24</f>
        <v>0</v>
      </c>
      <c r="F6" s="249"/>
      <c r="G6" s="249"/>
      <c r="I6" s="210">
        <v>128.20500000000001</v>
      </c>
    </row>
    <row r="7" spans="1:9" x14ac:dyDescent="0.25">
      <c r="A7" s="245">
        <v>44563</v>
      </c>
      <c r="B7" s="246"/>
      <c r="C7" s="246"/>
      <c r="D7" s="247">
        <f t="shared" si="0"/>
        <v>0</v>
      </c>
      <c r="E7" s="248">
        <f t="shared" si="1"/>
        <v>0</v>
      </c>
      <c r="F7" s="249"/>
      <c r="G7" s="249"/>
      <c r="I7" s="210">
        <v>128.20500000000001</v>
      </c>
    </row>
    <row r="8" spans="1:9" x14ac:dyDescent="0.25">
      <c r="A8" s="245">
        <v>44564</v>
      </c>
      <c r="B8" s="246"/>
      <c r="C8" s="246"/>
      <c r="D8" s="247">
        <f t="shared" si="0"/>
        <v>0</v>
      </c>
      <c r="E8" s="248">
        <f t="shared" si="1"/>
        <v>0</v>
      </c>
      <c r="F8" s="249"/>
      <c r="G8" s="249"/>
      <c r="I8" s="210">
        <v>128.20500000000001</v>
      </c>
    </row>
    <row r="9" spans="1:9" x14ac:dyDescent="0.25">
      <c r="A9" s="251">
        <v>44565</v>
      </c>
      <c r="B9" s="252">
        <v>0.24166666666666667</v>
      </c>
      <c r="C9" s="252">
        <v>0.75416666666666665</v>
      </c>
      <c r="D9" s="253">
        <f t="shared" si="0"/>
        <v>0.51249999999999996</v>
      </c>
      <c r="E9" s="254">
        <f t="shared" si="1"/>
        <v>1576.9214999999999</v>
      </c>
      <c r="F9" s="254">
        <f t="shared" ref="F9:F11" si="2">E9-H9</f>
        <v>38.921499999999924</v>
      </c>
      <c r="G9" s="255"/>
      <c r="H9" s="278">
        <v>1538</v>
      </c>
      <c r="I9" s="210">
        <v>128.20500000000001</v>
      </c>
    </row>
    <row r="10" spans="1:9" x14ac:dyDescent="0.25">
      <c r="A10" s="251">
        <v>44566</v>
      </c>
      <c r="B10" s="252">
        <v>0.25347222222222221</v>
      </c>
      <c r="C10" s="252">
        <v>0.76180555555555551</v>
      </c>
      <c r="D10" s="253">
        <f t="shared" si="0"/>
        <v>0.5083333333333333</v>
      </c>
      <c r="E10" s="254">
        <f t="shared" si="1"/>
        <v>1564.1010000000001</v>
      </c>
      <c r="F10" s="254">
        <f t="shared" si="2"/>
        <v>26.101000000000113</v>
      </c>
      <c r="G10" s="256">
        <v>5</v>
      </c>
      <c r="H10" s="278">
        <v>1538</v>
      </c>
      <c r="I10" s="210">
        <v>128.20500000000001</v>
      </c>
    </row>
    <row r="11" spans="1:9" x14ac:dyDescent="0.25">
      <c r="A11" s="251">
        <v>44567</v>
      </c>
      <c r="B11" s="252">
        <v>0.24791666666666667</v>
      </c>
      <c r="C11" s="252">
        <v>0.75694444444444442</v>
      </c>
      <c r="D11" s="253">
        <f t="shared" si="0"/>
        <v>0.50902777777777775</v>
      </c>
      <c r="E11" s="254">
        <f t="shared" si="1"/>
        <v>1566.23775</v>
      </c>
      <c r="F11" s="254">
        <f t="shared" si="2"/>
        <v>28.237750000000005</v>
      </c>
      <c r="G11" s="255"/>
      <c r="H11" s="278">
        <v>1538</v>
      </c>
      <c r="I11" s="210">
        <v>128.20500000000001</v>
      </c>
    </row>
    <row r="12" spans="1:9" x14ac:dyDescent="0.25">
      <c r="A12" s="245">
        <v>44568</v>
      </c>
      <c r="B12" s="257"/>
      <c r="C12" s="257"/>
      <c r="D12" s="258">
        <f t="shared" si="0"/>
        <v>0</v>
      </c>
      <c r="E12" s="248">
        <f t="shared" si="1"/>
        <v>0</v>
      </c>
      <c r="F12" s="249"/>
      <c r="G12" s="249"/>
      <c r="H12" s="278"/>
      <c r="I12" s="210">
        <v>128.20500000000001</v>
      </c>
    </row>
    <row r="13" spans="1:9" x14ac:dyDescent="0.25">
      <c r="A13" s="251">
        <v>44569</v>
      </c>
      <c r="B13" s="252">
        <v>0.24722222222222223</v>
      </c>
      <c r="C13" s="252">
        <v>0.75624999999999998</v>
      </c>
      <c r="D13" s="253">
        <f t="shared" si="0"/>
        <v>0.50902777777777775</v>
      </c>
      <c r="E13" s="254">
        <f t="shared" si="1"/>
        <v>1566.23775</v>
      </c>
      <c r="F13" s="254">
        <f t="shared" ref="F13:F18" si="3">E13-H13</f>
        <v>28.237750000000005</v>
      </c>
      <c r="G13" s="256">
        <v>2</v>
      </c>
      <c r="H13" s="278">
        <v>1538</v>
      </c>
      <c r="I13" s="210">
        <v>128.20500000000001</v>
      </c>
    </row>
    <row r="14" spans="1:9" x14ac:dyDescent="0.25">
      <c r="A14" s="251">
        <v>44570</v>
      </c>
      <c r="B14" s="252">
        <v>0.24652777777777779</v>
      </c>
      <c r="C14" s="252">
        <v>0.57916666666666672</v>
      </c>
      <c r="D14" s="253">
        <f t="shared" si="0"/>
        <v>0.33263888888888893</v>
      </c>
      <c r="E14" s="254">
        <f t="shared" si="1"/>
        <v>1023.5032500000002</v>
      </c>
      <c r="F14" s="254">
        <f t="shared" si="3"/>
        <v>-514.49674999999979</v>
      </c>
      <c r="G14" s="256"/>
      <c r="H14" s="278">
        <v>1538</v>
      </c>
      <c r="I14" s="210">
        <v>128.20500000000001</v>
      </c>
    </row>
    <row r="15" spans="1:9" x14ac:dyDescent="0.25">
      <c r="A15" s="251">
        <v>44571</v>
      </c>
      <c r="B15" s="252">
        <v>0.24722222222222223</v>
      </c>
      <c r="C15" s="252">
        <v>0.75347222222222221</v>
      </c>
      <c r="D15" s="253">
        <f t="shared" si="0"/>
        <v>0.50624999999999998</v>
      </c>
      <c r="E15" s="254">
        <f t="shared" si="1"/>
        <v>1557.6907500000002</v>
      </c>
      <c r="F15" s="254">
        <f t="shared" si="3"/>
        <v>19.690750000000207</v>
      </c>
      <c r="G15" s="256">
        <v>16</v>
      </c>
      <c r="H15" s="278">
        <v>1538</v>
      </c>
      <c r="I15" s="210">
        <v>128.20500000000001</v>
      </c>
    </row>
    <row r="16" spans="1:9" x14ac:dyDescent="0.25">
      <c r="A16" s="251">
        <v>44572</v>
      </c>
      <c r="B16" s="252">
        <v>0.24861111111111112</v>
      </c>
      <c r="C16" s="252">
        <v>0.76180555555555551</v>
      </c>
      <c r="D16" s="253">
        <f t="shared" si="0"/>
        <v>0.5131944444444444</v>
      </c>
      <c r="E16" s="254">
        <f t="shared" si="1"/>
        <v>1579.05825</v>
      </c>
      <c r="F16" s="254">
        <f t="shared" si="3"/>
        <v>41.058250000000044</v>
      </c>
      <c r="G16" s="256"/>
      <c r="H16" s="278">
        <v>1538</v>
      </c>
      <c r="I16" s="210">
        <v>128.20500000000001</v>
      </c>
    </row>
    <row r="17" spans="1:9" x14ac:dyDescent="0.25">
      <c r="A17" s="251">
        <v>44573</v>
      </c>
      <c r="B17" s="252">
        <v>0.24097222222222223</v>
      </c>
      <c r="C17" s="252">
        <v>0.76041666666666663</v>
      </c>
      <c r="D17" s="253">
        <f t="shared" si="0"/>
        <v>0.51944444444444438</v>
      </c>
      <c r="E17" s="254">
        <f t="shared" si="1"/>
        <v>1598.2890000000002</v>
      </c>
      <c r="F17" s="254">
        <f t="shared" si="3"/>
        <v>60.289000000000215</v>
      </c>
      <c r="G17" s="255"/>
      <c r="H17" s="278">
        <v>1538</v>
      </c>
      <c r="I17" s="210">
        <v>128.20500000000001</v>
      </c>
    </row>
    <row r="18" spans="1:9" x14ac:dyDescent="0.25">
      <c r="A18" s="251">
        <v>44574</v>
      </c>
      <c r="B18" s="252">
        <v>0.25208333333333333</v>
      </c>
      <c r="C18" s="252">
        <v>0.75416666666666665</v>
      </c>
      <c r="D18" s="253">
        <f t="shared" si="0"/>
        <v>0.50208333333333333</v>
      </c>
      <c r="E18" s="254">
        <f t="shared" si="1"/>
        <v>1544.8702500000002</v>
      </c>
      <c r="F18" s="254">
        <f t="shared" si="3"/>
        <v>6.8702500000001692</v>
      </c>
      <c r="G18" s="255"/>
      <c r="H18" s="278">
        <v>1538</v>
      </c>
      <c r="I18" s="210">
        <v>128.20500000000001</v>
      </c>
    </row>
    <row r="19" spans="1:9" x14ac:dyDescent="0.25">
      <c r="A19" s="245">
        <v>44575</v>
      </c>
      <c r="B19" s="257">
        <v>0.42430555555555555</v>
      </c>
      <c r="C19" s="257">
        <v>0.49305555555555558</v>
      </c>
      <c r="D19" s="258">
        <f t="shared" si="0"/>
        <v>6.8750000000000033E-2</v>
      </c>
      <c r="E19" s="248">
        <f t="shared" si="1"/>
        <v>211.53825000000012</v>
      </c>
      <c r="F19" s="249"/>
      <c r="G19" s="249"/>
      <c r="H19" s="278"/>
      <c r="I19" s="210">
        <v>128.20500000000001</v>
      </c>
    </row>
    <row r="20" spans="1:9" x14ac:dyDescent="0.25">
      <c r="A20" s="251">
        <v>44576</v>
      </c>
      <c r="B20" s="252">
        <v>0.25624999999999998</v>
      </c>
      <c r="C20" s="252">
        <v>0.75277777777777777</v>
      </c>
      <c r="D20" s="253">
        <f t="shared" si="0"/>
        <v>0.49652777777777779</v>
      </c>
      <c r="E20" s="254">
        <f t="shared" si="1"/>
        <v>1527.7762500000003</v>
      </c>
      <c r="F20" s="254">
        <f t="shared" ref="F20:F25" si="4">E20-H20</f>
        <v>-10.223749999999654</v>
      </c>
      <c r="G20" s="256">
        <v>1</v>
      </c>
      <c r="H20" s="278">
        <v>1538</v>
      </c>
      <c r="I20" s="210">
        <v>128.20500000000001</v>
      </c>
    </row>
    <row r="21" spans="1:9" x14ac:dyDescent="0.25">
      <c r="A21" s="251">
        <v>44577</v>
      </c>
      <c r="B21" s="252"/>
      <c r="C21" s="252"/>
      <c r="D21" s="253">
        <f t="shared" si="0"/>
        <v>0</v>
      </c>
      <c r="E21" s="254">
        <f t="shared" si="1"/>
        <v>0</v>
      </c>
      <c r="F21" s="254">
        <f t="shared" si="4"/>
        <v>-1538</v>
      </c>
      <c r="G21" s="256"/>
      <c r="H21" s="278">
        <v>1538</v>
      </c>
      <c r="I21" s="210">
        <v>128.20500000000001</v>
      </c>
    </row>
    <row r="22" spans="1:9" x14ac:dyDescent="0.25">
      <c r="A22" s="251">
        <v>44578</v>
      </c>
      <c r="B22" s="252"/>
      <c r="C22" s="252"/>
      <c r="D22" s="253">
        <f t="shared" si="0"/>
        <v>0</v>
      </c>
      <c r="E22" s="254">
        <f t="shared" si="1"/>
        <v>0</v>
      </c>
      <c r="F22" s="254">
        <f t="shared" si="4"/>
        <v>-1538</v>
      </c>
      <c r="G22" s="256">
        <v>7</v>
      </c>
      <c r="H22" s="278">
        <v>1538</v>
      </c>
      <c r="I22" s="210">
        <v>128.20500000000001</v>
      </c>
    </row>
    <row r="23" spans="1:9" x14ac:dyDescent="0.25">
      <c r="A23" s="251">
        <v>44579</v>
      </c>
      <c r="B23" s="252"/>
      <c r="C23" s="252"/>
      <c r="D23" s="253">
        <f t="shared" si="0"/>
        <v>0</v>
      </c>
      <c r="E23" s="254">
        <f t="shared" si="1"/>
        <v>0</v>
      </c>
      <c r="F23" s="254">
        <f t="shared" si="4"/>
        <v>-1538</v>
      </c>
      <c r="G23" s="255"/>
      <c r="H23" s="278">
        <v>1538</v>
      </c>
      <c r="I23" s="210">
        <v>128.20500000000001</v>
      </c>
    </row>
    <row r="24" spans="1:9" x14ac:dyDescent="0.25">
      <c r="A24" s="251">
        <v>44580</v>
      </c>
      <c r="B24" s="252"/>
      <c r="C24" s="252"/>
      <c r="D24" s="253">
        <f t="shared" si="0"/>
        <v>0</v>
      </c>
      <c r="E24" s="254">
        <f t="shared" si="1"/>
        <v>0</v>
      </c>
      <c r="F24" s="254">
        <f t="shared" si="4"/>
        <v>-1538</v>
      </c>
      <c r="G24" s="255"/>
      <c r="H24" s="278">
        <v>1538</v>
      </c>
      <c r="I24" s="210">
        <v>128.20500000000001</v>
      </c>
    </row>
    <row r="25" spans="1:9" x14ac:dyDescent="0.25">
      <c r="A25" s="251">
        <v>44581</v>
      </c>
      <c r="B25" s="252"/>
      <c r="C25" s="252"/>
      <c r="D25" s="253">
        <f t="shared" si="0"/>
        <v>0</v>
      </c>
      <c r="E25" s="254">
        <f t="shared" si="1"/>
        <v>0</v>
      </c>
      <c r="F25" s="254">
        <f t="shared" si="4"/>
        <v>-1538</v>
      </c>
      <c r="G25" s="256">
        <v>7</v>
      </c>
      <c r="H25" s="278">
        <v>1538</v>
      </c>
      <c r="I25" s="210">
        <v>128.20500000000001</v>
      </c>
    </row>
    <row r="26" spans="1:9" x14ac:dyDescent="0.25">
      <c r="A26" s="245">
        <v>44582</v>
      </c>
      <c r="B26" s="257"/>
      <c r="C26" s="257"/>
      <c r="D26" s="258">
        <f t="shared" si="0"/>
        <v>0</v>
      </c>
      <c r="E26" s="248">
        <f t="shared" si="1"/>
        <v>0</v>
      </c>
      <c r="F26" s="249"/>
      <c r="G26" s="249"/>
      <c r="H26" s="278"/>
      <c r="I26" s="210">
        <v>128.20500000000001</v>
      </c>
    </row>
    <row r="27" spans="1:9" x14ac:dyDescent="0.25">
      <c r="A27" s="251">
        <v>44583</v>
      </c>
      <c r="B27" s="252"/>
      <c r="C27" s="252"/>
      <c r="D27" s="253">
        <f t="shared" si="0"/>
        <v>0</v>
      </c>
      <c r="E27" s="254">
        <f t="shared" si="1"/>
        <v>0</v>
      </c>
      <c r="F27" s="254">
        <f t="shared" ref="F27:F32" si="5">E27-H27</f>
        <v>-1538</v>
      </c>
      <c r="G27" s="255"/>
      <c r="H27" s="278">
        <v>1538</v>
      </c>
      <c r="I27" s="210">
        <v>128.20500000000001</v>
      </c>
    </row>
    <row r="28" spans="1:9" x14ac:dyDescent="0.25">
      <c r="A28" s="251">
        <v>44584</v>
      </c>
      <c r="B28" s="252"/>
      <c r="C28" s="252"/>
      <c r="D28" s="253">
        <f t="shared" si="0"/>
        <v>0</v>
      </c>
      <c r="E28" s="254">
        <f t="shared" si="1"/>
        <v>0</v>
      </c>
      <c r="F28" s="254">
        <f t="shared" si="5"/>
        <v>-1538</v>
      </c>
      <c r="G28" s="255"/>
      <c r="H28" s="278">
        <v>1538</v>
      </c>
      <c r="I28" s="210">
        <v>128.20500000000001</v>
      </c>
    </row>
    <row r="29" spans="1:9" x14ac:dyDescent="0.25">
      <c r="A29" s="251">
        <v>44585</v>
      </c>
      <c r="B29" s="252"/>
      <c r="C29" s="252"/>
      <c r="D29" s="253">
        <f t="shared" si="0"/>
        <v>0</v>
      </c>
      <c r="E29" s="254">
        <f t="shared" si="1"/>
        <v>0</v>
      </c>
      <c r="F29" s="254">
        <f t="shared" si="5"/>
        <v>-1538</v>
      </c>
      <c r="G29" s="255"/>
      <c r="H29" s="278">
        <v>1538</v>
      </c>
      <c r="I29" s="210">
        <v>128.20500000000001</v>
      </c>
    </row>
    <row r="30" spans="1:9" x14ac:dyDescent="0.25">
      <c r="A30" s="251">
        <v>44586</v>
      </c>
      <c r="B30" s="252"/>
      <c r="C30" s="252"/>
      <c r="D30" s="253">
        <f t="shared" si="0"/>
        <v>0</v>
      </c>
      <c r="E30" s="254">
        <f t="shared" si="1"/>
        <v>0</v>
      </c>
      <c r="F30" s="254">
        <f t="shared" si="5"/>
        <v>-1538</v>
      </c>
      <c r="G30" s="255"/>
      <c r="H30" s="278">
        <v>1538</v>
      </c>
      <c r="I30" s="210">
        <v>128.20500000000001</v>
      </c>
    </row>
    <row r="31" spans="1:9" x14ac:dyDescent="0.25">
      <c r="A31" s="251">
        <v>44587</v>
      </c>
      <c r="B31" s="252"/>
      <c r="C31" s="252"/>
      <c r="D31" s="253">
        <f t="shared" si="0"/>
        <v>0</v>
      </c>
      <c r="E31" s="254">
        <f t="shared" si="1"/>
        <v>0</v>
      </c>
      <c r="F31" s="254">
        <f t="shared" si="5"/>
        <v>-1538</v>
      </c>
      <c r="G31" s="255"/>
      <c r="H31" s="278">
        <v>1538</v>
      </c>
      <c r="I31" s="210">
        <v>128.20500000000001</v>
      </c>
    </row>
    <row r="32" spans="1:9" x14ac:dyDescent="0.25">
      <c r="A32" s="251">
        <v>44588</v>
      </c>
      <c r="B32" s="252"/>
      <c r="C32" s="252"/>
      <c r="D32" s="253">
        <f t="shared" si="0"/>
        <v>0</v>
      </c>
      <c r="E32" s="254">
        <f t="shared" si="1"/>
        <v>0</v>
      </c>
      <c r="F32" s="254">
        <f t="shared" si="5"/>
        <v>-1538</v>
      </c>
      <c r="G32" s="255"/>
      <c r="H32" s="278">
        <v>1538</v>
      </c>
      <c r="I32" s="210">
        <v>128.20500000000001</v>
      </c>
    </row>
    <row r="33" spans="1:9" x14ac:dyDescent="0.25">
      <c r="A33" s="245">
        <v>44589</v>
      </c>
      <c r="B33" s="259"/>
      <c r="C33" s="249"/>
      <c r="D33" s="260">
        <f t="shared" si="0"/>
        <v>0</v>
      </c>
      <c r="E33" s="248">
        <f t="shared" si="1"/>
        <v>0</v>
      </c>
      <c r="F33" s="249"/>
      <c r="G33" s="249"/>
      <c r="H33" s="278"/>
      <c r="I33" s="210">
        <v>128.20500000000001</v>
      </c>
    </row>
    <row r="34" spans="1:9" x14ac:dyDescent="0.25">
      <c r="A34" s="251">
        <v>44590</v>
      </c>
      <c r="B34" s="261"/>
      <c r="C34" s="261"/>
      <c r="D34" s="262">
        <f t="shared" si="0"/>
        <v>0</v>
      </c>
      <c r="E34" s="254">
        <f t="shared" si="1"/>
        <v>0</v>
      </c>
      <c r="F34" s="254">
        <f t="shared" ref="F34:F36" si="6">E34-H34</f>
        <v>-1538</v>
      </c>
      <c r="G34" s="255"/>
      <c r="H34" s="278">
        <v>1538</v>
      </c>
      <c r="I34" s="210">
        <v>128.20500000000001</v>
      </c>
    </row>
    <row r="35" spans="1:9" x14ac:dyDescent="0.25">
      <c r="A35" s="251">
        <v>44591</v>
      </c>
      <c r="B35" s="261"/>
      <c r="C35" s="261"/>
      <c r="D35" s="262">
        <f t="shared" si="0"/>
        <v>0</v>
      </c>
      <c r="E35" s="254">
        <f t="shared" si="1"/>
        <v>0</v>
      </c>
      <c r="F35" s="254">
        <f t="shared" si="6"/>
        <v>-1538</v>
      </c>
      <c r="G35" s="255"/>
      <c r="H35" s="278">
        <v>1538</v>
      </c>
      <c r="I35" s="210">
        <v>128.20500000000001</v>
      </c>
    </row>
    <row r="36" spans="1:9" x14ac:dyDescent="0.25">
      <c r="A36" s="251">
        <v>44592</v>
      </c>
      <c r="B36" s="261"/>
      <c r="C36" s="261"/>
      <c r="D36" s="262">
        <f t="shared" si="0"/>
        <v>0</v>
      </c>
      <c r="E36" s="254">
        <f t="shared" si="1"/>
        <v>0</v>
      </c>
      <c r="F36" s="254">
        <f t="shared" si="6"/>
        <v>-1538</v>
      </c>
      <c r="G36" s="255"/>
      <c r="H36" s="278">
        <v>1538</v>
      </c>
      <c r="I36" s="210">
        <v>128.20500000000001</v>
      </c>
    </row>
    <row r="37" spans="1:9" x14ac:dyDescent="0.25">
      <c r="A37" s="263" t="s">
        <v>21</v>
      </c>
      <c r="B37" s="264"/>
      <c r="C37" s="264"/>
      <c r="D37" s="265">
        <f t="shared" ref="D37:E37" si="7">SUM(D6:D36)</f>
        <v>4.977777777777777</v>
      </c>
      <c r="E37" s="266">
        <f t="shared" si="7"/>
        <v>15316.224000000002</v>
      </c>
      <c r="F37" s="267"/>
      <c r="G37" s="267"/>
      <c r="I37" s="210">
        <v>128.20500000000001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999"/>
  <sheetViews>
    <sheetView showGridLines="0" workbookViewId="0"/>
  </sheetViews>
  <sheetFormatPr defaultColWidth="12.625" defaultRowHeight="15" customHeight="1" x14ac:dyDescent="0.2"/>
  <cols>
    <col min="1" max="1" width="20.5" customWidth="1"/>
    <col min="2" max="2" width="12.875" customWidth="1"/>
    <col min="3" max="3" width="11.75" customWidth="1"/>
    <col min="4" max="4" width="11.625" customWidth="1"/>
    <col min="5" max="5" width="10.5" customWidth="1"/>
    <col min="6" max="6" width="14.125" customWidth="1"/>
    <col min="7" max="7" width="14.375" customWidth="1"/>
    <col min="8" max="8" width="11" customWidth="1"/>
    <col min="9" max="9" width="6.5" customWidth="1"/>
    <col min="10" max="11" width="11" customWidth="1"/>
    <col min="12" max="12" width="14.125" customWidth="1"/>
    <col min="13" max="15" width="14.5" customWidth="1"/>
    <col min="16" max="16" width="16.75" customWidth="1"/>
    <col min="17" max="17" width="12.75" customWidth="1"/>
    <col min="18" max="28" width="11" customWidth="1"/>
  </cols>
  <sheetData>
    <row r="1" spans="1:16" ht="14.25" x14ac:dyDescent="0.2">
      <c r="B1" s="44"/>
    </row>
    <row r="2" spans="1:16" ht="14.25" x14ac:dyDescent="0.2">
      <c r="B2" s="329" t="s">
        <v>131</v>
      </c>
      <c r="C2" s="330"/>
      <c r="D2" s="330"/>
      <c r="E2" s="330"/>
      <c r="F2" s="330"/>
      <c r="G2" s="330"/>
      <c r="H2" s="331"/>
    </row>
    <row r="3" spans="1:16" ht="14.25" x14ac:dyDescent="0.2">
      <c r="B3" s="332"/>
      <c r="C3" s="333"/>
      <c r="D3" s="333"/>
      <c r="E3" s="333"/>
      <c r="F3" s="333"/>
      <c r="G3" s="333"/>
      <c r="H3" s="334"/>
    </row>
    <row r="4" spans="1:16" ht="15" customHeight="1" x14ac:dyDescent="0.25">
      <c r="B4" s="279" t="s">
        <v>132</v>
      </c>
      <c r="C4" s="280" t="s">
        <v>133</v>
      </c>
      <c r="D4" s="281" t="s">
        <v>134</v>
      </c>
      <c r="E4" s="280" t="s">
        <v>135</v>
      </c>
      <c r="F4" s="280" t="s">
        <v>136</v>
      </c>
      <c r="G4" s="282" t="s">
        <v>137</v>
      </c>
      <c r="H4" s="280" t="s">
        <v>138</v>
      </c>
      <c r="P4" s="44"/>
    </row>
    <row r="5" spans="1:16" ht="15" customHeight="1" x14ac:dyDescent="0.25">
      <c r="B5" s="283">
        <f>Вычисление!L11</f>
        <v>1979436</v>
      </c>
      <c r="C5" s="284">
        <v>230000</v>
      </c>
      <c r="D5" s="285">
        <f>Вычисление!L28</f>
        <v>65513</v>
      </c>
      <c r="E5" s="286">
        <v>7000</v>
      </c>
      <c r="F5" s="287">
        <v>20000</v>
      </c>
      <c r="G5" s="288">
        <v>50</v>
      </c>
      <c r="H5" s="289">
        <f>'Аятула Отчет'!$F$5/Вычисление!$L$28</f>
        <v>0.30528292094698761</v>
      </c>
    </row>
    <row r="6" spans="1:16" x14ac:dyDescent="0.25">
      <c r="A6" s="290"/>
      <c r="B6" s="290"/>
      <c r="C6" s="290"/>
      <c r="D6" s="290"/>
    </row>
    <row r="7" spans="1:16" x14ac:dyDescent="0.25">
      <c r="A7" s="291" t="s">
        <v>0</v>
      </c>
      <c r="B7" s="291" t="s">
        <v>139</v>
      </c>
      <c r="C7" s="292" t="s">
        <v>140</v>
      </c>
      <c r="D7" s="293" t="s">
        <v>141</v>
      </c>
      <c r="E7" s="294" t="s">
        <v>142</v>
      </c>
      <c r="F7" s="294" t="s">
        <v>143</v>
      </c>
      <c r="G7" s="294" t="s">
        <v>144</v>
      </c>
      <c r="H7" s="294" t="s">
        <v>34</v>
      </c>
      <c r="I7" s="294" t="s">
        <v>36</v>
      </c>
      <c r="J7" s="294" t="s">
        <v>21</v>
      </c>
    </row>
    <row r="8" spans="1:16" ht="15" customHeight="1" x14ac:dyDescent="0.25">
      <c r="A8" s="295" t="s">
        <v>10</v>
      </c>
      <c r="B8" s="296">
        <f>'Итоги Мотивации'!B6</f>
        <v>18</v>
      </c>
      <c r="C8" s="297">
        <f>'Итоги Мотивации'!M6</f>
        <v>1.2091826086956521</v>
      </c>
      <c r="D8" s="298">
        <f>'Итоги Мотивации'!N6</f>
        <v>48112</v>
      </c>
      <c r="E8" s="297">
        <f>'Итоги Мотивации'!O6</f>
        <v>1.512</v>
      </c>
      <c r="F8" s="299">
        <f>'Итоги Мотивации'!P6</f>
        <v>3584</v>
      </c>
      <c r="G8" s="300">
        <f>'Итоги Мотивации'!I6</f>
        <v>5913.1593150768476</v>
      </c>
      <c r="H8" s="301">
        <f>'Итоги Мотивации'!H6</f>
        <v>22185.817566666665</v>
      </c>
      <c r="I8" s="301">
        <f>'Итоги Мотивации'!J6</f>
        <v>950</v>
      </c>
      <c r="J8" s="300">
        <f t="shared" ref="J8:J16" si="0">H8+G8-I8</f>
        <v>27148.976881743511</v>
      </c>
    </row>
    <row r="9" spans="1:16" ht="15" customHeight="1" x14ac:dyDescent="0.25">
      <c r="A9" s="295" t="s">
        <v>12</v>
      </c>
      <c r="B9" s="296">
        <f>'Итоги Мотивации'!B7</f>
        <v>10</v>
      </c>
      <c r="C9" s="297">
        <f>'Итоги Мотивации'!M7</f>
        <v>0.3111913043478261</v>
      </c>
      <c r="D9" s="298">
        <f>'Итоги Мотивации'!N7</f>
        <v>-158426</v>
      </c>
      <c r="E9" s="297">
        <f>'Итоги Мотивации'!O7</f>
        <v>0.49157142857142855</v>
      </c>
      <c r="F9" s="299">
        <f>'Итоги Мотивации'!P7</f>
        <v>-3559</v>
      </c>
      <c r="G9" s="300">
        <f>'Итоги Мотивации'!I7</f>
        <v>2280.113192629512</v>
      </c>
      <c r="H9" s="301">
        <f>'Итоги Мотивации'!H7</f>
        <v>4348.2862500000001</v>
      </c>
      <c r="I9" s="301">
        <f>'Итоги Мотивации'!J7</f>
        <v>200</v>
      </c>
      <c r="J9" s="300">
        <f t="shared" si="0"/>
        <v>6428.3994426295121</v>
      </c>
    </row>
    <row r="10" spans="1:16" ht="15" customHeight="1" x14ac:dyDescent="0.25">
      <c r="A10" s="302" t="s">
        <v>13</v>
      </c>
      <c r="B10" s="296">
        <f>'Итоги Мотивации'!B8</f>
        <v>17</v>
      </c>
      <c r="C10" s="297">
        <f>'Итоги Мотивации'!M8</f>
        <v>1.2254956521739131</v>
      </c>
      <c r="D10" s="298">
        <f>'Итоги Мотивации'!N8</f>
        <v>51864</v>
      </c>
      <c r="E10" s="297">
        <f>'Итоги Мотивации'!O8</f>
        <v>1.6005714285714285</v>
      </c>
      <c r="F10" s="299">
        <f>'Итоги Мотивации'!P8</f>
        <v>4204</v>
      </c>
      <c r="G10" s="300">
        <f>'Итоги Мотивации'!I8</f>
        <v>6468.7918676177906</v>
      </c>
      <c r="H10" s="301">
        <f>'Итоги Мотивации'!H8</f>
        <v>12365.37225</v>
      </c>
      <c r="I10" s="301">
        <f>'Итоги Мотивации'!J8</f>
        <v>250</v>
      </c>
      <c r="J10" s="300">
        <f t="shared" si="0"/>
        <v>18584.164117617791</v>
      </c>
    </row>
    <row r="11" spans="1:16" ht="15" customHeight="1" x14ac:dyDescent="0.25">
      <c r="A11" s="295" t="s">
        <v>15</v>
      </c>
      <c r="B11" s="296">
        <f>'Итоги Мотивации'!B9</f>
        <v>11</v>
      </c>
      <c r="C11" s="297">
        <f>'Итоги Мотивации'!M9</f>
        <v>0.45638695652173911</v>
      </c>
      <c r="D11" s="298">
        <f>'Итоги Мотивации'!N9</f>
        <v>-125031</v>
      </c>
      <c r="E11" s="297">
        <f>'Итоги Мотивации'!O9</f>
        <v>0.35185714285714287</v>
      </c>
      <c r="F11" s="299">
        <f>'Итоги Мотивации'!P9</f>
        <v>-4537</v>
      </c>
      <c r="G11" s="300">
        <f>'Итоги Мотивации'!I9</f>
        <v>1706.5195879234793</v>
      </c>
      <c r="H11" s="301">
        <f>'Итоги Мотивации'!H9</f>
        <v>7508.539499999999</v>
      </c>
      <c r="I11" s="301">
        <f>'Итоги Мотивации'!J9</f>
        <v>150</v>
      </c>
      <c r="J11" s="300">
        <f t="shared" si="0"/>
        <v>9065.0590879234787</v>
      </c>
    </row>
    <row r="12" spans="1:16" ht="15" customHeight="1" x14ac:dyDescent="0.25">
      <c r="A12" s="302" t="s">
        <v>16</v>
      </c>
      <c r="B12" s="296">
        <f>'Итоги Мотивации'!B10</f>
        <v>15</v>
      </c>
      <c r="C12" s="297">
        <f>'Итоги Мотивации'!M10</f>
        <v>1.2937956521739131</v>
      </c>
      <c r="D12" s="298">
        <f>'Итоги Мотивации'!N10</f>
        <v>67573</v>
      </c>
      <c r="E12" s="297">
        <f>'Итоги Мотивации'!O10</f>
        <v>1.4072857142857143</v>
      </c>
      <c r="F12" s="299">
        <f>'Итоги Мотивации'!P10</f>
        <v>2851</v>
      </c>
      <c r="G12" s="300">
        <f>'Итоги Мотивации'!I10</f>
        <v>5965.1009041358138</v>
      </c>
      <c r="H12" s="301">
        <f>'Итоги Мотивации'!H10</f>
        <v>14837.592000000004</v>
      </c>
      <c r="I12" s="301">
        <f>'Итоги Мотивации'!J10</f>
        <v>4000</v>
      </c>
      <c r="J12" s="300">
        <f t="shared" si="0"/>
        <v>16802.692904135816</v>
      </c>
    </row>
    <row r="13" spans="1:16" ht="15" customHeight="1" x14ac:dyDescent="0.25">
      <c r="A13" s="295" t="s">
        <v>17</v>
      </c>
      <c r="B13" s="296">
        <f>'Итоги Мотивации'!B11</f>
        <v>19</v>
      </c>
      <c r="C13" s="297">
        <f>'Итоги Мотивации'!M11</f>
        <v>1.4375565217391304</v>
      </c>
      <c r="D13" s="298">
        <f>'Итоги Мотивации'!N11</f>
        <v>100638</v>
      </c>
      <c r="E13" s="297">
        <f>'Итоги Мотивации'!O11</f>
        <v>1.6385714285714286</v>
      </c>
      <c r="F13" s="299">
        <f>'Итоги Мотивации'!P11</f>
        <v>4470</v>
      </c>
      <c r="G13" s="300">
        <f>'Итоги Мотивации'!I11</f>
        <v>6235.1190889857189</v>
      </c>
      <c r="H13" s="301">
        <f>'Итоги Мотивации'!H11</f>
        <v>15316.223999999998</v>
      </c>
      <c r="I13" s="301">
        <f>'Итоги Мотивации'!J11</f>
        <v>1900</v>
      </c>
      <c r="J13" s="300">
        <f t="shared" si="0"/>
        <v>19651.343088985719</v>
      </c>
    </row>
    <row r="14" spans="1:16" ht="15" customHeight="1" x14ac:dyDescent="0.25">
      <c r="A14" s="302" t="s">
        <v>18</v>
      </c>
      <c r="B14" s="296">
        <f>'Итоги Мотивации'!B12</f>
        <v>8</v>
      </c>
      <c r="C14" s="297">
        <f>'Итоги Мотивации'!M12</f>
        <v>0.42043043478260872</v>
      </c>
      <c r="D14" s="298">
        <f>'Итоги Мотивации'!N12</f>
        <v>-133301</v>
      </c>
      <c r="E14" s="297">
        <f>'Итоги Мотивации'!O12</f>
        <v>0.30099999999999999</v>
      </c>
      <c r="F14" s="299">
        <f>'Итоги Мотивации'!P12</f>
        <v>-4893</v>
      </c>
      <c r="G14" s="300">
        <f>'Итоги Мотивации'!I12</f>
        <v>1560.9094188540112</v>
      </c>
      <c r="H14" s="301">
        <f>'Итоги Мотивации'!H12</f>
        <v>0</v>
      </c>
      <c r="I14" s="301">
        <f>'Итоги Мотивации'!J12</f>
        <v>400</v>
      </c>
      <c r="J14" s="300">
        <f t="shared" si="0"/>
        <v>1160.9094188540112</v>
      </c>
    </row>
    <row r="15" spans="1:16" ht="15" customHeight="1" x14ac:dyDescent="0.25">
      <c r="A15" s="295" t="s">
        <v>19</v>
      </c>
      <c r="B15" s="296">
        <f>'Итоги Мотивации'!B13</f>
        <v>12</v>
      </c>
      <c r="C15" s="297">
        <f>'Итоги Мотивации'!M13</f>
        <v>0.66406521739130431</v>
      </c>
      <c r="D15" s="298">
        <f>'Итоги Мотивации'!N13</f>
        <v>-77265</v>
      </c>
      <c r="E15" s="297">
        <f>'Итоги Мотивации'!O13</f>
        <v>0.66400000000000003</v>
      </c>
      <c r="F15" s="299">
        <f>'Итоги Мотивации'!P13</f>
        <v>-2352</v>
      </c>
      <c r="G15" s="300">
        <f>'Итоги Мотивации'!I13</f>
        <v>3214.5338813803501</v>
      </c>
      <c r="H15" s="301">
        <f>'Итоги Мотивации'!H13</f>
        <v>13961.524500000003</v>
      </c>
      <c r="I15" s="301">
        <f>'Итоги Мотивации'!J13</f>
        <v>7600</v>
      </c>
      <c r="J15" s="300">
        <f t="shared" si="0"/>
        <v>9576.0583813803532</v>
      </c>
    </row>
    <row r="16" spans="1:16" ht="15" customHeight="1" x14ac:dyDescent="0.25">
      <c r="A16" s="302" t="s">
        <v>20</v>
      </c>
      <c r="B16" s="296">
        <f>'Итоги Мотивации'!B14</f>
        <v>21</v>
      </c>
      <c r="C16" s="297">
        <f>'Итоги Мотивации'!M14</f>
        <v>1.5881391304347825</v>
      </c>
      <c r="D16" s="298">
        <f>'Итоги Мотивации'!N14</f>
        <v>135272</v>
      </c>
      <c r="E16" s="297">
        <f>'Итоги Мотивации'!O14</f>
        <v>1.3921428571428571</v>
      </c>
      <c r="F16" s="299">
        <f>'Итоги Мотивации'!P14</f>
        <v>2745</v>
      </c>
      <c r="G16" s="300">
        <f>'Итоги Мотивации'!I14</f>
        <v>6655.7527433964769</v>
      </c>
      <c r="H16" s="301">
        <f>'Итоги Мотивации'!H14</f>
        <v>19884.48</v>
      </c>
      <c r="I16" s="301">
        <f>'Итоги Мотивации'!J14</f>
        <v>150</v>
      </c>
      <c r="J16" s="300">
        <f t="shared" si="0"/>
        <v>26390.232743396475</v>
      </c>
    </row>
    <row r="17" spans="2:10" ht="14.25" x14ac:dyDescent="0.2">
      <c r="B17" s="44"/>
    </row>
    <row r="18" spans="2:10" ht="14.25" x14ac:dyDescent="0.2">
      <c r="B18" s="44"/>
    </row>
    <row r="19" spans="2:10" ht="14.25" x14ac:dyDescent="0.2">
      <c r="B19" s="44"/>
    </row>
    <row r="20" spans="2:10" ht="14.25" x14ac:dyDescent="0.2">
      <c r="B20" s="44"/>
    </row>
    <row r="21" spans="2:10" ht="15.75" customHeight="1" x14ac:dyDescent="0.2">
      <c r="B21" s="44"/>
    </row>
    <row r="22" spans="2:10" ht="15.75" customHeight="1" x14ac:dyDescent="0.2">
      <c r="B22" s="44"/>
    </row>
    <row r="23" spans="2:10" ht="15.75" customHeight="1" x14ac:dyDescent="0.2">
      <c r="B23" s="44"/>
    </row>
    <row r="24" spans="2:10" ht="15.75" customHeight="1" x14ac:dyDescent="0.2">
      <c r="B24" s="44"/>
    </row>
    <row r="25" spans="2:10" ht="15.75" customHeight="1" x14ac:dyDescent="0.2">
      <c r="B25" s="44"/>
    </row>
    <row r="26" spans="2:10" ht="15.75" customHeight="1" x14ac:dyDescent="0.2">
      <c r="B26" s="44"/>
    </row>
    <row r="27" spans="2:10" ht="15.75" customHeight="1" x14ac:dyDescent="0.2">
      <c r="B27" s="44"/>
    </row>
    <row r="28" spans="2:10" ht="15.75" customHeight="1" x14ac:dyDescent="0.2">
      <c r="B28" s="44"/>
    </row>
    <row r="29" spans="2:10" ht="15" customHeight="1" x14ac:dyDescent="0.25">
      <c r="B29" s="44"/>
      <c r="J29" s="290"/>
    </row>
    <row r="30" spans="2:10" ht="15" customHeight="1" x14ac:dyDescent="0.25">
      <c r="B30" s="44"/>
      <c r="J30" s="290"/>
    </row>
    <row r="31" spans="2:10" ht="15" customHeight="1" x14ac:dyDescent="0.25">
      <c r="B31" s="44"/>
      <c r="J31" s="290"/>
    </row>
    <row r="32" spans="2:10" ht="15.75" customHeight="1" x14ac:dyDescent="0.2">
      <c r="B32" s="44"/>
    </row>
    <row r="33" spans="2:2" ht="15.75" customHeight="1" x14ac:dyDescent="0.2">
      <c r="B33" s="44"/>
    </row>
    <row r="34" spans="2:2" ht="15.75" customHeight="1" x14ac:dyDescent="0.2">
      <c r="B34" s="44"/>
    </row>
    <row r="35" spans="2:2" ht="15.75" customHeight="1" x14ac:dyDescent="0.2">
      <c r="B35" s="44"/>
    </row>
    <row r="36" spans="2:2" ht="15.75" customHeight="1" x14ac:dyDescent="0.2">
      <c r="B36" s="44"/>
    </row>
    <row r="37" spans="2:2" ht="15.75" customHeight="1" x14ac:dyDescent="0.2">
      <c r="B37" s="44"/>
    </row>
    <row r="38" spans="2:2" ht="15.75" customHeight="1" x14ac:dyDescent="0.2">
      <c r="B38" s="44"/>
    </row>
    <row r="39" spans="2:2" ht="15.75" customHeight="1" x14ac:dyDescent="0.2">
      <c r="B39" s="44"/>
    </row>
    <row r="40" spans="2:2" ht="15.75" customHeight="1" x14ac:dyDescent="0.2">
      <c r="B40" s="44"/>
    </row>
    <row r="41" spans="2:2" ht="15.75" customHeight="1" x14ac:dyDescent="0.2">
      <c r="B41" s="44"/>
    </row>
    <row r="42" spans="2:2" ht="15.75" customHeight="1" x14ac:dyDescent="0.2">
      <c r="B42" s="44"/>
    </row>
    <row r="43" spans="2:2" ht="15.75" customHeight="1" x14ac:dyDescent="0.2">
      <c r="B43" s="44"/>
    </row>
    <row r="44" spans="2:2" ht="15.75" customHeight="1" x14ac:dyDescent="0.2">
      <c r="B44" s="44"/>
    </row>
    <row r="45" spans="2:2" ht="15.75" customHeight="1" x14ac:dyDescent="0.2">
      <c r="B45" s="44"/>
    </row>
    <row r="46" spans="2:2" ht="15.75" customHeight="1" x14ac:dyDescent="0.2">
      <c r="B46" s="44"/>
    </row>
    <row r="47" spans="2:2" ht="15.75" customHeight="1" x14ac:dyDescent="0.2">
      <c r="B47" s="44"/>
    </row>
    <row r="48" spans="2:2" ht="15.75" customHeight="1" x14ac:dyDescent="0.2">
      <c r="B48" s="44"/>
    </row>
    <row r="49" spans="2:6" ht="15.75" customHeight="1" x14ac:dyDescent="0.2">
      <c r="B49" s="44"/>
    </row>
    <row r="50" spans="2:6" ht="15.75" customHeight="1" x14ac:dyDescent="0.2">
      <c r="B50" s="44"/>
    </row>
    <row r="51" spans="2:6" ht="15.75" customHeight="1" x14ac:dyDescent="0.2">
      <c r="B51" s="44"/>
    </row>
    <row r="52" spans="2:6" ht="15.75" customHeight="1" x14ac:dyDescent="0.2">
      <c r="B52" s="44"/>
    </row>
    <row r="53" spans="2:6" ht="15.75" customHeight="1" x14ac:dyDescent="0.2">
      <c r="B53" s="44"/>
    </row>
    <row r="54" spans="2:6" ht="15.75" customHeight="1" x14ac:dyDescent="0.2">
      <c r="B54" s="44"/>
    </row>
    <row r="55" spans="2:6" ht="15.75" customHeight="1" x14ac:dyDescent="0.2">
      <c r="B55" s="44"/>
    </row>
    <row r="56" spans="2:6" ht="15.75" customHeight="1" x14ac:dyDescent="0.2">
      <c r="B56" s="44"/>
    </row>
    <row r="57" spans="2:6" ht="15.75" customHeight="1" x14ac:dyDescent="0.2">
      <c r="B57" s="44"/>
    </row>
    <row r="58" spans="2:6" ht="15.75" customHeight="1" x14ac:dyDescent="0.2">
      <c r="B58" s="44"/>
    </row>
    <row r="59" spans="2:6" ht="15.75" customHeight="1" x14ac:dyDescent="0.2">
      <c r="B59" s="44"/>
    </row>
    <row r="60" spans="2:6" ht="15.75" customHeight="1" x14ac:dyDescent="0.2">
      <c r="B60" s="44"/>
    </row>
    <row r="61" spans="2:6" ht="15.75" customHeight="1" x14ac:dyDescent="0.2">
      <c r="B61" s="44"/>
    </row>
    <row r="62" spans="2:6" ht="15.75" customHeight="1" x14ac:dyDescent="0.2">
      <c r="B62" s="44"/>
    </row>
    <row r="63" spans="2:6" ht="15.75" customHeight="1" x14ac:dyDescent="0.25">
      <c r="B63" s="44"/>
      <c r="F63" s="303">
        <f>F5/2</f>
        <v>10000</v>
      </c>
    </row>
    <row r="64" spans="2:6" ht="15.75" customHeight="1" x14ac:dyDescent="0.2">
      <c r="B64" s="44"/>
      <c r="F64" s="44">
        <f>F5/2</f>
        <v>10000</v>
      </c>
    </row>
    <row r="65" spans="2:2" ht="15.75" customHeight="1" x14ac:dyDescent="0.2">
      <c r="B65" s="44"/>
    </row>
    <row r="66" spans="2:2" ht="15.75" customHeight="1" x14ac:dyDescent="0.2">
      <c r="B66" s="44"/>
    </row>
    <row r="67" spans="2:2" ht="15.75" customHeight="1" x14ac:dyDescent="0.2">
      <c r="B67" s="44"/>
    </row>
    <row r="68" spans="2:2" ht="15.75" customHeight="1" x14ac:dyDescent="0.2">
      <c r="B68" s="44"/>
    </row>
    <row r="69" spans="2:2" ht="15.75" customHeight="1" x14ac:dyDescent="0.2">
      <c r="B69" s="44"/>
    </row>
    <row r="70" spans="2:2" ht="15.75" customHeight="1" x14ac:dyDescent="0.2">
      <c r="B70" s="44"/>
    </row>
    <row r="71" spans="2:2" ht="15.75" customHeight="1" x14ac:dyDescent="0.2">
      <c r="B71" s="44"/>
    </row>
    <row r="72" spans="2:2" ht="15.75" customHeight="1" x14ac:dyDescent="0.2">
      <c r="B72" s="44"/>
    </row>
    <row r="73" spans="2:2" ht="15.75" customHeight="1" x14ac:dyDescent="0.2">
      <c r="B73" s="44"/>
    </row>
    <row r="74" spans="2:2" ht="15.75" customHeight="1" x14ac:dyDescent="0.2">
      <c r="B74" s="44"/>
    </row>
    <row r="75" spans="2:2" ht="15.75" customHeight="1" x14ac:dyDescent="0.2">
      <c r="B75" s="44"/>
    </row>
    <row r="76" spans="2:2" ht="15.75" customHeight="1" x14ac:dyDescent="0.2">
      <c r="B76" s="44"/>
    </row>
    <row r="77" spans="2:2" ht="15.75" customHeight="1" x14ac:dyDescent="0.2">
      <c r="B77" s="44"/>
    </row>
    <row r="78" spans="2:2" ht="15.75" customHeight="1" x14ac:dyDescent="0.2">
      <c r="B78" s="44"/>
    </row>
    <row r="79" spans="2:2" ht="15.75" customHeight="1" x14ac:dyDescent="0.2">
      <c r="B79" s="44"/>
    </row>
    <row r="80" spans="2:2" ht="15.75" customHeight="1" x14ac:dyDescent="0.2">
      <c r="B80" s="44"/>
    </row>
    <row r="81" spans="2:2" ht="15.75" customHeight="1" x14ac:dyDescent="0.2">
      <c r="B81" s="44"/>
    </row>
    <row r="82" spans="2:2" ht="15.75" customHeight="1" x14ac:dyDescent="0.2">
      <c r="B82" s="44"/>
    </row>
    <row r="83" spans="2:2" ht="15.75" customHeight="1" x14ac:dyDescent="0.2">
      <c r="B83" s="44"/>
    </row>
    <row r="84" spans="2:2" ht="15.75" customHeight="1" x14ac:dyDescent="0.2">
      <c r="B84" s="44"/>
    </row>
    <row r="85" spans="2:2" ht="15.75" customHeight="1" x14ac:dyDescent="0.2">
      <c r="B85" s="44"/>
    </row>
    <row r="86" spans="2:2" ht="15.75" customHeight="1" x14ac:dyDescent="0.2">
      <c r="B86" s="44"/>
    </row>
    <row r="87" spans="2:2" ht="15.75" customHeight="1" x14ac:dyDescent="0.2">
      <c r="B87" s="44"/>
    </row>
    <row r="88" spans="2:2" ht="15.75" customHeight="1" x14ac:dyDescent="0.2">
      <c r="B88" s="44"/>
    </row>
    <row r="89" spans="2:2" ht="15.75" customHeight="1" x14ac:dyDescent="0.2">
      <c r="B89" s="44"/>
    </row>
    <row r="90" spans="2:2" ht="15.75" customHeight="1" x14ac:dyDescent="0.2">
      <c r="B90" s="44"/>
    </row>
    <row r="91" spans="2:2" ht="15.75" customHeight="1" x14ac:dyDescent="0.2">
      <c r="B91" s="44"/>
    </row>
    <row r="92" spans="2:2" ht="15.75" customHeight="1" x14ac:dyDescent="0.2">
      <c r="B92" s="44"/>
    </row>
    <row r="93" spans="2:2" ht="15.75" customHeight="1" x14ac:dyDescent="0.2">
      <c r="B93" s="44"/>
    </row>
    <row r="94" spans="2:2" ht="15.75" customHeight="1" x14ac:dyDescent="0.2">
      <c r="B94" s="44"/>
    </row>
    <row r="95" spans="2:2" ht="15.75" customHeight="1" x14ac:dyDescent="0.2">
      <c r="B95" s="44"/>
    </row>
    <row r="96" spans="2:2" ht="15.75" customHeight="1" x14ac:dyDescent="0.2">
      <c r="B96" s="44"/>
    </row>
    <row r="97" spans="2:2" ht="15.75" customHeight="1" x14ac:dyDescent="0.2">
      <c r="B97" s="44"/>
    </row>
    <row r="98" spans="2:2" ht="15.75" customHeight="1" x14ac:dyDescent="0.2">
      <c r="B98" s="44"/>
    </row>
    <row r="99" spans="2:2" ht="15.75" customHeight="1" x14ac:dyDescent="0.2">
      <c r="B99" s="44"/>
    </row>
    <row r="100" spans="2:2" ht="15.75" customHeight="1" x14ac:dyDescent="0.2">
      <c r="B100" s="44"/>
    </row>
    <row r="101" spans="2:2" ht="15.75" customHeight="1" x14ac:dyDescent="0.2">
      <c r="B101" s="44"/>
    </row>
    <row r="102" spans="2:2" ht="15.75" customHeight="1" x14ac:dyDescent="0.2">
      <c r="B102" s="44"/>
    </row>
    <row r="103" spans="2:2" ht="15.75" customHeight="1" x14ac:dyDescent="0.2">
      <c r="B103" s="44"/>
    </row>
    <row r="104" spans="2:2" ht="15.75" customHeight="1" x14ac:dyDescent="0.2">
      <c r="B104" s="44"/>
    </row>
    <row r="105" spans="2:2" ht="15.75" customHeight="1" x14ac:dyDescent="0.2">
      <c r="B105" s="44"/>
    </row>
    <row r="106" spans="2:2" ht="15.75" customHeight="1" x14ac:dyDescent="0.2">
      <c r="B106" s="44"/>
    </row>
    <row r="107" spans="2:2" ht="15.75" customHeight="1" x14ac:dyDescent="0.2">
      <c r="B107" s="44"/>
    </row>
    <row r="108" spans="2:2" ht="15.75" customHeight="1" x14ac:dyDescent="0.2">
      <c r="B108" s="44"/>
    </row>
    <row r="109" spans="2:2" ht="15.75" customHeight="1" x14ac:dyDescent="0.2">
      <c r="B109" s="44"/>
    </row>
    <row r="110" spans="2:2" ht="15.75" customHeight="1" x14ac:dyDescent="0.2">
      <c r="B110" s="44"/>
    </row>
    <row r="111" spans="2:2" ht="15.75" customHeight="1" x14ac:dyDescent="0.2">
      <c r="B111" s="44"/>
    </row>
    <row r="112" spans="2:2" ht="15.75" customHeight="1" x14ac:dyDescent="0.2">
      <c r="B112" s="44"/>
    </row>
    <row r="113" spans="2:2" ht="15.75" customHeight="1" x14ac:dyDescent="0.2">
      <c r="B113" s="44"/>
    </row>
    <row r="114" spans="2:2" ht="15.75" customHeight="1" x14ac:dyDescent="0.2">
      <c r="B114" s="44"/>
    </row>
    <row r="115" spans="2:2" ht="15.75" customHeight="1" x14ac:dyDescent="0.2">
      <c r="B115" s="44"/>
    </row>
    <row r="116" spans="2:2" ht="15.75" customHeight="1" x14ac:dyDescent="0.2">
      <c r="B116" s="44"/>
    </row>
    <row r="117" spans="2:2" ht="15.75" customHeight="1" x14ac:dyDescent="0.2">
      <c r="B117" s="44"/>
    </row>
    <row r="118" spans="2:2" ht="15.75" customHeight="1" x14ac:dyDescent="0.2">
      <c r="B118" s="44"/>
    </row>
    <row r="119" spans="2:2" ht="15.75" customHeight="1" x14ac:dyDescent="0.2">
      <c r="B119" s="44"/>
    </row>
    <row r="120" spans="2:2" ht="15.75" customHeight="1" x14ac:dyDescent="0.2">
      <c r="B120" s="44"/>
    </row>
    <row r="121" spans="2:2" ht="15.75" customHeight="1" x14ac:dyDescent="0.2">
      <c r="B121" s="44"/>
    </row>
    <row r="122" spans="2:2" ht="15.75" customHeight="1" x14ac:dyDescent="0.2">
      <c r="B122" s="44"/>
    </row>
    <row r="123" spans="2:2" ht="15.75" customHeight="1" x14ac:dyDescent="0.2">
      <c r="B123" s="44"/>
    </row>
    <row r="124" spans="2:2" ht="15.75" customHeight="1" x14ac:dyDescent="0.2">
      <c r="B124" s="44"/>
    </row>
    <row r="125" spans="2:2" ht="15.75" customHeight="1" x14ac:dyDescent="0.2">
      <c r="B125" s="44"/>
    </row>
    <row r="126" spans="2:2" ht="15.75" customHeight="1" x14ac:dyDescent="0.2">
      <c r="B126" s="44"/>
    </row>
    <row r="127" spans="2:2" ht="15.75" customHeight="1" x14ac:dyDescent="0.2">
      <c r="B127" s="44"/>
    </row>
    <row r="128" spans="2:2" ht="15.75" customHeight="1" x14ac:dyDescent="0.2">
      <c r="B128" s="44"/>
    </row>
    <row r="129" spans="2:2" ht="15.75" customHeight="1" x14ac:dyDescent="0.2">
      <c r="B129" s="44"/>
    </row>
    <row r="130" spans="2:2" ht="15.75" customHeight="1" x14ac:dyDescent="0.2">
      <c r="B130" s="44"/>
    </row>
    <row r="131" spans="2:2" ht="15.75" customHeight="1" x14ac:dyDescent="0.2">
      <c r="B131" s="44"/>
    </row>
    <row r="132" spans="2:2" ht="15.75" customHeight="1" x14ac:dyDescent="0.2">
      <c r="B132" s="44"/>
    </row>
    <row r="133" spans="2:2" ht="15.75" customHeight="1" x14ac:dyDescent="0.2">
      <c r="B133" s="44"/>
    </row>
    <row r="134" spans="2:2" ht="15.75" customHeight="1" x14ac:dyDescent="0.2">
      <c r="B134" s="44"/>
    </row>
    <row r="135" spans="2:2" ht="15.75" customHeight="1" x14ac:dyDescent="0.2">
      <c r="B135" s="44"/>
    </row>
    <row r="136" spans="2:2" ht="15.75" customHeight="1" x14ac:dyDescent="0.2">
      <c r="B136" s="44"/>
    </row>
    <row r="137" spans="2:2" ht="15.75" customHeight="1" x14ac:dyDescent="0.2">
      <c r="B137" s="44"/>
    </row>
    <row r="138" spans="2:2" ht="15.75" customHeight="1" x14ac:dyDescent="0.2">
      <c r="B138" s="44"/>
    </row>
    <row r="139" spans="2:2" ht="15.75" customHeight="1" x14ac:dyDescent="0.2">
      <c r="B139" s="44"/>
    </row>
    <row r="140" spans="2:2" ht="15.75" customHeight="1" x14ac:dyDescent="0.2">
      <c r="B140" s="44"/>
    </row>
    <row r="141" spans="2:2" ht="15.75" customHeight="1" x14ac:dyDescent="0.2">
      <c r="B141" s="44"/>
    </row>
    <row r="142" spans="2:2" ht="15.75" customHeight="1" x14ac:dyDescent="0.2">
      <c r="B142" s="44"/>
    </row>
    <row r="143" spans="2:2" ht="15.75" customHeight="1" x14ac:dyDescent="0.2">
      <c r="B143" s="44"/>
    </row>
    <row r="144" spans="2:2" ht="15.75" customHeight="1" x14ac:dyDescent="0.2">
      <c r="B144" s="44"/>
    </row>
    <row r="145" spans="2:2" ht="15.75" customHeight="1" x14ac:dyDescent="0.2">
      <c r="B145" s="44"/>
    </row>
    <row r="146" spans="2:2" ht="15.75" customHeight="1" x14ac:dyDescent="0.2">
      <c r="B146" s="44"/>
    </row>
    <row r="147" spans="2:2" ht="15.75" customHeight="1" x14ac:dyDescent="0.2">
      <c r="B147" s="44"/>
    </row>
    <row r="148" spans="2:2" ht="15.75" customHeight="1" x14ac:dyDescent="0.2">
      <c r="B148" s="44"/>
    </row>
    <row r="149" spans="2:2" ht="15.75" customHeight="1" x14ac:dyDescent="0.2">
      <c r="B149" s="44"/>
    </row>
    <row r="150" spans="2:2" ht="15.75" customHeight="1" x14ac:dyDescent="0.2">
      <c r="B150" s="44"/>
    </row>
    <row r="151" spans="2:2" ht="15.75" customHeight="1" x14ac:dyDescent="0.2">
      <c r="B151" s="44"/>
    </row>
    <row r="152" spans="2:2" ht="15.75" customHeight="1" x14ac:dyDescent="0.2">
      <c r="B152" s="44"/>
    </row>
    <row r="153" spans="2:2" ht="15.75" customHeight="1" x14ac:dyDescent="0.2">
      <c r="B153" s="44"/>
    </row>
    <row r="154" spans="2:2" ht="15.75" customHeight="1" x14ac:dyDescent="0.2">
      <c r="B154" s="44"/>
    </row>
    <row r="155" spans="2:2" ht="15.75" customHeight="1" x14ac:dyDescent="0.2">
      <c r="B155" s="44"/>
    </row>
    <row r="156" spans="2:2" ht="15.75" customHeight="1" x14ac:dyDescent="0.2">
      <c r="B156" s="44"/>
    </row>
    <row r="157" spans="2:2" ht="15.75" customHeight="1" x14ac:dyDescent="0.2">
      <c r="B157" s="44"/>
    </row>
    <row r="158" spans="2:2" ht="15.75" customHeight="1" x14ac:dyDescent="0.2">
      <c r="B158" s="44"/>
    </row>
    <row r="159" spans="2:2" ht="15.75" customHeight="1" x14ac:dyDescent="0.2">
      <c r="B159" s="44"/>
    </row>
    <row r="160" spans="2:2" ht="15.75" customHeight="1" x14ac:dyDescent="0.2">
      <c r="B160" s="44"/>
    </row>
    <row r="161" spans="2:2" ht="15.75" customHeight="1" x14ac:dyDescent="0.2">
      <c r="B161" s="44"/>
    </row>
    <row r="162" spans="2:2" ht="15.75" customHeight="1" x14ac:dyDescent="0.2">
      <c r="B162" s="44"/>
    </row>
    <row r="163" spans="2:2" ht="15.75" customHeight="1" x14ac:dyDescent="0.2">
      <c r="B163" s="44"/>
    </row>
    <row r="164" spans="2:2" ht="15.75" customHeight="1" x14ac:dyDescent="0.2">
      <c r="B164" s="44"/>
    </row>
    <row r="165" spans="2:2" ht="15.75" customHeight="1" x14ac:dyDescent="0.2">
      <c r="B165" s="44"/>
    </row>
    <row r="166" spans="2:2" ht="15.75" customHeight="1" x14ac:dyDescent="0.2">
      <c r="B166" s="44"/>
    </row>
    <row r="167" spans="2:2" ht="15.75" customHeight="1" x14ac:dyDescent="0.2">
      <c r="B167" s="44"/>
    </row>
    <row r="168" spans="2:2" ht="15.75" customHeight="1" x14ac:dyDescent="0.2">
      <c r="B168" s="44"/>
    </row>
    <row r="169" spans="2:2" ht="15.75" customHeight="1" x14ac:dyDescent="0.2">
      <c r="B169" s="44"/>
    </row>
    <row r="170" spans="2:2" ht="15.75" customHeight="1" x14ac:dyDescent="0.2">
      <c r="B170" s="44"/>
    </row>
    <row r="171" spans="2:2" ht="15.75" customHeight="1" x14ac:dyDescent="0.2">
      <c r="B171" s="44"/>
    </row>
    <row r="172" spans="2:2" ht="15.75" customHeight="1" x14ac:dyDescent="0.2">
      <c r="B172" s="44"/>
    </row>
    <row r="173" spans="2:2" ht="15.75" customHeight="1" x14ac:dyDescent="0.2">
      <c r="B173" s="44"/>
    </row>
    <row r="174" spans="2:2" ht="15.75" customHeight="1" x14ac:dyDescent="0.2">
      <c r="B174" s="44"/>
    </row>
    <row r="175" spans="2:2" ht="15.75" customHeight="1" x14ac:dyDescent="0.2">
      <c r="B175" s="44"/>
    </row>
    <row r="176" spans="2:2" ht="15.75" customHeight="1" x14ac:dyDescent="0.2">
      <c r="B176" s="44"/>
    </row>
    <row r="177" spans="2:2" ht="15.75" customHeight="1" x14ac:dyDescent="0.2">
      <c r="B177" s="44"/>
    </row>
    <row r="178" spans="2:2" ht="15.75" customHeight="1" x14ac:dyDescent="0.2">
      <c r="B178" s="44"/>
    </row>
    <row r="179" spans="2:2" ht="15.75" customHeight="1" x14ac:dyDescent="0.2">
      <c r="B179" s="44"/>
    </row>
    <row r="180" spans="2:2" ht="15.75" customHeight="1" x14ac:dyDescent="0.2">
      <c r="B180" s="44"/>
    </row>
    <row r="181" spans="2:2" ht="15.75" customHeight="1" x14ac:dyDescent="0.2">
      <c r="B181" s="44"/>
    </row>
    <row r="182" spans="2:2" ht="15.75" customHeight="1" x14ac:dyDescent="0.2">
      <c r="B182" s="44"/>
    </row>
    <row r="183" spans="2:2" ht="15.75" customHeight="1" x14ac:dyDescent="0.2">
      <c r="B183" s="44"/>
    </row>
    <row r="184" spans="2:2" ht="15.75" customHeight="1" x14ac:dyDescent="0.2">
      <c r="B184" s="44"/>
    </row>
    <row r="185" spans="2:2" ht="15.75" customHeight="1" x14ac:dyDescent="0.2">
      <c r="B185" s="44"/>
    </row>
    <row r="186" spans="2:2" ht="15.75" customHeight="1" x14ac:dyDescent="0.2">
      <c r="B186" s="44"/>
    </row>
    <row r="187" spans="2:2" ht="15.75" customHeight="1" x14ac:dyDescent="0.2">
      <c r="B187" s="44"/>
    </row>
    <row r="188" spans="2:2" ht="15.75" customHeight="1" x14ac:dyDescent="0.2">
      <c r="B188" s="44"/>
    </row>
    <row r="189" spans="2:2" ht="15.75" customHeight="1" x14ac:dyDescent="0.2">
      <c r="B189" s="44"/>
    </row>
    <row r="190" spans="2:2" ht="15.75" customHeight="1" x14ac:dyDescent="0.2">
      <c r="B190" s="44"/>
    </row>
    <row r="191" spans="2:2" ht="15.75" customHeight="1" x14ac:dyDescent="0.2">
      <c r="B191" s="44"/>
    </row>
    <row r="192" spans="2:2" ht="15.75" customHeight="1" x14ac:dyDescent="0.2">
      <c r="B192" s="44"/>
    </row>
    <row r="193" spans="2:2" ht="15.75" customHeight="1" x14ac:dyDescent="0.2">
      <c r="B193" s="44"/>
    </row>
    <row r="194" spans="2:2" ht="15.75" customHeight="1" x14ac:dyDescent="0.2">
      <c r="B194" s="44"/>
    </row>
    <row r="195" spans="2:2" ht="15.75" customHeight="1" x14ac:dyDescent="0.2">
      <c r="B195" s="44"/>
    </row>
    <row r="196" spans="2:2" ht="15.75" customHeight="1" x14ac:dyDescent="0.2">
      <c r="B196" s="44"/>
    </row>
    <row r="197" spans="2:2" ht="15.75" customHeight="1" x14ac:dyDescent="0.2">
      <c r="B197" s="44"/>
    </row>
    <row r="198" spans="2:2" ht="15.75" customHeight="1" x14ac:dyDescent="0.2">
      <c r="B198" s="44"/>
    </row>
    <row r="199" spans="2:2" ht="15.75" customHeight="1" x14ac:dyDescent="0.2">
      <c r="B199" s="44"/>
    </row>
    <row r="200" spans="2:2" ht="15.75" customHeight="1" x14ac:dyDescent="0.2">
      <c r="B200" s="44"/>
    </row>
    <row r="201" spans="2:2" ht="15.75" customHeight="1" x14ac:dyDescent="0.2">
      <c r="B201" s="44"/>
    </row>
    <row r="202" spans="2:2" ht="15.75" customHeight="1" x14ac:dyDescent="0.2">
      <c r="B202" s="44"/>
    </row>
    <row r="203" spans="2:2" ht="15.75" customHeight="1" x14ac:dyDescent="0.2">
      <c r="B203" s="44"/>
    </row>
    <row r="204" spans="2:2" ht="15.75" customHeight="1" x14ac:dyDescent="0.2">
      <c r="B204" s="44"/>
    </row>
    <row r="205" spans="2:2" ht="15.75" customHeight="1" x14ac:dyDescent="0.2">
      <c r="B205" s="44"/>
    </row>
    <row r="206" spans="2:2" ht="15.75" customHeight="1" x14ac:dyDescent="0.2">
      <c r="B206" s="44"/>
    </row>
    <row r="207" spans="2:2" ht="15.75" customHeight="1" x14ac:dyDescent="0.2">
      <c r="B207" s="44"/>
    </row>
    <row r="208" spans="2:2" ht="15.75" customHeight="1" x14ac:dyDescent="0.2">
      <c r="B208" s="44"/>
    </row>
    <row r="209" spans="2:2" ht="15.75" customHeight="1" x14ac:dyDescent="0.2">
      <c r="B209" s="44"/>
    </row>
    <row r="210" spans="2:2" ht="15.75" customHeight="1" x14ac:dyDescent="0.2">
      <c r="B210" s="44"/>
    </row>
    <row r="211" spans="2:2" ht="15.75" customHeight="1" x14ac:dyDescent="0.2">
      <c r="B211" s="44"/>
    </row>
    <row r="212" spans="2:2" ht="15.75" customHeight="1" x14ac:dyDescent="0.2">
      <c r="B212" s="44"/>
    </row>
    <row r="213" spans="2:2" ht="15.75" customHeight="1" x14ac:dyDescent="0.2">
      <c r="B213" s="44"/>
    </row>
    <row r="214" spans="2:2" ht="15.75" customHeight="1" x14ac:dyDescent="0.2">
      <c r="B214" s="44"/>
    </row>
    <row r="215" spans="2:2" ht="15.75" customHeight="1" x14ac:dyDescent="0.2">
      <c r="B215" s="44"/>
    </row>
    <row r="216" spans="2:2" ht="15.75" customHeight="1" x14ac:dyDescent="0.2">
      <c r="B216" s="44"/>
    </row>
    <row r="217" spans="2:2" ht="15.75" customHeight="1" x14ac:dyDescent="0.2">
      <c r="B217" s="44"/>
    </row>
    <row r="218" spans="2:2" ht="15.75" customHeight="1" x14ac:dyDescent="0.2">
      <c r="B218" s="44"/>
    </row>
    <row r="219" spans="2:2" ht="15.75" customHeight="1" x14ac:dyDescent="0.2">
      <c r="B219" s="44"/>
    </row>
    <row r="220" spans="2:2" ht="15.75" customHeight="1" x14ac:dyDescent="0.2">
      <c r="B220" s="44"/>
    </row>
    <row r="221" spans="2:2" ht="15.75" customHeight="1" x14ac:dyDescent="0.2">
      <c r="B221" s="44"/>
    </row>
    <row r="222" spans="2:2" ht="15.75" customHeight="1" x14ac:dyDescent="0.2">
      <c r="B222" s="44"/>
    </row>
    <row r="223" spans="2:2" ht="15.75" customHeight="1" x14ac:dyDescent="0.2">
      <c r="B223" s="44"/>
    </row>
    <row r="224" spans="2:2" ht="15.75" customHeight="1" x14ac:dyDescent="0.2">
      <c r="B224" s="44"/>
    </row>
    <row r="225" spans="2:2" ht="15.75" customHeight="1" x14ac:dyDescent="0.2">
      <c r="B225" s="44"/>
    </row>
    <row r="226" spans="2:2" ht="15.75" customHeight="1" x14ac:dyDescent="0.2">
      <c r="B226" s="44"/>
    </row>
    <row r="227" spans="2:2" ht="15.75" customHeight="1" x14ac:dyDescent="0.2">
      <c r="B227" s="44"/>
    </row>
    <row r="228" spans="2:2" ht="15.75" customHeight="1" x14ac:dyDescent="0.2">
      <c r="B228" s="44"/>
    </row>
    <row r="229" spans="2:2" ht="15.75" customHeight="1" x14ac:dyDescent="0.2">
      <c r="B229" s="44"/>
    </row>
    <row r="230" spans="2:2" ht="15.75" customHeight="1" x14ac:dyDescent="0.2">
      <c r="B230" s="44"/>
    </row>
    <row r="231" spans="2:2" ht="15.75" customHeight="1" x14ac:dyDescent="0.2">
      <c r="B231" s="44"/>
    </row>
    <row r="232" spans="2:2" ht="15.75" customHeight="1" x14ac:dyDescent="0.2">
      <c r="B232" s="44"/>
    </row>
    <row r="233" spans="2:2" ht="15.75" customHeight="1" x14ac:dyDescent="0.2">
      <c r="B233" s="44"/>
    </row>
    <row r="234" spans="2:2" ht="15.75" customHeight="1" x14ac:dyDescent="0.2">
      <c r="B234" s="44"/>
    </row>
    <row r="235" spans="2:2" ht="15.75" customHeight="1" x14ac:dyDescent="0.2">
      <c r="B235" s="44"/>
    </row>
    <row r="236" spans="2:2" ht="15.75" customHeight="1" x14ac:dyDescent="0.2">
      <c r="B236" s="44"/>
    </row>
    <row r="237" spans="2:2" ht="15.75" customHeight="1" x14ac:dyDescent="0.2">
      <c r="B237" s="44"/>
    </row>
    <row r="238" spans="2:2" ht="15.75" customHeight="1" x14ac:dyDescent="0.2">
      <c r="B238" s="44"/>
    </row>
    <row r="239" spans="2:2" ht="15.75" customHeight="1" x14ac:dyDescent="0.2">
      <c r="B239" s="44"/>
    </row>
    <row r="240" spans="2:2" ht="15.75" customHeight="1" x14ac:dyDescent="0.2">
      <c r="B240" s="44"/>
    </row>
    <row r="241" spans="2:2" ht="15.75" customHeight="1" x14ac:dyDescent="0.2">
      <c r="B241" s="44"/>
    </row>
    <row r="242" spans="2:2" ht="15.75" customHeight="1" x14ac:dyDescent="0.2">
      <c r="B242" s="44"/>
    </row>
    <row r="243" spans="2:2" ht="15.75" customHeight="1" x14ac:dyDescent="0.2">
      <c r="B243" s="44"/>
    </row>
    <row r="244" spans="2:2" ht="15.75" customHeight="1" x14ac:dyDescent="0.2">
      <c r="B244" s="44"/>
    </row>
    <row r="245" spans="2:2" ht="15.75" customHeight="1" x14ac:dyDescent="0.2">
      <c r="B245" s="44"/>
    </row>
    <row r="246" spans="2:2" ht="15.75" customHeight="1" x14ac:dyDescent="0.2">
      <c r="B246" s="44"/>
    </row>
    <row r="247" spans="2:2" ht="15.75" customHeight="1" x14ac:dyDescent="0.2">
      <c r="B247" s="44"/>
    </row>
    <row r="248" spans="2:2" ht="15.75" customHeight="1" x14ac:dyDescent="0.2">
      <c r="B248" s="44"/>
    </row>
    <row r="249" spans="2:2" ht="15.75" customHeight="1" x14ac:dyDescent="0.2">
      <c r="B249" s="44"/>
    </row>
    <row r="250" spans="2:2" ht="15.75" customHeight="1" x14ac:dyDescent="0.2">
      <c r="B250" s="44"/>
    </row>
    <row r="251" spans="2:2" ht="15.75" customHeight="1" x14ac:dyDescent="0.2">
      <c r="B251" s="44"/>
    </row>
    <row r="252" spans="2:2" ht="15.75" customHeight="1" x14ac:dyDescent="0.2">
      <c r="B252" s="44"/>
    </row>
    <row r="253" spans="2:2" ht="15.75" customHeight="1" x14ac:dyDescent="0.2">
      <c r="B253" s="44"/>
    </row>
    <row r="254" spans="2:2" ht="15.75" customHeight="1" x14ac:dyDescent="0.2">
      <c r="B254" s="44"/>
    </row>
    <row r="255" spans="2:2" ht="15.75" customHeight="1" x14ac:dyDescent="0.2">
      <c r="B255" s="44"/>
    </row>
    <row r="256" spans="2:2" ht="15.75" customHeight="1" x14ac:dyDescent="0.2">
      <c r="B256" s="44"/>
    </row>
    <row r="257" spans="2:2" ht="15.75" customHeight="1" x14ac:dyDescent="0.2">
      <c r="B257" s="44"/>
    </row>
    <row r="258" spans="2:2" ht="15.75" customHeight="1" x14ac:dyDescent="0.2">
      <c r="B258" s="44"/>
    </row>
    <row r="259" spans="2:2" ht="15.75" customHeight="1" x14ac:dyDescent="0.2">
      <c r="B259" s="44"/>
    </row>
    <row r="260" spans="2:2" ht="15.75" customHeight="1" x14ac:dyDescent="0.2">
      <c r="B260" s="44"/>
    </row>
    <row r="261" spans="2:2" ht="15.75" customHeight="1" x14ac:dyDescent="0.2">
      <c r="B261" s="44"/>
    </row>
    <row r="262" spans="2:2" ht="15.75" customHeight="1" x14ac:dyDescent="0.2">
      <c r="B262" s="44"/>
    </row>
    <row r="263" spans="2:2" ht="15.75" customHeight="1" x14ac:dyDescent="0.2">
      <c r="B263" s="44"/>
    </row>
    <row r="264" spans="2:2" ht="15.75" customHeight="1" x14ac:dyDescent="0.2">
      <c r="B264" s="44"/>
    </row>
    <row r="265" spans="2:2" ht="15.75" customHeight="1" x14ac:dyDescent="0.2">
      <c r="B265" s="44"/>
    </row>
    <row r="266" spans="2:2" ht="15.75" customHeight="1" x14ac:dyDescent="0.2">
      <c r="B266" s="44"/>
    </row>
    <row r="267" spans="2:2" ht="15.75" customHeight="1" x14ac:dyDescent="0.2">
      <c r="B267" s="44"/>
    </row>
    <row r="268" spans="2:2" ht="15.75" customHeight="1" x14ac:dyDescent="0.2">
      <c r="B268" s="44"/>
    </row>
    <row r="269" spans="2:2" ht="15.75" customHeight="1" x14ac:dyDescent="0.2">
      <c r="B269" s="44"/>
    </row>
    <row r="270" spans="2:2" ht="15.75" customHeight="1" x14ac:dyDescent="0.2">
      <c r="B270" s="44"/>
    </row>
    <row r="271" spans="2:2" ht="15.75" customHeight="1" x14ac:dyDescent="0.2">
      <c r="B271" s="44"/>
    </row>
    <row r="272" spans="2:2" ht="15.75" customHeight="1" x14ac:dyDescent="0.2">
      <c r="B272" s="44"/>
    </row>
    <row r="273" spans="2:2" ht="15.75" customHeight="1" x14ac:dyDescent="0.2">
      <c r="B273" s="44"/>
    </row>
    <row r="274" spans="2:2" ht="15.75" customHeight="1" x14ac:dyDescent="0.2">
      <c r="B274" s="44"/>
    </row>
    <row r="275" spans="2:2" ht="15.75" customHeight="1" x14ac:dyDescent="0.2">
      <c r="B275" s="44"/>
    </row>
    <row r="276" spans="2:2" ht="15.75" customHeight="1" x14ac:dyDescent="0.2">
      <c r="B276" s="44"/>
    </row>
    <row r="277" spans="2:2" ht="15.75" customHeight="1" x14ac:dyDescent="0.2">
      <c r="B277" s="44"/>
    </row>
    <row r="278" spans="2:2" ht="15.75" customHeight="1" x14ac:dyDescent="0.2">
      <c r="B278" s="44"/>
    </row>
    <row r="279" spans="2:2" ht="15.75" customHeight="1" x14ac:dyDescent="0.2">
      <c r="B279" s="44"/>
    </row>
    <row r="280" spans="2:2" ht="15.75" customHeight="1" x14ac:dyDescent="0.2">
      <c r="B280" s="44"/>
    </row>
    <row r="281" spans="2:2" ht="15.75" customHeight="1" x14ac:dyDescent="0.2">
      <c r="B281" s="44"/>
    </row>
    <row r="282" spans="2:2" ht="15.75" customHeight="1" x14ac:dyDescent="0.2">
      <c r="B282" s="44"/>
    </row>
    <row r="283" spans="2:2" ht="15.75" customHeight="1" x14ac:dyDescent="0.2">
      <c r="B283" s="44"/>
    </row>
    <row r="284" spans="2:2" ht="15.75" customHeight="1" x14ac:dyDescent="0.2">
      <c r="B284" s="44"/>
    </row>
    <row r="285" spans="2:2" ht="15.75" customHeight="1" x14ac:dyDescent="0.2">
      <c r="B285" s="44"/>
    </row>
    <row r="286" spans="2:2" ht="15.75" customHeight="1" x14ac:dyDescent="0.2">
      <c r="B286" s="44"/>
    </row>
    <row r="287" spans="2:2" ht="15.75" customHeight="1" x14ac:dyDescent="0.2">
      <c r="B287" s="44"/>
    </row>
    <row r="288" spans="2:2" ht="15.75" customHeight="1" x14ac:dyDescent="0.2">
      <c r="B288" s="44"/>
    </row>
    <row r="289" spans="2:2" ht="15.75" customHeight="1" x14ac:dyDescent="0.2">
      <c r="B289" s="44"/>
    </row>
    <row r="290" spans="2:2" ht="15.75" customHeight="1" x14ac:dyDescent="0.2">
      <c r="B290" s="44"/>
    </row>
    <row r="291" spans="2:2" ht="15.75" customHeight="1" x14ac:dyDescent="0.2">
      <c r="B291" s="44"/>
    </row>
    <row r="292" spans="2:2" ht="15.75" customHeight="1" x14ac:dyDescent="0.2">
      <c r="B292" s="44"/>
    </row>
    <row r="293" spans="2:2" ht="15.75" customHeight="1" x14ac:dyDescent="0.2">
      <c r="B293" s="44"/>
    </row>
    <row r="294" spans="2:2" ht="15.75" customHeight="1" x14ac:dyDescent="0.2">
      <c r="B294" s="44"/>
    </row>
    <row r="295" spans="2:2" ht="15.75" customHeight="1" x14ac:dyDescent="0.2">
      <c r="B295" s="44"/>
    </row>
    <row r="296" spans="2:2" ht="15.75" customHeight="1" x14ac:dyDescent="0.2">
      <c r="B296" s="44"/>
    </row>
    <row r="297" spans="2:2" ht="15.75" customHeight="1" x14ac:dyDescent="0.2">
      <c r="B297" s="44"/>
    </row>
    <row r="298" spans="2:2" ht="15.75" customHeight="1" x14ac:dyDescent="0.2">
      <c r="B298" s="44"/>
    </row>
    <row r="299" spans="2:2" ht="15.75" customHeight="1" x14ac:dyDescent="0.2">
      <c r="B299" s="44"/>
    </row>
    <row r="300" spans="2:2" ht="15.75" customHeight="1" x14ac:dyDescent="0.2">
      <c r="B300" s="44"/>
    </row>
    <row r="301" spans="2:2" ht="15.75" customHeight="1" x14ac:dyDescent="0.2">
      <c r="B301" s="44"/>
    </row>
    <row r="302" spans="2:2" ht="15.75" customHeight="1" x14ac:dyDescent="0.2">
      <c r="B302" s="44"/>
    </row>
    <row r="303" spans="2:2" ht="15.75" customHeight="1" x14ac:dyDescent="0.2">
      <c r="B303" s="44"/>
    </row>
    <row r="304" spans="2:2" ht="15.75" customHeight="1" x14ac:dyDescent="0.2">
      <c r="B304" s="44"/>
    </row>
    <row r="305" spans="2:2" ht="15.75" customHeight="1" x14ac:dyDescent="0.2">
      <c r="B305" s="44"/>
    </row>
    <row r="306" spans="2:2" ht="15.75" customHeight="1" x14ac:dyDescent="0.2">
      <c r="B306" s="44"/>
    </row>
    <row r="307" spans="2:2" ht="15.75" customHeight="1" x14ac:dyDescent="0.2">
      <c r="B307" s="44"/>
    </row>
    <row r="308" spans="2:2" ht="15.75" customHeight="1" x14ac:dyDescent="0.2">
      <c r="B308" s="44"/>
    </row>
    <row r="309" spans="2:2" ht="15.75" customHeight="1" x14ac:dyDescent="0.2">
      <c r="B309" s="44"/>
    </row>
    <row r="310" spans="2:2" ht="15.75" customHeight="1" x14ac:dyDescent="0.2">
      <c r="B310" s="44"/>
    </row>
    <row r="311" spans="2:2" ht="15.75" customHeight="1" x14ac:dyDescent="0.2">
      <c r="B311" s="44"/>
    </row>
    <row r="312" spans="2:2" ht="15.75" customHeight="1" x14ac:dyDescent="0.2">
      <c r="B312" s="44"/>
    </row>
    <row r="313" spans="2:2" ht="15.75" customHeight="1" x14ac:dyDescent="0.2">
      <c r="B313" s="44"/>
    </row>
    <row r="314" spans="2:2" ht="15.75" customHeight="1" x14ac:dyDescent="0.2">
      <c r="B314" s="44"/>
    </row>
    <row r="315" spans="2:2" ht="15.75" customHeight="1" x14ac:dyDescent="0.2">
      <c r="B315" s="44"/>
    </row>
    <row r="316" spans="2:2" ht="15.75" customHeight="1" x14ac:dyDescent="0.2">
      <c r="B316" s="44"/>
    </row>
    <row r="317" spans="2:2" ht="15.75" customHeight="1" x14ac:dyDescent="0.2">
      <c r="B317" s="44"/>
    </row>
    <row r="318" spans="2:2" ht="15.75" customHeight="1" x14ac:dyDescent="0.2">
      <c r="B318" s="44"/>
    </row>
    <row r="319" spans="2:2" ht="15.75" customHeight="1" x14ac:dyDescent="0.2">
      <c r="B319" s="44"/>
    </row>
    <row r="320" spans="2:2" ht="15.75" customHeight="1" x14ac:dyDescent="0.2">
      <c r="B320" s="44"/>
    </row>
    <row r="321" spans="2:2" ht="15.75" customHeight="1" x14ac:dyDescent="0.2">
      <c r="B321" s="44"/>
    </row>
    <row r="322" spans="2:2" ht="15.75" customHeight="1" x14ac:dyDescent="0.2">
      <c r="B322" s="44"/>
    </row>
    <row r="323" spans="2:2" ht="15.75" customHeight="1" x14ac:dyDescent="0.2">
      <c r="B323" s="44"/>
    </row>
    <row r="324" spans="2:2" ht="15.75" customHeight="1" x14ac:dyDescent="0.2">
      <c r="B324" s="44"/>
    </row>
    <row r="325" spans="2:2" ht="15.75" customHeight="1" x14ac:dyDescent="0.2">
      <c r="B325" s="44"/>
    </row>
    <row r="326" spans="2:2" ht="15.75" customHeight="1" x14ac:dyDescent="0.2">
      <c r="B326" s="44"/>
    </row>
    <row r="327" spans="2:2" ht="15.75" customHeight="1" x14ac:dyDescent="0.2">
      <c r="B327" s="44"/>
    </row>
    <row r="328" spans="2:2" ht="15.75" customHeight="1" x14ac:dyDescent="0.2">
      <c r="B328" s="44"/>
    </row>
    <row r="329" spans="2:2" ht="15.75" customHeight="1" x14ac:dyDescent="0.2">
      <c r="B329" s="44"/>
    </row>
    <row r="330" spans="2:2" ht="15.75" customHeight="1" x14ac:dyDescent="0.2">
      <c r="B330" s="44"/>
    </row>
    <row r="331" spans="2:2" ht="15.75" customHeight="1" x14ac:dyDescent="0.2">
      <c r="B331" s="44"/>
    </row>
    <row r="332" spans="2:2" ht="15.75" customHeight="1" x14ac:dyDescent="0.2">
      <c r="B332" s="44"/>
    </row>
    <row r="333" spans="2:2" ht="15.75" customHeight="1" x14ac:dyDescent="0.2">
      <c r="B333" s="44"/>
    </row>
    <row r="334" spans="2:2" ht="15.75" customHeight="1" x14ac:dyDescent="0.2">
      <c r="B334" s="44"/>
    </row>
    <row r="335" spans="2:2" ht="15.75" customHeight="1" x14ac:dyDescent="0.2">
      <c r="B335" s="44"/>
    </row>
    <row r="336" spans="2:2" ht="15.75" customHeight="1" x14ac:dyDescent="0.2">
      <c r="B336" s="44"/>
    </row>
    <row r="337" spans="2:2" ht="15.75" customHeight="1" x14ac:dyDescent="0.2">
      <c r="B337" s="44"/>
    </row>
    <row r="338" spans="2:2" ht="15.75" customHeight="1" x14ac:dyDescent="0.2">
      <c r="B338" s="44"/>
    </row>
    <row r="339" spans="2:2" ht="15.75" customHeight="1" x14ac:dyDescent="0.2">
      <c r="B339" s="44"/>
    </row>
    <row r="340" spans="2:2" ht="15.75" customHeight="1" x14ac:dyDescent="0.2">
      <c r="B340" s="44"/>
    </row>
    <row r="341" spans="2:2" ht="15.75" customHeight="1" x14ac:dyDescent="0.2">
      <c r="B341" s="44"/>
    </row>
    <row r="342" spans="2:2" ht="15.75" customHeight="1" x14ac:dyDescent="0.2">
      <c r="B342" s="44"/>
    </row>
    <row r="343" spans="2:2" ht="15.75" customHeight="1" x14ac:dyDescent="0.2">
      <c r="B343" s="44"/>
    </row>
    <row r="344" spans="2:2" ht="15.75" customHeight="1" x14ac:dyDescent="0.2">
      <c r="B344" s="44"/>
    </row>
    <row r="345" spans="2:2" ht="15.75" customHeight="1" x14ac:dyDescent="0.2">
      <c r="B345" s="44"/>
    </row>
    <row r="346" spans="2:2" ht="15.75" customHeight="1" x14ac:dyDescent="0.2">
      <c r="B346" s="44"/>
    </row>
    <row r="347" spans="2:2" ht="15.75" customHeight="1" x14ac:dyDescent="0.2">
      <c r="B347" s="44"/>
    </row>
    <row r="348" spans="2:2" ht="15.75" customHeight="1" x14ac:dyDescent="0.2">
      <c r="B348" s="44"/>
    </row>
    <row r="349" spans="2:2" ht="15.75" customHeight="1" x14ac:dyDescent="0.2">
      <c r="B349" s="44"/>
    </row>
    <row r="350" spans="2:2" ht="15.75" customHeight="1" x14ac:dyDescent="0.2">
      <c r="B350" s="44"/>
    </row>
    <row r="351" spans="2:2" ht="15.75" customHeight="1" x14ac:dyDescent="0.2">
      <c r="B351" s="44"/>
    </row>
    <row r="352" spans="2:2" ht="15.75" customHeight="1" x14ac:dyDescent="0.2">
      <c r="B352" s="44"/>
    </row>
    <row r="353" spans="2:2" ht="15.75" customHeight="1" x14ac:dyDescent="0.2">
      <c r="B353" s="44"/>
    </row>
    <row r="354" spans="2:2" ht="15.75" customHeight="1" x14ac:dyDescent="0.2">
      <c r="B354" s="44"/>
    </row>
    <row r="355" spans="2:2" ht="15.75" customHeight="1" x14ac:dyDescent="0.2">
      <c r="B355" s="44"/>
    </row>
    <row r="356" spans="2:2" ht="15.75" customHeight="1" x14ac:dyDescent="0.2">
      <c r="B356" s="44"/>
    </row>
    <row r="357" spans="2:2" ht="15.75" customHeight="1" x14ac:dyDescent="0.2">
      <c r="B357" s="44"/>
    </row>
    <row r="358" spans="2:2" ht="15.75" customHeight="1" x14ac:dyDescent="0.2">
      <c r="B358" s="44"/>
    </row>
    <row r="359" spans="2:2" ht="15.75" customHeight="1" x14ac:dyDescent="0.2">
      <c r="B359" s="44"/>
    </row>
    <row r="360" spans="2:2" ht="15.75" customHeight="1" x14ac:dyDescent="0.2">
      <c r="B360" s="44"/>
    </row>
    <row r="361" spans="2:2" ht="15.75" customHeight="1" x14ac:dyDescent="0.2">
      <c r="B361" s="44"/>
    </row>
    <row r="362" spans="2:2" ht="15.75" customHeight="1" x14ac:dyDescent="0.2">
      <c r="B362" s="44"/>
    </row>
    <row r="363" spans="2:2" ht="15.75" customHeight="1" x14ac:dyDescent="0.2">
      <c r="B363" s="44"/>
    </row>
    <row r="364" spans="2:2" ht="15.75" customHeight="1" x14ac:dyDescent="0.2">
      <c r="B364" s="44"/>
    </row>
    <row r="365" spans="2:2" ht="15.75" customHeight="1" x14ac:dyDescent="0.2">
      <c r="B365" s="44"/>
    </row>
    <row r="366" spans="2:2" ht="15.75" customHeight="1" x14ac:dyDescent="0.2">
      <c r="B366" s="44"/>
    </row>
    <row r="367" spans="2:2" ht="15.75" customHeight="1" x14ac:dyDescent="0.2">
      <c r="B367" s="44"/>
    </row>
    <row r="368" spans="2:2" ht="15.75" customHeight="1" x14ac:dyDescent="0.2">
      <c r="B368" s="44"/>
    </row>
    <row r="369" spans="2:2" ht="15.75" customHeight="1" x14ac:dyDescent="0.2">
      <c r="B369" s="44"/>
    </row>
    <row r="370" spans="2:2" ht="15.75" customHeight="1" x14ac:dyDescent="0.2">
      <c r="B370" s="44"/>
    </row>
    <row r="371" spans="2:2" ht="15.75" customHeight="1" x14ac:dyDescent="0.2">
      <c r="B371" s="44"/>
    </row>
    <row r="372" spans="2:2" ht="15.75" customHeight="1" x14ac:dyDescent="0.2">
      <c r="B372" s="44"/>
    </row>
    <row r="373" spans="2:2" ht="15.75" customHeight="1" x14ac:dyDescent="0.2">
      <c r="B373" s="44"/>
    </row>
    <row r="374" spans="2:2" ht="15.75" customHeight="1" x14ac:dyDescent="0.2">
      <c r="B374" s="44"/>
    </row>
    <row r="375" spans="2:2" ht="15.75" customHeight="1" x14ac:dyDescent="0.2">
      <c r="B375" s="44"/>
    </row>
    <row r="376" spans="2:2" ht="15.75" customHeight="1" x14ac:dyDescent="0.2">
      <c r="B376" s="44"/>
    </row>
    <row r="377" spans="2:2" ht="15.75" customHeight="1" x14ac:dyDescent="0.2">
      <c r="B377" s="44"/>
    </row>
    <row r="378" spans="2:2" ht="15.75" customHeight="1" x14ac:dyDescent="0.2">
      <c r="B378" s="44"/>
    </row>
    <row r="379" spans="2:2" ht="15.75" customHeight="1" x14ac:dyDescent="0.2">
      <c r="B379" s="44"/>
    </row>
    <row r="380" spans="2:2" ht="15.75" customHeight="1" x14ac:dyDescent="0.2">
      <c r="B380" s="44"/>
    </row>
    <row r="381" spans="2:2" ht="15.75" customHeight="1" x14ac:dyDescent="0.2">
      <c r="B381" s="44"/>
    </row>
    <row r="382" spans="2:2" ht="15.75" customHeight="1" x14ac:dyDescent="0.2">
      <c r="B382" s="44"/>
    </row>
    <row r="383" spans="2:2" ht="15.75" customHeight="1" x14ac:dyDescent="0.2">
      <c r="B383" s="44"/>
    </row>
    <row r="384" spans="2:2" ht="15.75" customHeight="1" x14ac:dyDescent="0.2">
      <c r="B384" s="44"/>
    </row>
    <row r="385" spans="2:2" ht="15.75" customHeight="1" x14ac:dyDescent="0.2">
      <c r="B385" s="44"/>
    </row>
    <row r="386" spans="2:2" ht="15.75" customHeight="1" x14ac:dyDescent="0.2">
      <c r="B386" s="44"/>
    </row>
    <row r="387" spans="2:2" ht="15.75" customHeight="1" x14ac:dyDescent="0.2">
      <c r="B387" s="44"/>
    </row>
    <row r="388" spans="2:2" ht="15.75" customHeight="1" x14ac:dyDescent="0.2">
      <c r="B388" s="44"/>
    </row>
    <row r="389" spans="2:2" ht="15.75" customHeight="1" x14ac:dyDescent="0.2">
      <c r="B389" s="44"/>
    </row>
    <row r="390" spans="2:2" ht="15.75" customHeight="1" x14ac:dyDescent="0.2">
      <c r="B390" s="44"/>
    </row>
    <row r="391" spans="2:2" ht="15.75" customHeight="1" x14ac:dyDescent="0.2">
      <c r="B391" s="44"/>
    </row>
    <row r="392" spans="2:2" ht="15.75" customHeight="1" x14ac:dyDescent="0.2">
      <c r="B392" s="44"/>
    </row>
    <row r="393" spans="2:2" ht="15.75" customHeight="1" x14ac:dyDescent="0.2">
      <c r="B393" s="44"/>
    </row>
    <row r="394" spans="2:2" ht="15.75" customHeight="1" x14ac:dyDescent="0.2">
      <c r="B394" s="44"/>
    </row>
    <row r="395" spans="2:2" ht="15.75" customHeight="1" x14ac:dyDescent="0.2">
      <c r="B395" s="44"/>
    </row>
    <row r="396" spans="2:2" ht="15.75" customHeight="1" x14ac:dyDescent="0.2">
      <c r="B396" s="44"/>
    </row>
    <row r="397" spans="2:2" ht="15.75" customHeight="1" x14ac:dyDescent="0.2">
      <c r="B397" s="44"/>
    </row>
    <row r="398" spans="2:2" ht="15.75" customHeight="1" x14ac:dyDescent="0.2">
      <c r="B398" s="44"/>
    </row>
    <row r="399" spans="2:2" ht="15.75" customHeight="1" x14ac:dyDescent="0.2">
      <c r="B399" s="44"/>
    </row>
    <row r="400" spans="2:2" ht="15.75" customHeight="1" x14ac:dyDescent="0.2">
      <c r="B400" s="44"/>
    </row>
    <row r="401" spans="2:2" ht="15.75" customHeight="1" x14ac:dyDescent="0.2">
      <c r="B401" s="44"/>
    </row>
    <row r="402" spans="2:2" ht="15.75" customHeight="1" x14ac:dyDescent="0.2">
      <c r="B402" s="44"/>
    </row>
    <row r="403" spans="2:2" ht="15.75" customHeight="1" x14ac:dyDescent="0.2">
      <c r="B403" s="44"/>
    </row>
    <row r="404" spans="2:2" ht="15.75" customHeight="1" x14ac:dyDescent="0.2">
      <c r="B404" s="44"/>
    </row>
    <row r="405" spans="2:2" ht="15.75" customHeight="1" x14ac:dyDescent="0.2">
      <c r="B405" s="44"/>
    </row>
    <row r="406" spans="2:2" ht="15.75" customHeight="1" x14ac:dyDescent="0.2">
      <c r="B406" s="44"/>
    </row>
    <row r="407" spans="2:2" ht="15.75" customHeight="1" x14ac:dyDescent="0.2">
      <c r="B407" s="44"/>
    </row>
    <row r="408" spans="2:2" ht="15.75" customHeight="1" x14ac:dyDescent="0.2">
      <c r="B408" s="44"/>
    </row>
    <row r="409" spans="2:2" ht="15.75" customHeight="1" x14ac:dyDescent="0.2">
      <c r="B409" s="44"/>
    </row>
    <row r="410" spans="2:2" ht="15.75" customHeight="1" x14ac:dyDescent="0.2">
      <c r="B410" s="44"/>
    </row>
    <row r="411" spans="2:2" ht="15.75" customHeight="1" x14ac:dyDescent="0.2">
      <c r="B411" s="44"/>
    </row>
    <row r="412" spans="2:2" ht="15.75" customHeight="1" x14ac:dyDescent="0.2">
      <c r="B412" s="44"/>
    </row>
    <row r="413" spans="2:2" ht="15.75" customHeight="1" x14ac:dyDescent="0.2">
      <c r="B413" s="44"/>
    </row>
    <row r="414" spans="2:2" ht="15.75" customHeight="1" x14ac:dyDescent="0.2">
      <c r="B414" s="44"/>
    </row>
    <row r="415" spans="2:2" ht="15.75" customHeight="1" x14ac:dyDescent="0.2">
      <c r="B415" s="44"/>
    </row>
    <row r="416" spans="2:2" ht="15.75" customHeight="1" x14ac:dyDescent="0.2">
      <c r="B416" s="44"/>
    </row>
    <row r="417" spans="2:2" ht="15.75" customHeight="1" x14ac:dyDescent="0.2">
      <c r="B417" s="44"/>
    </row>
    <row r="418" spans="2:2" ht="15.75" customHeight="1" x14ac:dyDescent="0.2">
      <c r="B418" s="44"/>
    </row>
    <row r="419" spans="2:2" ht="15.75" customHeight="1" x14ac:dyDescent="0.2">
      <c r="B419" s="44"/>
    </row>
    <row r="420" spans="2:2" ht="15.75" customHeight="1" x14ac:dyDescent="0.2">
      <c r="B420" s="44"/>
    </row>
    <row r="421" spans="2:2" ht="15.75" customHeight="1" x14ac:dyDescent="0.2">
      <c r="B421" s="44"/>
    </row>
    <row r="422" spans="2:2" ht="15.75" customHeight="1" x14ac:dyDescent="0.2">
      <c r="B422" s="44"/>
    </row>
    <row r="423" spans="2:2" ht="15.75" customHeight="1" x14ac:dyDescent="0.2">
      <c r="B423" s="44"/>
    </row>
    <row r="424" spans="2:2" ht="15.75" customHeight="1" x14ac:dyDescent="0.2">
      <c r="B424" s="44"/>
    </row>
    <row r="425" spans="2:2" ht="15.75" customHeight="1" x14ac:dyDescent="0.2">
      <c r="B425" s="44"/>
    </row>
    <row r="426" spans="2:2" ht="15.75" customHeight="1" x14ac:dyDescent="0.2">
      <c r="B426" s="44"/>
    </row>
    <row r="427" spans="2:2" ht="15.75" customHeight="1" x14ac:dyDescent="0.2">
      <c r="B427" s="44"/>
    </row>
    <row r="428" spans="2:2" ht="15.75" customHeight="1" x14ac:dyDescent="0.2">
      <c r="B428" s="44"/>
    </row>
    <row r="429" spans="2:2" ht="15.75" customHeight="1" x14ac:dyDescent="0.2">
      <c r="B429" s="44"/>
    </row>
    <row r="430" spans="2:2" ht="15.75" customHeight="1" x14ac:dyDescent="0.2">
      <c r="B430" s="44"/>
    </row>
    <row r="431" spans="2:2" ht="15.75" customHeight="1" x14ac:dyDescent="0.2">
      <c r="B431" s="44"/>
    </row>
    <row r="432" spans="2:2" ht="15.75" customHeight="1" x14ac:dyDescent="0.2">
      <c r="B432" s="44"/>
    </row>
    <row r="433" spans="2:2" ht="15.75" customHeight="1" x14ac:dyDescent="0.2">
      <c r="B433" s="44"/>
    </row>
    <row r="434" spans="2:2" ht="15.75" customHeight="1" x14ac:dyDescent="0.2">
      <c r="B434" s="44"/>
    </row>
    <row r="435" spans="2:2" ht="15.75" customHeight="1" x14ac:dyDescent="0.2">
      <c r="B435" s="44"/>
    </row>
    <row r="436" spans="2:2" ht="15.75" customHeight="1" x14ac:dyDescent="0.2">
      <c r="B436" s="44"/>
    </row>
    <row r="437" spans="2:2" ht="15.75" customHeight="1" x14ac:dyDescent="0.2">
      <c r="B437" s="44"/>
    </row>
    <row r="438" spans="2:2" ht="15.75" customHeight="1" x14ac:dyDescent="0.2">
      <c r="B438" s="44"/>
    </row>
    <row r="439" spans="2:2" ht="15.75" customHeight="1" x14ac:dyDescent="0.2">
      <c r="B439" s="44"/>
    </row>
    <row r="440" spans="2:2" ht="15.75" customHeight="1" x14ac:dyDescent="0.2">
      <c r="B440" s="44"/>
    </row>
    <row r="441" spans="2:2" ht="15.75" customHeight="1" x14ac:dyDescent="0.2">
      <c r="B441" s="44"/>
    </row>
    <row r="442" spans="2:2" ht="15.75" customHeight="1" x14ac:dyDescent="0.2">
      <c r="B442" s="44"/>
    </row>
    <row r="443" spans="2:2" ht="15.75" customHeight="1" x14ac:dyDescent="0.2">
      <c r="B443" s="44"/>
    </row>
    <row r="444" spans="2:2" ht="15.75" customHeight="1" x14ac:dyDescent="0.2">
      <c r="B444" s="44"/>
    </row>
    <row r="445" spans="2:2" ht="15.75" customHeight="1" x14ac:dyDescent="0.2">
      <c r="B445" s="44"/>
    </row>
    <row r="446" spans="2:2" ht="15.75" customHeight="1" x14ac:dyDescent="0.2">
      <c r="B446" s="44"/>
    </row>
    <row r="447" spans="2:2" ht="15.75" customHeight="1" x14ac:dyDescent="0.2">
      <c r="B447" s="44"/>
    </row>
    <row r="448" spans="2:2" ht="15.75" customHeight="1" x14ac:dyDescent="0.2">
      <c r="B448" s="44"/>
    </row>
    <row r="449" spans="2:2" ht="15.75" customHeight="1" x14ac:dyDescent="0.2">
      <c r="B449" s="44"/>
    </row>
    <row r="450" spans="2:2" ht="15.75" customHeight="1" x14ac:dyDescent="0.2">
      <c r="B450" s="44"/>
    </row>
    <row r="451" spans="2:2" ht="15.75" customHeight="1" x14ac:dyDescent="0.2">
      <c r="B451" s="44"/>
    </row>
    <row r="452" spans="2:2" ht="15.75" customHeight="1" x14ac:dyDescent="0.2">
      <c r="B452" s="44"/>
    </row>
    <row r="453" spans="2:2" ht="15.75" customHeight="1" x14ac:dyDescent="0.2">
      <c r="B453" s="44"/>
    </row>
    <row r="454" spans="2:2" ht="15.75" customHeight="1" x14ac:dyDescent="0.2">
      <c r="B454" s="44"/>
    </row>
    <row r="455" spans="2:2" ht="15.75" customHeight="1" x14ac:dyDescent="0.2">
      <c r="B455" s="44"/>
    </row>
    <row r="456" spans="2:2" ht="15.75" customHeight="1" x14ac:dyDescent="0.2">
      <c r="B456" s="44"/>
    </row>
    <row r="457" spans="2:2" ht="15.75" customHeight="1" x14ac:dyDescent="0.2">
      <c r="B457" s="44"/>
    </row>
    <row r="458" spans="2:2" ht="15.75" customHeight="1" x14ac:dyDescent="0.2">
      <c r="B458" s="44"/>
    </row>
    <row r="459" spans="2:2" ht="15.75" customHeight="1" x14ac:dyDescent="0.2">
      <c r="B459" s="44"/>
    </row>
    <row r="460" spans="2:2" ht="15.75" customHeight="1" x14ac:dyDescent="0.2">
      <c r="B460" s="44"/>
    </row>
    <row r="461" spans="2:2" ht="15.75" customHeight="1" x14ac:dyDescent="0.2">
      <c r="B461" s="44"/>
    </row>
    <row r="462" spans="2:2" ht="15.75" customHeight="1" x14ac:dyDescent="0.2">
      <c r="B462" s="44"/>
    </row>
    <row r="463" spans="2:2" ht="15.75" customHeight="1" x14ac:dyDescent="0.2">
      <c r="B463" s="44"/>
    </row>
    <row r="464" spans="2:2" ht="15.75" customHeight="1" x14ac:dyDescent="0.2">
      <c r="B464" s="44"/>
    </row>
    <row r="465" spans="2:2" ht="15.75" customHeight="1" x14ac:dyDescent="0.2">
      <c r="B465" s="44"/>
    </row>
    <row r="466" spans="2:2" ht="15.75" customHeight="1" x14ac:dyDescent="0.2">
      <c r="B466" s="44"/>
    </row>
    <row r="467" spans="2:2" ht="15.75" customHeight="1" x14ac:dyDescent="0.2">
      <c r="B467" s="44"/>
    </row>
    <row r="468" spans="2:2" ht="15.75" customHeight="1" x14ac:dyDescent="0.2">
      <c r="B468" s="44"/>
    </row>
    <row r="469" spans="2:2" ht="15.75" customHeight="1" x14ac:dyDescent="0.2">
      <c r="B469" s="44"/>
    </row>
    <row r="470" spans="2:2" ht="15.75" customHeight="1" x14ac:dyDescent="0.2">
      <c r="B470" s="44"/>
    </row>
    <row r="471" spans="2:2" ht="15.75" customHeight="1" x14ac:dyDescent="0.2">
      <c r="B471" s="44"/>
    </row>
    <row r="472" spans="2:2" ht="15.75" customHeight="1" x14ac:dyDescent="0.2">
      <c r="B472" s="44"/>
    </row>
    <row r="473" spans="2:2" ht="15.75" customHeight="1" x14ac:dyDescent="0.2">
      <c r="B473" s="44"/>
    </row>
    <row r="474" spans="2:2" ht="15.75" customHeight="1" x14ac:dyDescent="0.2">
      <c r="B474" s="44"/>
    </row>
    <row r="475" spans="2:2" ht="15.75" customHeight="1" x14ac:dyDescent="0.2">
      <c r="B475" s="44"/>
    </row>
    <row r="476" spans="2:2" ht="15.75" customHeight="1" x14ac:dyDescent="0.2">
      <c r="B476" s="44"/>
    </row>
    <row r="477" spans="2:2" ht="15.75" customHeight="1" x14ac:dyDescent="0.2">
      <c r="B477" s="44"/>
    </row>
    <row r="478" spans="2:2" ht="15.75" customHeight="1" x14ac:dyDescent="0.2">
      <c r="B478" s="44"/>
    </row>
    <row r="479" spans="2:2" ht="15.75" customHeight="1" x14ac:dyDescent="0.2">
      <c r="B479" s="44"/>
    </row>
    <row r="480" spans="2:2" ht="15.75" customHeight="1" x14ac:dyDescent="0.2">
      <c r="B480" s="44"/>
    </row>
    <row r="481" spans="2:2" ht="15.75" customHeight="1" x14ac:dyDescent="0.2">
      <c r="B481" s="44"/>
    </row>
    <row r="482" spans="2:2" ht="15.75" customHeight="1" x14ac:dyDescent="0.2">
      <c r="B482" s="44"/>
    </row>
    <row r="483" spans="2:2" ht="15.75" customHeight="1" x14ac:dyDescent="0.2">
      <c r="B483" s="44"/>
    </row>
    <row r="484" spans="2:2" ht="15.75" customHeight="1" x14ac:dyDescent="0.2">
      <c r="B484" s="44"/>
    </row>
    <row r="485" spans="2:2" ht="15.75" customHeight="1" x14ac:dyDescent="0.2">
      <c r="B485" s="44"/>
    </row>
    <row r="486" spans="2:2" ht="15.75" customHeight="1" x14ac:dyDescent="0.2">
      <c r="B486" s="44"/>
    </row>
    <row r="487" spans="2:2" ht="15.75" customHeight="1" x14ac:dyDescent="0.2">
      <c r="B487" s="44"/>
    </row>
    <row r="488" spans="2:2" ht="15.75" customHeight="1" x14ac:dyDescent="0.2">
      <c r="B488" s="44"/>
    </row>
    <row r="489" spans="2:2" ht="15.75" customHeight="1" x14ac:dyDescent="0.2">
      <c r="B489" s="44"/>
    </row>
    <row r="490" spans="2:2" ht="15.75" customHeight="1" x14ac:dyDescent="0.2">
      <c r="B490" s="44"/>
    </row>
    <row r="491" spans="2:2" ht="15.75" customHeight="1" x14ac:dyDescent="0.2">
      <c r="B491" s="44"/>
    </row>
    <row r="492" spans="2:2" ht="15.75" customHeight="1" x14ac:dyDescent="0.2">
      <c r="B492" s="44"/>
    </row>
    <row r="493" spans="2:2" ht="15.75" customHeight="1" x14ac:dyDescent="0.2">
      <c r="B493" s="44"/>
    </row>
    <row r="494" spans="2:2" ht="15.75" customHeight="1" x14ac:dyDescent="0.2">
      <c r="B494" s="44"/>
    </row>
    <row r="495" spans="2:2" ht="15.75" customHeight="1" x14ac:dyDescent="0.2">
      <c r="B495" s="44"/>
    </row>
    <row r="496" spans="2:2" ht="15.75" customHeight="1" x14ac:dyDescent="0.2">
      <c r="B496" s="44"/>
    </row>
    <row r="497" spans="2:2" ht="15.75" customHeight="1" x14ac:dyDescent="0.2">
      <c r="B497" s="44"/>
    </row>
    <row r="498" spans="2:2" ht="15.75" customHeight="1" x14ac:dyDescent="0.2">
      <c r="B498" s="44"/>
    </row>
    <row r="499" spans="2:2" ht="15.75" customHeight="1" x14ac:dyDescent="0.2">
      <c r="B499" s="44"/>
    </row>
    <row r="500" spans="2:2" ht="15.75" customHeight="1" x14ac:dyDescent="0.2">
      <c r="B500" s="44"/>
    </row>
    <row r="501" spans="2:2" ht="15.75" customHeight="1" x14ac:dyDescent="0.2">
      <c r="B501" s="44"/>
    </row>
    <row r="502" spans="2:2" ht="15.75" customHeight="1" x14ac:dyDescent="0.2">
      <c r="B502" s="44"/>
    </row>
    <row r="503" spans="2:2" ht="15.75" customHeight="1" x14ac:dyDescent="0.2">
      <c r="B503" s="44"/>
    </row>
    <row r="504" spans="2:2" ht="15.75" customHeight="1" x14ac:dyDescent="0.2">
      <c r="B504" s="44"/>
    </row>
    <row r="505" spans="2:2" ht="15.75" customHeight="1" x14ac:dyDescent="0.2">
      <c r="B505" s="44"/>
    </row>
    <row r="506" spans="2:2" ht="15.75" customHeight="1" x14ac:dyDescent="0.2">
      <c r="B506" s="44"/>
    </row>
    <row r="507" spans="2:2" ht="15.75" customHeight="1" x14ac:dyDescent="0.2">
      <c r="B507" s="44"/>
    </row>
    <row r="508" spans="2:2" ht="15.75" customHeight="1" x14ac:dyDescent="0.2">
      <c r="B508" s="44"/>
    </row>
    <row r="509" spans="2:2" ht="15.75" customHeight="1" x14ac:dyDescent="0.2">
      <c r="B509" s="44"/>
    </row>
    <row r="510" spans="2:2" ht="15.75" customHeight="1" x14ac:dyDescent="0.2">
      <c r="B510" s="44"/>
    </row>
    <row r="511" spans="2:2" ht="15.75" customHeight="1" x14ac:dyDescent="0.2">
      <c r="B511" s="44"/>
    </row>
    <row r="512" spans="2:2" ht="15.75" customHeight="1" x14ac:dyDescent="0.2">
      <c r="B512" s="44"/>
    </row>
    <row r="513" spans="2:2" ht="15.75" customHeight="1" x14ac:dyDescent="0.2">
      <c r="B513" s="44"/>
    </row>
    <row r="514" spans="2:2" ht="15.75" customHeight="1" x14ac:dyDescent="0.2">
      <c r="B514" s="44"/>
    </row>
    <row r="515" spans="2:2" ht="15.75" customHeight="1" x14ac:dyDescent="0.2">
      <c r="B515" s="44"/>
    </row>
    <row r="516" spans="2:2" ht="15.75" customHeight="1" x14ac:dyDescent="0.2">
      <c r="B516" s="44"/>
    </row>
    <row r="517" spans="2:2" ht="15.75" customHeight="1" x14ac:dyDescent="0.2">
      <c r="B517" s="44"/>
    </row>
    <row r="518" spans="2:2" ht="15.75" customHeight="1" x14ac:dyDescent="0.2">
      <c r="B518" s="44"/>
    </row>
    <row r="519" spans="2:2" ht="15.75" customHeight="1" x14ac:dyDescent="0.2">
      <c r="B519" s="44"/>
    </row>
    <row r="520" spans="2:2" ht="15.75" customHeight="1" x14ac:dyDescent="0.2">
      <c r="B520" s="44"/>
    </row>
    <row r="521" spans="2:2" ht="15.75" customHeight="1" x14ac:dyDescent="0.2">
      <c r="B521" s="44"/>
    </row>
    <row r="522" spans="2:2" ht="15.75" customHeight="1" x14ac:dyDescent="0.2">
      <c r="B522" s="44"/>
    </row>
    <row r="523" spans="2:2" ht="15.75" customHeight="1" x14ac:dyDescent="0.2">
      <c r="B523" s="44"/>
    </row>
    <row r="524" spans="2:2" ht="15.75" customHeight="1" x14ac:dyDescent="0.2">
      <c r="B524" s="44"/>
    </row>
    <row r="525" spans="2:2" ht="15.75" customHeight="1" x14ac:dyDescent="0.2">
      <c r="B525" s="44"/>
    </row>
    <row r="526" spans="2:2" ht="15.75" customHeight="1" x14ac:dyDescent="0.2">
      <c r="B526" s="44"/>
    </row>
    <row r="527" spans="2:2" ht="15.75" customHeight="1" x14ac:dyDescent="0.2">
      <c r="B527" s="44"/>
    </row>
    <row r="528" spans="2:2" ht="15.75" customHeight="1" x14ac:dyDescent="0.2">
      <c r="B528" s="44"/>
    </row>
    <row r="529" spans="2:2" ht="15.75" customHeight="1" x14ac:dyDescent="0.2">
      <c r="B529" s="44"/>
    </row>
    <row r="530" spans="2:2" ht="15.75" customHeight="1" x14ac:dyDescent="0.2">
      <c r="B530" s="44"/>
    </row>
    <row r="531" spans="2:2" ht="15.75" customHeight="1" x14ac:dyDescent="0.2">
      <c r="B531" s="44"/>
    </row>
    <row r="532" spans="2:2" ht="15.75" customHeight="1" x14ac:dyDescent="0.2">
      <c r="B532" s="44"/>
    </row>
    <row r="533" spans="2:2" ht="15.75" customHeight="1" x14ac:dyDescent="0.2">
      <c r="B533" s="44"/>
    </row>
    <row r="534" spans="2:2" ht="15.75" customHeight="1" x14ac:dyDescent="0.2">
      <c r="B534" s="44"/>
    </row>
    <row r="535" spans="2:2" ht="15.75" customHeight="1" x14ac:dyDescent="0.2">
      <c r="B535" s="44"/>
    </row>
    <row r="536" spans="2:2" ht="15.75" customHeight="1" x14ac:dyDescent="0.2">
      <c r="B536" s="44"/>
    </row>
    <row r="537" spans="2:2" ht="15.75" customHeight="1" x14ac:dyDescent="0.2">
      <c r="B537" s="44"/>
    </row>
    <row r="538" spans="2:2" ht="15.75" customHeight="1" x14ac:dyDescent="0.2">
      <c r="B538" s="44"/>
    </row>
    <row r="539" spans="2:2" ht="15.75" customHeight="1" x14ac:dyDescent="0.2">
      <c r="B539" s="44"/>
    </row>
    <row r="540" spans="2:2" ht="15.75" customHeight="1" x14ac:dyDescent="0.2">
      <c r="B540" s="44"/>
    </row>
    <row r="541" spans="2:2" ht="15.75" customHeight="1" x14ac:dyDescent="0.2">
      <c r="B541" s="44"/>
    </row>
    <row r="542" spans="2:2" ht="15.75" customHeight="1" x14ac:dyDescent="0.2">
      <c r="B542" s="44"/>
    </row>
    <row r="543" spans="2:2" ht="15.75" customHeight="1" x14ac:dyDescent="0.2">
      <c r="B543" s="44"/>
    </row>
    <row r="544" spans="2:2" ht="15.75" customHeight="1" x14ac:dyDescent="0.2">
      <c r="B544" s="44"/>
    </row>
    <row r="545" spans="2:2" ht="15.75" customHeight="1" x14ac:dyDescent="0.2">
      <c r="B545" s="44"/>
    </row>
    <row r="546" spans="2:2" ht="15.75" customHeight="1" x14ac:dyDescent="0.2">
      <c r="B546" s="44"/>
    </row>
    <row r="547" spans="2:2" ht="15.75" customHeight="1" x14ac:dyDescent="0.2">
      <c r="B547" s="44"/>
    </row>
    <row r="548" spans="2:2" ht="15.75" customHeight="1" x14ac:dyDescent="0.2">
      <c r="B548" s="44"/>
    </row>
    <row r="549" spans="2:2" ht="15.75" customHeight="1" x14ac:dyDescent="0.2">
      <c r="B549" s="44"/>
    </row>
    <row r="550" spans="2:2" ht="15.75" customHeight="1" x14ac:dyDescent="0.2">
      <c r="B550" s="44"/>
    </row>
    <row r="551" spans="2:2" ht="15.75" customHeight="1" x14ac:dyDescent="0.2">
      <c r="B551" s="44"/>
    </row>
    <row r="552" spans="2:2" ht="15.75" customHeight="1" x14ac:dyDescent="0.2">
      <c r="B552" s="44"/>
    </row>
    <row r="553" spans="2:2" ht="15.75" customHeight="1" x14ac:dyDescent="0.2">
      <c r="B553" s="44"/>
    </row>
    <row r="554" spans="2:2" ht="15.75" customHeight="1" x14ac:dyDescent="0.2">
      <c r="B554" s="44"/>
    </row>
    <row r="555" spans="2:2" ht="15.75" customHeight="1" x14ac:dyDescent="0.2">
      <c r="B555" s="44"/>
    </row>
    <row r="556" spans="2:2" ht="15.75" customHeight="1" x14ac:dyDescent="0.2">
      <c r="B556" s="44"/>
    </row>
    <row r="557" spans="2:2" ht="15.75" customHeight="1" x14ac:dyDescent="0.2">
      <c r="B557" s="44"/>
    </row>
    <row r="558" spans="2:2" ht="15.75" customHeight="1" x14ac:dyDescent="0.2">
      <c r="B558" s="44"/>
    </row>
    <row r="559" spans="2:2" ht="15.75" customHeight="1" x14ac:dyDescent="0.2">
      <c r="B559" s="44"/>
    </row>
    <row r="560" spans="2:2" ht="15.75" customHeight="1" x14ac:dyDescent="0.2">
      <c r="B560" s="44"/>
    </row>
    <row r="561" spans="2:2" ht="15.75" customHeight="1" x14ac:dyDescent="0.2">
      <c r="B561" s="44"/>
    </row>
    <row r="562" spans="2:2" ht="15.75" customHeight="1" x14ac:dyDescent="0.2">
      <c r="B562" s="44"/>
    </row>
    <row r="563" spans="2:2" ht="15.75" customHeight="1" x14ac:dyDescent="0.2">
      <c r="B563" s="44"/>
    </row>
    <row r="564" spans="2:2" ht="15.75" customHeight="1" x14ac:dyDescent="0.2">
      <c r="B564" s="44"/>
    </row>
    <row r="565" spans="2:2" ht="15.75" customHeight="1" x14ac:dyDescent="0.2">
      <c r="B565" s="44"/>
    </row>
    <row r="566" spans="2:2" ht="15.75" customHeight="1" x14ac:dyDescent="0.2">
      <c r="B566" s="44"/>
    </row>
    <row r="567" spans="2:2" ht="15.75" customHeight="1" x14ac:dyDescent="0.2">
      <c r="B567" s="44"/>
    </row>
    <row r="568" spans="2:2" ht="15.75" customHeight="1" x14ac:dyDescent="0.2">
      <c r="B568" s="44"/>
    </row>
    <row r="569" spans="2:2" ht="15.75" customHeight="1" x14ac:dyDescent="0.2">
      <c r="B569" s="44"/>
    </row>
    <row r="570" spans="2:2" ht="15.75" customHeight="1" x14ac:dyDescent="0.2">
      <c r="B570" s="44"/>
    </row>
    <row r="571" spans="2:2" ht="15.75" customHeight="1" x14ac:dyDescent="0.2">
      <c r="B571" s="44"/>
    </row>
    <row r="572" spans="2:2" ht="15.75" customHeight="1" x14ac:dyDescent="0.2">
      <c r="B572" s="44"/>
    </row>
    <row r="573" spans="2:2" ht="15.75" customHeight="1" x14ac:dyDescent="0.2">
      <c r="B573" s="44"/>
    </row>
    <row r="574" spans="2:2" ht="15.75" customHeight="1" x14ac:dyDescent="0.2">
      <c r="B574" s="44"/>
    </row>
    <row r="575" spans="2:2" ht="15.75" customHeight="1" x14ac:dyDescent="0.2">
      <c r="B575" s="44"/>
    </row>
    <row r="576" spans="2:2" ht="15.75" customHeight="1" x14ac:dyDescent="0.2">
      <c r="B576" s="44"/>
    </row>
    <row r="577" spans="2:2" ht="15.75" customHeight="1" x14ac:dyDescent="0.2">
      <c r="B577" s="44"/>
    </row>
    <row r="578" spans="2:2" ht="15.75" customHeight="1" x14ac:dyDescent="0.2">
      <c r="B578" s="44"/>
    </row>
    <row r="579" spans="2:2" ht="15.75" customHeight="1" x14ac:dyDescent="0.2">
      <c r="B579" s="44"/>
    </row>
    <row r="580" spans="2:2" ht="15.75" customHeight="1" x14ac:dyDescent="0.2">
      <c r="B580" s="44"/>
    </row>
    <row r="581" spans="2:2" ht="15.75" customHeight="1" x14ac:dyDescent="0.2">
      <c r="B581" s="44"/>
    </row>
    <row r="582" spans="2:2" ht="15.75" customHeight="1" x14ac:dyDescent="0.2">
      <c r="B582" s="44"/>
    </row>
    <row r="583" spans="2:2" ht="15.75" customHeight="1" x14ac:dyDescent="0.2">
      <c r="B583" s="44"/>
    </row>
    <row r="584" spans="2:2" ht="15.75" customHeight="1" x14ac:dyDescent="0.2">
      <c r="B584" s="44"/>
    </row>
    <row r="585" spans="2:2" ht="15.75" customHeight="1" x14ac:dyDescent="0.2">
      <c r="B585" s="44"/>
    </row>
    <row r="586" spans="2:2" ht="15.75" customHeight="1" x14ac:dyDescent="0.2">
      <c r="B586" s="44"/>
    </row>
    <row r="587" spans="2:2" ht="15.75" customHeight="1" x14ac:dyDescent="0.2">
      <c r="B587" s="44"/>
    </row>
    <row r="588" spans="2:2" ht="15.75" customHeight="1" x14ac:dyDescent="0.2">
      <c r="B588" s="44"/>
    </row>
    <row r="589" spans="2:2" ht="15.75" customHeight="1" x14ac:dyDescent="0.2">
      <c r="B589" s="44"/>
    </row>
    <row r="590" spans="2:2" ht="15.75" customHeight="1" x14ac:dyDescent="0.2">
      <c r="B590" s="44"/>
    </row>
    <row r="591" spans="2:2" ht="15.75" customHeight="1" x14ac:dyDescent="0.2">
      <c r="B591" s="44"/>
    </row>
    <row r="592" spans="2:2" ht="15.75" customHeight="1" x14ac:dyDescent="0.2">
      <c r="B592" s="44"/>
    </row>
    <row r="593" spans="2:2" ht="15.75" customHeight="1" x14ac:dyDescent="0.2">
      <c r="B593" s="44"/>
    </row>
    <row r="594" spans="2:2" ht="15.75" customHeight="1" x14ac:dyDescent="0.2">
      <c r="B594" s="44"/>
    </row>
    <row r="595" spans="2:2" ht="15.75" customHeight="1" x14ac:dyDescent="0.2">
      <c r="B595" s="44"/>
    </row>
    <row r="596" spans="2:2" ht="15.75" customHeight="1" x14ac:dyDescent="0.2">
      <c r="B596" s="44"/>
    </row>
    <row r="597" spans="2:2" ht="15.75" customHeight="1" x14ac:dyDescent="0.2">
      <c r="B597" s="44"/>
    </row>
    <row r="598" spans="2:2" ht="15.75" customHeight="1" x14ac:dyDescent="0.2">
      <c r="B598" s="44"/>
    </row>
    <row r="599" spans="2:2" ht="15.75" customHeight="1" x14ac:dyDescent="0.2">
      <c r="B599" s="44"/>
    </row>
    <row r="600" spans="2:2" ht="15.75" customHeight="1" x14ac:dyDescent="0.2">
      <c r="B600" s="44"/>
    </row>
    <row r="601" spans="2:2" ht="15.75" customHeight="1" x14ac:dyDescent="0.2">
      <c r="B601" s="44"/>
    </row>
    <row r="602" spans="2:2" ht="15.75" customHeight="1" x14ac:dyDescent="0.2">
      <c r="B602" s="44"/>
    </row>
    <row r="603" spans="2:2" ht="15.75" customHeight="1" x14ac:dyDescent="0.2">
      <c r="B603" s="44"/>
    </row>
    <row r="604" spans="2:2" ht="15.75" customHeight="1" x14ac:dyDescent="0.2">
      <c r="B604" s="44"/>
    </row>
    <row r="605" spans="2:2" ht="15.75" customHeight="1" x14ac:dyDescent="0.2">
      <c r="B605" s="44"/>
    </row>
    <row r="606" spans="2:2" ht="15.75" customHeight="1" x14ac:dyDescent="0.2">
      <c r="B606" s="44"/>
    </row>
    <row r="607" spans="2:2" ht="15.75" customHeight="1" x14ac:dyDescent="0.2">
      <c r="B607" s="44"/>
    </row>
    <row r="608" spans="2:2" ht="15.75" customHeight="1" x14ac:dyDescent="0.2">
      <c r="B608" s="44"/>
    </row>
    <row r="609" spans="2:2" ht="15.75" customHeight="1" x14ac:dyDescent="0.2">
      <c r="B609" s="44"/>
    </row>
    <row r="610" spans="2:2" ht="15.75" customHeight="1" x14ac:dyDescent="0.2">
      <c r="B610" s="44"/>
    </row>
    <row r="611" spans="2:2" ht="15.75" customHeight="1" x14ac:dyDescent="0.2">
      <c r="B611" s="44"/>
    </row>
    <row r="612" spans="2:2" ht="15.75" customHeight="1" x14ac:dyDescent="0.2">
      <c r="B612" s="44"/>
    </row>
    <row r="613" spans="2:2" ht="15.75" customHeight="1" x14ac:dyDescent="0.2">
      <c r="B613" s="44"/>
    </row>
    <row r="614" spans="2:2" ht="15.75" customHeight="1" x14ac:dyDescent="0.2">
      <c r="B614" s="44"/>
    </row>
    <row r="615" spans="2:2" ht="15.75" customHeight="1" x14ac:dyDescent="0.2">
      <c r="B615" s="44"/>
    </row>
    <row r="616" spans="2:2" ht="15.75" customHeight="1" x14ac:dyDescent="0.2">
      <c r="B616" s="44"/>
    </row>
    <row r="617" spans="2:2" ht="15.75" customHeight="1" x14ac:dyDescent="0.2">
      <c r="B617" s="44"/>
    </row>
    <row r="618" spans="2:2" ht="15.75" customHeight="1" x14ac:dyDescent="0.2">
      <c r="B618" s="44"/>
    </row>
    <row r="619" spans="2:2" ht="15.75" customHeight="1" x14ac:dyDescent="0.2">
      <c r="B619" s="44"/>
    </row>
    <row r="620" spans="2:2" ht="15.75" customHeight="1" x14ac:dyDescent="0.2">
      <c r="B620" s="44"/>
    </row>
    <row r="621" spans="2:2" ht="15.75" customHeight="1" x14ac:dyDescent="0.2">
      <c r="B621" s="44"/>
    </row>
    <row r="622" spans="2:2" ht="15.75" customHeight="1" x14ac:dyDescent="0.2">
      <c r="B622" s="44"/>
    </row>
    <row r="623" spans="2:2" ht="15.75" customHeight="1" x14ac:dyDescent="0.2">
      <c r="B623" s="44"/>
    </row>
    <row r="624" spans="2:2" ht="15.75" customHeight="1" x14ac:dyDescent="0.2">
      <c r="B624" s="44"/>
    </row>
    <row r="625" spans="2:2" ht="15.75" customHeight="1" x14ac:dyDescent="0.2">
      <c r="B625" s="44"/>
    </row>
    <row r="626" spans="2:2" ht="15.75" customHeight="1" x14ac:dyDescent="0.2">
      <c r="B626" s="44"/>
    </row>
    <row r="627" spans="2:2" ht="15.75" customHeight="1" x14ac:dyDescent="0.2">
      <c r="B627" s="44"/>
    </row>
    <row r="628" spans="2:2" ht="15.75" customHeight="1" x14ac:dyDescent="0.2">
      <c r="B628" s="44"/>
    </row>
    <row r="629" spans="2:2" ht="15.75" customHeight="1" x14ac:dyDescent="0.2">
      <c r="B629" s="44"/>
    </row>
    <row r="630" spans="2:2" ht="15.75" customHeight="1" x14ac:dyDescent="0.2">
      <c r="B630" s="44"/>
    </row>
    <row r="631" spans="2:2" ht="15.75" customHeight="1" x14ac:dyDescent="0.2">
      <c r="B631" s="44"/>
    </row>
    <row r="632" spans="2:2" ht="15.75" customHeight="1" x14ac:dyDescent="0.2">
      <c r="B632" s="44"/>
    </row>
    <row r="633" spans="2:2" ht="15.75" customHeight="1" x14ac:dyDescent="0.2">
      <c r="B633" s="44"/>
    </row>
    <row r="634" spans="2:2" ht="15.75" customHeight="1" x14ac:dyDescent="0.2">
      <c r="B634" s="44"/>
    </row>
    <row r="635" spans="2:2" ht="15.75" customHeight="1" x14ac:dyDescent="0.2">
      <c r="B635" s="44"/>
    </row>
    <row r="636" spans="2:2" ht="15.75" customHeight="1" x14ac:dyDescent="0.2">
      <c r="B636" s="44"/>
    </row>
    <row r="637" spans="2:2" ht="15.75" customHeight="1" x14ac:dyDescent="0.2">
      <c r="B637" s="44"/>
    </row>
    <row r="638" spans="2:2" ht="15.75" customHeight="1" x14ac:dyDescent="0.2">
      <c r="B638" s="44"/>
    </row>
    <row r="639" spans="2:2" ht="15.75" customHeight="1" x14ac:dyDescent="0.2">
      <c r="B639" s="44"/>
    </row>
    <row r="640" spans="2:2" ht="15.75" customHeight="1" x14ac:dyDescent="0.2">
      <c r="B640" s="44"/>
    </row>
    <row r="641" spans="2:2" ht="15.75" customHeight="1" x14ac:dyDescent="0.2">
      <c r="B641" s="44"/>
    </row>
    <row r="642" spans="2:2" ht="15.75" customHeight="1" x14ac:dyDescent="0.2">
      <c r="B642" s="44"/>
    </row>
    <row r="643" spans="2:2" ht="15.75" customHeight="1" x14ac:dyDescent="0.2">
      <c r="B643" s="44"/>
    </row>
    <row r="644" spans="2:2" ht="15.75" customHeight="1" x14ac:dyDescent="0.2">
      <c r="B644" s="44"/>
    </row>
    <row r="645" spans="2:2" ht="15.75" customHeight="1" x14ac:dyDescent="0.2">
      <c r="B645" s="44"/>
    </row>
    <row r="646" spans="2:2" ht="15.75" customHeight="1" x14ac:dyDescent="0.2">
      <c r="B646" s="44"/>
    </row>
    <row r="647" spans="2:2" ht="15.75" customHeight="1" x14ac:dyDescent="0.2">
      <c r="B647" s="44"/>
    </row>
    <row r="648" spans="2:2" ht="15.75" customHeight="1" x14ac:dyDescent="0.2">
      <c r="B648" s="44"/>
    </row>
    <row r="649" spans="2:2" ht="15.75" customHeight="1" x14ac:dyDescent="0.2">
      <c r="B649" s="44"/>
    </row>
    <row r="650" spans="2:2" ht="15.75" customHeight="1" x14ac:dyDescent="0.2">
      <c r="B650" s="44"/>
    </row>
    <row r="651" spans="2:2" ht="15.75" customHeight="1" x14ac:dyDescent="0.2">
      <c r="B651" s="44"/>
    </row>
    <row r="652" spans="2:2" ht="15.75" customHeight="1" x14ac:dyDescent="0.2">
      <c r="B652" s="44"/>
    </row>
    <row r="653" spans="2:2" ht="15.75" customHeight="1" x14ac:dyDescent="0.2">
      <c r="B653" s="44"/>
    </row>
    <row r="654" spans="2:2" ht="15.75" customHeight="1" x14ac:dyDescent="0.2">
      <c r="B654" s="44"/>
    </row>
    <row r="655" spans="2:2" ht="15.75" customHeight="1" x14ac:dyDescent="0.2">
      <c r="B655" s="44"/>
    </row>
    <row r="656" spans="2:2" ht="15.75" customHeight="1" x14ac:dyDescent="0.2">
      <c r="B656" s="44"/>
    </row>
    <row r="657" spans="2:2" ht="15.75" customHeight="1" x14ac:dyDescent="0.2">
      <c r="B657" s="44"/>
    </row>
    <row r="658" spans="2:2" ht="15.75" customHeight="1" x14ac:dyDescent="0.2">
      <c r="B658" s="44"/>
    </row>
    <row r="659" spans="2:2" ht="15.75" customHeight="1" x14ac:dyDescent="0.2">
      <c r="B659" s="44"/>
    </row>
    <row r="660" spans="2:2" ht="15.75" customHeight="1" x14ac:dyDescent="0.2">
      <c r="B660" s="44"/>
    </row>
    <row r="661" spans="2:2" ht="15.75" customHeight="1" x14ac:dyDescent="0.2">
      <c r="B661" s="44"/>
    </row>
    <row r="662" spans="2:2" ht="15.75" customHeight="1" x14ac:dyDescent="0.2">
      <c r="B662" s="44"/>
    </row>
    <row r="663" spans="2:2" ht="15.75" customHeight="1" x14ac:dyDescent="0.2">
      <c r="B663" s="44"/>
    </row>
    <row r="664" spans="2:2" ht="15.75" customHeight="1" x14ac:dyDescent="0.2">
      <c r="B664" s="44"/>
    </row>
    <row r="665" spans="2:2" ht="15.75" customHeight="1" x14ac:dyDescent="0.2">
      <c r="B665" s="44"/>
    </row>
    <row r="666" spans="2:2" ht="15.75" customHeight="1" x14ac:dyDescent="0.2">
      <c r="B666" s="44"/>
    </row>
    <row r="667" spans="2:2" ht="15.75" customHeight="1" x14ac:dyDescent="0.2">
      <c r="B667" s="44"/>
    </row>
    <row r="668" spans="2:2" ht="15.75" customHeight="1" x14ac:dyDescent="0.2">
      <c r="B668" s="44"/>
    </row>
    <row r="669" spans="2:2" ht="15.75" customHeight="1" x14ac:dyDescent="0.2">
      <c r="B669" s="44"/>
    </row>
    <row r="670" spans="2:2" ht="15.75" customHeight="1" x14ac:dyDescent="0.2">
      <c r="B670" s="44"/>
    </row>
    <row r="671" spans="2:2" ht="15.75" customHeight="1" x14ac:dyDescent="0.2">
      <c r="B671" s="44"/>
    </row>
    <row r="672" spans="2:2" ht="15.75" customHeight="1" x14ac:dyDescent="0.2">
      <c r="B672" s="44"/>
    </row>
    <row r="673" spans="2:2" ht="15.75" customHeight="1" x14ac:dyDescent="0.2">
      <c r="B673" s="44"/>
    </row>
    <row r="674" spans="2:2" ht="15.75" customHeight="1" x14ac:dyDescent="0.2">
      <c r="B674" s="44"/>
    </row>
    <row r="675" spans="2:2" ht="15.75" customHeight="1" x14ac:dyDescent="0.2">
      <c r="B675" s="44"/>
    </row>
    <row r="676" spans="2:2" ht="15.75" customHeight="1" x14ac:dyDescent="0.2">
      <c r="B676" s="44"/>
    </row>
    <row r="677" spans="2:2" ht="15.75" customHeight="1" x14ac:dyDescent="0.2">
      <c r="B677" s="44"/>
    </row>
    <row r="678" spans="2:2" ht="15.75" customHeight="1" x14ac:dyDescent="0.2">
      <c r="B678" s="44"/>
    </row>
    <row r="679" spans="2:2" ht="15.75" customHeight="1" x14ac:dyDescent="0.2">
      <c r="B679" s="44"/>
    </row>
    <row r="680" spans="2:2" ht="15.75" customHeight="1" x14ac:dyDescent="0.2">
      <c r="B680" s="44"/>
    </row>
    <row r="681" spans="2:2" ht="15.75" customHeight="1" x14ac:dyDescent="0.2">
      <c r="B681" s="44"/>
    </row>
    <row r="682" spans="2:2" ht="15.75" customHeight="1" x14ac:dyDescent="0.2">
      <c r="B682" s="44"/>
    </row>
    <row r="683" spans="2:2" ht="15.75" customHeight="1" x14ac:dyDescent="0.2">
      <c r="B683" s="44"/>
    </row>
    <row r="684" spans="2:2" ht="15.75" customHeight="1" x14ac:dyDescent="0.2">
      <c r="B684" s="44"/>
    </row>
    <row r="685" spans="2:2" ht="15.75" customHeight="1" x14ac:dyDescent="0.2">
      <c r="B685" s="44"/>
    </row>
    <row r="686" spans="2:2" ht="15.75" customHeight="1" x14ac:dyDescent="0.2">
      <c r="B686" s="44"/>
    </row>
    <row r="687" spans="2:2" ht="15.75" customHeight="1" x14ac:dyDescent="0.2">
      <c r="B687" s="44"/>
    </row>
    <row r="688" spans="2:2" ht="15.75" customHeight="1" x14ac:dyDescent="0.2">
      <c r="B688" s="44"/>
    </row>
    <row r="689" spans="2:2" ht="15.75" customHeight="1" x14ac:dyDescent="0.2">
      <c r="B689" s="44"/>
    </row>
    <row r="690" spans="2:2" ht="15.75" customHeight="1" x14ac:dyDescent="0.2">
      <c r="B690" s="44"/>
    </row>
    <row r="691" spans="2:2" ht="15.75" customHeight="1" x14ac:dyDescent="0.2">
      <c r="B691" s="44"/>
    </row>
    <row r="692" spans="2:2" ht="15.75" customHeight="1" x14ac:dyDescent="0.2">
      <c r="B692" s="44"/>
    </row>
    <row r="693" spans="2:2" ht="15.75" customHeight="1" x14ac:dyDescent="0.2">
      <c r="B693" s="44"/>
    </row>
    <row r="694" spans="2:2" ht="15.75" customHeight="1" x14ac:dyDescent="0.2">
      <c r="B694" s="44"/>
    </row>
    <row r="695" spans="2:2" ht="15.75" customHeight="1" x14ac:dyDescent="0.2">
      <c r="B695" s="44"/>
    </row>
    <row r="696" spans="2:2" ht="15.75" customHeight="1" x14ac:dyDescent="0.2">
      <c r="B696" s="44"/>
    </row>
    <row r="697" spans="2:2" ht="15.75" customHeight="1" x14ac:dyDescent="0.2">
      <c r="B697" s="44"/>
    </row>
    <row r="698" spans="2:2" ht="15.75" customHeight="1" x14ac:dyDescent="0.2">
      <c r="B698" s="44"/>
    </row>
    <row r="699" spans="2:2" ht="15.75" customHeight="1" x14ac:dyDescent="0.2">
      <c r="B699" s="44"/>
    </row>
    <row r="700" spans="2:2" ht="15.75" customHeight="1" x14ac:dyDescent="0.2">
      <c r="B700" s="44"/>
    </row>
    <row r="701" spans="2:2" ht="15.75" customHeight="1" x14ac:dyDescent="0.2">
      <c r="B701" s="44"/>
    </row>
    <row r="702" spans="2:2" ht="15.75" customHeight="1" x14ac:dyDescent="0.2">
      <c r="B702" s="44"/>
    </row>
    <row r="703" spans="2:2" ht="15.75" customHeight="1" x14ac:dyDescent="0.2">
      <c r="B703" s="44"/>
    </row>
    <row r="704" spans="2:2" ht="15.75" customHeight="1" x14ac:dyDescent="0.2">
      <c r="B704" s="44"/>
    </row>
    <row r="705" spans="2:2" ht="15.75" customHeight="1" x14ac:dyDescent="0.2">
      <c r="B705" s="44"/>
    </row>
    <row r="706" spans="2:2" ht="15.75" customHeight="1" x14ac:dyDescent="0.2">
      <c r="B706" s="44"/>
    </row>
    <row r="707" spans="2:2" ht="15.75" customHeight="1" x14ac:dyDescent="0.2">
      <c r="B707" s="44"/>
    </row>
    <row r="708" spans="2:2" ht="15.75" customHeight="1" x14ac:dyDescent="0.2">
      <c r="B708" s="44"/>
    </row>
    <row r="709" spans="2:2" ht="15.75" customHeight="1" x14ac:dyDescent="0.2">
      <c r="B709" s="44"/>
    </row>
    <row r="710" spans="2:2" ht="15.75" customHeight="1" x14ac:dyDescent="0.2">
      <c r="B710" s="44"/>
    </row>
    <row r="711" spans="2:2" ht="15.75" customHeight="1" x14ac:dyDescent="0.2">
      <c r="B711" s="44"/>
    </row>
    <row r="712" spans="2:2" ht="15.75" customHeight="1" x14ac:dyDescent="0.2">
      <c r="B712" s="44"/>
    </row>
    <row r="713" spans="2:2" ht="15.75" customHeight="1" x14ac:dyDescent="0.2">
      <c r="B713" s="44"/>
    </row>
    <row r="714" spans="2:2" ht="15.75" customHeight="1" x14ac:dyDescent="0.2">
      <c r="B714" s="44"/>
    </row>
    <row r="715" spans="2:2" ht="15.75" customHeight="1" x14ac:dyDescent="0.2">
      <c r="B715" s="44"/>
    </row>
    <row r="716" spans="2:2" ht="15.75" customHeight="1" x14ac:dyDescent="0.2">
      <c r="B716" s="44"/>
    </row>
    <row r="717" spans="2:2" ht="15.75" customHeight="1" x14ac:dyDescent="0.2">
      <c r="B717" s="44"/>
    </row>
    <row r="718" spans="2:2" ht="15.75" customHeight="1" x14ac:dyDescent="0.2">
      <c r="B718" s="44"/>
    </row>
    <row r="719" spans="2:2" ht="15.75" customHeight="1" x14ac:dyDescent="0.2">
      <c r="B719" s="44"/>
    </row>
    <row r="720" spans="2:2" ht="15.75" customHeight="1" x14ac:dyDescent="0.2">
      <c r="B720" s="44"/>
    </row>
    <row r="721" spans="2:2" ht="15.75" customHeight="1" x14ac:dyDescent="0.2">
      <c r="B721" s="44"/>
    </row>
    <row r="722" spans="2:2" ht="15.75" customHeight="1" x14ac:dyDescent="0.2">
      <c r="B722" s="44"/>
    </row>
    <row r="723" spans="2:2" ht="15.75" customHeight="1" x14ac:dyDescent="0.2">
      <c r="B723" s="44"/>
    </row>
    <row r="724" spans="2:2" ht="15.75" customHeight="1" x14ac:dyDescent="0.2">
      <c r="B724" s="44"/>
    </row>
    <row r="725" spans="2:2" ht="15.75" customHeight="1" x14ac:dyDescent="0.2">
      <c r="B725" s="44"/>
    </row>
    <row r="726" spans="2:2" ht="15.75" customHeight="1" x14ac:dyDescent="0.2">
      <c r="B726" s="44"/>
    </row>
    <row r="727" spans="2:2" ht="15.75" customHeight="1" x14ac:dyDescent="0.2">
      <c r="B727" s="44"/>
    </row>
    <row r="728" spans="2:2" ht="15.75" customHeight="1" x14ac:dyDescent="0.2">
      <c r="B728" s="44"/>
    </row>
    <row r="729" spans="2:2" ht="15.75" customHeight="1" x14ac:dyDescent="0.2">
      <c r="B729" s="44"/>
    </row>
    <row r="730" spans="2:2" ht="15.75" customHeight="1" x14ac:dyDescent="0.2">
      <c r="B730" s="44"/>
    </row>
    <row r="731" spans="2:2" ht="15.75" customHeight="1" x14ac:dyDescent="0.2">
      <c r="B731" s="44"/>
    </row>
    <row r="732" spans="2:2" ht="15.75" customHeight="1" x14ac:dyDescent="0.2">
      <c r="B732" s="44"/>
    </row>
    <row r="733" spans="2:2" ht="15.75" customHeight="1" x14ac:dyDescent="0.2">
      <c r="B733" s="44"/>
    </row>
    <row r="734" spans="2:2" ht="15.75" customHeight="1" x14ac:dyDescent="0.2">
      <c r="B734" s="44"/>
    </row>
    <row r="735" spans="2:2" ht="15.75" customHeight="1" x14ac:dyDescent="0.2">
      <c r="B735" s="44"/>
    </row>
    <row r="736" spans="2:2" ht="15.75" customHeight="1" x14ac:dyDescent="0.2">
      <c r="B736" s="44"/>
    </row>
    <row r="737" spans="2:2" ht="15.75" customHeight="1" x14ac:dyDescent="0.2">
      <c r="B737" s="44"/>
    </row>
    <row r="738" spans="2:2" ht="15.75" customHeight="1" x14ac:dyDescent="0.2">
      <c r="B738" s="44"/>
    </row>
    <row r="739" spans="2:2" ht="15.75" customHeight="1" x14ac:dyDescent="0.2">
      <c r="B739" s="44"/>
    </row>
    <row r="740" spans="2:2" ht="15.75" customHeight="1" x14ac:dyDescent="0.2">
      <c r="B740" s="44"/>
    </row>
    <row r="741" spans="2:2" ht="15.75" customHeight="1" x14ac:dyDescent="0.2">
      <c r="B741" s="44"/>
    </row>
    <row r="742" spans="2:2" ht="15.75" customHeight="1" x14ac:dyDescent="0.2">
      <c r="B742" s="44"/>
    </row>
    <row r="743" spans="2:2" ht="15.75" customHeight="1" x14ac:dyDescent="0.2">
      <c r="B743" s="44"/>
    </row>
    <row r="744" spans="2:2" ht="15.75" customHeight="1" x14ac:dyDescent="0.2">
      <c r="B744" s="44"/>
    </row>
    <row r="745" spans="2:2" ht="15.75" customHeight="1" x14ac:dyDescent="0.2">
      <c r="B745" s="44"/>
    </row>
    <row r="746" spans="2:2" ht="15.75" customHeight="1" x14ac:dyDescent="0.2">
      <c r="B746" s="44"/>
    </row>
    <row r="747" spans="2:2" ht="15.75" customHeight="1" x14ac:dyDescent="0.2">
      <c r="B747" s="44"/>
    </row>
    <row r="748" spans="2:2" ht="15.75" customHeight="1" x14ac:dyDescent="0.2">
      <c r="B748" s="44"/>
    </row>
    <row r="749" spans="2:2" ht="15.75" customHeight="1" x14ac:dyDescent="0.2">
      <c r="B749" s="44"/>
    </row>
    <row r="750" spans="2:2" ht="15.75" customHeight="1" x14ac:dyDescent="0.2">
      <c r="B750" s="44"/>
    </row>
    <row r="751" spans="2:2" ht="15.75" customHeight="1" x14ac:dyDescent="0.2">
      <c r="B751" s="44"/>
    </row>
    <row r="752" spans="2:2" ht="15.75" customHeight="1" x14ac:dyDescent="0.2">
      <c r="B752" s="44"/>
    </row>
    <row r="753" spans="2:2" ht="15.75" customHeight="1" x14ac:dyDescent="0.2">
      <c r="B753" s="44"/>
    </row>
    <row r="754" spans="2:2" ht="15.75" customHeight="1" x14ac:dyDescent="0.2">
      <c r="B754" s="44"/>
    </row>
    <row r="755" spans="2:2" ht="15.75" customHeight="1" x14ac:dyDescent="0.2">
      <c r="B755" s="44"/>
    </row>
    <row r="756" spans="2:2" ht="15.75" customHeight="1" x14ac:dyDescent="0.2">
      <c r="B756" s="44"/>
    </row>
    <row r="757" spans="2:2" ht="15.75" customHeight="1" x14ac:dyDescent="0.2">
      <c r="B757" s="44"/>
    </row>
    <row r="758" spans="2:2" ht="15.75" customHeight="1" x14ac:dyDescent="0.2">
      <c r="B758" s="44"/>
    </row>
    <row r="759" spans="2:2" ht="15.75" customHeight="1" x14ac:dyDescent="0.2">
      <c r="B759" s="44"/>
    </row>
    <row r="760" spans="2:2" ht="15.75" customHeight="1" x14ac:dyDescent="0.2">
      <c r="B760" s="44"/>
    </row>
    <row r="761" spans="2:2" ht="15.75" customHeight="1" x14ac:dyDescent="0.2">
      <c r="B761" s="44"/>
    </row>
    <row r="762" spans="2:2" ht="15.75" customHeight="1" x14ac:dyDescent="0.2">
      <c r="B762" s="44"/>
    </row>
    <row r="763" spans="2:2" ht="15.75" customHeight="1" x14ac:dyDescent="0.2">
      <c r="B763" s="44"/>
    </row>
    <row r="764" spans="2:2" ht="15.75" customHeight="1" x14ac:dyDescent="0.2">
      <c r="B764" s="44"/>
    </row>
    <row r="765" spans="2:2" ht="15.75" customHeight="1" x14ac:dyDescent="0.2">
      <c r="B765" s="44"/>
    </row>
    <row r="766" spans="2:2" ht="15.75" customHeight="1" x14ac:dyDescent="0.2">
      <c r="B766" s="44"/>
    </row>
    <row r="767" spans="2:2" ht="15.75" customHeight="1" x14ac:dyDescent="0.2">
      <c r="B767" s="44"/>
    </row>
    <row r="768" spans="2:2" ht="15.75" customHeight="1" x14ac:dyDescent="0.2">
      <c r="B768" s="44"/>
    </row>
    <row r="769" spans="2:2" ht="15.75" customHeight="1" x14ac:dyDescent="0.2">
      <c r="B769" s="44"/>
    </row>
    <row r="770" spans="2:2" ht="15.75" customHeight="1" x14ac:dyDescent="0.2">
      <c r="B770" s="44"/>
    </row>
    <row r="771" spans="2:2" ht="15.75" customHeight="1" x14ac:dyDescent="0.2">
      <c r="B771" s="44"/>
    </row>
    <row r="772" spans="2:2" ht="15.75" customHeight="1" x14ac:dyDescent="0.2">
      <c r="B772" s="44"/>
    </row>
    <row r="773" spans="2:2" ht="15.75" customHeight="1" x14ac:dyDescent="0.2">
      <c r="B773" s="44"/>
    </row>
    <row r="774" spans="2:2" ht="15.75" customHeight="1" x14ac:dyDescent="0.2">
      <c r="B774" s="44"/>
    </row>
    <row r="775" spans="2:2" ht="15.75" customHeight="1" x14ac:dyDescent="0.2">
      <c r="B775" s="44"/>
    </row>
    <row r="776" spans="2:2" ht="15.75" customHeight="1" x14ac:dyDescent="0.2">
      <c r="B776" s="44"/>
    </row>
    <row r="777" spans="2:2" ht="15.75" customHeight="1" x14ac:dyDescent="0.2">
      <c r="B777" s="44"/>
    </row>
    <row r="778" spans="2:2" ht="15.75" customHeight="1" x14ac:dyDescent="0.2">
      <c r="B778" s="44"/>
    </row>
    <row r="779" spans="2:2" ht="15.75" customHeight="1" x14ac:dyDescent="0.2">
      <c r="B779" s="44"/>
    </row>
    <row r="780" spans="2:2" ht="15.75" customHeight="1" x14ac:dyDescent="0.2">
      <c r="B780" s="44"/>
    </row>
    <row r="781" spans="2:2" ht="15.75" customHeight="1" x14ac:dyDescent="0.2">
      <c r="B781" s="44"/>
    </row>
    <row r="782" spans="2:2" ht="15.75" customHeight="1" x14ac:dyDescent="0.2">
      <c r="B782" s="44"/>
    </row>
    <row r="783" spans="2:2" ht="15.75" customHeight="1" x14ac:dyDescent="0.2">
      <c r="B783" s="44"/>
    </row>
    <row r="784" spans="2:2" ht="15.75" customHeight="1" x14ac:dyDescent="0.2">
      <c r="B784" s="44"/>
    </row>
    <row r="785" spans="2:2" ht="15.75" customHeight="1" x14ac:dyDescent="0.2">
      <c r="B785" s="44"/>
    </row>
    <row r="786" spans="2:2" ht="15.75" customHeight="1" x14ac:dyDescent="0.2">
      <c r="B786" s="44"/>
    </row>
    <row r="787" spans="2:2" ht="15.75" customHeight="1" x14ac:dyDescent="0.2">
      <c r="B787" s="44"/>
    </row>
    <row r="788" spans="2:2" ht="15.75" customHeight="1" x14ac:dyDescent="0.2">
      <c r="B788" s="44"/>
    </row>
    <row r="789" spans="2:2" ht="15.75" customHeight="1" x14ac:dyDescent="0.2">
      <c r="B789" s="44"/>
    </row>
    <row r="790" spans="2:2" ht="15.75" customHeight="1" x14ac:dyDescent="0.2">
      <c r="B790" s="44"/>
    </row>
    <row r="791" spans="2:2" ht="15.75" customHeight="1" x14ac:dyDescent="0.2">
      <c r="B791" s="44"/>
    </row>
    <row r="792" spans="2:2" ht="15.75" customHeight="1" x14ac:dyDescent="0.2">
      <c r="B792" s="44"/>
    </row>
    <row r="793" spans="2:2" ht="15.75" customHeight="1" x14ac:dyDescent="0.2">
      <c r="B793" s="44"/>
    </row>
    <row r="794" spans="2:2" ht="15.75" customHeight="1" x14ac:dyDescent="0.2">
      <c r="B794" s="44"/>
    </row>
    <row r="795" spans="2:2" ht="15.75" customHeight="1" x14ac:dyDescent="0.2">
      <c r="B795" s="44"/>
    </row>
    <row r="796" spans="2:2" ht="15.75" customHeight="1" x14ac:dyDescent="0.2">
      <c r="B796" s="44"/>
    </row>
    <row r="797" spans="2:2" ht="15.75" customHeight="1" x14ac:dyDescent="0.2">
      <c r="B797" s="44"/>
    </row>
    <row r="798" spans="2:2" ht="15.75" customHeight="1" x14ac:dyDescent="0.2">
      <c r="B798" s="44"/>
    </row>
    <row r="799" spans="2:2" ht="15.75" customHeight="1" x14ac:dyDescent="0.2">
      <c r="B799" s="44"/>
    </row>
    <row r="800" spans="2:2" ht="15.75" customHeight="1" x14ac:dyDescent="0.2">
      <c r="B800" s="44"/>
    </row>
    <row r="801" spans="2:2" ht="15.75" customHeight="1" x14ac:dyDescent="0.2">
      <c r="B801" s="44"/>
    </row>
    <row r="802" spans="2:2" ht="15.75" customHeight="1" x14ac:dyDescent="0.2">
      <c r="B802" s="44"/>
    </row>
    <row r="803" spans="2:2" ht="15.75" customHeight="1" x14ac:dyDescent="0.2">
      <c r="B803" s="44"/>
    </row>
    <row r="804" spans="2:2" ht="15.75" customHeight="1" x14ac:dyDescent="0.2">
      <c r="B804" s="44"/>
    </row>
    <row r="805" spans="2:2" ht="15.75" customHeight="1" x14ac:dyDescent="0.2">
      <c r="B805" s="44"/>
    </row>
    <row r="806" spans="2:2" ht="15.75" customHeight="1" x14ac:dyDescent="0.2">
      <c r="B806" s="44"/>
    </row>
    <row r="807" spans="2:2" ht="15.75" customHeight="1" x14ac:dyDescent="0.2">
      <c r="B807" s="44"/>
    </row>
    <row r="808" spans="2:2" ht="15.75" customHeight="1" x14ac:dyDescent="0.2">
      <c r="B808" s="44"/>
    </row>
    <row r="809" spans="2:2" ht="15.75" customHeight="1" x14ac:dyDescent="0.2">
      <c r="B809" s="44"/>
    </row>
    <row r="810" spans="2:2" ht="15.75" customHeight="1" x14ac:dyDescent="0.2">
      <c r="B810" s="44"/>
    </row>
    <row r="811" spans="2:2" ht="15.75" customHeight="1" x14ac:dyDescent="0.2">
      <c r="B811" s="44"/>
    </row>
    <row r="812" spans="2:2" ht="15.75" customHeight="1" x14ac:dyDescent="0.2">
      <c r="B812" s="44"/>
    </row>
    <row r="813" spans="2:2" ht="15.75" customHeight="1" x14ac:dyDescent="0.2">
      <c r="B813" s="44"/>
    </row>
    <row r="814" spans="2:2" ht="15.75" customHeight="1" x14ac:dyDescent="0.2">
      <c r="B814" s="44"/>
    </row>
    <row r="815" spans="2:2" ht="15.75" customHeight="1" x14ac:dyDescent="0.2">
      <c r="B815" s="44"/>
    </row>
    <row r="816" spans="2:2" ht="15.75" customHeight="1" x14ac:dyDescent="0.2">
      <c r="B816" s="44"/>
    </row>
    <row r="817" spans="2:2" ht="15.75" customHeight="1" x14ac:dyDescent="0.2">
      <c r="B817" s="44"/>
    </row>
    <row r="818" spans="2:2" ht="15.75" customHeight="1" x14ac:dyDescent="0.2">
      <c r="B818" s="44"/>
    </row>
    <row r="819" spans="2:2" ht="15.75" customHeight="1" x14ac:dyDescent="0.2">
      <c r="B819" s="44"/>
    </row>
    <row r="820" spans="2:2" ht="15.75" customHeight="1" x14ac:dyDescent="0.2">
      <c r="B820" s="44"/>
    </row>
    <row r="821" spans="2:2" ht="15.75" customHeight="1" x14ac:dyDescent="0.2">
      <c r="B821" s="44"/>
    </row>
    <row r="822" spans="2:2" ht="15.75" customHeight="1" x14ac:dyDescent="0.2">
      <c r="B822" s="44"/>
    </row>
    <row r="823" spans="2:2" ht="15.75" customHeight="1" x14ac:dyDescent="0.2">
      <c r="B823" s="44"/>
    </row>
    <row r="824" spans="2:2" ht="15.75" customHeight="1" x14ac:dyDescent="0.2">
      <c r="B824" s="44"/>
    </row>
    <row r="825" spans="2:2" ht="15.75" customHeight="1" x14ac:dyDescent="0.2">
      <c r="B825" s="44"/>
    </row>
    <row r="826" spans="2:2" ht="15.75" customHeight="1" x14ac:dyDescent="0.2">
      <c r="B826" s="44"/>
    </row>
    <row r="827" spans="2:2" ht="15.75" customHeight="1" x14ac:dyDescent="0.2">
      <c r="B827" s="44"/>
    </row>
    <row r="828" spans="2:2" ht="15.75" customHeight="1" x14ac:dyDescent="0.2">
      <c r="B828" s="44"/>
    </row>
    <row r="829" spans="2:2" ht="15.75" customHeight="1" x14ac:dyDescent="0.2">
      <c r="B829" s="44"/>
    </row>
    <row r="830" spans="2:2" ht="15.75" customHeight="1" x14ac:dyDescent="0.2">
      <c r="B830" s="44"/>
    </row>
    <row r="831" spans="2:2" ht="15.75" customHeight="1" x14ac:dyDescent="0.2">
      <c r="B831" s="44"/>
    </row>
    <row r="832" spans="2:2" ht="15.75" customHeight="1" x14ac:dyDescent="0.2">
      <c r="B832" s="44"/>
    </row>
    <row r="833" spans="2:2" ht="15.75" customHeight="1" x14ac:dyDescent="0.2">
      <c r="B833" s="44"/>
    </row>
    <row r="834" spans="2:2" ht="15.75" customHeight="1" x14ac:dyDescent="0.2">
      <c r="B834" s="44"/>
    </row>
    <row r="835" spans="2:2" ht="15.75" customHeight="1" x14ac:dyDescent="0.2">
      <c r="B835" s="44"/>
    </row>
    <row r="836" spans="2:2" ht="15.75" customHeight="1" x14ac:dyDescent="0.2">
      <c r="B836" s="44"/>
    </row>
    <row r="837" spans="2:2" ht="15.75" customHeight="1" x14ac:dyDescent="0.2">
      <c r="B837" s="44"/>
    </row>
    <row r="838" spans="2:2" ht="15.75" customHeight="1" x14ac:dyDescent="0.2">
      <c r="B838" s="44"/>
    </row>
    <row r="839" spans="2:2" ht="15.75" customHeight="1" x14ac:dyDescent="0.2">
      <c r="B839" s="44"/>
    </row>
    <row r="840" spans="2:2" ht="15.75" customHeight="1" x14ac:dyDescent="0.2">
      <c r="B840" s="44"/>
    </row>
    <row r="841" spans="2:2" ht="15.75" customHeight="1" x14ac:dyDescent="0.2">
      <c r="B841" s="44"/>
    </row>
    <row r="842" spans="2:2" ht="15.75" customHeight="1" x14ac:dyDescent="0.2">
      <c r="B842" s="44"/>
    </row>
    <row r="843" spans="2:2" ht="15.75" customHeight="1" x14ac:dyDescent="0.2">
      <c r="B843" s="44"/>
    </row>
    <row r="844" spans="2:2" ht="15.75" customHeight="1" x14ac:dyDescent="0.2">
      <c r="B844" s="44"/>
    </row>
    <row r="845" spans="2:2" ht="15.75" customHeight="1" x14ac:dyDescent="0.2">
      <c r="B845" s="44"/>
    </row>
    <row r="846" spans="2:2" ht="15.75" customHeight="1" x14ac:dyDescent="0.2">
      <c r="B846" s="44"/>
    </row>
    <row r="847" spans="2:2" ht="15.75" customHeight="1" x14ac:dyDescent="0.2">
      <c r="B847" s="44"/>
    </row>
    <row r="848" spans="2:2" ht="15.75" customHeight="1" x14ac:dyDescent="0.2">
      <c r="B848" s="44"/>
    </row>
    <row r="849" spans="2:2" ht="15.75" customHeight="1" x14ac:dyDescent="0.2">
      <c r="B849" s="44"/>
    </row>
    <row r="850" spans="2:2" ht="15.75" customHeight="1" x14ac:dyDescent="0.2">
      <c r="B850" s="44"/>
    </row>
    <row r="851" spans="2:2" ht="15.75" customHeight="1" x14ac:dyDescent="0.2">
      <c r="B851" s="44"/>
    </row>
    <row r="852" spans="2:2" ht="15.75" customHeight="1" x14ac:dyDescent="0.2">
      <c r="B852" s="44"/>
    </row>
    <row r="853" spans="2:2" ht="15.75" customHeight="1" x14ac:dyDescent="0.2">
      <c r="B853" s="44"/>
    </row>
    <row r="854" spans="2:2" ht="15.75" customHeight="1" x14ac:dyDescent="0.2">
      <c r="B854" s="44"/>
    </row>
    <row r="855" spans="2:2" ht="15.75" customHeight="1" x14ac:dyDescent="0.2">
      <c r="B855" s="44"/>
    </row>
    <row r="856" spans="2:2" ht="15.75" customHeight="1" x14ac:dyDescent="0.2">
      <c r="B856" s="44"/>
    </row>
    <row r="857" spans="2:2" ht="15.75" customHeight="1" x14ac:dyDescent="0.2">
      <c r="B857" s="44"/>
    </row>
    <row r="858" spans="2:2" ht="15.75" customHeight="1" x14ac:dyDescent="0.2">
      <c r="B858" s="44"/>
    </row>
    <row r="859" spans="2:2" ht="15.75" customHeight="1" x14ac:dyDescent="0.2">
      <c r="B859" s="44"/>
    </row>
    <row r="860" spans="2:2" ht="15.75" customHeight="1" x14ac:dyDescent="0.2">
      <c r="B860" s="44"/>
    </row>
    <row r="861" spans="2:2" ht="15.75" customHeight="1" x14ac:dyDescent="0.2">
      <c r="B861" s="44"/>
    </row>
    <row r="862" spans="2:2" ht="15.75" customHeight="1" x14ac:dyDescent="0.2">
      <c r="B862" s="44"/>
    </row>
    <row r="863" spans="2:2" ht="15.75" customHeight="1" x14ac:dyDescent="0.2">
      <c r="B863" s="44"/>
    </row>
    <row r="864" spans="2:2" ht="15.75" customHeight="1" x14ac:dyDescent="0.2">
      <c r="B864" s="44"/>
    </row>
    <row r="865" spans="2:2" ht="15.75" customHeight="1" x14ac:dyDescent="0.2">
      <c r="B865" s="44"/>
    </row>
    <row r="866" spans="2:2" ht="15.75" customHeight="1" x14ac:dyDescent="0.2">
      <c r="B866" s="44"/>
    </row>
    <row r="867" spans="2:2" ht="15.75" customHeight="1" x14ac:dyDescent="0.2">
      <c r="B867" s="44"/>
    </row>
    <row r="868" spans="2:2" ht="15.75" customHeight="1" x14ac:dyDescent="0.2">
      <c r="B868" s="44"/>
    </row>
    <row r="869" spans="2:2" ht="15.75" customHeight="1" x14ac:dyDescent="0.2">
      <c r="B869" s="44"/>
    </row>
    <row r="870" spans="2:2" ht="15.75" customHeight="1" x14ac:dyDescent="0.2">
      <c r="B870" s="44"/>
    </row>
    <row r="871" spans="2:2" ht="15.75" customHeight="1" x14ac:dyDescent="0.2">
      <c r="B871" s="44"/>
    </row>
    <row r="872" spans="2:2" ht="15.75" customHeight="1" x14ac:dyDescent="0.2">
      <c r="B872" s="44"/>
    </row>
    <row r="873" spans="2:2" ht="15.75" customHeight="1" x14ac:dyDescent="0.2">
      <c r="B873" s="44"/>
    </row>
    <row r="874" spans="2:2" ht="15.75" customHeight="1" x14ac:dyDescent="0.2">
      <c r="B874" s="44"/>
    </row>
    <row r="875" spans="2:2" ht="15.75" customHeight="1" x14ac:dyDescent="0.2">
      <c r="B875" s="44"/>
    </row>
    <row r="876" spans="2:2" ht="15.75" customHeight="1" x14ac:dyDescent="0.2">
      <c r="B876" s="44"/>
    </row>
    <row r="877" spans="2:2" ht="15.75" customHeight="1" x14ac:dyDescent="0.2">
      <c r="B877" s="44"/>
    </row>
    <row r="878" spans="2:2" ht="15.75" customHeight="1" x14ac:dyDescent="0.2">
      <c r="B878" s="44"/>
    </row>
    <row r="879" spans="2:2" ht="15.75" customHeight="1" x14ac:dyDescent="0.2">
      <c r="B879" s="44"/>
    </row>
    <row r="880" spans="2:2" ht="15.75" customHeight="1" x14ac:dyDescent="0.2">
      <c r="B880" s="44"/>
    </row>
    <row r="881" spans="2:2" ht="15.75" customHeight="1" x14ac:dyDescent="0.2">
      <c r="B881" s="44"/>
    </row>
    <row r="882" spans="2:2" ht="15.75" customHeight="1" x14ac:dyDescent="0.2">
      <c r="B882" s="44"/>
    </row>
    <row r="883" spans="2:2" ht="15.75" customHeight="1" x14ac:dyDescent="0.2">
      <c r="B883" s="44"/>
    </row>
    <row r="884" spans="2:2" ht="15.75" customHeight="1" x14ac:dyDescent="0.2">
      <c r="B884" s="44"/>
    </row>
    <row r="885" spans="2:2" ht="15.75" customHeight="1" x14ac:dyDescent="0.2">
      <c r="B885" s="44"/>
    </row>
    <row r="886" spans="2:2" ht="15.75" customHeight="1" x14ac:dyDescent="0.2">
      <c r="B886" s="44"/>
    </row>
    <row r="887" spans="2:2" ht="15.75" customHeight="1" x14ac:dyDescent="0.2">
      <c r="B887" s="44"/>
    </row>
    <row r="888" spans="2:2" ht="15.75" customHeight="1" x14ac:dyDescent="0.2">
      <c r="B888" s="44"/>
    </row>
    <row r="889" spans="2:2" ht="15.75" customHeight="1" x14ac:dyDescent="0.2">
      <c r="B889" s="44"/>
    </row>
    <row r="890" spans="2:2" ht="15.75" customHeight="1" x14ac:dyDescent="0.2">
      <c r="B890" s="44"/>
    </row>
    <row r="891" spans="2:2" ht="15.75" customHeight="1" x14ac:dyDescent="0.2">
      <c r="B891" s="44"/>
    </row>
    <row r="892" spans="2:2" ht="15.75" customHeight="1" x14ac:dyDescent="0.2">
      <c r="B892" s="44"/>
    </row>
    <row r="893" spans="2:2" ht="15.75" customHeight="1" x14ac:dyDescent="0.2">
      <c r="B893" s="44"/>
    </row>
    <row r="894" spans="2:2" ht="15.75" customHeight="1" x14ac:dyDescent="0.2">
      <c r="B894" s="44"/>
    </row>
    <row r="895" spans="2:2" ht="15.75" customHeight="1" x14ac:dyDescent="0.2">
      <c r="B895" s="44"/>
    </row>
    <row r="896" spans="2:2" ht="15.75" customHeight="1" x14ac:dyDescent="0.2">
      <c r="B896" s="44"/>
    </row>
    <row r="897" spans="2:2" ht="15.75" customHeight="1" x14ac:dyDescent="0.2">
      <c r="B897" s="44"/>
    </row>
    <row r="898" spans="2:2" ht="15.75" customHeight="1" x14ac:dyDescent="0.2">
      <c r="B898" s="44"/>
    </row>
    <row r="899" spans="2:2" ht="15.75" customHeight="1" x14ac:dyDescent="0.2">
      <c r="B899" s="44"/>
    </row>
    <row r="900" spans="2:2" ht="15.75" customHeight="1" x14ac:dyDescent="0.2">
      <c r="B900" s="44"/>
    </row>
    <row r="901" spans="2:2" ht="15.75" customHeight="1" x14ac:dyDescent="0.2">
      <c r="B901" s="44"/>
    </row>
    <row r="902" spans="2:2" ht="15.75" customHeight="1" x14ac:dyDescent="0.2">
      <c r="B902" s="44"/>
    </row>
    <row r="903" spans="2:2" ht="15.75" customHeight="1" x14ac:dyDescent="0.2">
      <c r="B903" s="44"/>
    </row>
    <row r="904" spans="2:2" ht="15.75" customHeight="1" x14ac:dyDescent="0.2">
      <c r="B904" s="44"/>
    </row>
    <row r="905" spans="2:2" ht="15.75" customHeight="1" x14ac:dyDescent="0.2">
      <c r="B905" s="44"/>
    </row>
    <row r="906" spans="2:2" ht="15.75" customHeight="1" x14ac:dyDescent="0.2">
      <c r="B906" s="44"/>
    </row>
    <row r="907" spans="2:2" ht="15.75" customHeight="1" x14ac:dyDescent="0.2">
      <c r="B907" s="44"/>
    </row>
    <row r="908" spans="2:2" ht="15.75" customHeight="1" x14ac:dyDescent="0.2">
      <c r="B908" s="44"/>
    </row>
    <row r="909" spans="2:2" ht="15.75" customHeight="1" x14ac:dyDescent="0.2">
      <c r="B909" s="44"/>
    </row>
    <row r="910" spans="2:2" ht="15.75" customHeight="1" x14ac:dyDescent="0.2">
      <c r="B910" s="44"/>
    </row>
    <row r="911" spans="2:2" ht="15.75" customHeight="1" x14ac:dyDescent="0.2">
      <c r="B911" s="44"/>
    </row>
    <row r="912" spans="2:2" ht="15.75" customHeight="1" x14ac:dyDescent="0.2">
      <c r="B912" s="44"/>
    </row>
    <row r="913" spans="2:2" ht="15.75" customHeight="1" x14ac:dyDescent="0.2">
      <c r="B913" s="44"/>
    </row>
    <row r="914" spans="2:2" ht="15.75" customHeight="1" x14ac:dyDescent="0.2">
      <c r="B914" s="44"/>
    </row>
    <row r="915" spans="2:2" ht="15.75" customHeight="1" x14ac:dyDescent="0.2">
      <c r="B915" s="44"/>
    </row>
    <row r="916" spans="2:2" ht="15.75" customHeight="1" x14ac:dyDescent="0.2">
      <c r="B916" s="44"/>
    </row>
    <row r="917" spans="2:2" ht="15.75" customHeight="1" x14ac:dyDescent="0.2">
      <c r="B917" s="44"/>
    </row>
    <row r="918" spans="2:2" ht="15.75" customHeight="1" x14ac:dyDescent="0.2">
      <c r="B918" s="44"/>
    </row>
    <row r="919" spans="2:2" ht="15.75" customHeight="1" x14ac:dyDescent="0.2">
      <c r="B919" s="44"/>
    </row>
    <row r="920" spans="2:2" ht="15.75" customHeight="1" x14ac:dyDescent="0.2">
      <c r="B920" s="44"/>
    </row>
    <row r="921" spans="2:2" ht="15.75" customHeight="1" x14ac:dyDescent="0.2">
      <c r="B921" s="44"/>
    </row>
    <row r="922" spans="2:2" ht="15.75" customHeight="1" x14ac:dyDescent="0.2">
      <c r="B922" s="44"/>
    </row>
    <row r="923" spans="2:2" ht="15.75" customHeight="1" x14ac:dyDescent="0.2">
      <c r="B923" s="44"/>
    </row>
    <row r="924" spans="2:2" ht="15.75" customHeight="1" x14ac:dyDescent="0.2">
      <c r="B924" s="44"/>
    </row>
    <row r="925" spans="2:2" ht="15.75" customHeight="1" x14ac:dyDescent="0.2">
      <c r="B925" s="44"/>
    </row>
    <row r="926" spans="2:2" ht="15.75" customHeight="1" x14ac:dyDescent="0.2">
      <c r="B926" s="44"/>
    </row>
    <row r="927" spans="2:2" ht="15.75" customHeight="1" x14ac:dyDescent="0.2">
      <c r="B927" s="44"/>
    </row>
    <row r="928" spans="2:2" ht="15.75" customHeight="1" x14ac:dyDescent="0.2">
      <c r="B928" s="44"/>
    </row>
    <row r="929" spans="2:2" ht="15.75" customHeight="1" x14ac:dyDescent="0.2">
      <c r="B929" s="44"/>
    </row>
    <row r="930" spans="2:2" ht="15.75" customHeight="1" x14ac:dyDescent="0.2">
      <c r="B930" s="44"/>
    </row>
    <row r="931" spans="2:2" ht="15.75" customHeight="1" x14ac:dyDescent="0.2">
      <c r="B931" s="44"/>
    </row>
    <row r="932" spans="2:2" ht="15.75" customHeight="1" x14ac:dyDescent="0.2">
      <c r="B932" s="44"/>
    </row>
    <row r="933" spans="2:2" ht="15.75" customHeight="1" x14ac:dyDescent="0.2">
      <c r="B933" s="44"/>
    </row>
    <row r="934" spans="2:2" ht="15.75" customHeight="1" x14ac:dyDescent="0.2">
      <c r="B934" s="44"/>
    </row>
    <row r="935" spans="2:2" ht="15.75" customHeight="1" x14ac:dyDescent="0.2">
      <c r="B935" s="44"/>
    </row>
    <row r="936" spans="2:2" ht="15.75" customHeight="1" x14ac:dyDescent="0.2">
      <c r="B936" s="44"/>
    </row>
    <row r="937" spans="2:2" ht="15.75" customHeight="1" x14ac:dyDescent="0.2">
      <c r="B937" s="44"/>
    </row>
    <row r="938" spans="2:2" ht="15.75" customHeight="1" x14ac:dyDescent="0.2">
      <c r="B938" s="44"/>
    </row>
    <row r="939" spans="2:2" ht="15.75" customHeight="1" x14ac:dyDescent="0.2">
      <c r="B939" s="44"/>
    </row>
    <row r="940" spans="2:2" ht="15.75" customHeight="1" x14ac:dyDescent="0.2">
      <c r="B940" s="44"/>
    </row>
    <row r="941" spans="2:2" ht="15.75" customHeight="1" x14ac:dyDescent="0.2">
      <c r="B941" s="44"/>
    </row>
    <row r="942" spans="2:2" ht="15.75" customHeight="1" x14ac:dyDescent="0.2">
      <c r="B942" s="44"/>
    </row>
    <row r="943" spans="2:2" ht="15.75" customHeight="1" x14ac:dyDescent="0.2">
      <c r="B943" s="44"/>
    </row>
    <row r="944" spans="2:2" ht="15.75" customHeight="1" x14ac:dyDescent="0.2">
      <c r="B944" s="44"/>
    </row>
    <row r="945" spans="2:2" ht="15.75" customHeight="1" x14ac:dyDescent="0.2">
      <c r="B945" s="44"/>
    </row>
    <row r="946" spans="2:2" ht="15.75" customHeight="1" x14ac:dyDescent="0.2">
      <c r="B946" s="44"/>
    </row>
    <row r="947" spans="2:2" ht="15.75" customHeight="1" x14ac:dyDescent="0.2">
      <c r="B947" s="44"/>
    </row>
    <row r="948" spans="2:2" ht="15.75" customHeight="1" x14ac:dyDescent="0.2">
      <c r="B948" s="44"/>
    </row>
    <row r="949" spans="2:2" ht="15.75" customHeight="1" x14ac:dyDescent="0.2">
      <c r="B949" s="44"/>
    </row>
    <row r="950" spans="2:2" ht="15.75" customHeight="1" x14ac:dyDescent="0.2">
      <c r="B950" s="44"/>
    </row>
    <row r="951" spans="2:2" ht="15.75" customHeight="1" x14ac:dyDescent="0.2">
      <c r="B951" s="44"/>
    </row>
    <row r="952" spans="2:2" ht="15.75" customHeight="1" x14ac:dyDescent="0.2">
      <c r="B952" s="44"/>
    </row>
    <row r="953" spans="2:2" ht="15.75" customHeight="1" x14ac:dyDescent="0.2">
      <c r="B953" s="44"/>
    </row>
    <row r="954" spans="2:2" ht="15.75" customHeight="1" x14ac:dyDescent="0.2">
      <c r="B954" s="44"/>
    </row>
    <row r="955" spans="2:2" ht="15.75" customHeight="1" x14ac:dyDescent="0.2">
      <c r="B955" s="44"/>
    </row>
    <row r="956" spans="2:2" ht="15.75" customHeight="1" x14ac:dyDescent="0.2">
      <c r="B956" s="44"/>
    </row>
    <row r="957" spans="2:2" ht="15.75" customHeight="1" x14ac:dyDescent="0.2">
      <c r="B957" s="44"/>
    </row>
    <row r="958" spans="2:2" ht="15.75" customHeight="1" x14ac:dyDescent="0.2">
      <c r="B958" s="44"/>
    </row>
    <row r="959" spans="2:2" ht="15.75" customHeight="1" x14ac:dyDescent="0.2">
      <c r="B959" s="44"/>
    </row>
    <row r="960" spans="2:2" ht="15.75" customHeight="1" x14ac:dyDescent="0.2">
      <c r="B960" s="44"/>
    </row>
    <row r="961" spans="2:2" ht="15.75" customHeight="1" x14ac:dyDescent="0.2">
      <c r="B961" s="44"/>
    </row>
    <row r="962" spans="2:2" ht="15.75" customHeight="1" x14ac:dyDescent="0.2">
      <c r="B962" s="44"/>
    </row>
    <row r="963" spans="2:2" ht="15.75" customHeight="1" x14ac:dyDescent="0.2">
      <c r="B963" s="44"/>
    </row>
    <row r="964" spans="2:2" ht="15.75" customHeight="1" x14ac:dyDescent="0.2">
      <c r="B964" s="44"/>
    </row>
    <row r="965" spans="2:2" ht="15.75" customHeight="1" x14ac:dyDescent="0.2">
      <c r="B965" s="44"/>
    </row>
    <row r="966" spans="2:2" ht="15.75" customHeight="1" x14ac:dyDescent="0.2">
      <c r="B966" s="44"/>
    </row>
    <row r="967" spans="2:2" ht="15.75" customHeight="1" x14ac:dyDescent="0.2">
      <c r="B967" s="44"/>
    </row>
    <row r="968" spans="2:2" ht="15.75" customHeight="1" x14ac:dyDescent="0.2">
      <c r="B968" s="44"/>
    </row>
    <row r="969" spans="2:2" ht="15.75" customHeight="1" x14ac:dyDescent="0.2">
      <c r="B969" s="44"/>
    </row>
    <row r="970" spans="2:2" ht="15.75" customHeight="1" x14ac:dyDescent="0.2">
      <c r="B970" s="44"/>
    </row>
    <row r="971" spans="2:2" ht="15.75" customHeight="1" x14ac:dyDescent="0.2">
      <c r="B971" s="44"/>
    </row>
    <row r="972" spans="2:2" ht="15.75" customHeight="1" x14ac:dyDescent="0.2">
      <c r="B972" s="44"/>
    </row>
    <row r="973" spans="2:2" ht="15.75" customHeight="1" x14ac:dyDescent="0.2">
      <c r="B973" s="44"/>
    </row>
    <row r="974" spans="2:2" ht="15.75" customHeight="1" x14ac:dyDescent="0.2">
      <c r="B974" s="44"/>
    </row>
    <row r="975" spans="2:2" ht="15.75" customHeight="1" x14ac:dyDescent="0.2">
      <c r="B975" s="44"/>
    </row>
    <row r="976" spans="2:2" ht="15.75" customHeight="1" x14ac:dyDescent="0.2">
      <c r="B976" s="44"/>
    </row>
    <row r="977" spans="2:2" ht="15.75" customHeight="1" x14ac:dyDescent="0.2">
      <c r="B977" s="44"/>
    </row>
    <row r="978" spans="2:2" ht="15.75" customHeight="1" x14ac:dyDescent="0.2">
      <c r="B978" s="44"/>
    </row>
    <row r="979" spans="2:2" ht="15.75" customHeight="1" x14ac:dyDescent="0.2">
      <c r="B979" s="44"/>
    </row>
    <row r="980" spans="2:2" ht="15.75" customHeight="1" x14ac:dyDescent="0.2">
      <c r="B980" s="44"/>
    </row>
    <row r="981" spans="2:2" ht="15.75" customHeight="1" x14ac:dyDescent="0.2">
      <c r="B981" s="44"/>
    </row>
    <row r="982" spans="2:2" ht="15.75" customHeight="1" x14ac:dyDescent="0.2">
      <c r="B982" s="44"/>
    </row>
    <row r="983" spans="2:2" ht="15.75" customHeight="1" x14ac:dyDescent="0.2">
      <c r="B983" s="44"/>
    </row>
    <row r="984" spans="2:2" ht="15.75" customHeight="1" x14ac:dyDescent="0.2">
      <c r="B984" s="44"/>
    </row>
    <row r="985" spans="2:2" ht="15.75" customHeight="1" x14ac:dyDescent="0.2">
      <c r="B985" s="44"/>
    </row>
    <row r="986" spans="2:2" ht="15.75" customHeight="1" x14ac:dyDescent="0.2">
      <c r="B986" s="44"/>
    </row>
    <row r="987" spans="2:2" ht="15.75" customHeight="1" x14ac:dyDescent="0.2">
      <c r="B987" s="44"/>
    </row>
    <row r="988" spans="2:2" ht="15.75" customHeight="1" x14ac:dyDescent="0.2">
      <c r="B988" s="44"/>
    </row>
    <row r="989" spans="2:2" ht="15.75" customHeight="1" x14ac:dyDescent="0.2">
      <c r="B989" s="44"/>
    </row>
    <row r="990" spans="2:2" ht="15.75" customHeight="1" x14ac:dyDescent="0.2">
      <c r="B990" s="44"/>
    </row>
    <row r="991" spans="2:2" ht="15.75" customHeight="1" x14ac:dyDescent="0.2">
      <c r="B991" s="44"/>
    </row>
    <row r="992" spans="2:2" ht="15.75" customHeight="1" x14ac:dyDescent="0.2">
      <c r="B992" s="44"/>
    </row>
    <row r="993" spans="2:2" ht="15.75" customHeight="1" x14ac:dyDescent="0.2">
      <c r="B993" s="44"/>
    </row>
    <row r="994" spans="2:2" ht="15.75" customHeight="1" x14ac:dyDescent="0.2">
      <c r="B994" s="44"/>
    </row>
    <row r="995" spans="2:2" ht="15.75" customHeight="1" x14ac:dyDescent="0.2">
      <c r="B995" s="44"/>
    </row>
    <row r="996" spans="2:2" ht="15.75" customHeight="1" x14ac:dyDescent="0.2">
      <c r="B996" s="44"/>
    </row>
    <row r="997" spans="2:2" ht="15.75" customHeight="1" x14ac:dyDescent="0.2">
      <c r="B997" s="44"/>
    </row>
    <row r="998" spans="2:2" ht="15.75" customHeight="1" x14ac:dyDescent="0.2">
      <c r="B998" s="44"/>
    </row>
    <row r="999" spans="2:2" ht="15.75" customHeight="1" x14ac:dyDescent="0.2">
      <c r="B999" s="44"/>
    </row>
  </sheetData>
  <mergeCells count="1">
    <mergeCell ref="B2:H3"/>
  </mergeCells>
  <conditionalFormatting sqref="D8:D16 F8:F16">
    <cfRule type="cellIs" dxfId="1" priority="1" operator="greaterThan">
      <formula>0</formula>
    </cfRule>
  </conditionalFormatting>
  <conditionalFormatting sqref="D8:D16 F8:F16">
    <cfRule type="cellIs" dxfId="0" priority="2" operator="lessThan">
      <formula>0</formula>
    </cfRule>
  </conditionalFormatting>
  <pageMargins left="0.7" right="0.7" top="0.75" bottom="0.75" header="0" footer="0"/>
  <pageSetup paperSize="9" orientation="landscape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2.625" defaultRowHeight="15" customHeight="1" x14ac:dyDescent="0.2"/>
  <cols>
    <col min="1" max="6" width="16.125" customWidth="1"/>
    <col min="8" max="9" width="12.625" hidden="1"/>
  </cols>
  <sheetData>
    <row r="1" spans="1:9" ht="15" customHeight="1" x14ac:dyDescent="0.35">
      <c r="A1" s="327" t="s">
        <v>117</v>
      </c>
      <c r="B1" s="320"/>
      <c r="C1" s="320"/>
      <c r="D1" s="234"/>
      <c r="E1" s="234"/>
      <c r="F1" s="234"/>
    </row>
    <row r="2" spans="1:9" x14ac:dyDescent="0.25">
      <c r="A2" s="328"/>
      <c r="B2" s="320"/>
      <c r="C2" s="320"/>
      <c r="D2" s="234"/>
      <c r="E2" s="234"/>
      <c r="F2" s="234"/>
    </row>
    <row r="3" spans="1:9" x14ac:dyDescent="0.25">
      <c r="A3" s="235"/>
      <c r="B3" s="235" t="s">
        <v>118</v>
      </c>
      <c r="C3" s="236" t="s">
        <v>119</v>
      </c>
      <c r="D3" s="236" t="s">
        <v>120</v>
      </c>
      <c r="E3" s="237" t="s">
        <v>21</v>
      </c>
      <c r="F3" s="237" t="s">
        <v>121</v>
      </c>
      <c r="G3" s="237" t="s">
        <v>122</v>
      </c>
    </row>
    <row r="4" spans="1:9" ht="15" customHeight="1" x14ac:dyDescent="0.4">
      <c r="A4" s="238"/>
      <c r="B4" s="239">
        <f>D37</f>
        <v>6.4166666666666661</v>
      </c>
      <c r="C4" s="239" t="s">
        <v>123</v>
      </c>
      <c r="D4" s="239"/>
      <c r="E4" s="240">
        <f>E37</f>
        <v>19884.480000000003</v>
      </c>
      <c r="F4" s="240">
        <f>E4-40000</f>
        <v>-20115.519999999997</v>
      </c>
      <c r="G4" s="241">
        <f>SUM(G6:G36)</f>
        <v>3</v>
      </c>
    </row>
    <row r="5" spans="1:9" x14ac:dyDescent="0.25">
      <c r="A5" s="242" t="s">
        <v>124</v>
      </c>
      <c r="B5" s="243" t="s">
        <v>125</v>
      </c>
      <c r="C5" s="243" t="s">
        <v>126</v>
      </c>
      <c r="D5" s="243" t="s">
        <v>127</v>
      </c>
      <c r="E5" s="243" t="s">
        <v>128</v>
      </c>
      <c r="F5" s="244" t="s">
        <v>129</v>
      </c>
      <c r="G5" s="244" t="s">
        <v>130</v>
      </c>
    </row>
    <row r="6" spans="1:9" x14ac:dyDescent="0.25">
      <c r="A6" s="245">
        <v>44562</v>
      </c>
      <c r="B6" s="246"/>
      <c r="C6" s="246"/>
      <c r="D6" s="247">
        <f t="shared" ref="D6:D36" si="0">C6-B6</f>
        <v>0</v>
      </c>
      <c r="E6" s="248">
        <f t="shared" ref="E6:E36" si="1">I6*D6*24</f>
        <v>0</v>
      </c>
      <c r="F6" s="249"/>
      <c r="G6" s="249"/>
    </row>
    <row r="7" spans="1:9" x14ac:dyDescent="0.25">
      <c r="A7" s="245">
        <v>44563</v>
      </c>
      <c r="B7" s="246"/>
      <c r="C7" s="246"/>
      <c r="D7" s="247">
        <f t="shared" si="0"/>
        <v>0</v>
      </c>
      <c r="E7" s="248">
        <f t="shared" si="1"/>
        <v>0</v>
      </c>
      <c r="F7" s="249"/>
      <c r="G7" s="249"/>
    </row>
    <row r="8" spans="1:9" x14ac:dyDescent="0.25">
      <c r="A8" s="245">
        <v>44564</v>
      </c>
      <c r="B8" s="246"/>
      <c r="C8" s="246"/>
      <c r="D8" s="247">
        <f t="shared" si="0"/>
        <v>0</v>
      </c>
      <c r="E8" s="248">
        <f t="shared" si="1"/>
        <v>0</v>
      </c>
      <c r="F8" s="249"/>
      <c r="G8" s="249"/>
    </row>
    <row r="9" spans="1:9" x14ac:dyDescent="0.25">
      <c r="A9" s="251">
        <v>44565</v>
      </c>
      <c r="B9" s="252">
        <v>0.25</v>
      </c>
      <c r="C9" s="252">
        <v>0.83333333333333337</v>
      </c>
      <c r="D9" s="253">
        <f t="shared" si="0"/>
        <v>0.58333333333333337</v>
      </c>
      <c r="E9" s="254">
        <f t="shared" si="1"/>
        <v>1807.6800000000003</v>
      </c>
      <c r="F9" s="254">
        <f t="shared" ref="F9:F11" si="2">E9-H9</f>
        <v>-1.9999999999754436E-2</v>
      </c>
      <c r="G9" s="255"/>
      <c r="H9" s="210">
        <v>1807.7</v>
      </c>
      <c r="I9" s="210">
        <v>129.12</v>
      </c>
    </row>
    <row r="10" spans="1:9" x14ac:dyDescent="0.25">
      <c r="A10" s="251">
        <v>44566</v>
      </c>
      <c r="B10" s="252">
        <v>0.25</v>
      </c>
      <c r="C10" s="252">
        <v>0.83333333333333337</v>
      </c>
      <c r="D10" s="253">
        <f t="shared" si="0"/>
        <v>0.58333333333333337</v>
      </c>
      <c r="E10" s="254">
        <f t="shared" si="1"/>
        <v>1807.6800000000003</v>
      </c>
      <c r="F10" s="254">
        <f t="shared" si="2"/>
        <v>-1.9999999999754436E-2</v>
      </c>
      <c r="G10" s="256"/>
      <c r="H10" s="210">
        <v>1807.7</v>
      </c>
      <c r="I10" s="210">
        <v>129.12</v>
      </c>
    </row>
    <row r="11" spans="1:9" x14ac:dyDescent="0.25">
      <c r="A11" s="251">
        <v>44567</v>
      </c>
      <c r="B11" s="252">
        <v>0.25</v>
      </c>
      <c r="C11" s="252">
        <v>0.83333333333333337</v>
      </c>
      <c r="D11" s="253">
        <f t="shared" si="0"/>
        <v>0.58333333333333337</v>
      </c>
      <c r="E11" s="254">
        <f t="shared" si="1"/>
        <v>1807.6800000000003</v>
      </c>
      <c r="F11" s="254">
        <f t="shared" si="2"/>
        <v>-1.9999999999754436E-2</v>
      </c>
      <c r="G11" s="255"/>
      <c r="H11" s="210">
        <v>1807.7</v>
      </c>
      <c r="I11" s="210">
        <v>129.12</v>
      </c>
    </row>
    <row r="12" spans="1:9" x14ac:dyDescent="0.25">
      <c r="A12" s="245">
        <v>44568</v>
      </c>
      <c r="B12" s="257"/>
      <c r="C12" s="257"/>
      <c r="D12" s="258">
        <f t="shared" si="0"/>
        <v>0</v>
      </c>
      <c r="E12" s="248">
        <f t="shared" si="1"/>
        <v>0</v>
      </c>
      <c r="F12" s="249"/>
      <c r="G12" s="249"/>
      <c r="H12" s="210">
        <v>1807.7</v>
      </c>
      <c r="I12" s="210">
        <v>129.12</v>
      </c>
    </row>
    <row r="13" spans="1:9" x14ac:dyDescent="0.25">
      <c r="A13" s="251">
        <v>44569</v>
      </c>
      <c r="B13" s="252">
        <v>0.25</v>
      </c>
      <c r="C13" s="252">
        <v>0.83333333333333337</v>
      </c>
      <c r="D13" s="253">
        <f t="shared" si="0"/>
        <v>0.58333333333333337</v>
      </c>
      <c r="E13" s="254">
        <f t="shared" si="1"/>
        <v>1807.6800000000003</v>
      </c>
      <c r="F13" s="254">
        <f t="shared" ref="F13:F18" si="3">E13-H13</f>
        <v>-1.9999999999754436E-2</v>
      </c>
      <c r="G13" s="256">
        <v>2</v>
      </c>
      <c r="H13" s="210">
        <v>1807.7</v>
      </c>
      <c r="I13" s="210">
        <v>129.12</v>
      </c>
    </row>
    <row r="14" spans="1:9" x14ac:dyDescent="0.25">
      <c r="A14" s="251">
        <v>44570</v>
      </c>
      <c r="B14" s="252">
        <v>0.25</v>
      </c>
      <c r="C14" s="252">
        <v>0.83333333333333337</v>
      </c>
      <c r="D14" s="253">
        <f t="shared" si="0"/>
        <v>0.58333333333333337</v>
      </c>
      <c r="E14" s="254">
        <f t="shared" si="1"/>
        <v>1807.6800000000003</v>
      </c>
      <c r="F14" s="254">
        <f t="shared" si="3"/>
        <v>-1.9999999999754436E-2</v>
      </c>
      <c r="G14" s="255"/>
      <c r="H14" s="210">
        <v>1807.7</v>
      </c>
      <c r="I14" s="210">
        <v>129.12</v>
      </c>
    </row>
    <row r="15" spans="1:9" x14ac:dyDescent="0.25">
      <c r="A15" s="251">
        <v>44571</v>
      </c>
      <c r="B15" s="252">
        <v>0.25</v>
      </c>
      <c r="C15" s="252">
        <v>0.83333333333333337</v>
      </c>
      <c r="D15" s="253">
        <f t="shared" si="0"/>
        <v>0.58333333333333337</v>
      </c>
      <c r="E15" s="254">
        <f t="shared" si="1"/>
        <v>1807.6800000000003</v>
      </c>
      <c r="F15" s="254">
        <f t="shared" si="3"/>
        <v>-1.9999999999754436E-2</v>
      </c>
      <c r="G15" s="255"/>
      <c r="H15" s="210">
        <v>1807.7</v>
      </c>
      <c r="I15" s="210">
        <v>129.12</v>
      </c>
    </row>
    <row r="16" spans="1:9" x14ac:dyDescent="0.25">
      <c r="A16" s="251">
        <v>44572</v>
      </c>
      <c r="B16" s="252">
        <v>0.25</v>
      </c>
      <c r="C16" s="252">
        <v>0.83333333333333337</v>
      </c>
      <c r="D16" s="253">
        <f t="shared" si="0"/>
        <v>0.58333333333333337</v>
      </c>
      <c r="E16" s="254">
        <f t="shared" si="1"/>
        <v>1807.6800000000003</v>
      </c>
      <c r="F16" s="254">
        <f t="shared" si="3"/>
        <v>-1.9999999999754436E-2</v>
      </c>
      <c r="G16" s="256"/>
      <c r="H16" s="210">
        <v>1807.7</v>
      </c>
      <c r="I16" s="210">
        <v>129.12</v>
      </c>
    </row>
    <row r="17" spans="1:9" x14ac:dyDescent="0.25">
      <c r="A17" s="251">
        <v>44573</v>
      </c>
      <c r="B17" s="252">
        <v>0.25</v>
      </c>
      <c r="C17" s="252">
        <v>0.83333333333333337</v>
      </c>
      <c r="D17" s="253">
        <f t="shared" si="0"/>
        <v>0.58333333333333337</v>
      </c>
      <c r="E17" s="254">
        <f t="shared" si="1"/>
        <v>1807.6800000000003</v>
      </c>
      <c r="F17" s="254">
        <f t="shared" si="3"/>
        <v>-1.9999999999754436E-2</v>
      </c>
      <c r="G17" s="255"/>
      <c r="H17" s="210">
        <v>1807.7</v>
      </c>
      <c r="I17" s="210">
        <v>129.12</v>
      </c>
    </row>
    <row r="18" spans="1:9" x14ac:dyDescent="0.25">
      <c r="A18" s="251">
        <v>44574</v>
      </c>
      <c r="B18" s="252">
        <v>0.25</v>
      </c>
      <c r="C18" s="252">
        <v>0.83333333333333337</v>
      </c>
      <c r="D18" s="253">
        <f t="shared" si="0"/>
        <v>0.58333333333333337</v>
      </c>
      <c r="E18" s="254">
        <f t="shared" si="1"/>
        <v>1807.6800000000003</v>
      </c>
      <c r="F18" s="254">
        <f t="shared" si="3"/>
        <v>-1.9999999999754436E-2</v>
      </c>
      <c r="G18" s="255"/>
      <c r="H18" s="210">
        <v>1807.7</v>
      </c>
      <c r="I18" s="210">
        <v>129.12</v>
      </c>
    </row>
    <row r="19" spans="1:9" x14ac:dyDescent="0.25">
      <c r="A19" s="245">
        <v>44575</v>
      </c>
      <c r="B19" s="257"/>
      <c r="C19" s="257"/>
      <c r="D19" s="258">
        <f t="shared" si="0"/>
        <v>0</v>
      </c>
      <c r="E19" s="248">
        <f t="shared" si="1"/>
        <v>0</v>
      </c>
      <c r="F19" s="249"/>
      <c r="G19" s="249"/>
      <c r="H19" s="210">
        <v>1807.7</v>
      </c>
      <c r="I19" s="210">
        <v>129.12</v>
      </c>
    </row>
    <row r="20" spans="1:9" x14ac:dyDescent="0.25">
      <c r="A20" s="251">
        <v>44576</v>
      </c>
      <c r="B20" s="252">
        <v>0.25</v>
      </c>
      <c r="C20" s="252">
        <v>0.83333333333333337</v>
      </c>
      <c r="D20" s="253">
        <f t="shared" si="0"/>
        <v>0.58333333333333337</v>
      </c>
      <c r="E20" s="254">
        <f t="shared" si="1"/>
        <v>1807.6800000000003</v>
      </c>
      <c r="F20" s="254">
        <f t="shared" ref="F20:F25" si="4">E20-H20</f>
        <v>-1.9999999999754436E-2</v>
      </c>
      <c r="G20" s="255"/>
      <c r="H20" s="210">
        <v>1807.7</v>
      </c>
      <c r="I20" s="210">
        <v>129.12</v>
      </c>
    </row>
    <row r="21" spans="1:9" x14ac:dyDescent="0.25">
      <c r="A21" s="251">
        <v>44577</v>
      </c>
      <c r="B21" s="252">
        <v>0.25</v>
      </c>
      <c r="C21" s="252">
        <v>0.83333333333333337</v>
      </c>
      <c r="D21" s="253">
        <f t="shared" si="0"/>
        <v>0.58333333333333337</v>
      </c>
      <c r="E21" s="254">
        <f t="shared" si="1"/>
        <v>1807.6800000000003</v>
      </c>
      <c r="F21" s="254">
        <f t="shared" si="4"/>
        <v>-1.9999999999754436E-2</v>
      </c>
      <c r="G21" s="255"/>
      <c r="H21" s="210">
        <v>1807.7</v>
      </c>
      <c r="I21" s="210">
        <v>129.12</v>
      </c>
    </row>
    <row r="22" spans="1:9" x14ac:dyDescent="0.25">
      <c r="A22" s="251">
        <v>44578</v>
      </c>
      <c r="B22" s="252"/>
      <c r="C22" s="252"/>
      <c r="D22" s="253">
        <f t="shared" si="0"/>
        <v>0</v>
      </c>
      <c r="E22" s="254">
        <f t="shared" si="1"/>
        <v>0</v>
      </c>
      <c r="F22" s="254">
        <f t="shared" si="4"/>
        <v>-1807.7</v>
      </c>
      <c r="G22" s="256">
        <v>1</v>
      </c>
      <c r="H22" s="210">
        <v>1807.7</v>
      </c>
      <c r="I22" s="210">
        <v>129.12</v>
      </c>
    </row>
    <row r="23" spans="1:9" x14ac:dyDescent="0.25">
      <c r="A23" s="251">
        <v>44579</v>
      </c>
      <c r="B23" s="252"/>
      <c r="C23" s="252"/>
      <c r="D23" s="253">
        <f t="shared" si="0"/>
        <v>0</v>
      </c>
      <c r="E23" s="254">
        <f t="shared" si="1"/>
        <v>0</v>
      </c>
      <c r="F23" s="254">
        <f t="shared" si="4"/>
        <v>-1807.7</v>
      </c>
      <c r="G23" s="255"/>
      <c r="H23" s="210">
        <v>1807.7</v>
      </c>
      <c r="I23" s="210">
        <v>129.12</v>
      </c>
    </row>
    <row r="24" spans="1:9" x14ac:dyDescent="0.25">
      <c r="A24" s="251">
        <v>44580</v>
      </c>
      <c r="B24" s="252"/>
      <c r="C24" s="252"/>
      <c r="D24" s="253">
        <f t="shared" si="0"/>
        <v>0</v>
      </c>
      <c r="E24" s="254">
        <f t="shared" si="1"/>
        <v>0</v>
      </c>
      <c r="F24" s="254">
        <f t="shared" si="4"/>
        <v>-1807.7</v>
      </c>
      <c r="G24" s="255"/>
      <c r="H24" s="210">
        <v>1807.7</v>
      </c>
      <c r="I24" s="210">
        <v>129.12</v>
      </c>
    </row>
    <row r="25" spans="1:9" x14ac:dyDescent="0.25">
      <c r="A25" s="251">
        <v>44581</v>
      </c>
      <c r="B25" s="252"/>
      <c r="C25" s="252"/>
      <c r="D25" s="253">
        <f t="shared" si="0"/>
        <v>0</v>
      </c>
      <c r="E25" s="254">
        <f t="shared" si="1"/>
        <v>0</v>
      </c>
      <c r="F25" s="254">
        <f t="shared" si="4"/>
        <v>-1807.7</v>
      </c>
      <c r="G25" s="255"/>
      <c r="H25" s="210">
        <v>1807.7</v>
      </c>
      <c r="I25" s="210">
        <v>129.12</v>
      </c>
    </row>
    <row r="26" spans="1:9" x14ac:dyDescent="0.25">
      <c r="A26" s="245">
        <v>44582</v>
      </c>
      <c r="B26" s="257"/>
      <c r="C26" s="257"/>
      <c r="D26" s="258">
        <f t="shared" si="0"/>
        <v>0</v>
      </c>
      <c r="E26" s="248">
        <f t="shared" si="1"/>
        <v>0</v>
      </c>
      <c r="F26" s="249"/>
      <c r="G26" s="249"/>
      <c r="H26" s="210">
        <v>1807.7</v>
      </c>
      <c r="I26" s="210">
        <v>129.12</v>
      </c>
    </row>
    <row r="27" spans="1:9" x14ac:dyDescent="0.25">
      <c r="A27" s="251">
        <v>44583</v>
      </c>
      <c r="B27" s="252"/>
      <c r="C27" s="252"/>
      <c r="D27" s="253">
        <f t="shared" si="0"/>
        <v>0</v>
      </c>
      <c r="E27" s="254">
        <f t="shared" si="1"/>
        <v>0</v>
      </c>
      <c r="F27" s="254">
        <f t="shared" ref="F27:F32" si="5">E27-H27</f>
        <v>-1807.7</v>
      </c>
      <c r="G27" s="255"/>
      <c r="H27" s="210">
        <v>1807.7</v>
      </c>
      <c r="I27" s="210">
        <v>129.12</v>
      </c>
    </row>
    <row r="28" spans="1:9" x14ac:dyDescent="0.25">
      <c r="A28" s="251">
        <v>44584</v>
      </c>
      <c r="B28" s="252"/>
      <c r="C28" s="252"/>
      <c r="D28" s="253">
        <f t="shared" si="0"/>
        <v>0</v>
      </c>
      <c r="E28" s="254">
        <f t="shared" si="1"/>
        <v>0</v>
      </c>
      <c r="F28" s="254">
        <f t="shared" si="5"/>
        <v>-1807.7</v>
      </c>
      <c r="G28" s="255"/>
      <c r="H28" s="210">
        <v>1807.7</v>
      </c>
      <c r="I28" s="210">
        <v>129.12</v>
      </c>
    </row>
    <row r="29" spans="1:9" x14ac:dyDescent="0.25">
      <c r="A29" s="251">
        <v>44585</v>
      </c>
      <c r="B29" s="252"/>
      <c r="C29" s="252"/>
      <c r="D29" s="253">
        <f t="shared" si="0"/>
        <v>0</v>
      </c>
      <c r="E29" s="254">
        <f t="shared" si="1"/>
        <v>0</v>
      </c>
      <c r="F29" s="254">
        <f t="shared" si="5"/>
        <v>-1807.7</v>
      </c>
      <c r="G29" s="255"/>
      <c r="H29" s="210">
        <v>1807.7</v>
      </c>
      <c r="I29" s="210">
        <v>129.12</v>
      </c>
    </row>
    <row r="30" spans="1:9" x14ac:dyDescent="0.25">
      <c r="A30" s="251">
        <v>44586</v>
      </c>
      <c r="B30" s="252"/>
      <c r="C30" s="252"/>
      <c r="D30" s="253">
        <f t="shared" si="0"/>
        <v>0</v>
      </c>
      <c r="E30" s="254">
        <f t="shared" si="1"/>
        <v>0</v>
      </c>
      <c r="F30" s="254">
        <f t="shared" si="5"/>
        <v>-1807.7</v>
      </c>
      <c r="G30" s="255"/>
      <c r="H30" s="210">
        <v>1807.7</v>
      </c>
      <c r="I30" s="210">
        <v>129.12</v>
      </c>
    </row>
    <row r="31" spans="1:9" x14ac:dyDescent="0.25">
      <c r="A31" s="251">
        <v>44587</v>
      </c>
      <c r="B31" s="252"/>
      <c r="C31" s="252"/>
      <c r="D31" s="253">
        <f t="shared" si="0"/>
        <v>0</v>
      </c>
      <c r="E31" s="254">
        <f t="shared" si="1"/>
        <v>0</v>
      </c>
      <c r="F31" s="254">
        <f t="shared" si="5"/>
        <v>-1807.7</v>
      </c>
      <c r="G31" s="255"/>
      <c r="H31" s="210">
        <v>1807.7</v>
      </c>
      <c r="I31" s="210">
        <v>129.12</v>
      </c>
    </row>
    <row r="32" spans="1:9" x14ac:dyDescent="0.25">
      <c r="A32" s="251">
        <v>44588</v>
      </c>
      <c r="B32" s="252"/>
      <c r="C32" s="252"/>
      <c r="D32" s="253">
        <f t="shared" si="0"/>
        <v>0</v>
      </c>
      <c r="E32" s="254">
        <f t="shared" si="1"/>
        <v>0</v>
      </c>
      <c r="F32" s="254">
        <f t="shared" si="5"/>
        <v>-1807.7</v>
      </c>
      <c r="G32" s="255"/>
      <c r="H32" s="210">
        <v>1807.7</v>
      </c>
      <c r="I32" s="210">
        <v>129.12</v>
      </c>
    </row>
    <row r="33" spans="1:9" x14ac:dyDescent="0.25">
      <c r="A33" s="245">
        <v>44589</v>
      </c>
      <c r="B33" s="259"/>
      <c r="C33" s="249"/>
      <c r="D33" s="260">
        <f t="shared" si="0"/>
        <v>0</v>
      </c>
      <c r="E33" s="248">
        <f t="shared" si="1"/>
        <v>0</v>
      </c>
      <c r="F33" s="249"/>
      <c r="G33" s="249"/>
      <c r="H33" s="210">
        <v>1807.7</v>
      </c>
      <c r="I33" s="210">
        <v>129.12</v>
      </c>
    </row>
    <row r="34" spans="1:9" x14ac:dyDescent="0.25">
      <c r="A34" s="251">
        <v>44590</v>
      </c>
      <c r="B34" s="261"/>
      <c r="C34" s="261"/>
      <c r="D34" s="262">
        <f t="shared" si="0"/>
        <v>0</v>
      </c>
      <c r="E34" s="254">
        <f t="shared" si="1"/>
        <v>0</v>
      </c>
      <c r="F34" s="254">
        <f t="shared" ref="F34:F36" si="6">E34-H34</f>
        <v>-1807.7</v>
      </c>
      <c r="G34" s="255"/>
      <c r="H34" s="210">
        <v>1807.7</v>
      </c>
      <c r="I34" s="210">
        <v>129.12</v>
      </c>
    </row>
    <row r="35" spans="1:9" x14ac:dyDescent="0.25">
      <c r="A35" s="251">
        <v>44591</v>
      </c>
      <c r="B35" s="261"/>
      <c r="C35" s="261"/>
      <c r="D35" s="262">
        <f t="shared" si="0"/>
        <v>0</v>
      </c>
      <c r="E35" s="254">
        <f t="shared" si="1"/>
        <v>0</v>
      </c>
      <c r="F35" s="254">
        <f t="shared" si="6"/>
        <v>-1807.7</v>
      </c>
      <c r="G35" s="255"/>
      <c r="H35" s="210">
        <v>1807.7</v>
      </c>
      <c r="I35" s="210">
        <v>129.12</v>
      </c>
    </row>
    <row r="36" spans="1:9" x14ac:dyDescent="0.25">
      <c r="A36" s="251">
        <v>44592</v>
      </c>
      <c r="B36" s="261"/>
      <c r="C36" s="261"/>
      <c r="D36" s="262">
        <f t="shared" si="0"/>
        <v>0</v>
      </c>
      <c r="E36" s="254">
        <f t="shared" si="1"/>
        <v>0</v>
      </c>
      <c r="F36" s="254">
        <f t="shared" si="6"/>
        <v>-1807.7</v>
      </c>
      <c r="G36" s="255"/>
      <c r="H36" s="210">
        <v>1807.7</v>
      </c>
      <c r="I36" s="210">
        <v>129.12</v>
      </c>
    </row>
    <row r="37" spans="1:9" x14ac:dyDescent="0.25">
      <c r="A37" s="263" t="s">
        <v>21</v>
      </c>
      <c r="B37" s="264"/>
      <c r="C37" s="264"/>
      <c r="D37" s="265">
        <f t="shared" ref="D37:E37" si="7">SUM(D6:D36)</f>
        <v>6.4166666666666661</v>
      </c>
      <c r="E37" s="266">
        <f t="shared" si="7"/>
        <v>19884.480000000003</v>
      </c>
      <c r="F37" s="267"/>
      <c r="G37" s="267"/>
    </row>
  </sheetData>
  <mergeCells count="2">
    <mergeCell ref="A1:C1"/>
    <mergeCell ref="A2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2.625" defaultRowHeight="15" customHeight="1" x14ac:dyDescent="0.2"/>
  <cols>
    <col min="1" max="1" width="6.125" customWidth="1"/>
    <col min="3" max="3" width="14.875" customWidth="1"/>
    <col min="4" max="4" width="15.375" customWidth="1"/>
    <col min="8" max="8" width="2.25" hidden="1" customWidth="1"/>
    <col min="9" max="9" width="1.875" hidden="1" customWidth="1"/>
  </cols>
  <sheetData>
    <row r="1" spans="1:9" ht="15" customHeight="1" x14ac:dyDescent="0.35">
      <c r="A1" s="327" t="s">
        <v>117</v>
      </c>
      <c r="B1" s="320"/>
      <c r="C1" s="320"/>
      <c r="D1" s="234"/>
      <c r="E1" s="234"/>
      <c r="F1" s="234"/>
    </row>
    <row r="2" spans="1:9" x14ac:dyDescent="0.25">
      <c r="A2" s="328"/>
      <c r="B2" s="320"/>
      <c r="C2" s="320"/>
      <c r="D2" s="234"/>
      <c r="E2" s="234"/>
      <c r="F2" s="234"/>
    </row>
    <row r="3" spans="1:9" x14ac:dyDescent="0.25">
      <c r="A3" s="235"/>
      <c r="B3" s="235" t="s">
        <v>118</v>
      </c>
      <c r="C3" s="236" t="s">
        <v>119</v>
      </c>
      <c r="D3" s="236" t="s">
        <v>120</v>
      </c>
      <c r="E3" s="237" t="s">
        <v>21</v>
      </c>
      <c r="F3" s="237" t="s">
        <v>121</v>
      </c>
      <c r="G3" s="237" t="s">
        <v>122</v>
      </c>
    </row>
    <row r="4" spans="1:9" ht="15" customHeight="1" x14ac:dyDescent="0.4">
      <c r="A4" s="238"/>
      <c r="B4" s="239">
        <f>D37</f>
        <v>1.4131944444444444</v>
      </c>
      <c r="C4" s="239">
        <v>12</v>
      </c>
      <c r="D4" s="239">
        <f>B4-C4</f>
        <v>-10.586805555555555</v>
      </c>
      <c r="E4" s="240">
        <f>E37</f>
        <v>4348.286250000001</v>
      </c>
      <c r="F4" s="240">
        <f>E4-40000</f>
        <v>-35651.713749999995</v>
      </c>
      <c r="G4" s="241">
        <f>SUM(G9:G36)</f>
        <v>4</v>
      </c>
    </row>
    <row r="5" spans="1:9" x14ac:dyDescent="0.25">
      <c r="A5" s="242" t="s">
        <v>124</v>
      </c>
      <c r="B5" s="243" t="s">
        <v>125</v>
      </c>
      <c r="C5" s="243" t="s">
        <v>126</v>
      </c>
      <c r="D5" s="243" t="s">
        <v>127</v>
      </c>
      <c r="E5" s="243" t="s">
        <v>128</v>
      </c>
      <c r="F5" s="244" t="s">
        <v>129</v>
      </c>
      <c r="G5" s="244" t="s">
        <v>130</v>
      </c>
      <c r="H5" s="268"/>
    </row>
    <row r="6" spans="1:9" x14ac:dyDescent="0.25">
      <c r="A6" s="245">
        <v>44562</v>
      </c>
      <c r="B6" s="246"/>
      <c r="C6" s="246"/>
      <c r="D6" s="247">
        <f t="shared" ref="D6:D36" si="0">C6-B6</f>
        <v>0</v>
      </c>
      <c r="E6" s="248">
        <f t="shared" ref="E6:E36" si="1">I6*D6*24</f>
        <v>0</v>
      </c>
      <c r="F6" s="249"/>
      <c r="G6" s="249"/>
      <c r="I6" s="210">
        <v>128.20500000000001</v>
      </c>
    </row>
    <row r="7" spans="1:9" x14ac:dyDescent="0.25">
      <c r="A7" s="245">
        <v>44563</v>
      </c>
      <c r="B7" s="246"/>
      <c r="C7" s="246"/>
      <c r="D7" s="247">
        <f t="shared" si="0"/>
        <v>0</v>
      </c>
      <c r="E7" s="248">
        <f t="shared" si="1"/>
        <v>0</v>
      </c>
      <c r="F7" s="249"/>
      <c r="G7" s="249"/>
      <c r="I7" s="210">
        <v>128.20500000000001</v>
      </c>
    </row>
    <row r="8" spans="1:9" x14ac:dyDescent="0.25">
      <c r="A8" s="245">
        <v>44564</v>
      </c>
      <c r="B8" s="246"/>
      <c r="C8" s="246"/>
      <c r="D8" s="247">
        <f t="shared" si="0"/>
        <v>0</v>
      </c>
      <c r="E8" s="248">
        <f t="shared" si="1"/>
        <v>0</v>
      </c>
      <c r="F8" s="249"/>
      <c r="G8" s="249"/>
      <c r="I8" s="210">
        <v>128.20500000000001</v>
      </c>
    </row>
    <row r="9" spans="1:9" x14ac:dyDescent="0.25">
      <c r="A9" s="269">
        <v>44565</v>
      </c>
      <c r="B9" s="252"/>
      <c r="C9" s="252"/>
      <c r="D9" s="253">
        <f t="shared" si="0"/>
        <v>0</v>
      </c>
      <c r="E9" s="254">
        <f t="shared" si="1"/>
        <v>0</v>
      </c>
      <c r="F9" s="254">
        <f t="shared" ref="F9:F11" si="2">E9-H9</f>
        <v>-1538</v>
      </c>
      <c r="G9" s="255"/>
      <c r="H9" s="278">
        <v>1538</v>
      </c>
      <c r="I9" s="210">
        <v>128.20500000000001</v>
      </c>
    </row>
    <row r="10" spans="1:9" x14ac:dyDescent="0.25">
      <c r="A10" s="269">
        <v>44566</v>
      </c>
      <c r="B10" s="252"/>
      <c r="C10" s="252"/>
      <c r="D10" s="253">
        <f t="shared" si="0"/>
        <v>0</v>
      </c>
      <c r="E10" s="254">
        <f t="shared" si="1"/>
        <v>0</v>
      </c>
      <c r="F10" s="254">
        <f t="shared" si="2"/>
        <v>-1538</v>
      </c>
      <c r="G10" s="256"/>
      <c r="H10" s="278">
        <v>1538</v>
      </c>
      <c r="I10" s="210">
        <v>128.20500000000001</v>
      </c>
    </row>
    <row r="11" spans="1:9" x14ac:dyDescent="0.25">
      <c r="A11" s="269">
        <v>44567</v>
      </c>
      <c r="B11" s="252"/>
      <c r="C11" s="252"/>
      <c r="D11" s="253">
        <f t="shared" si="0"/>
        <v>0</v>
      </c>
      <c r="E11" s="254">
        <f t="shared" si="1"/>
        <v>0</v>
      </c>
      <c r="F11" s="254">
        <f t="shared" si="2"/>
        <v>-1538</v>
      </c>
      <c r="G11" s="255"/>
      <c r="H11" s="278">
        <v>1538</v>
      </c>
      <c r="I11" s="210">
        <v>128.20500000000001</v>
      </c>
    </row>
    <row r="12" spans="1:9" x14ac:dyDescent="0.25">
      <c r="A12" s="271">
        <v>44568</v>
      </c>
      <c r="B12" s="257"/>
      <c r="C12" s="257"/>
      <c r="D12" s="258">
        <f t="shared" si="0"/>
        <v>0</v>
      </c>
      <c r="E12" s="248">
        <f t="shared" si="1"/>
        <v>0</v>
      </c>
      <c r="F12" s="249"/>
      <c r="G12" s="249"/>
      <c r="H12" s="278"/>
      <c r="I12" s="210">
        <v>128.20500000000001</v>
      </c>
    </row>
    <row r="13" spans="1:9" x14ac:dyDescent="0.25">
      <c r="A13" s="269">
        <v>44569</v>
      </c>
      <c r="B13" s="252"/>
      <c r="C13" s="252"/>
      <c r="D13" s="253">
        <f t="shared" si="0"/>
        <v>0</v>
      </c>
      <c r="E13" s="254">
        <f t="shared" si="1"/>
        <v>0</v>
      </c>
      <c r="F13" s="254">
        <f t="shared" ref="F13:F18" si="3">E13-H13</f>
        <v>-1538</v>
      </c>
      <c r="G13" s="256"/>
      <c r="H13" s="278">
        <v>1538</v>
      </c>
      <c r="I13" s="210">
        <v>128.20500000000001</v>
      </c>
    </row>
    <row r="14" spans="1:9" x14ac:dyDescent="0.25">
      <c r="A14" s="269">
        <v>44570</v>
      </c>
      <c r="B14" s="252"/>
      <c r="C14" s="252"/>
      <c r="D14" s="253">
        <f t="shared" si="0"/>
        <v>0</v>
      </c>
      <c r="E14" s="254">
        <f t="shared" si="1"/>
        <v>0</v>
      </c>
      <c r="F14" s="254">
        <f t="shared" si="3"/>
        <v>-1538</v>
      </c>
      <c r="G14" s="255"/>
      <c r="H14" s="278">
        <v>1538</v>
      </c>
      <c r="I14" s="210">
        <v>128.20500000000001</v>
      </c>
    </row>
    <row r="15" spans="1:9" x14ac:dyDescent="0.25">
      <c r="A15" s="269">
        <v>44571</v>
      </c>
      <c r="B15" s="252">
        <v>0.30694444444444446</v>
      </c>
      <c r="C15" s="252">
        <v>0.75069444444444444</v>
      </c>
      <c r="D15" s="253">
        <f t="shared" si="0"/>
        <v>0.44374999999999998</v>
      </c>
      <c r="E15" s="254">
        <f t="shared" si="1"/>
        <v>1365.3832500000001</v>
      </c>
      <c r="F15" s="254">
        <f t="shared" si="3"/>
        <v>-172.61674999999991</v>
      </c>
      <c r="G15" s="255"/>
      <c r="H15" s="278">
        <v>1538</v>
      </c>
      <c r="I15" s="210">
        <v>128.20500000000001</v>
      </c>
    </row>
    <row r="16" spans="1:9" x14ac:dyDescent="0.25">
      <c r="A16" s="269">
        <v>44572</v>
      </c>
      <c r="B16" s="252">
        <v>0.28125</v>
      </c>
      <c r="C16" s="252">
        <v>0.75347222222222221</v>
      </c>
      <c r="D16" s="253">
        <f t="shared" si="0"/>
        <v>0.47222222222222221</v>
      </c>
      <c r="E16" s="254">
        <f t="shared" si="1"/>
        <v>1452.9900000000002</v>
      </c>
      <c r="F16" s="254">
        <f t="shared" si="3"/>
        <v>-85.009999999999764</v>
      </c>
      <c r="G16" s="256"/>
      <c r="H16" s="278">
        <v>1538</v>
      </c>
      <c r="I16" s="210">
        <v>128.20500000000001</v>
      </c>
    </row>
    <row r="17" spans="1:9" x14ac:dyDescent="0.25">
      <c r="A17" s="269">
        <v>44573</v>
      </c>
      <c r="B17" s="252"/>
      <c r="C17" s="252"/>
      <c r="D17" s="253">
        <f t="shared" si="0"/>
        <v>0</v>
      </c>
      <c r="E17" s="254">
        <f t="shared" si="1"/>
        <v>0</v>
      </c>
      <c r="F17" s="254">
        <f t="shared" si="3"/>
        <v>-1538</v>
      </c>
      <c r="G17" s="255"/>
      <c r="H17" s="278">
        <v>1538</v>
      </c>
      <c r="I17" s="210">
        <v>128.20500000000001</v>
      </c>
    </row>
    <row r="18" spans="1:9" x14ac:dyDescent="0.25">
      <c r="A18" s="269">
        <v>44574</v>
      </c>
      <c r="B18" s="252">
        <v>0.25624999999999998</v>
      </c>
      <c r="C18" s="252">
        <v>0.75347222222222221</v>
      </c>
      <c r="D18" s="253">
        <f t="shared" si="0"/>
        <v>0.49722222222222223</v>
      </c>
      <c r="E18" s="254">
        <f t="shared" si="1"/>
        <v>1529.9130000000002</v>
      </c>
      <c r="F18" s="254">
        <f t="shared" si="3"/>
        <v>-8.0869999999997617</v>
      </c>
      <c r="G18" s="255"/>
      <c r="H18" s="278">
        <v>1538</v>
      </c>
      <c r="I18" s="210">
        <v>128.20500000000001</v>
      </c>
    </row>
    <row r="19" spans="1:9" x14ac:dyDescent="0.25">
      <c r="A19" s="271">
        <v>44575</v>
      </c>
      <c r="B19" s="257"/>
      <c r="C19" s="257"/>
      <c r="D19" s="258">
        <f t="shared" si="0"/>
        <v>0</v>
      </c>
      <c r="E19" s="248">
        <f t="shared" si="1"/>
        <v>0</v>
      </c>
      <c r="F19" s="249"/>
      <c r="G19" s="249"/>
      <c r="H19" s="278"/>
      <c r="I19" s="210">
        <v>128.20500000000001</v>
      </c>
    </row>
    <row r="20" spans="1:9" x14ac:dyDescent="0.25">
      <c r="A20" s="269">
        <v>44576</v>
      </c>
      <c r="B20" s="252"/>
      <c r="C20" s="252"/>
      <c r="D20" s="253">
        <f t="shared" si="0"/>
        <v>0</v>
      </c>
      <c r="E20" s="254">
        <f t="shared" si="1"/>
        <v>0</v>
      </c>
      <c r="F20" s="254">
        <f t="shared" ref="F20:F25" si="4">E20-H20</f>
        <v>-1538</v>
      </c>
      <c r="G20" s="255"/>
      <c r="H20" s="278">
        <v>1538</v>
      </c>
      <c r="I20" s="210">
        <v>128.20500000000001</v>
      </c>
    </row>
    <row r="21" spans="1:9" x14ac:dyDescent="0.25">
      <c r="A21" s="269">
        <v>44577</v>
      </c>
      <c r="B21" s="252"/>
      <c r="C21" s="252"/>
      <c r="D21" s="253">
        <f t="shared" si="0"/>
        <v>0</v>
      </c>
      <c r="E21" s="254">
        <f t="shared" si="1"/>
        <v>0</v>
      </c>
      <c r="F21" s="254">
        <f t="shared" si="4"/>
        <v>-1538</v>
      </c>
      <c r="G21" s="255"/>
      <c r="H21" s="278">
        <v>1538</v>
      </c>
      <c r="I21" s="210">
        <v>128.20500000000001</v>
      </c>
    </row>
    <row r="22" spans="1:9" x14ac:dyDescent="0.25">
      <c r="A22" s="269">
        <v>44578</v>
      </c>
      <c r="B22" s="252"/>
      <c r="C22" s="252"/>
      <c r="D22" s="253">
        <f t="shared" si="0"/>
        <v>0</v>
      </c>
      <c r="E22" s="254">
        <f t="shared" si="1"/>
        <v>0</v>
      </c>
      <c r="F22" s="254">
        <f t="shared" si="4"/>
        <v>-1538</v>
      </c>
      <c r="G22" s="255"/>
      <c r="H22" s="278">
        <v>1538</v>
      </c>
      <c r="I22" s="210">
        <v>128.20500000000001</v>
      </c>
    </row>
    <row r="23" spans="1:9" x14ac:dyDescent="0.25">
      <c r="A23" s="269">
        <v>44579</v>
      </c>
      <c r="B23" s="252"/>
      <c r="C23" s="252"/>
      <c r="D23" s="253">
        <f t="shared" si="0"/>
        <v>0</v>
      </c>
      <c r="E23" s="254">
        <f t="shared" si="1"/>
        <v>0</v>
      </c>
      <c r="F23" s="254">
        <f t="shared" si="4"/>
        <v>-1538</v>
      </c>
      <c r="G23" s="255"/>
      <c r="H23" s="278">
        <v>1538</v>
      </c>
      <c r="I23" s="210">
        <v>128.20500000000001</v>
      </c>
    </row>
    <row r="24" spans="1:9" x14ac:dyDescent="0.25">
      <c r="A24" s="269">
        <v>44580</v>
      </c>
      <c r="B24" s="252"/>
      <c r="C24" s="252"/>
      <c r="D24" s="253">
        <f t="shared" si="0"/>
        <v>0</v>
      </c>
      <c r="E24" s="254">
        <f t="shared" si="1"/>
        <v>0</v>
      </c>
      <c r="F24" s="254">
        <f t="shared" si="4"/>
        <v>-1538</v>
      </c>
      <c r="G24" s="256">
        <v>2</v>
      </c>
      <c r="H24" s="278">
        <v>1538</v>
      </c>
      <c r="I24" s="210">
        <v>128.20500000000001</v>
      </c>
    </row>
    <row r="25" spans="1:9" x14ac:dyDescent="0.25">
      <c r="A25" s="269">
        <v>44581</v>
      </c>
      <c r="B25" s="252"/>
      <c r="C25" s="252"/>
      <c r="D25" s="253">
        <f t="shared" si="0"/>
        <v>0</v>
      </c>
      <c r="E25" s="254">
        <f t="shared" si="1"/>
        <v>0</v>
      </c>
      <c r="F25" s="254">
        <f t="shared" si="4"/>
        <v>-1538</v>
      </c>
      <c r="G25" s="256">
        <v>2</v>
      </c>
      <c r="H25" s="278">
        <v>1538</v>
      </c>
      <c r="I25" s="210">
        <v>128.20500000000001</v>
      </c>
    </row>
    <row r="26" spans="1:9" x14ac:dyDescent="0.25">
      <c r="A26" s="271">
        <v>44582</v>
      </c>
      <c r="B26" s="257"/>
      <c r="C26" s="257"/>
      <c r="D26" s="258">
        <f t="shared" si="0"/>
        <v>0</v>
      </c>
      <c r="E26" s="248">
        <f t="shared" si="1"/>
        <v>0</v>
      </c>
      <c r="F26" s="249"/>
      <c r="G26" s="249"/>
      <c r="H26" s="278"/>
      <c r="I26" s="210">
        <v>128.20500000000001</v>
      </c>
    </row>
    <row r="27" spans="1:9" x14ac:dyDescent="0.25">
      <c r="A27" s="269">
        <v>44583</v>
      </c>
      <c r="B27" s="252"/>
      <c r="C27" s="252"/>
      <c r="D27" s="253">
        <f t="shared" si="0"/>
        <v>0</v>
      </c>
      <c r="E27" s="254">
        <f t="shared" si="1"/>
        <v>0</v>
      </c>
      <c r="F27" s="254">
        <f t="shared" ref="F27:F32" si="5">E27-H27</f>
        <v>-1538</v>
      </c>
      <c r="G27" s="255"/>
      <c r="H27" s="278">
        <v>1538</v>
      </c>
      <c r="I27" s="210">
        <v>128.20500000000001</v>
      </c>
    </row>
    <row r="28" spans="1:9" x14ac:dyDescent="0.25">
      <c r="A28" s="269">
        <v>44584</v>
      </c>
      <c r="B28" s="252"/>
      <c r="C28" s="252"/>
      <c r="D28" s="253">
        <f t="shared" si="0"/>
        <v>0</v>
      </c>
      <c r="E28" s="254">
        <f t="shared" si="1"/>
        <v>0</v>
      </c>
      <c r="F28" s="254">
        <f t="shared" si="5"/>
        <v>-1538</v>
      </c>
      <c r="G28" s="255"/>
      <c r="H28" s="278">
        <v>1538</v>
      </c>
      <c r="I28" s="210">
        <v>128.20500000000001</v>
      </c>
    </row>
    <row r="29" spans="1:9" x14ac:dyDescent="0.25">
      <c r="A29" s="269">
        <v>44585</v>
      </c>
      <c r="B29" s="252"/>
      <c r="C29" s="252"/>
      <c r="D29" s="253">
        <f t="shared" si="0"/>
        <v>0</v>
      </c>
      <c r="E29" s="254">
        <f t="shared" si="1"/>
        <v>0</v>
      </c>
      <c r="F29" s="254">
        <f t="shared" si="5"/>
        <v>-1538</v>
      </c>
      <c r="G29" s="255"/>
      <c r="H29" s="278">
        <v>1538</v>
      </c>
      <c r="I29" s="210">
        <v>128.20500000000001</v>
      </c>
    </row>
    <row r="30" spans="1:9" x14ac:dyDescent="0.25">
      <c r="A30" s="269">
        <v>44586</v>
      </c>
      <c r="B30" s="252"/>
      <c r="C30" s="252"/>
      <c r="D30" s="253">
        <f t="shared" si="0"/>
        <v>0</v>
      </c>
      <c r="E30" s="254">
        <f t="shared" si="1"/>
        <v>0</v>
      </c>
      <c r="F30" s="254">
        <f t="shared" si="5"/>
        <v>-1538</v>
      </c>
      <c r="G30" s="255"/>
      <c r="H30" s="278">
        <v>1538</v>
      </c>
      <c r="I30" s="210">
        <v>128.20500000000001</v>
      </c>
    </row>
    <row r="31" spans="1:9" x14ac:dyDescent="0.25">
      <c r="A31" s="269">
        <v>44587</v>
      </c>
      <c r="B31" s="252"/>
      <c r="C31" s="252"/>
      <c r="D31" s="253">
        <f t="shared" si="0"/>
        <v>0</v>
      </c>
      <c r="E31" s="254">
        <f t="shared" si="1"/>
        <v>0</v>
      </c>
      <c r="F31" s="254">
        <f t="shared" si="5"/>
        <v>-1538</v>
      </c>
      <c r="G31" s="255"/>
      <c r="H31" s="278">
        <v>1538</v>
      </c>
      <c r="I31" s="210">
        <v>128.20500000000001</v>
      </c>
    </row>
    <row r="32" spans="1:9" x14ac:dyDescent="0.25">
      <c r="A32" s="269">
        <v>44588</v>
      </c>
      <c r="B32" s="252"/>
      <c r="C32" s="252"/>
      <c r="D32" s="253">
        <f t="shared" si="0"/>
        <v>0</v>
      </c>
      <c r="E32" s="254">
        <f t="shared" si="1"/>
        <v>0</v>
      </c>
      <c r="F32" s="254">
        <f t="shared" si="5"/>
        <v>-1538</v>
      </c>
      <c r="G32" s="255"/>
      <c r="H32" s="278">
        <v>1538</v>
      </c>
      <c r="I32" s="210">
        <v>128.20500000000001</v>
      </c>
    </row>
    <row r="33" spans="1:9" x14ac:dyDescent="0.25">
      <c r="A33" s="271">
        <v>44589</v>
      </c>
      <c r="B33" s="259"/>
      <c r="C33" s="249"/>
      <c r="D33" s="260">
        <f t="shared" si="0"/>
        <v>0</v>
      </c>
      <c r="E33" s="248">
        <f t="shared" si="1"/>
        <v>0</v>
      </c>
      <c r="F33" s="249"/>
      <c r="G33" s="249"/>
      <c r="H33" s="278"/>
      <c r="I33" s="210">
        <v>128.20500000000001</v>
      </c>
    </row>
    <row r="34" spans="1:9" x14ac:dyDescent="0.25">
      <c r="A34" s="269">
        <v>44590</v>
      </c>
      <c r="B34" s="261"/>
      <c r="C34" s="261"/>
      <c r="D34" s="262">
        <f t="shared" si="0"/>
        <v>0</v>
      </c>
      <c r="E34" s="254">
        <f t="shared" si="1"/>
        <v>0</v>
      </c>
      <c r="F34" s="254">
        <f t="shared" ref="F34:F36" si="6">E34-H34</f>
        <v>-1538</v>
      </c>
      <c r="G34" s="255"/>
      <c r="H34" s="278">
        <v>1538</v>
      </c>
      <c r="I34" s="210">
        <v>128.20500000000001</v>
      </c>
    </row>
    <row r="35" spans="1:9" x14ac:dyDescent="0.25">
      <c r="A35" s="269">
        <v>44591</v>
      </c>
      <c r="B35" s="261"/>
      <c r="C35" s="261"/>
      <c r="D35" s="262">
        <f t="shared" si="0"/>
        <v>0</v>
      </c>
      <c r="E35" s="254">
        <f t="shared" si="1"/>
        <v>0</v>
      </c>
      <c r="F35" s="254">
        <f t="shared" si="6"/>
        <v>-1538</v>
      </c>
      <c r="G35" s="255"/>
      <c r="H35" s="278">
        <v>1538</v>
      </c>
      <c r="I35" s="210">
        <v>128.20500000000001</v>
      </c>
    </row>
    <row r="36" spans="1:9" x14ac:dyDescent="0.25">
      <c r="A36" s="269">
        <v>44592</v>
      </c>
      <c r="B36" s="261"/>
      <c r="C36" s="261"/>
      <c r="D36" s="262">
        <f t="shared" si="0"/>
        <v>0</v>
      </c>
      <c r="E36" s="254">
        <f t="shared" si="1"/>
        <v>0</v>
      </c>
      <c r="F36" s="254">
        <f t="shared" si="6"/>
        <v>-1538</v>
      </c>
      <c r="G36" s="255"/>
      <c r="H36" s="278">
        <v>1538</v>
      </c>
      <c r="I36" s="210">
        <v>128.20500000000001</v>
      </c>
    </row>
    <row r="37" spans="1:9" x14ac:dyDescent="0.25">
      <c r="A37" s="263" t="s">
        <v>21</v>
      </c>
      <c r="B37" s="264"/>
      <c r="C37" s="264"/>
      <c r="D37" s="265">
        <f t="shared" ref="D37:E37" si="7">SUM(D6:D36)</f>
        <v>1.4131944444444444</v>
      </c>
      <c r="E37" s="266">
        <f t="shared" si="7"/>
        <v>4348.286250000001</v>
      </c>
      <c r="F37" s="267"/>
      <c r="G37" s="267"/>
      <c r="I37" s="210">
        <v>128.20500000000001</v>
      </c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Вычисление</vt:lpstr>
      <vt:lpstr>Итоги Мотивации</vt:lpstr>
      <vt:lpstr>Данные</vt:lpstr>
      <vt:lpstr>Яхья</vt:lpstr>
      <vt:lpstr>Абдула</vt:lpstr>
      <vt:lpstr>Темерханов Расул</vt:lpstr>
      <vt:lpstr>Аятула Отчет</vt:lpstr>
      <vt:lpstr>Мирзакулов Улугбек</vt:lpstr>
      <vt:lpstr>Атаев Наиб</vt:lpstr>
      <vt:lpstr>Ашурбеков Иса</vt:lpstr>
      <vt:lpstr>Магомедов Камиль</vt:lpstr>
      <vt:lpstr>Магомедов Арсен</vt:lpstr>
      <vt:lpstr>Муртузалиев Алиасхаб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2022-01-29T03:50:42Z</dcterms:modified>
</cp:coreProperties>
</file>