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A151287-E9CA-4175-9709-943CA4D1512B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Прямой расчет" sheetId="1" r:id="rId1"/>
    <sheet name="Обратный расчет" sheetId="3" r:id="rId2"/>
    <sheet name="Для расхода" sheetId="6" r:id="rId3"/>
    <sheet name="Справочник" sheetId="2" r:id="rId4"/>
  </sheets>
  <definedNames>
    <definedName name="solver_adj" localSheetId="1" hidden="1">'Обратный расчет'!$H$11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'Обратный расчет'!$J$10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'Обратный расчет'!$J$10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hs1" localSheetId="1" hidden="1">'Обратный расчет'!$G$11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  <definedName name="x">'Прямой расчет'!$J$30</definedName>
  </definedNames>
  <calcPr calcId="191029" calcMode="manual" iterate="1" iterateCount="10000" iterateDelta="0.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3" l="1"/>
  <c r="B8" i="6"/>
  <c r="E8" i="6" s="1"/>
  <c r="C8" i="6"/>
  <c r="D8" i="6"/>
  <c r="B9" i="6"/>
  <c r="E9" i="6" s="1"/>
  <c r="C9" i="6"/>
  <c r="D9" i="6"/>
  <c r="G9" i="6" s="1"/>
  <c r="B10" i="6"/>
  <c r="E10" i="6" s="1"/>
  <c r="C10" i="6"/>
  <c r="F10" i="6" s="1"/>
  <c r="D10" i="6"/>
  <c r="G10" i="6" s="1"/>
  <c r="B11" i="6"/>
  <c r="E11" i="6" s="1"/>
  <c r="C11" i="6"/>
  <c r="D11" i="6"/>
  <c r="G11" i="6" s="1"/>
  <c r="B12" i="6"/>
  <c r="E12" i="6" s="1"/>
  <c r="C12" i="6"/>
  <c r="F12" i="6" s="1"/>
  <c r="D12" i="6"/>
  <c r="G12" i="6" s="1"/>
  <c r="B13" i="6"/>
  <c r="E13" i="6" s="1"/>
  <c r="C13" i="6"/>
  <c r="D13" i="6"/>
  <c r="B14" i="6"/>
  <c r="C14" i="6"/>
  <c r="F14" i="6" s="1"/>
  <c r="D14" i="6"/>
  <c r="G14" i="6" s="1"/>
  <c r="C7" i="6"/>
  <c r="D7" i="6"/>
  <c r="Q4" i="6"/>
  <c r="Q5" i="6"/>
  <c r="Q6" i="6"/>
  <c r="Q7" i="6"/>
  <c r="Q8" i="6"/>
  <c r="Q9" i="6"/>
  <c r="Q10" i="6"/>
  <c r="Q11" i="6"/>
  <c r="Q3" i="6"/>
  <c r="B7" i="6"/>
  <c r="E7" i="6" s="1"/>
  <c r="B16" i="6"/>
  <c r="E14" i="6"/>
  <c r="G13" i="6"/>
  <c r="F13" i="6"/>
  <c r="F11" i="6"/>
  <c r="F9" i="6"/>
  <c r="D5" i="6"/>
  <c r="C5" i="6"/>
  <c r="B5" i="6"/>
  <c r="Q50" i="2"/>
  <c r="Q51" i="2" s="1"/>
  <c r="Q69" i="2"/>
  <c r="Q70" i="2" s="1"/>
  <c r="R69" i="2"/>
  <c r="P69" i="2" s="1"/>
  <c r="P70" i="2" s="1"/>
  <c r="P68" i="2"/>
  <c r="R50" i="2"/>
  <c r="P50" i="2" s="1"/>
  <c r="P51" i="2" s="1"/>
  <c r="P49" i="2"/>
  <c r="M68" i="2"/>
  <c r="AC16" i="2"/>
  <c r="A66" i="2"/>
  <c r="A47" i="2"/>
  <c r="B26" i="3"/>
  <c r="G24" i="3"/>
  <c r="F24" i="3"/>
  <c r="E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E19" i="3"/>
  <c r="E18" i="3"/>
  <c r="E17" i="3"/>
  <c r="D15" i="3"/>
  <c r="C15" i="3"/>
  <c r="B15" i="3"/>
  <c r="I5" i="3"/>
  <c r="H5" i="3"/>
  <c r="G5" i="3"/>
  <c r="AJ3" i="2"/>
  <c r="AK3" i="2"/>
  <c r="BE4" i="2"/>
  <c r="AE3" i="2" s="1"/>
  <c r="BE5" i="2"/>
  <c r="AF3" i="2" s="1"/>
  <c r="BE6" i="2"/>
  <c r="AG3" i="2" s="1"/>
  <c r="BE7" i="2"/>
  <c r="AH3" i="2" s="1"/>
  <c r="BE8" i="2"/>
  <c r="AI3" i="2" s="1"/>
  <c r="BE9" i="2"/>
  <c r="BE10" i="2"/>
  <c r="BE11" i="2"/>
  <c r="AL3" i="2" s="1"/>
  <c r="BE12" i="2"/>
  <c r="AM3" i="2" s="1"/>
  <c r="BE13" i="2"/>
  <c r="AN3" i="2" s="1"/>
  <c r="BE14" i="2"/>
  <c r="AO3" i="2" s="1"/>
  <c r="BE15" i="2"/>
  <c r="AP3" i="2" s="1"/>
  <c r="AQ3" i="2" s="1"/>
  <c r="BE3" i="2"/>
  <c r="AD3" i="2" s="1"/>
  <c r="AC3" i="2" s="1"/>
  <c r="BA2" i="2"/>
  <c r="AV6" i="2"/>
  <c r="AU6" i="2"/>
  <c r="AW5" i="2"/>
  <c r="AW4" i="2"/>
  <c r="AW6" i="2" l="1"/>
  <c r="R51" i="2"/>
  <c r="G7" i="3" s="1"/>
  <c r="R70" i="2"/>
  <c r="G6" i="3" s="1"/>
  <c r="O69" i="2"/>
  <c r="AB27" i="2" l="1"/>
  <c r="AB28" i="2"/>
  <c r="AB29" i="2"/>
  <c r="AB30" i="2"/>
  <c r="AB31" i="2"/>
  <c r="AB38" i="2"/>
  <c r="AB39" i="2"/>
  <c r="AB40" i="2"/>
  <c r="AB41" i="2"/>
  <c r="AB42" i="2"/>
  <c r="F21" i="1"/>
  <c r="F22" i="1"/>
  <c r="F23" i="1"/>
  <c r="F24" i="1"/>
  <c r="G19" i="1" l="1"/>
  <c r="G20" i="1"/>
  <c r="G21" i="1"/>
  <c r="G22" i="1"/>
  <c r="G23" i="1"/>
  <c r="G24" i="1"/>
  <c r="D14" i="2"/>
  <c r="B26" i="1"/>
  <c r="E18" i="1"/>
  <c r="E19" i="1"/>
  <c r="E20" i="1"/>
  <c r="E21" i="1"/>
  <c r="E22" i="1"/>
  <c r="E23" i="1"/>
  <c r="E24" i="1"/>
  <c r="E17" i="1"/>
  <c r="K66" i="2"/>
  <c r="J66" i="2"/>
  <c r="I66" i="2"/>
  <c r="H66" i="2"/>
  <c r="G66" i="2"/>
  <c r="F66" i="2"/>
  <c r="E66" i="2"/>
  <c r="D66" i="2"/>
  <c r="C66" i="2"/>
  <c r="B66" i="2"/>
  <c r="K78" i="2"/>
  <c r="J78" i="2"/>
  <c r="I78" i="2"/>
  <c r="H78" i="2"/>
  <c r="G78" i="2"/>
  <c r="F78" i="2"/>
  <c r="E78" i="2"/>
  <c r="D78" i="2"/>
  <c r="C78" i="2"/>
  <c r="B78" i="2"/>
  <c r="A78" i="2"/>
  <c r="C47" i="2"/>
  <c r="D47" i="2"/>
  <c r="F47" i="2"/>
  <c r="G47" i="2"/>
  <c r="H47" i="2"/>
  <c r="I47" i="2"/>
  <c r="J47" i="2"/>
  <c r="K47" i="2"/>
  <c r="B47" i="2"/>
  <c r="C59" i="2"/>
  <c r="D59" i="2"/>
  <c r="E59" i="2"/>
  <c r="F59" i="2"/>
  <c r="G59" i="2"/>
  <c r="H59" i="2"/>
  <c r="I59" i="2"/>
  <c r="J59" i="2"/>
  <c r="B59" i="2"/>
  <c r="A59" i="2"/>
  <c r="N69" i="2"/>
  <c r="G76" i="2"/>
  <c r="G74" i="2"/>
  <c r="M49" i="2"/>
  <c r="N70" i="2" l="1"/>
  <c r="M69" i="2"/>
  <c r="M70" i="2" s="1"/>
  <c r="O70" i="2" l="1"/>
  <c r="G6" i="1" l="1"/>
  <c r="O50" i="2"/>
  <c r="E57" i="2"/>
  <c r="E55" i="2"/>
  <c r="E53" i="2"/>
  <c r="E51" i="2"/>
  <c r="E49" i="2"/>
  <c r="E48" i="2"/>
  <c r="E47" i="2" s="1"/>
  <c r="K58" i="2"/>
  <c r="K59" i="2" s="1"/>
  <c r="K57" i="2"/>
  <c r="K55" i="2"/>
  <c r="K53" i="2"/>
  <c r="K51" i="2"/>
  <c r="K49" i="2"/>
  <c r="I5" i="1"/>
  <c r="H5" i="1"/>
  <c r="G5" i="1"/>
  <c r="J10" i="2"/>
  <c r="J19" i="2"/>
  <c r="K19" i="2"/>
  <c r="I19" i="2"/>
  <c r="N50" i="2" l="1"/>
  <c r="N51" i="2" s="1"/>
  <c r="M50" i="2"/>
  <c r="M51" i="2" s="1"/>
  <c r="N34" i="2"/>
  <c r="M34" i="2" s="1"/>
  <c r="M35" i="2" s="1"/>
  <c r="N31" i="2"/>
  <c r="M31" i="2" s="1"/>
  <c r="M32" i="2" s="1"/>
  <c r="N28" i="2"/>
  <c r="M28" i="2" s="1"/>
  <c r="M29" i="2" s="1"/>
  <c r="T25" i="2"/>
  <c r="T24" i="2"/>
  <c r="L25" i="2"/>
  <c r="D20" i="2"/>
  <c r="C20" i="2" s="1"/>
  <c r="C21" i="2" s="1"/>
  <c r="D17" i="2"/>
  <c r="C17" i="2" s="1"/>
  <c r="C18" i="2" s="1"/>
  <c r="B14" i="2"/>
  <c r="B15" i="2" s="1"/>
  <c r="I24" i="2"/>
  <c r="R13" i="2"/>
  <c r="R10" i="2"/>
  <c r="Q10" i="2" s="1"/>
  <c r="Q11" i="2" s="1"/>
  <c r="N13" i="2"/>
  <c r="M13" i="2" s="1"/>
  <c r="M14" i="2" s="1"/>
  <c r="N10" i="2"/>
  <c r="L10" i="2" s="1"/>
  <c r="L11" i="2" s="1"/>
  <c r="J13" i="2"/>
  <c r="I13" i="2" s="1"/>
  <c r="I14" i="2" s="1"/>
  <c r="P7" i="2"/>
  <c r="P6" i="2"/>
  <c r="H7" i="2"/>
  <c r="I10" i="2"/>
  <c r="I11" i="2" s="1"/>
  <c r="W10" i="2"/>
  <c r="V10" i="2" s="1"/>
  <c r="V11" i="2" s="1"/>
  <c r="W8" i="2"/>
  <c r="U8" i="2" s="1"/>
  <c r="U9" i="2" s="1"/>
  <c r="U3" i="2"/>
  <c r="W6" i="2"/>
  <c r="U6" i="2" s="1"/>
  <c r="U7" i="2" s="1"/>
  <c r="E36" i="2"/>
  <c r="E37" i="2" s="1"/>
  <c r="G34" i="2"/>
  <c r="G36" i="2"/>
  <c r="F36" i="2"/>
  <c r="F37" i="2" s="1"/>
  <c r="F34" i="2"/>
  <c r="F35" i="2" s="1"/>
  <c r="F32" i="2"/>
  <c r="F33" i="2" s="1"/>
  <c r="E34" i="2"/>
  <c r="E32" i="2"/>
  <c r="E33" i="2" s="1"/>
  <c r="G32" i="2"/>
  <c r="B38" i="2"/>
  <c r="A38" i="2"/>
  <c r="B28" i="2"/>
  <c r="B15" i="1"/>
  <c r="AO13" i="2"/>
  <c r="AO14" i="2" s="1"/>
  <c r="AP13" i="2"/>
  <c r="AP14" i="2" s="1"/>
  <c r="AN13" i="2"/>
  <c r="AN14" i="2" s="1"/>
  <c r="AQ2" i="2"/>
  <c r="Q13" i="2" l="1"/>
  <c r="Q14" i="2" s="1"/>
  <c r="O51" i="2"/>
  <c r="P10" i="2"/>
  <c r="P11" i="2" s="1"/>
  <c r="R11" i="2" s="1"/>
  <c r="C14" i="2"/>
  <c r="C15" i="2" s="1"/>
  <c r="D15" i="2" s="1"/>
  <c r="B6" i="2" s="1"/>
  <c r="V6" i="2"/>
  <c r="V7" i="2" s="1"/>
  <c r="W7" i="2" s="1"/>
  <c r="B4" i="2" s="1"/>
  <c r="L31" i="2"/>
  <c r="L32" i="2" s="1"/>
  <c r="N32" i="2" s="1"/>
  <c r="C10" i="2" s="1"/>
  <c r="L34" i="2"/>
  <c r="L35" i="2" s="1"/>
  <c r="N35" i="2" s="1"/>
  <c r="D10" i="2" s="1"/>
  <c r="L28" i="2"/>
  <c r="L29" i="2" s="1"/>
  <c r="N29" i="2" s="1"/>
  <c r="B10" i="2" s="1"/>
  <c r="B20" i="2"/>
  <c r="B21" i="2" s="1"/>
  <c r="D21" i="2" s="1"/>
  <c r="D6" i="2" s="1"/>
  <c r="B17" i="2"/>
  <c r="B18" i="2" s="1"/>
  <c r="D18" i="2" s="1"/>
  <c r="C6" i="2" s="1"/>
  <c r="H10" i="2"/>
  <c r="H11" i="2" s="1"/>
  <c r="J11" i="2" s="1"/>
  <c r="H13" i="2"/>
  <c r="H14" i="2" s="1"/>
  <c r="J14" i="2" s="1"/>
  <c r="P13" i="2"/>
  <c r="P14" i="2" s="1"/>
  <c r="L13" i="2"/>
  <c r="L14" i="2" s="1"/>
  <c r="N14" i="2" s="1"/>
  <c r="M10" i="2"/>
  <c r="M11" i="2" s="1"/>
  <c r="N11" i="2" s="1"/>
  <c r="G37" i="2"/>
  <c r="D7" i="2" s="1"/>
  <c r="G8" i="6" s="1"/>
  <c r="E35" i="2"/>
  <c r="G35" i="2" s="1"/>
  <c r="C7" i="2" s="1"/>
  <c r="V8" i="2"/>
  <c r="V9" i="2" s="1"/>
  <c r="W9" i="2" s="1"/>
  <c r="C4" i="2" s="1"/>
  <c r="U10" i="2"/>
  <c r="U11" i="2" s="1"/>
  <c r="W11" i="2" s="1"/>
  <c r="D4" i="2" s="1"/>
  <c r="G33" i="2"/>
  <c r="B7" i="2" s="1"/>
  <c r="F8" i="6" l="1"/>
  <c r="F17" i="3"/>
  <c r="F18" i="3"/>
  <c r="F7" i="6"/>
  <c r="F19" i="3"/>
  <c r="G18" i="1"/>
  <c r="G18" i="3"/>
  <c r="G7" i="1"/>
  <c r="F17" i="1"/>
  <c r="R14" i="2"/>
  <c r="P15" i="2" s="1"/>
  <c r="D3" i="2" s="1"/>
  <c r="H15" i="2"/>
  <c r="B3" i="2" s="1"/>
  <c r="L15" i="2"/>
  <c r="C3" i="2" s="1"/>
  <c r="AD32" i="2"/>
  <c r="AE32" i="2"/>
  <c r="AF32" i="2"/>
  <c r="AG32" i="2"/>
  <c r="AH32" i="2"/>
  <c r="AC32" i="2"/>
  <c r="AB32" i="2" s="1"/>
  <c r="AA32" i="2"/>
  <c r="AA42" i="2" s="1"/>
  <c r="AD26" i="2"/>
  <c r="AE26" i="2"/>
  <c r="AF26" i="2"/>
  <c r="AG26" i="2"/>
  <c r="AH26" i="2"/>
  <c r="AC26" i="2"/>
  <c r="AB26" i="2" s="1"/>
  <c r="AD37" i="2"/>
  <c r="AE37" i="2"/>
  <c r="AF37" i="2"/>
  <c r="AG37" i="2"/>
  <c r="AH37" i="2"/>
  <c r="AC37" i="2"/>
  <c r="AB37" i="2" s="1"/>
  <c r="B5" i="1" l="1"/>
  <c r="G3" i="1" s="1"/>
  <c r="G4" i="1" s="1"/>
  <c r="G8" i="1" s="1"/>
  <c r="F19" i="1"/>
  <c r="F20" i="1"/>
  <c r="F18" i="1"/>
  <c r="D15" i="1"/>
  <c r="C15" i="1"/>
  <c r="I3" i="1" l="1"/>
  <c r="Y30" i="2"/>
  <c r="W30" i="2" s="1"/>
  <c r="Y24" i="2"/>
  <c r="H3" i="1"/>
  <c r="AN12" i="2"/>
  <c r="AN15" i="2" s="1"/>
  <c r="AO12" i="2"/>
  <c r="AO15" i="2" s="1"/>
  <c r="AP12" i="2"/>
  <c r="AP15" i="2" s="1"/>
  <c r="I4" i="1" l="1"/>
  <c r="H4" i="1"/>
  <c r="V33" i="2" s="1"/>
  <c r="V32" i="2" s="1"/>
  <c r="X30" i="2"/>
  <c r="X24" i="2"/>
  <c r="W24" i="2"/>
  <c r="AD13" i="2"/>
  <c r="AD14" i="2" s="1"/>
  <c r="V27" i="2"/>
  <c r="V26" i="2" s="1"/>
  <c r="AI13" i="2"/>
  <c r="AK13" i="2"/>
  <c r="AJ13" i="2"/>
  <c r="AC13" i="2"/>
  <c r="AE13" i="2"/>
  <c r="I8" i="1" l="1"/>
  <c r="H8" i="1"/>
  <c r="V31" i="2"/>
  <c r="V25" i="2"/>
  <c r="AJ14" i="2"/>
  <c r="AJ15" i="2"/>
  <c r="AI14" i="2"/>
  <c r="AI15" i="2"/>
  <c r="AC15" i="2"/>
  <c r="AC14" i="2"/>
  <c r="AE14" i="2" s="1"/>
  <c r="AD15" i="2"/>
  <c r="X32" i="2" l="1"/>
  <c r="W32" i="2"/>
  <c r="X31" i="2"/>
  <c r="W31" i="2"/>
  <c r="X25" i="2"/>
  <c r="W25" i="2"/>
  <c r="X26" i="2"/>
  <c r="W26" i="2"/>
  <c r="AK14" i="2"/>
  <c r="AK15" i="2"/>
  <c r="AE15" i="2"/>
  <c r="AN16" i="2" s="1"/>
  <c r="X33" i="2" l="1"/>
  <c r="AP16" i="2"/>
  <c r="D5" i="2" s="1"/>
  <c r="G7" i="6" s="1"/>
  <c r="D22" i="6" s="1"/>
  <c r="W33" i="2"/>
  <c r="X27" i="2"/>
  <c r="W27" i="2"/>
  <c r="Y25" i="2"/>
  <c r="Y26" i="2"/>
  <c r="B5" i="2"/>
  <c r="Y31" i="2"/>
  <c r="N5" i="6" l="1"/>
  <c r="N10" i="6"/>
  <c r="N11" i="6"/>
  <c r="N2" i="6"/>
  <c r="N9" i="6"/>
  <c r="N4" i="6"/>
  <c r="N6" i="6"/>
  <c r="N3" i="6"/>
  <c r="N8" i="6"/>
  <c r="N7" i="6"/>
  <c r="G17" i="1"/>
  <c r="D32" i="1" s="1"/>
  <c r="I9" i="1" s="1"/>
  <c r="G17" i="3"/>
  <c r="D32" i="3" s="1"/>
  <c r="Y27" i="2"/>
  <c r="B22" i="6" s="1"/>
  <c r="AF13" i="2"/>
  <c r="AF15" i="2" s="1"/>
  <c r="AG13" i="2"/>
  <c r="AG15" i="2" s="1"/>
  <c r="AH13" i="2"/>
  <c r="L3" i="6" l="1"/>
  <c r="L2" i="6"/>
  <c r="L6" i="6"/>
  <c r="L7" i="6"/>
  <c r="L8" i="6"/>
  <c r="L11" i="6"/>
  <c r="L10" i="6"/>
  <c r="L4" i="6"/>
  <c r="L9" i="6"/>
  <c r="L5" i="6"/>
  <c r="I10" i="1"/>
  <c r="B32" i="1"/>
  <c r="G10" i="1" s="1"/>
  <c r="B32" i="3"/>
  <c r="AH15" i="2"/>
  <c r="AG14" i="2"/>
  <c r="AF14" i="2"/>
  <c r="G9" i="1" l="1"/>
  <c r="AH14" i="2"/>
  <c r="AO16" i="2" s="1"/>
  <c r="C5" i="2" l="1"/>
  <c r="Y32" i="2"/>
  <c r="Y33" i="2" l="1"/>
  <c r="C22" i="6" s="1"/>
  <c r="M11" i="6" l="1"/>
  <c r="O11" i="6" s="1"/>
  <c r="M8" i="6"/>
  <c r="O8" i="6" s="1"/>
  <c r="M10" i="6"/>
  <c r="O10" i="6" s="1"/>
  <c r="M9" i="6"/>
  <c r="O9" i="6" s="1"/>
  <c r="M2" i="6"/>
  <c r="O2" i="6" s="1"/>
  <c r="M5" i="6"/>
  <c r="O5" i="6" s="1"/>
  <c r="M3" i="6"/>
  <c r="O3" i="6" s="1"/>
  <c r="M4" i="6"/>
  <c r="O4" i="6" s="1"/>
  <c r="M7" i="6"/>
  <c r="O7" i="6" s="1"/>
  <c r="M6" i="6"/>
  <c r="O6" i="6" s="1"/>
  <c r="B23" i="6"/>
  <c r="C32" i="1"/>
  <c r="C32" i="3"/>
  <c r="R5" i="6" l="1"/>
  <c r="S5" i="6" s="1"/>
  <c r="R7" i="6"/>
  <c r="S7" i="6" s="1"/>
  <c r="O20" i="6"/>
  <c r="R4" i="6"/>
  <c r="S4" i="6" s="1"/>
  <c r="R3" i="6"/>
  <c r="S3" i="6" s="1"/>
  <c r="R10" i="6"/>
  <c r="S10" i="6" s="1"/>
  <c r="R6" i="6"/>
  <c r="S6" i="6" s="1"/>
  <c r="R9" i="6"/>
  <c r="S9" i="6" s="1"/>
  <c r="R8" i="6"/>
  <c r="S8" i="6" s="1"/>
  <c r="R11" i="6"/>
  <c r="S11" i="6" s="1"/>
  <c r="H9" i="1"/>
  <c r="H10" i="1"/>
  <c r="G11" i="1" s="1"/>
  <c r="B33" i="1"/>
  <c r="B33" i="3"/>
  <c r="L2" i="1" l="1"/>
  <c r="L3" i="1" s="1"/>
  <c r="L14" i="6"/>
  <c r="L15" i="6" s="1"/>
  <c r="L2" i="3"/>
  <c r="B9" i="3"/>
  <c r="G3" i="3" s="1"/>
  <c r="G4" i="3" l="1"/>
  <c r="G8" i="3" s="1"/>
  <c r="L8" i="3"/>
  <c r="L7" i="3"/>
  <c r="L3" i="3" s="1"/>
  <c r="I3" i="3"/>
  <c r="H3" i="3"/>
  <c r="I4" i="3" l="1"/>
  <c r="I8" i="3" s="1"/>
  <c r="N8" i="3"/>
  <c r="H4" i="3"/>
  <c r="H8" i="3" s="1"/>
  <c r="M8" i="3"/>
  <c r="G9" i="3"/>
  <c r="G10" i="3"/>
  <c r="H9" i="3" l="1"/>
  <c r="H10" i="3"/>
  <c r="I9" i="3"/>
  <c r="I10" i="3"/>
  <c r="J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Владислав Трифонов</author>
  </authors>
  <commentList>
    <comment ref="B7" authorId="0" shapeId="0" xr:uid="{D0D30B8F-CFCC-44EC-AFD9-803E1852324E}">
      <text>
        <r>
          <rPr>
            <b/>
            <sz val="9"/>
            <color indexed="81"/>
            <rFont val="Tahoma"/>
            <family val="2"/>
            <charset val="204"/>
          </rPr>
          <t>Владислав Трифонов:</t>
        </r>
        <r>
          <rPr>
            <sz val="9"/>
            <color indexed="81"/>
            <rFont val="Tahoma"/>
            <family val="2"/>
            <charset val="204"/>
          </rPr>
          <t xml:space="preserve">
Формула меняется от значения суммарного сопротивления</t>
        </r>
      </text>
    </comment>
    <comment ref="B8" authorId="0" shapeId="0" xr:uid="{BF930AD9-1E83-438C-A16F-05B9107723D2}">
      <text>
        <r>
          <rPr>
            <b/>
            <sz val="9"/>
            <color indexed="81"/>
            <rFont val="Tahoma"/>
            <family val="2"/>
            <charset val="204"/>
          </rPr>
          <t>Владислав Трифонов:</t>
        </r>
        <r>
          <rPr>
            <sz val="9"/>
            <color indexed="81"/>
            <rFont val="Tahoma"/>
            <family val="2"/>
            <charset val="204"/>
          </rPr>
          <t xml:space="preserve">
Нужно в ручную менять формулу расчета для более точного значения</t>
        </r>
      </text>
    </comment>
  </commentList>
</comments>
</file>

<file path=xl/sharedStrings.xml><?xml version="1.0" encoding="utf-8"?>
<sst xmlns="http://schemas.openxmlformats.org/spreadsheetml/2006/main" count="358" uniqueCount="169">
  <si>
    <t>Начальные данные</t>
  </si>
  <si>
    <t>Жидкость</t>
  </si>
  <si>
    <t>t, C</t>
  </si>
  <si>
    <t>G, т/ч</t>
  </si>
  <si>
    <t>Δz, м</t>
  </si>
  <si>
    <t>Толуол</t>
  </si>
  <si>
    <t>d, мм</t>
  </si>
  <si>
    <t>l, м</t>
  </si>
  <si>
    <t>Элементы</t>
  </si>
  <si>
    <t>Плавный изгиб</t>
  </si>
  <si>
    <t>Участки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</si>
  <si>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, атм</t>
    </r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</si>
  <si>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, атм</t>
    </r>
  </si>
  <si>
    <r>
      <t>V,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/с</t>
    </r>
  </si>
  <si>
    <t>Ручной ввод</t>
  </si>
  <si>
    <t>Автоматизация</t>
  </si>
  <si>
    <t>Промежуточные данные</t>
  </si>
  <si>
    <t>Re</t>
  </si>
  <si>
    <t>I</t>
  </si>
  <si>
    <t>II</t>
  </si>
  <si>
    <t>III</t>
  </si>
  <si>
    <t>V, м/с</t>
  </si>
  <si>
    <t>F, м</t>
  </si>
  <si>
    <t>μ, Па*с</t>
  </si>
  <si>
    <t>Источник</t>
  </si>
  <si>
    <t>http://www.fptl.ru/spravo4nik/plotnost-rastvoritelej-ot-temperaturi.html</t>
  </si>
  <si>
    <t>.</t>
  </si>
  <si>
    <r>
      <rPr>
        <sz val="11"/>
        <color theme="1"/>
        <rFont val="Calibri"/>
        <family val="2"/>
        <charset val="204"/>
      </rPr>
      <t>ρ, кг/м</t>
    </r>
    <r>
      <rPr>
        <vertAlign val="superscript"/>
        <sz val="11"/>
        <color theme="1"/>
        <rFont val="Calibri"/>
        <family val="2"/>
        <charset val="204"/>
      </rPr>
      <t>3</t>
    </r>
  </si>
  <si>
    <t>λ</t>
  </si>
  <si>
    <t>Трубы</t>
  </si>
  <si>
    <t>Стальные новые</t>
  </si>
  <si>
    <t>Стальные старые, загрязненные</t>
  </si>
  <si>
    <t>Чугунные новые, керамические</t>
  </si>
  <si>
    <t>Алюминиевые гладкие</t>
  </si>
  <si>
    <t>Трубы из латуни, меди и свинца чистые цельнотянутые, стеклянные</t>
  </si>
  <si>
    <t>Для насыщенного пара</t>
  </si>
  <si>
    <t>Для пара, работающие периодически</t>
  </si>
  <si>
    <t>Для конденсата, работающие периодически</t>
  </si>
  <si>
    <t>Воздухопроводы от поршневых и турбокомпрессоров</t>
  </si>
  <si>
    <t>Стальные, б/у, с незначительной коррозией</t>
  </si>
  <si>
    <t>Чугунные водопроводные, б/у</t>
  </si>
  <si>
    <t>Δ</t>
  </si>
  <si>
    <t>е</t>
  </si>
  <si>
    <t>ξ</t>
  </si>
  <si>
    <t>Вентиль при полном открытии</t>
  </si>
  <si>
    <t>D, мм</t>
  </si>
  <si>
    <t>Расширение</t>
  </si>
  <si>
    <t>ξ при F1/F2, равном</t>
  </si>
  <si>
    <t>Сужение</t>
  </si>
  <si>
    <t>Плавный изгиб ξ=AB</t>
  </si>
  <si>
    <t>Коэффициент А от угла поворота</t>
  </si>
  <si>
    <t>Угол φи</t>
  </si>
  <si>
    <t>А</t>
  </si>
  <si>
    <t>Коэффициент В зависит от отношения радиуса поворота к диаметру трубы</t>
  </si>
  <si>
    <t>R0/d</t>
  </si>
  <si>
    <t>B</t>
  </si>
  <si>
    <r>
      <t>Резкий поворт(колено 90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Calibri"/>
        <family val="2"/>
        <scheme val="minor"/>
      </rPr>
      <t>)</t>
    </r>
  </si>
  <si>
    <t>dтрубы, мм</t>
  </si>
  <si>
    <t>Расширение/сужение первого и второго учатка</t>
  </si>
  <si>
    <t>Расширение/сужение второго и третьего учатка</t>
  </si>
  <si>
    <t>Fдиаф</t>
  </si>
  <si>
    <t>Много</t>
  </si>
  <si>
    <t>ξ0</t>
  </si>
  <si>
    <t>Fотв/Fт</t>
  </si>
  <si>
    <t>Ϛ</t>
  </si>
  <si>
    <t>Ϛ0</t>
  </si>
  <si>
    <t>Ϛф</t>
  </si>
  <si>
    <t>Расчет диафрагмы</t>
  </si>
  <si>
    <t>wотв м/с</t>
  </si>
  <si>
    <t>Reдиаф</t>
  </si>
  <si>
    <t>Первый участок</t>
  </si>
  <si>
    <t>Dдиаф,мм</t>
  </si>
  <si>
    <t>Sдиаф м2</t>
  </si>
  <si>
    <t>Второй участок</t>
  </si>
  <si>
    <t>Третий участок</t>
  </si>
  <si>
    <t>Ϛф(0,6)</t>
  </si>
  <si>
    <t>Значения для диафрагмы 1 участка</t>
  </si>
  <si>
    <t>1 участок</t>
  </si>
  <si>
    <t>2 участок</t>
  </si>
  <si>
    <t>3 участок</t>
  </si>
  <si>
    <t>ξ1</t>
  </si>
  <si>
    <t>ξ2</t>
  </si>
  <si>
    <t>ξ3</t>
  </si>
  <si>
    <t>Расчет резкого поворота</t>
  </si>
  <si>
    <t>D1, мм</t>
  </si>
  <si>
    <t>D2, мм</t>
  </si>
  <si>
    <t>D3, мм</t>
  </si>
  <si>
    <t>Радиус поворота</t>
  </si>
  <si>
    <t>Угол поворота</t>
  </si>
  <si>
    <t>фи</t>
  </si>
  <si>
    <r>
      <t xml:space="preserve">Угол </t>
    </r>
    <r>
      <rPr>
        <sz val="11"/>
        <color theme="1"/>
        <rFont val="Calibri"/>
        <family val="2"/>
        <charset val="204"/>
      </rPr>
      <t>Ѳ</t>
    </r>
  </si>
  <si>
    <t>Цилиндрическая труба ξ</t>
  </si>
  <si>
    <t>Пробочный кран</t>
  </si>
  <si>
    <t>D,мм</t>
  </si>
  <si>
    <t>Обр. клапан</t>
  </si>
  <si>
    <t>D клапан</t>
  </si>
  <si>
    <t>Обратный клапан</t>
  </si>
  <si>
    <t>Степень открытия задвижки</t>
  </si>
  <si>
    <r>
      <t>∑</t>
    </r>
    <r>
      <rPr>
        <vertAlign val="subscript"/>
        <sz val="11"/>
        <color theme="1"/>
        <rFont val="Calibri"/>
        <family val="2"/>
        <charset val="204"/>
      </rPr>
      <t>сопротивлений</t>
    </r>
  </si>
  <si>
    <t>Все сопротивления</t>
  </si>
  <si>
    <t>3) Диафрагма (dотв=0,6d)</t>
  </si>
  <si>
    <t>2) Резкий изгиб</t>
  </si>
  <si>
    <t>1) Плавный изгиб</t>
  </si>
  <si>
    <t>4) Кран</t>
  </si>
  <si>
    <t>5) Вентиль</t>
  </si>
  <si>
    <t>6) Задвижка при полном открытии</t>
  </si>
  <si>
    <t>7) Задвижка при степени открытия 0,3</t>
  </si>
  <si>
    <t>8) Клапан обратный</t>
  </si>
  <si>
    <t>Задвижка</t>
  </si>
  <si>
    <t>С.О.</t>
  </si>
  <si>
    <t>Учатски</t>
  </si>
  <si>
    <t>Местные сопротивления</t>
  </si>
  <si>
    <t>Итого</t>
  </si>
  <si>
    <t>Расчет сопротивления вентиль нормальный при полном открытии</t>
  </si>
  <si>
    <t>Таблица плотностей</t>
  </si>
  <si>
    <t>Ацетон</t>
  </si>
  <si>
    <t>Вода</t>
  </si>
  <si>
    <t>Глицерин</t>
  </si>
  <si>
    <t>Октан</t>
  </si>
  <si>
    <t>Серная к-та 60%</t>
  </si>
  <si>
    <t>Уксусная к-та 70%</t>
  </si>
  <si>
    <t>Хлороформ</t>
  </si>
  <si>
    <t>Этилацетат</t>
  </si>
  <si>
    <t>Этанол 40%</t>
  </si>
  <si>
    <t>-</t>
  </si>
  <si>
    <t>http://thermalinfo.ru/svojstva-zhidkostej/zhidkosti-raznye/plotnost-zhidkostej</t>
  </si>
  <si>
    <t>(грубые значения)</t>
  </si>
  <si>
    <t>https://www.center-pss.ru/st/table/tabl-plotnosti-vodi.htm</t>
  </si>
  <si>
    <t>https://нижхим.рф/articles/9104/spravochnie-dannie-po-plotnosti-rastvoriteley-kislot-i-schelochey</t>
  </si>
  <si>
    <t>(неизвестная концентрация</t>
  </si>
  <si>
    <t>https://dpva.ru/Guide/GuidePhysics/GuidePhysicsDensity/DensityOrgLiquidsTemperature/</t>
  </si>
  <si>
    <t>Таблица вязкости  μ, Па*с 10-3</t>
  </si>
  <si>
    <t>μ</t>
  </si>
  <si>
    <t>ρ</t>
  </si>
  <si>
    <t>[0;100]</t>
  </si>
  <si>
    <t>Вход</t>
  </si>
  <si>
    <t>Вход в трубу</t>
  </si>
  <si>
    <t>С острыми краями</t>
  </si>
  <si>
    <t>С закругленными краями</t>
  </si>
  <si>
    <t>Выход из трубы</t>
  </si>
  <si>
    <t>ξ=</t>
  </si>
  <si>
    <r>
      <t>Δ</t>
    </r>
    <r>
      <rPr>
        <sz val="11"/>
        <color theme="1"/>
        <rFont val="Calibri"/>
        <family val="2"/>
      </rPr>
      <t>P</t>
    </r>
    <r>
      <rPr>
        <vertAlign val="subscript"/>
        <sz val="11"/>
        <color theme="1"/>
        <rFont val="Calibri"/>
        <family val="2"/>
        <charset val="204"/>
      </rPr>
      <t>н</t>
    </r>
  </si>
  <si>
    <t>Угол крана</t>
  </si>
  <si>
    <t>Насос</t>
  </si>
  <si>
    <t>∑hп</t>
  </si>
  <si>
    <r>
      <t>h</t>
    </r>
    <r>
      <rPr>
        <vertAlign val="subscript"/>
        <sz val="11"/>
        <color theme="1"/>
        <rFont val="Calibri"/>
        <family val="2"/>
        <charset val="204"/>
      </rPr>
      <t>п</t>
    </r>
    <r>
      <rPr>
        <sz val="11"/>
        <color theme="1"/>
        <rFont val="Calibri"/>
        <family val="2"/>
        <charset val="204"/>
      </rPr>
      <t>, м</t>
    </r>
  </si>
  <si>
    <t>N, Вт</t>
  </si>
  <si>
    <t>H, м</t>
  </si>
  <si>
    <t>я</t>
  </si>
  <si>
    <t>Fотв/Fтр</t>
  </si>
  <si>
    <r>
      <t>Ϛ при Re&gt;10</t>
    </r>
    <r>
      <rPr>
        <vertAlign val="superscript"/>
        <sz val="11"/>
        <color theme="1"/>
        <rFont val="Calibri"/>
        <family val="2"/>
        <charset val="204"/>
        <scheme val="minor"/>
      </rPr>
      <t>5</t>
    </r>
  </si>
  <si>
    <r>
      <t>Ϛ</t>
    </r>
    <r>
      <rPr>
        <vertAlign val="subscript"/>
        <sz val="11"/>
        <color theme="1"/>
        <rFont val="Calibri"/>
        <family val="2"/>
        <charset val="204"/>
        <scheme val="minor"/>
      </rPr>
      <t>0</t>
    </r>
  </si>
  <si>
    <t>V, м3/с</t>
  </si>
  <si>
    <t>=</t>
  </si>
  <si>
    <t>Найденные значения</t>
  </si>
  <si>
    <t>V,м3/с</t>
  </si>
  <si>
    <t>v, м/с</t>
  </si>
  <si>
    <t>Прямая задача</t>
  </si>
  <si>
    <t>Обратная задача</t>
  </si>
  <si>
    <t>V, м/с отношение</t>
  </si>
  <si>
    <t>144,44x^2-3,62x+9,4963</t>
  </si>
  <si>
    <t>288,88x-3,62</t>
  </si>
  <si>
    <t>Сумма</t>
  </si>
  <si>
    <t>dy</t>
  </si>
  <si>
    <t>dx</t>
  </si>
  <si>
    <t>производ</t>
  </si>
  <si>
    <r>
      <t>y = 0,09x</t>
    </r>
    <r>
      <rPr>
        <vertAlign val="superscript"/>
        <sz val="11"/>
        <color theme="1"/>
        <rFont val="Calibri"/>
        <family val="2"/>
        <scheme val="minor"/>
      </rPr>
      <t>0,5047</t>
    </r>
  </si>
  <si>
    <t>функция G</t>
  </si>
  <si>
    <t>Частичная автоматизация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</si>
</sst>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"/>
    <numFmt numFmtId="166" formatCode="0.00000"/>
    <numFmt numFmtId="167" formatCode="0.0E+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vertAlign val="sub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color theme="1"/>
      <name val="Calibri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2" borderId="1" xfId="0" applyFill="1" applyBorder="1" applyAlignment="1"/>
    <xf numFmtId="0" fontId="0" fillId="2" borderId="1" xfId="0" applyFill="1" applyBorder="1"/>
    <xf numFmtId="164" fontId="0" fillId="0" borderId="0" xfId="0" applyNumberFormat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2" fontId="0" fillId="4" borderId="1" xfId="0" applyNumberFormat="1" applyFill="1" applyBorder="1"/>
    <xf numFmtId="0" fontId="3" fillId="0" borderId="1" xfId="0" applyFont="1" applyBorder="1"/>
    <xf numFmtId="0" fontId="3" fillId="2" borderId="1" xfId="0" applyFont="1" applyFill="1" applyBorder="1"/>
    <xf numFmtId="164" fontId="0" fillId="4" borderId="1" xfId="0" applyNumberFormat="1" applyFill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2" fontId="0" fillId="0" borderId="1" xfId="0" applyNumberFormat="1" applyBorder="1"/>
    <xf numFmtId="165" fontId="0" fillId="0" borderId="1" xfId="0" applyNumberFormat="1" applyBorder="1"/>
    <xf numFmtId="0" fontId="0" fillId="0" borderId="0" xfId="0" applyFill="1" applyBorder="1"/>
    <xf numFmtId="0" fontId="0" fillId="6" borderId="1" xfId="0" applyFill="1" applyBorder="1"/>
    <xf numFmtId="165" fontId="0" fillId="6" borderId="1" xfId="0" applyNumberFormat="1" applyFill="1" applyBorder="1"/>
    <xf numFmtId="2" fontId="0" fillId="6" borderId="1" xfId="0" applyNumberFormat="1" applyFill="1" applyBorder="1"/>
    <xf numFmtId="0" fontId="0" fillId="0" borderId="1" xfId="0" applyFill="1" applyBorder="1"/>
    <xf numFmtId="0" fontId="0" fillId="0" borderId="0" xfId="0" applyFill="1" applyBorder="1" applyAlignment="1"/>
    <xf numFmtId="0" fontId="7" fillId="0" borderId="1" xfId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6" borderId="1" xfId="0" applyFill="1" applyBorder="1" applyAlignment="1">
      <alignment wrapText="1"/>
    </xf>
    <xf numFmtId="167" fontId="0" fillId="6" borderId="1" xfId="0" applyNumberFormat="1" applyFill="1" applyBorder="1"/>
    <xf numFmtId="166" fontId="0" fillId="6" borderId="1" xfId="0" applyNumberFormat="1" applyFill="1" applyBorder="1"/>
    <xf numFmtId="0" fontId="3" fillId="6" borderId="1" xfId="0" applyFont="1" applyFill="1" applyBorder="1"/>
    <xf numFmtId="0" fontId="0" fillId="5" borderId="1" xfId="0" applyFill="1" applyBorder="1"/>
    <xf numFmtId="0" fontId="0" fillId="9" borderId="1" xfId="0" applyFill="1" applyBorder="1" applyAlignment="1"/>
    <xf numFmtId="0" fontId="0" fillId="9" borderId="1" xfId="0" applyFill="1" applyBorder="1"/>
    <xf numFmtId="0" fontId="3" fillId="9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0" fillId="6" borderId="5" xfId="0" applyFill="1" applyBorder="1"/>
    <xf numFmtId="0" fontId="0" fillId="5" borderId="0" xfId="0" applyFill="1"/>
    <xf numFmtId="0" fontId="0" fillId="11" borderId="1" xfId="0" applyFill="1" applyBorder="1"/>
    <xf numFmtId="2" fontId="0" fillId="0" borderId="1" xfId="0" applyNumberFormat="1" applyFill="1" applyBorder="1"/>
    <xf numFmtId="0" fontId="10" fillId="5" borderId="1" xfId="0" applyFont="1" applyFill="1" applyBorder="1"/>
    <xf numFmtId="0" fontId="0" fillId="12" borderId="1" xfId="0" applyFill="1" applyBorder="1"/>
    <xf numFmtId="2" fontId="0" fillId="12" borderId="1" xfId="0" applyNumberFormat="1" applyFill="1" applyBorder="1"/>
    <xf numFmtId="1" fontId="0" fillId="12" borderId="1" xfId="0" applyNumberFormat="1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3" fillId="0" borderId="0" xfId="0" applyFont="1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2" fontId="0" fillId="0" borderId="1" xfId="0" applyNumberFormat="1" applyFill="1" applyBorder="1"/>
    <xf numFmtId="2" fontId="0" fillId="0" borderId="1" xfId="0" applyNumberFormat="1" applyBorder="1"/>
    <xf numFmtId="2" fontId="0" fillId="0" borderId="0" xfId="0" applyNumberFormat="1" applyFill="1" applyBorder="1"/>
    <xf numFmtId="0" fontId="0" fillId="0" borderId="11" xfId="0" applyFill="1" applyBorder="1"/>
    <xf numFmtId="0" fontId="0" fillId="0" borderId="5" xfId="0" applyBorder="1"/>
    <xf numFmtId="2" fontId="0" fillId="4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5" xfId="0" applyFill="1" applyBorder="1"/>
    <xf numFmtId="2" fontId="0" fillId="4" borderId="5" xfId="0" applyNumberFormat="1" applyFill="1" applyBorder="1"/>
    <xf numFmtId="0" fontId="0" fillId="3" borderId="5" xfId="0" applyFill="1" applyBorder="1"/>
    <xf numFmtId="0" fontId="0" fillId="8" borderId="5" xfId="0" applyFill="1" applyBorder="1" applyAlignment="1">
      <alignment horizontal="center" vertical="center"/>
    </xf>
    <xf numFmtId="2" fontId="0" fillId="4" borderId="5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0" xfId="0" applyNumberFormat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2" fontId="0" fillId="5" borderId="0" xfId="0" applyNumberFormat="1" applyFill="1"/>
    <xf numFmtId="0" fontId="0" fillId="0" borderId="0" xfId="0" applyFill="1"/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5" xfId="0" applyNumberFormat="1" applyFill="1" applyBorder="1"/>
    <xf numFmtId="0" fontId="0" fillId="0" borderId="0" xfId="0" applyFill="1" applyAlignment="1"/>
    <xf numFmtId="2" fontId="0" fillId="0" borderId="0" xfId="0" applyNumberFormat="1" applyFill="1"/>
    <xf numFmtId="0" fontId="0" fillId="0" borderId="1" xfId="0" applyFill="1" applyBorder="1" applyAlignment="1"/>
    <xf numFmtId="164" fontId="0" fillId="0" borderId="0" xfId="0" applyNumberFormat="1" applyFill="1"/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0" xfId="0" applyFill="1" applyAlignment="1">
      <alignment horizontal="center" vertical="center" wrapText="1"/>
    </xf>
    <xf numFmtId="2" fontId="0" fillId="10" borderId="5" xfId="0" applyNumberFormat="1" applyFill="1" applyBorder="1"/>
    <xf numFmtId="2" fontId="0" fillId="11" borderId="9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5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расход</a:t>
            </a:r>
            <a:r>
              <a:rPr lang="ru-RU" baseline="0"/>
              <a:t> от потерь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3"/>
          <c:order val="0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9704811898512687"/>
                  <c:y val="2.48633624383821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'Для расхода'!$O$2:$O$11</c:f>
              <c:numCache>
                <c:formatCode>0.00</c:formatCode>
                <c:ptCount val="10"/>
                <c:pt idx="0">
                  <c:v>120.09030892846795</c:v>
                </c:pt>
                <c:pt idx="1">
                  <c:v>463.82779396956255</c:v>
                </c:pt>
                <c:pt idx="2">
                  <c:v>1027.7829663144223</c:v>
                </c:pt>
                <c:pt idx="3">
                  <c:v>1826.8751905036258</c:v>
                </c:pt>
                <c:pt idx="4">
                  <c:v>2854.2053240290688</c:v>
                </c:pt>
                <c:pt idx="5">
                  <c:v>4109.7728338133848</c:v>
                </c:pt>
                <c:pt idx="6">
                  <c:v>5593.5774660109146</c:v>
                </c:pt>
                <c:pt idx="7">
                  <c:v>7305.6190842445212</c:v>
                </c:pt>
                <c:pt idx="8">
                  <c:v>9243.587525387702</c:v>
                </c:pt>
                <c:pt idx="9">
                  <c:v>11411.836451095929</c:v>
                </c:pt>
              </c:numCache>
            </c:numRef>
          </c:xVal>
          <c:yVal>
            <c:numRef>
              <c:f>'Для расхода'!$K$2:$K$11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AAD-41CC-8C8D-D1998A30A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4119007"/>
        <c:axId val="1394126495"/>
      </c:scatterChart>
      <c:valAx>
        <c:axId val="1394119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4126495"/>
        <c:crosses val="autoZero"/>
        <c:crossBetween val="midCat"/>
      </c:valAx>
      <c:valAx>
        <c:axId val="1394126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41190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потери от расхода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952055993000876"/>
                  <c:y val="8.8425925925925929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4.427034120734908E-2"/>
                  <c:y val="-5.046296296296296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'Для расхода'!$K$2:$K$11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'Для расхода'!$O$2:$O$11</c:f>
              <c:numCache>
                <c:formatCode>0.00</c:formatCode>
                <c:ptCount val="10"/>
                <c:pt idx="0">
                  <c:v>120.09030892846795</c:v>
                </c:pt>
                <c:pt idx="1">
                  <c:v>463.82779396956255</c:v>
                </c:pt>
                <c:pt idx="2">
                  <c:v>1027.7829663144223</c:v>
                </c:pt>
                <c:pt idx="3">
                  <c:v>1826.8751905036258</c:v>
                </c:pt>
                <c:pt idx="4">
                  <c:v>2854.2053240290688</c:v>
                </c:pt>
                <c:pt idx="5">
                  <c:v>4109.7728338133848</c:v>
                </c:pt>
                <c:pt idx="6">
                  <c:v>5593.5774660109146</c:v>
                </c:pt>
                <c:pt idx="7">
                  <c:v>7305.6190842445212</c:v>
                </c:pt>
                <c:pt idx="8">
                  <c:v>9243.587525387702</c:v>
                </c:pt>
                <c:pt idx="9">
                  <c:v>11411.836451095929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5B-45AB-9030-35253ECD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4260687"/>
        <c:axId val="1784259023"/>
      </c:scatterChart>
      <c:valAx>
        <c:axId val="1784260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4259023"/>
        <c:crosses val="autoZero"/>
        <c:crossBetween val="midCat"/>
      </c:valAx>
      <c:valAx>
        <c:axId val="178425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84260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0</xdr:rowOff>
    </xdr:from>
    <xdr:to>
      <xdr:col>25</xdr:col>
      <xdr:colOff>113621</xdr:colOff>
      <xdr:row>28</xdr:row>
      <xdr:rowOff>189787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F12FC5F-E00F-4ADA-8389-4B2118C0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7875" y="190500"/>
          <a:ext cx="5428571" cy="57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1046950</xdr:colOff>
      <xdr:row>13</xdr:row>
      <xdr:rowOff>44823</xdr:rowOff>
    </xdr:from>
    <xdr:to>
      <xdr:col>10</xdr:col>
      <xdr:colOff>526997</xdr:colOff>
      <xdr:row>28</xdr:row>
      <xdr:rowOff>1281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EC3C3D4-F626-422E-BEEC-B2EE35C7A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675860</xdr:colOff>
      <xdr:row>12</xdr:row>
      <xdr:rowOff>168965</xdr:rowOff>
    </xdr:from>
    <xdr:to>
      <xdr:col>18</xdr:col>
      <xdr:colOff>159026</xdr:colOff>
      <xdr:row>27</xdr:row>
      <xdr:rowOff>115956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F68BAD7C-3A4D-4AB1-9040-4D2B2EE882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251460</xdr:colOff>
      <xdr:row>29</xdr:row>
      <xdr:rowOff>140970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9F7CC1-01EC-4231-974D-C311CB91A888}"/>
            </a:ext>
          </a:extLst>
        </xdr:cNvPr>
        <xdr:cNvSpPr txBox="1"/>
      </xdr:nvSpPr>
      <xdr:spPr>
        <a:xfrm>
          <a:off x="6629400" y="2518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251460</xdr:colOff>
      <xdr:row>29</xdr:row>
      <xdr:rowOff>140970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6BDBF9-ACD1-4FE8-9347-4DC84D19B33E}"/>
            </a:ext>
          </a:extLst>
        </xdr:cNvPr>
        <xdr:cNvSpPr txBox="1"/>
      </xdr:nvSpPr>
      <xdr:spPr>
        <a:xfrm>
          <a:off x="6804660" y="2518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pva.ru/Guide/GuidePhysics/GuidePhysicsDensity/DensityOrgLiquidsTemperature/" TargetMode="External"/><Relationship Id="rId1" Type="http://schemas.openxmlformats.org/officeDocument/2006/relationships/hyperlink" Target="http://www.fptl.ru/spravo4nik/plotnost-rastvoritelej-ot-temperaturi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35"/>
  <sheetViews>
    <sheetView zoomScale="70" zoomScaleNormal="70" workbookViewId="0">
      <selection activeCell="G29" sqref="G29"/>
    </sheetView>
  </sheetViews>
  <sheetFormatPr defaultRowHeight="15" x14ac:dyDescent="0.25"/>
  <cols>
    <col min="1" max="1" width="11.5703125" customWidth="1"/>
    <col min="2" max="4" width="15.7109375" customWidth="1"/>
    <col min="6" max="6" width="8.85546875" customWidth="1"/>
    <col min="7" max="7" width="10.85546875" customWidth="1"/>
    <col min="8" max="9" width="10.42578125" bestFit="1" customWidth="1"/>
    <col min="11" max="11" width="12" bestFit="1" customWidth="1"/>
  </cols>
  <sheetData>
    <row r="1" spans="1:13" x14ac:dyDescent="0.25">
      <c r="A1" s="94" t="s">
        <v>0</v>
      </c>
      <c r="B1" s="94"/>
      <c r="F1" s="94" t="s">
        <v>16</v>
      </c>
      <c r="G1" s="94"/>
      <c r="H1" s="94"/>
      <c r="I1" s="94"/>
      <c r="K1" s="94" t="s">
        <v>143</v>
      </c>
      <c r="L1" s="94"/>
    </row>
    <row r="2" spans="1:13" x14ac:dyDescent="0.25">
      <c r="A2" s="6" t="s">
        <v>1</v>
      </c>
      <c r="B2" s="8" t="s">
        <v>5</v>
      </c>
      <c r="F2" s="6"/>
      <c r="G2" s="6" t="s">
        <v>18</v>
      </c>
      <c r="H2" s="6" t="s">
        <v>19</v>
      </c>
      <c r="I2" s="6" t="s">
        <v>20</v>
      </c>
      <c r="K2" s="6" t="s">
        <v>147</v>
      </c>
      <c r="L2" s="51">
        <f>IFERROR(((B7-B6)*101325)/(G7*9.8)+B8+G11,"Нечего рассчитывать")</f>
        <v>158.91744601992147</v>
      </c>
    </row>
    <row r="3" spans="1:13" x14ac:dyDescent="0.25">
      <c r="A3" s="6" t="s">
        <v>2</v>
      </c>
      <c r="B3" s="8">
        <v>35</v>
      </c>
      <c r="C3" t="s">
        <v>134</v>
      </c>
      <c r="F3" s="6" t="s">
        <v>21</v>
      </c>
      <c r="G3" s="64">
        <f>IFERROR($B$5/B15,"Нет данных")</f>
        <v>2.4535637112917397</v>
      </c>
      <c r="H3" s="64">
        <f>IFERROR($B$5/C15,"Нет данных")</f>
        <v>0.66344362753328656</v>
      </c>
      <c r="I3" s="64">
        <f>IFERROR($B$5/D15,"Нет данных")</f>
        <v>2.8795296333910008</v>
      </c>
      <c r="K3" s="6" t="s">
        <v>146</v>
      </c>
      <c r="L3" s="51">
        <f>IFERROR(G7*9.8*B5*L2,"Нечего рассчитывать")</f>
        <v>432.60860305423074</v>
      </c>
    </row>
    <row r="4" spans="1:13" x14ac:dyDescent="0.25">
      <c r="A4" s="6" t="s">
        <v>3</v>
      </c>
      <c r="B4" s="8">
        <v>1</v>
      </c>
      <c r="F4" s="6" t="s">
        <v>17</v>
      </c>
      <c r="G4" s="64">
        <f>IFERROR(G3*$G$7*B13*10^(-3)/$G$6,"Нет данных")</f>
        <v>55184.529773025875</v>
      </c>
      <c r="H4" s="64">
        <f>IFERROR(H3*$G$7*C13*10^(-3)/$G$6,"Нет данных")</f>
        <v>28695.955481973466</v>
      </c>
      <c r="I4" s="64">
        <f>IFERROR(I3*$G$7*D13*10^(-3)/$G$6,"Нет данных")</f>
        <v>59783.240587444714</v>
      </c>
    </row>
    <row r="5" spans="1:13" ht="17.25" x14ac:dyDescent="0.25">
      <c r="A5" s="6" t="s">
        <v>13</v>
      </c>
      <c r="B5" s="14">
        <f>IFERROR((B4*1000)/(3600*G7),"Ошибка в условии")</f>
        <v>3.2566712911399003E-4</v>
      </c>
      <c r="F5" s="13" t="s">
        <v>42</v>
      </c>
      <c r="G5" s="64">
        <f>INDEX(Справочник!$B$82:$B$92,MATCH('Прямой расчет'!$B$16,Справочник!$A$82:$A$92,0))/(B13)</f>
        <v>4.6153846153846149E-3</v>
      </c>
      <c r="H5" s="64">
        <f>INDEX(Справочник!$B$82:$B$92,MATCH('Прямой расчет'!$C$16,Справочник!$A$82:$A$92,0))/(C13)</f>
        <v>2.3999999999999998E-3</v>
      </c>
      <c r="I5" s="64">
        <f>INDEX(Справочник!$B$82:$B$92,MATCH('Прямой расчет'!$D$16,Справочник!$A$82:$A$92,0))/(D13)</f>
        <v>5.0000000000000001E-3</v>
      </c>
    </row>
    <row r="6" spans="1:13" ht="18" x14ac:dyDescent="0.35">
      <c r="A6" s="6" t="s">
        <v>11</v>
      </c>
      <c r="B6" s="8">
        <v>2</v>
      </c>
      <c r="F6" s="13" t="s">
        <v>23</v>
      </c>
      <c r="G6" s="99">
        <f>IFERROR(Справочник!O70*10^-3,"Вещества не существует")</f>
        <v>4.9300000000000006E-4</v>
      </c>
      <c r="H6" s="99"/>
      <c r="I6" s="99"/>
    </row>
    <row r="7" spans="1:13" ht="18.75" x14ac:dyDescent="0.35">
      <c r="A7" s="6" t="s">
        <v>12</v>
      </c>
      <c r="B7" s="8">
        <v>4</v>
      </c>
      <c r="F7" s="13" t="s">
        <v>27</v>
      </c>
      <c r="G7" s="99">
        <f>IFERROR(Справочник!O51,"Вещества не существует")</f>
        <v>852.95</v>
      </c>
      <c r="H7" s="99"/>
      <c r="I7" s="99"/>
    </row>
    <row r="8" spans="1:13" x14ac:dyDescent="0.25">
      <c r="A8" s="13" t="s">
        <v>4</v>
      </c>
      <c r="B8" s="8">
        <v>15</v>
      </c>
      <c r="F8" s="13" t="s">
        <v>28</v>
      </c>
      <c r="G8" s="64">
        <f>IFERROR(IF(G4&lt;2320,64/G4,IF(G4&lt;=10/G5,0.316/G4^(1/4),IF(G4&lt;=560/G5,0.11*(G5+68/G4)^0.25,IF(G4&gt;=560/G5,0.11*G5^0.25,"Ошибка")))),"Нет данных")</f>
        <v>3.0418469564611056E-2</v>
      </c>
      <c r="H8" s="64">
        <f t="shared" ref="H8:I8" si="0">IFERROR(IF(H4&lt;2320,64/H4,IF(H4&lt;=10/H5,0.316/H4^(1/4),IF(H4&lt;=560/H5,0.11*(H5+68/H4)^0.25,IF(H4&gt;=560/H5,0.11*H5^0.25,"Ошибка")))),"Нет данных")</f>
        <v>2.8907784735401305E-2</v>
      </c>
      <c r="I8" s="64">
        <f t="shared" si="0"/>
        <v>3.0788571874471281E-2</v>
      </c>
    </row>
    <row r="9" spans="1:13" ht="18" x14ac:dyDescent="0.35">
      <c r="A9" s="17"/>
      <c r="B9" s="18"/>
      <c r="F9" s="13" t="s">
        <v>141</v>
      </c>
      <c r="G9" s="65">
        <f>IFERROR((G8*B14/(B13*10^(-3))+B32)*($G$7*(G3^2)/2),"Нет данных")</f>
        <v>532448.10724439868</v>
      </c>
      <c r="H9" s="69">
        <f>IFERROR((H8*C14/(C13*10^(-3))+C32)*($G$7*(H3^2)/2),"Нет данных")</f>
        <v>14717.16593894011</v>
      </c>
      <c r="I9" s="65">
        <f>IFERROR((I8*D14/(D13*10^(-3))+D32)*($G$7*(I3^2)/2),"Нет данных")</f>
        <v>453177.70552704303</v>
      </c>
    </row>
    <row r="10" spans="1:13" ht="18" x14ac:dyDescent="0.35">
      <c r="F10" s="13" t="s">
        <v>145</v>
      </c>
      <c r="G10" s="64">
        <f>IFERROR((G8*B14/(B13*10^(-3))+B32)*(G3^2)/(2*9.8),"Нет данных")</f>
        <v>63.698270138618398</v>
      </c>
      <c r="H10" s="70">
        <f>IFERROR((H8*C14/(C13*10^(-3))+C32)*(H3^2)/(2*9.8),"Нет данных")</f>
        <v>1.760656106949364</v>
      </c>
      <c r="I10" s="64">
        <f>IFERROR((I8*D14/(D13*10^(-3))+D32)*(I3^2)/(2*9.8),"Нет данных")</f>
        <v>54.214928205596536</v>
      </c>
    </row>
    <row r="11" spans="1:13" x14ac:dyDescent="0.25">
      <c r="A11" s="94" t="s">
        <v>10</v>
      </c>
      <c r="B11" s="94"/>
      <c r="C11" s="94"/>
      <c r="D11" s="94"/>
      <c r="E11" s="3"/>
      <c r="F11" s="13" t="s">
        <v>144</v>
      </c>
      <c r="G11" s="11">
        <f>SUM(G10:I10)</f>
        <v>119.6738544511643</v>
      </c>
    </row>
    <row r="12" spans="1:13" x14ac:dyDescent="0.25">
      <c r="A12" s="5"/>
      <c r="B12" s="5">
        <v>1</v>
      </c>
      <c r="C12" s="5">
        <v>2</v>
      </c>
      <c r="D12" s="6">
        <v>3</v>
      </c>
      <c r="E12" s="4"/>
      <c r="F12" s="4"/>
      <c r="G12" s="4"/>
      <c r="H12" s="4"/>
      <c r="I12" s="4"/>
    </row>
    <row r="13" spans="1:13" x14ac:dyDescent="0.25">
      <c r="A13" s="6" t="s">
        <v>6</v>
      </c>
      <c r="B13" s="8">
        <v>13</v>
      </c>
      <c r="C13" s="8">
        <v>25</v>
      </c>
      <c r="D13" s="8">
        <v>12</v>
      </c>
      <c r="H13" s="7"/>
    </row>
    <row r="14" spans="1:13" x14ac:dyDescent="0.25">
      <c r="A14" s="6" t="s">
        <v>7</v>
      </c>
      <c r="B14" s="8">
        <v>80</v>
      </c>
      <c r="C14" s="8">
        <v>50</v>
      </c>
      <c r="D14" s="8">
        <v>45</v>
      </c>
      <c r="E14" s="96" t="s">
        <v>111</v>
      </c>
      <c r="F14" s="97"/>
      <c r="G14" s="97"/>
    </row>
    <row r="15" spans="1:13" x14ac:dyDescent="0.25">
      <c r="A15" s="6" t="s">
        <v>22</v>
      </c>
      <c r="B15" s="11">
        <f>(PI()*(B13*10^(-3))^2)/4</f>
        <v>1.3273228961416879E-4</v>
      </c>
      <c r="C15" s="11">
        <f>(PI()*(C13*10^(-3))^2)/4</f>
        <v>4.9087385212340522E-4</v>
      </c>
      <c r="D15" s="11">
        <f>(PI()*(D13*10^(-3))^2)/4</f>
        <v>1.1309733552923255E-4</v>
      </c>
      <c r="E15" s="96" t="s">
        <v>10</v>
      </c>
      <c r="F15" s="97"/>
      <c r="G15" s="97"/>
      <c r="M15" s="54"/>
    </row>
    <row r="16" spans="1:13" ht="30" x14ac:dyDescent="0.25">
      <c r="A16" s="6" t="s">
        <v>29</v>
      </c>
      <c r="B16" s="52" t="s">
        <v>30</v>
      </c>
      <c r="C16" s="52" t="s">
        <v>30</v>
      </c>
      <c r="D16" s="52" t="s">
        <v>30</v>
      </c>
      <c r="E16" s="66">
        <v>1</v>
      </c>
      <c r="F16" s="51">
        <v>2</v>
      </c>
      <c r="G16" s="51">
        <v>3</v>
      </c>
      <c r="M16" s="54"/>
    </row>
    <row r="17" spans="1:13" x14ac:dyDescent="0.25">
      <c r="A17" s="95" t="s">
        <v>8</v>
      </c>
      <c r="B17" s="8">
        <v>7</v>
      </c>
      <c r="C17" s="8">
        <v>4</v>
      </c>
      <c r="D17" s="8">
        <v>3</v>
      </c>
      <c r="E17" s="67">
        <f>IFERROR(IF(B17&lt;&gt;0,INDEX(Справочник!$B$3:$B$10,MATCH(B17,Справочник!$E$3:$E$10,0)),0),"Нет данных")</f>
        <v>10</v>
      </c>
      <c r="F17" s="11">
        <f>IFERROR(IF(C17&lt;&gt;0,INDEX(Справочник!$C$3:$C$10,MATCH(C17,Справочник!$E$3:$E$10,0)),0),"Нет данных")</f>
        <v>6.15</v>
      </c>
      <c r="G17" s="11">
        <f>IFERROR(IF(D17&lt;&gt;0,INDEX(Справочник!$D$3:$D$10,MATCH(D17,Справочник!$E$3:$E$10,0)),0),"Нет данных")</f>
        <v>0.89676333075358461</v>
      </c>
      <c r="H17" s="48" t="s">
        <v>102</v>
      </c>
      <c r="M17" s="54"/>
    </row>
    <row r="18" spans="1:13" x14ac:dyDescent="0.25">
      <c r="A18" s="95"/>
      <c r="B18" s="8">
        <v>7</v>
      </c>
      <c r="C18" s="8">
        <v>4</v>
      </c>
      <c r="D18" s="8">
        <v>5</v>
      </c>
      <c r="E18" s="67">
        <f>IFERROR(IF(B18&lt;&gt;0,INDEX(Справочник!$B$3:$B$10,MATCH(B18,Справочник!$E$3:$E$10,0)),0),"Нет данных")</f>
        <v>10</v>
      </c>
      <c r="F18" s="11">
        <f>IFERROR(IF(C18&lt;&gt;0,INDEX(Справочник!$C$3:$C$10,MATCH(C18,Справочник!$E$3:$E$10,0)),0),"Нет данных")</f>
        <v>6.15</v>
      </c>
      <c r="G18" s="11">
        <f>IFERROR(IF(D18&lt;&gt;0,INDEX(Справочник!$D$3:$D$10,MATCH(D18,Справочник!$E$3:$E$10,0)),0),"Нет данных")</f>
        <v>10.8</v>
      </c>
      <c r="H18" s="48" t="s">
        <v>101</v>
      </c>
      <c r="M18" s="54"/>
    </row>
    <row r="19" spans="1:13" x14ac:dyDescent="0.25">
      <c r="A19" s="95"/>
      <c r="B19" s="8">
        <v>0</v>
      </c>
      <c r="C19" s="8">
        <v>5</v>
      </c>
      <c r="D19" s="8">
        <v>0</v>
      </c>
      <c r="E19" s="67">
        <f>IFERROR(IF(B19&lt;&gt;0,INDEX(Справочник!$B$3:$B$10,MATCH(B19,Справочник!$E$3:$E$10,0)),0),"Нет данных")</f>
        <v>0</v>
      </c>
      <c r="F19" s="11">
        <f>IFERROR(IF(C19&lt;&gt;0,INDEX(Справочник!$C$3:$C$10,MATCH(C19,Справочник!$E$3:$E$10,0)),0),"Нет данных")</f>
        <v>7.2249999999999996</v>
      </c>
      <c r="G19" s="11">
        <f>IFERROR(IF(D19&lt;&gt;0,INDEX(Справочник!$D$3:$D$10,MATCH(D19,Справочник!$E$3:$E$10,0)),0),"Нет данных")</f>
        <v>0</v>
      </c>
      <c r="H19" s="48" t="s">
        <v>100</v>
      </c>
      <c r="M19" s="54"/>
    </row>
    <row r="20" spans="1:13" x14ac:dyDescent="0.25">
      <c r="A20" s="95"/>
      <c r="B20" s="8">
        <v>0</v>
      </c>
      <c r="C20" s="8">
        <v>0</v>
      </c>
      <c r="D20" s="8">
        <v>0</v>
      </c>
      <c r="E20" s="67">
        <f>IFERROR(IF(B20&lt;&gt;0,INDEX(Справочник!$B$3:$B$10,MATCH(B20,Справочник!$E$3:$E$10,0)),0),"Нет данных")</f>
        <v>0</v>
      </c>
      <c r="F20" s="11">
        <f>IFERROR(IF(C20&lt;&gt;0,INDEX(Справочник!$C$3:$C$10,MATCH(C20,Справочник!$E$3:$E$10,0)),0),"Нет данных")</f>
        <v>0</v>
      </c>
      <c r="G20" s="11">
        <f>IFERROR(IF(D20&lt;&gt;0,INDEX(Справочник!$D$3:$D$10,MATCH(D20,Справочник!$E$3:$E$10,0)),0),"Нет данных")</f>
        <v>0</v>
      </c>
      <c r="H20" s="48" t="s">
        <v>103</v>
      </c>
      <c r="M20" s="54"/>
    </row>
    <row r="21" spans="1:13" x14ac:dyDescent="0.25">
      <c r="A21" s="95"/>
      <c r="B21" s="8">
        <v>0</v>
      </c>
      <c r="C21" s="8">
        <v>0</v>
      </c>
      <c r="D21" s="8">
        <v>0</v>
      </c>
      <c r="E21" s="67">
        <f>IFERROR(IF(B21&lt;&gt;0,INDEX(Справочник!$B$3:$B$10,MATCH(B21,Справочник!$E$3:$E$10,0)),0),"Нет данных")</f>
        <v>0</v>
      </c>
      <c r="F21" s="11">
        <f>IFERROR(IF(C21&lt;&gt;0,INDEX(Справочник!$C$3:$C$10,MATCH(C21,Справочник!$E$3:$E$10,0)),0),"Нет данных")</f>
        <v>0</v>
      </c>
      <c r="G21" s="11">
        <f>IFERROR(IF(D21&lt;&gt;0,INDEX(Справочник!$D$3:$D$10,MATCH(D21,Справочник!$E$3:$E$10,0)),0),"Нет данных")</f>
        <v>0</v>
      </c>
      <c r="H21" s="48" t="s">
        <v>104</v>
      </c>
      <c r="M21" s="54"/>
    </row>
    <row r="22" spans="1:13" x14ac:dyDescent="0.25">
      <c r="A22" s="95"/>
      <c r="B22" s="8">
        <v>0</v>
      </c>
      <c r="C22" s="8">
        <v>0</v>
      </c>
      <c r="D22" s="8">
        <v>0</v>
      </c>
      <c r="E22" s="67">
        <f>IFERROR(IF(B22&lt;&gt;0,INDEX(Справочник!$B$3:$B$10,MATCH(B22,Справочник!$E$3:$E$10,0)),0),"Нет данных")</f>
        <v>0</v>
      </c>
      <c r="F22" s="11">
        <f>IFERROR(IF(C22&lt;&gt;0,INDEX(Справочник!$C$3:$C$10,MATCH(C22,Справочник!$E$3:$E$10,0)),0),"Нет данных")</f>
        <v>0</v>
      </c>
      <c r="G22" s="11">
        <f>IFERROR(IF(D22&lt;&gt;0,INDEX(Справочник!$D$3:$D$10,MATCH(D22,Справочник!$E$3:$E$10,0)),0),"Нет данных")</f>
        <v>0</v>
      </c>
      <c r="H22" s="48" t="s">
        <v>105</v>
      </c>
      <c r="M22" s="54"/>
    </row>
    <row r="23" spans="1:13" x14ac:dyDescent="0.25">
      <c r="A23" s="95"/>
      <c r="B23" s="8">
        <v>0</v>
      </c>
      <c r="C23" s="8">
        <v>0</v>
      </c>
      <c r="D23" s="8">
        <v>0</v>
      </c>
      <c r="E23" s="67">
        <f>IFERROR(IF(B23&lt;&gt;0,INDEX(Справочник!$B$3:$B$10,MATCH(B23,Справочник!$E$3:$E$10,0)),0),"Нет данных")</f>
        <v>0</v>
      </c>
      <c r="F23" s="11">
        <f>IFERROR(IF(C23&lt;&gt;0,INDEX(Справочник!$C$3:$C$10,MATCH(C23,Справочник!$E$3:$E$10,0)),0),"Нет данных")</f>
        <v>0</v>
      </c>
      <c r="G23" s="11">
        <f>IFERROR(IF(D23&lt;&gt;0,INDEX(Справочник!$D$3:$D$10,MATCH(D23,Справочник!$E$3:$E$10,0)),0),"Нет данных")</f>
        <v>0</v>
      </c>
      <c r="H23" s="48" t="s">
        <v>106</v>
      </c>
    </row>
    <row r="24" spans="1:13" x14ac:dyDescent="0.25">
      <c r="A24" s="95"/>
      <c r="B24" s="8">
        <v>0</v>
      </c>
      <c r="C24" s="8">
        <v>0</v>
      </c>
      <c r="D24" s="8">
        <v>0</v>
      </c>
      <c r="E24" s="67">
        <f>IFERROR(IF(B24&lt;&gt;0,INDEX(Справочник!$B$3:$B$10,MATCH(B24,Справочник!$E$3:$E$10,0)),0),"Нет данных")</f>
        <v>0</v>
      </c>
      <c r="F24" s="11">
        <f>IFERROR(IF(C24&lt;&gt;0,INDEX(Справочник!$C$3:$C$10,MATCH(C24,Справочник!$E$3:$E$10,0)),0),"Нет данных")</f>
        <v>0</v>
      </c>
      <c r="G24" s="11">
        <f>IFERROR(IF(D24&lt;&gt;0,INDEX(Справочник!$D$3:$D$10,MATCH(D24,Справочник!$E$3:$E$10,0)),0),"Нет данных")</f>
        <v>0</v>
      </c>
      <c r="H24" s="48" t="s">
        <v>107</v>
      </c>
    </row>
    <row r="25" spans="1:13" x14ac:dyDescent="0.25">
      <c r="A25" s="6" t="s">
        <v>135</v>
      </c>
      <c r="B25" s="8" t="s">
        <v>138</v>
      </c>
      <c r="C25" s="8"/>
      <c r="D25" s="8"/>
    </row>
    <row r="26" spans="1:13" x14ac:dyDescent="0.25">
      <c r="A26" s="6"/>
      <c r="B26" s="51">
        <f>INDEX(Справочник!V37:W37,1,MATCH('Прямой расчет'!B25,Справочник!V36:W36,0))</f>
        <v>0.2</v>
      </c>
      <c r="C26" s="8"/>
      <c r="D26" s="8"/>
      <c r="E26" s="98" t="s">
        <v>9</v>
      </c>
    </row>
    <row r="27" spans="1:13" x14ac:dyDescent="0.25">
      <c r="A27" s="6" t="s">
        <v>87</v>
      </c>
      <c r="B27" s="8">
        <v>90</v>
      </c>
      <c r="C27" s="8">
        <v>90</v>
      </c>
      <c r="D27" s="8">
        <v>90</v>
      </c>
      <c r="E27" s="98"/>
    </row>
    <row r="28" spans="1:13" x14ac:dyDescent="0.25">
      <c r="A28" s="6" t="s">
        <v>88</v>
      </c>
      <c r="B28" s="8">
        <v>90</v>
      </c>
      <c r="C28" s="8">
        <v>30</v>
      </c>
      <c r="D28" s="8">
        <v>90</v>
      </c>
    </row>
    <row r="29" spans="1:13" x14ac:dyDescent="0.25">
      <c r="A29" s="6" t="s">
        <v>142</v>
      </c>
      <c r="B29" s="8">
        <v>30</v>
      </c>
      <c r="C29" s="8">
        <v>30</v>
      </c>
      <c r="D29" s="8">
        <v>30</v>
      </c>
    </row>
    <row r="30" spans="1:13" x14ac:dyDescent="0.25">
      <c r="A30" s="6" t="s">
        <v>95</v>
      </c>
      <c r="B30" s="8">
        <v>5</v>
      </c>
      <c r="C30" s="8"/>
      <c r="D30" s="8">
        <v>5</v>
      </c>
    </row>
    <row r="31" spans="1:13" x14ac:dyDescent="0.25">
      <c r="A31" s="6" t="s">
        <v>97</v>
      </c>
      <c r="B31" s="8">
        <v>0.3</v>
      </c>
      <c r="C31" s="68"/>
      <c r="D31" s="8"/>
    </row>
    <row r="32" spans="1:13" ht="18" x14ac:dyDescent="0.35">
      <c r="A32" s="13" t="s">
        <v>98</v>
      </c>
      <c r="B32" s="11">
        <f>IFERROR((SUM(E17:E24)+B26+Справочник!Y27),"Поменять условия")</f>
        <v>20.2</v>
      </c>
      <c r="C32" s="11">
        <f>IFERROR(SUM(F17:F24)+Справочник!Y33,"Поменять условия")</f>
        <v>20.58560251461374</v>
      </c>
      <c r="D32" s="11">
        <f>IFERROR(SUM(G17:G24)+1,"Поменять условия")</f>
        <v>12.696763330753585</v>
      </c>
    </row>
    <row r="33" spans="1:2" x14ac:dyDescent="0.25">
      <c r="A33" s="6" t="s">
        <v>112</v>
      </c>
      <c r="B33" s="11">
        <f>IFERROR(SUM(B32:D32),"Поменяйте условия")</f>
        <v>53.482365845367326</v>
      </c>
    </row>
    <row r="34" spans="1:2" x14ac:dyDescent="0.25">
      <c r="A34" s="9" t="s">
        <v>14</v>
      </c>
    </row>
    <row r="35" spans="1:2" x14ac:dyDescent="0.25">
      <c r="A35" s="10" t="s">
        <v>15</v>
      </c>
    </row>
  </sheetData>
  <mergeCells count="10">
    <mergeCell ref="K1:L1"/>
    <mergeCell ref="E26:E27"/>
    <mergeCell ref="F1:I1"/>
    <mergeCell ref="G6:I6"/>
    <mergeCell ref="G7:I7"/>
    <mergeCell ref="A1:B1"/>
    <mergeCell ref="A17:A24"/>
    <mergeCell ref="A11:D11"/>
    <mergeCell ref="E14:G14"/>
    <mergeCell ref="E15:G15"/>
  </mergeCells>
  <dataValidations disablePrompts="1" count="3">
    <dataValidation type="decimal" allowBlank="1" showInputMessage="1" showErrorMessage="1" sqref="B3" xr:uid="{07FF2D25-303F-43E1-9890-D7CA379F617B}">
      <formula1>0</formula1>
      <formula2>100</formula2>
    </dataValidation>
    <dataValidation type="decimal" operator="greaterThan" allowBlank="1" showInputMessage="1" showErrorMessage="1" sqref="B27:D27" xr:uid="{91AFD99A-F7CD-4650-959C-322B0F7B5E3E}">
      <formula1>B13</formula1>
    </dataValidation>
    <dataValidation type="whole" allowBlank="1" showInputMessage="1" showErrorMessage="1" sqref="B17:D24" xr:uid="{00602571-B622-4309-BDCF-0C62620025C8}">
      <formula1>0</formula1>
      <formula2>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D1472472-445A-4022-A3D3-841D0053240E}">
          <x14:formula1>
            <xm:f>Справочник!#REF!</xm:f>
          </x14:formula1>
          <xm:sqref>B31:D31</xm:sqref>
        </x14:dataValidation>
        <x14:dataValidation type="list" allowBlank="1" showInputMessage="1" showErrorMessage="1" xr:uid="{4BFF56C0-A6AD-442B-8C39-156D57A29F9E}">
          <x14:formula1>
            <xm:f>Справочник!$B$46:$K$46</xm:f>
          </x14:formula1>
          <xm:sqref>B2</xm:sqref>
        </x14:dataValidation>
        <x14:dataValidation type="list" allowBlank="1" showInputMessage="1" showErrorMessage="1" xr:uid="{688EA4D4-3130-485C-A386-DB7E8D6C6564}">
          <x14:formula1>
            <xm:f>Справочник!$A$82:$A$92</xm:f>
          </x14:formula1>
          <xm:sqref>B16:D16</xm:sqref>
        </x14:dataValidation>
        <x14:dataValidation type="list" allowBlank="1" showInputMessage="1" showErrorMessage="1" xr:uid="{4C19644C-E5F0-4FF1-A925-8D4C087EFAFE}">
          <x14:formula1>
            <xm:f>Справочник!$V$36:$W$36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6400-1BB4-422F-9F37-51FF59D42DA2}">
  <sheetPr codeName="Лист2"/>
  <dimension ref="A1:Q36"/>
  <sheetViews>
    <sheetView tabSelected="1" zoomScaleNormal="100" workbookViewId="0">
      <selection activeCell="O13" sqref="O13"/>
    </sheetView>
  </sheetViews>
  <sheetFormatPr defaultColWidth="8.85546875" defaultRowHeight="15" x14ac:dyDescent="0.25"/>
  <cols>
    <col min="1" max="1" width="11.28515625" style="79" customWidth="1"/>
    <col min="2" max="11" width="8.85546875" style="79"/>
    <col min="12" max="12" width="9.7109375" style="79" customWidth="1"/>
    <col min="13" max="16384" width="8.85546875" style="79"/>
  </cols>
  <sheetData>
    <row r="1" spans="1:14" x14ac:dyDescent="0.25">
      <c r="A1" s="101" t="s">
        <v>0</v>
      </c>
      <c r="B1" s="101"/>
      <c r="F1" s="101" t="s">
        <v>16</v>
      </c>
      <c r="G1" s="101"/>
      <c r="H1" s="101"/>
      <c r="I1" s="101"/>
      <c r="K1" s="101" t="s">
        <v>143</v>
      </c>
      <c r="L1" s="101"/>
    </row>
    <row r="2" spans="1:14" x14ac:dyDescent="0.25">
      <c r="A2" s="57" t="s">
        <v>1</v>
      </c>
      <c r="B2" s="57" t="s">
        <v>5</v>
      </c>
      <c r="F2" s="57"/>
      <c r="G2" s="57" t="s">
        <v>18</v>
      </c>
      <c r="H2" s="57" t="s">
        <v>19</v>
      </c>
      <c r="I2" s="57" t="s">
        <v>20</v>
      </c>
      <c r="K2" s="57" t="s">
        <v>147</v>
      </c>
      <c r="L2" s="59">
        <f>IFERROR(((B5-B4)*101325)/(G7*9.8)+B6+G11,"Нечего рассчитывать")</f>
        <v>158.24359156875715</v>
      </c>
    </row>
    <row r="3" spans="1:14" x14ac:dyDescent="0.25">
      <c r="A3" s="57" t="s">
        <v>2</v>
      </c>
      <c r="B3" s="57">
        <v>35</v>
      </c>
      <c r="C3" s="79" t="s">
        <v>134</v>
      </c>
      <c r="F3" s="57" t="s">
        <v>159</v>
      </c>
      <c r="G3" s="77">
        <f>IFERROR($B$9/B15,"Нет данных")</f>
        <v>2.6364915310005572</v>
      </c>
      <c r="H3" s="77">
        <f t="shared" ref="H3:I3" si="0">IFERROR($B$9/C15,"Нет данных")</f>
        <v>0.7129073099825507</v>
      </c>
      <c r="I3" s="77">
        <f t="shared" si="0"/>
        <v>3.0942157551325988</v>
      </c>
      <c r="K3" s="57" t="s">
        <v>146</v>
      </c>
      <c r="L3" s="59">
        <f>IFERROR(G7*9.8*L7*L2,"Нечего рассчитывать")</f>
        <v>462.89101094546294</v>
      </c>
    </row>
    <row r="4" spans="1:14" ht="18" x14ac:dyDescent="0.35">
      <c r="A4" s="57" t="s">
        <v>11</v>
      </c>
      <c r="B4" s="57">
        <v>2</v>
      </c>
      <c r="F4" s="57" t="s">
        <v>17</v>
      </c>
      <c r="G4" s="77">
        <f>IFERROR(G3*$G$7*B13*10^(-3)/$G$6,"Нет данных")</f>
        <v>59298.865857545701</v>
      </c>
      <c r="H4" s="77">
        <f t="shared" ref="H4:I4" si="1">IFERROR(H3*$G$7*C13*10^(-3)/$G$6,"Нет данных")</f>
        <v>30835.410245923762</v>
      </c>
      <c r="I4" s="77">
        <f t="shared" si="1"/>
        <v>64240.438012341183</v>
      </c>
    </row>
    <row r="5" spans="1:14" ht="18" x14ac:dyDescent="0.35">
      <c r="A5" s="57" t="s">
        <v>12</v>
      </c>
      <c r="B5" s="57">
        <v>4</v>
      </c>
      <c r="F5" s="80" t="s">
        <v>42</v>
      </c>
      <c r="G5" s="77">
        <f>INDEX(Справочник!$B$82:$B$92,MATCH('Прямой расчет'!$B$16,Справочник!$A$82:$A$92,0))/(B13)</f>
        <v>4.6153846153846149E-3</v>
      </c>
      <c r="H5" s="77">
        <f>INDEX(Справочник!$B$82:$B$92,MATCH('Прямой расчет'!$C$16,Справочник!$A$82:$A$92,0))/(C13)</f>
        <v>2.3999999999999998E-3</v>
      </c>
      <c r="I5" s="77">
        <f>INDEX(Справочник!$B$82:$B$92,MATCH('Прямой расчет'!$D$16,Справочник!$A$82:$A$92,0))/(D13)</f>
        <v>5.0000000000000001E-3</v>
      </c>
      <c r="K5" s="102" t="s">
        <v>154</v>
      </c>
      <c r="L5" s="102"/>
      <c r="M5" s="102"/>
      <c r="N5" s="102"/>
    </row>
    <row r="6" spans="1:14" x14ac:dyDescent="0.25">
      <c r="A6" s="80" t="s">
        <v>4</v>
      </c>
      <c r="B6" s="57">
        <v>15</v>
      </c>
      <c r="F6" s="80" t="s">
        <v>23</v>
      </c>
      <c r="G6" s="102">
        <f>IFERROR(Справочник!R70*10^-3,"Вещества не существует")</f>
        <v>4.9300000000000006E-4</v>
      </c>
      <c r="H6" s="102"/>
      <c r="I6" s="102"/>
      <c r="K6" s="81"/>
      <c r="L6" s="81" t="s">
        <v>77</v>
      </c>
      <c r="M6" s="81" t="s">
        <v>78</v>
      </c>
      <c r="N6" s="81" t="s">
        <v>79</v>
      </c>
    </row>
    <row r="7" spans="1:14" ht="17.25" x14ac:dyDescent="0.25">
      <c r="A7" s="57" t="s">
        <v>167</v>
      </c>
      <c r="B7" s="57" t="s">
        <v>166</v>
      </c>
      <c r="F7" s="80" t="s">
        <v>27</v>
      </c>
      <c r="G7" s="102">
        <f>IFERROR(Справочник!R51,"Вещества не существует")</f>
        <v>852.95</v>
      </c>
      <c r="H7" s="102"/>
      <c r="I7" s="102"/>
      <c r="K7" s="81" t="s">
        <v>155</v>
      </c>
      <c r="L7" s="104">
        <f>G3*B15</f>
        <v>3.4994755745806921E-4</v>
      </c>
      <c r="M7" s="105"/>
      <c r="N7" s="106"/>
    </row>
    <row r="8" spans="1:14" x14ac:dyDescent="0.25">
      <c r="A8" s="57" t="s">
        <v>3</v>
      </c>
      <c r="B8" s="59">
        <f>0.09*H11^0.5047</f>
        <v>1.0745559688818964</v>
      </c>
      <c r="F8" s="80" t="s">
        <v>28</v>
      </c>
      <c r="G8" s="77">
        <f>IFERROR(IF(G4&lt;2320,64/G4,IF(G4&lt;=10/G5,0.316/G4^(1/4),IF(G4&lt;=560/G5,0.11*(G5+68/G4)^0.25,IF(G4&gt;=560/G5,0.11*G5^0.25,"Ошибка")))),"Нет данных")</f>
        <v>3.0306670380246273E-2</v>
      </c>
      <c r="H8" s="77">
        <f t="shared" ref="H8:I8" si="2">IFERROR(IF(H4&lt;2320,64/H4,IF(H4&lt;=10/H5,0.316/H4^(1/4),IF(H4&lt;=560/H5,0.11*(H5+68/H4)^0.25,IF(H4&gt;=560/H5,0.11*H5^0.25,"Ошибка")))),"Нет данных")</f>
        <v>2.8655378527864279E-2</v>
      </c>
      <c r="I8" s="77">
        <f t="shared" si="2"/>
        <v>3.0689116133464686E-2</v>
      </c>
      <c r="K8" s="81" t="s">
        <v>156</v>
      </c>
      <c r="L8" s="77">
        <f>G3</f>
        <v>2.6364915310005572</v>
      </c>
      <c r="M8" s="77">
        <f t="shared" ref="M8:N8" si="3">H3</f>
        <v>0.7129073099825507</v>
      </c>
      <c r="N8" s="77">
        <f t="shared" si="3"/>
        <v>3.0942157551325988</v>
      </c>
    </row>
    <row r="9" spans="1:14" ht="18" x14ac:dyDescent="0.35">
      <c r="A9" s="57" t="s">
        <v>152</v>
      </c>
      <c r="B9" s="57">
        <f>IFERROR((B8*1000)/(3600*G7),"Ошибка в условии")</f>
        <v>3.4994755745806921E-4</v>
      </c>
      <c r="F9" s="80" t="s">
        <v>141</v>
      </c>
      <c r="G9" s="82">
        <f>IFERROR((G8*B14/(B13*10^(-3))+B32)*($G$7*(G3^2)/2),"Нет данных")</f>
        <v>405432.44875995902</v>
      </c>
      <c r="H9" s="83">
        <f>IFERROR((H8*C14/(C13*10^(-3))+C32)*($G$7*(H3^2)/2),"Нет данных")</f>
        <v>15318.038614032916</v>
      </c>
      <c r="I9" s="82">
        <f>IFERROR((I8*D14/(D13*10^(-3))+D32)*($G$7*(I3^2)/2),"Нет данных")</f>
        <v>573959.8041945562</v>
      </c>
    </row>
    <row r="10" spans="1:14" ht="18" x14ac:dyDescent="0.35">
      <c r="F10" s="80" t="s">
        <v>145</v>
      </c>
      <c r="G10" s="77">
        <f>IFERROR((G8*B14/(B13*10^(-3))+B32)*(G3^2)/(2*9.8),"Нет данных")</f>
        <v>48.503028356563114</v>
      </c>
      <c r="H10" s="77">
        <f t="shared" ref="H10:I10" si="4">IFERROR((H8*C14/(C13*10^(-3))+C32)*(H3^2)/(2*9.8),"Нет данных")</f>
        <v>1.8325402012981253</v>
      </c>
      <c r="I10" s="77">
        <f t="shared" si="4"/>
        <v>68.664431629788595</v>
      </c>
      <c r="J10" s="92">
        <f>G10+H10+I10</f>
        <v>119.00000018764983</v>
      </c>
    </row>
    <row r="11" spans="1:14" x14ac:dyDescent="0.25">
      <c r="A11" s="101" t="s">
        <v>10</v>
      </c>
      <c r="B11" s="101"/>
      <c r="C11" s="101"/>
      <c r="D11" s="101"/>
      <c r="E11" s="85"/>
      <c r="F11" s="80" t="s">
        <v>144</v>
      </c>
      <c r="G11" s="93">
        <v>119</v>
      </c>
      <c r="H11" s="78">
        <v>136.11759551940358</v>
      </c>
    </row>
    <row r="12" spans="1:14" x14ac:dyDescent="0.25">
      <c r="A12" s="87"/>
      <c r="B12" s="87">
        <v>1</v>
      </c>
      <c r="C12" s="87">
        <v>2</v>
      </c>
      <c r="D12" s="57">
        <v>3</v>
      </c>
      <c r="E12" s="58"/>
      <c r="F12" s="58"/>
      <c r="G12" s="58"/>
      <c r="H12" s="58"/>
    </row>
    <row r="13" spans="1:14" x14ac:dyDescent="0.25">
      <c r="A13" s="57" t="s">
        <v>6</v>
      </c>
      <c r="B13" s="57">
        <v>13</v>
      </c>
      <c r="C13" s="57">
        <v>25</v>
      </c>
      <c r="D13" s="57">
        <v>12</v>
      </c>
      <c r="H13" s="88"/>
    </row>
    <row r="14" spans="1:14" x14ac:dyDescent="0.25">
      <c r="A14" s="57" t="s">
        <v>7</v>
      </c>
      <c r="B14" s="57">
        <v>50</v>
      </c>
      <c r="C14" s="57">
        <v>50</v>
      </c>
      <c r="D14" s="57">
        <v>50</v>
      </c>
      <c r="E14" s="100" t="s">
        <v>111</v>
      </c>
      <c r="F14" s="101"/>
      <c r="G14" s="101"/>
    </row>
    <row r="15" spans="1:14" x14ac:dyDescent="0.25">
      <c r="A15" s="57" t="s">
        <v>22</v>
      </c>
      <c r="B15" s="59">
        <f>(PI()*(B13*10^(-3))^2)/4</f>
        <v>1.3273228961416879E-4</v>
      </c>
      <c r="C15" s="59">
        <f>(PI()*(C13*10^(-3))^2)/4</f>
        <v>4.9087385212340522E-4</v>
      </c>
      <c r="D15" s="59">
        <f>(PI()*(D13*10^(-3))^2)/4</f>
        <v>1.1309733552923255E-4</v>
      </c>
      <c r="E15" s="100" t="s">
        <v>10</v>
      </c>
      <c r="F15" s="101"/>
      <c r="G15" s="101"/>
    </row>
    <row r="16" spans="1:14" ht="30" x14ac:dyDescent="0.25">
      <c r="A16" s="57" t="s">
        <v>29</v>
      </c>
      <c r="B16" s="89" t="s">
        <v>30</v>
      </c>
      <c r="C16" s="89" t="s">
        <v>30</v>
      </c>
      <c r="D16" s="89" t="s">
        <v>30</v>
      </c>
      <c r="E16" s="90">
        <v>1</v>
      </c>
      <c r="F16" s="57">
        <v>2</v>
      </c>
      <c r="G16" s="57">
        <v>3</v>
      </c>
    </row>
    <row r="17" spans="1:17" x14ac:dyDescent="0.25">
      <c r="A17" s="102" t="s">
        <v>8</v>
      </c>
      <c r="B17" s="57">
        <v>7</v>
      </c>
      <c r="C17" s="57">
        <v>4</v>
      </c>
      <c r="D17" s="57">
        <v>3</v>
      </c>
      <c r="E17" s="84">
        <f>IFERROR(IF(B17&lt;&gt;0,INDEX(Справочник!$B$3:$B$10,MATCH(B17,Справочник!$E$3:$E$10,0)),0),"Нет данных")</f>
        <v>10</v>
      </c>
      <c r="F17" s="59">
        <f>IFERROR(IF(C17&lt;&gt;0,INDEX(Справочник!$C$3:$C$10,MATCH(C17,Справочник!$E$3:$E$10,0)),0),"Нет данных")</f>
        <v>6.15</v>
      </c>
      <c r="G17" s="59">
        <f>IFERROR(IF(D17&lt;&gt;0,INDEX(Справочник!$D$3:$D$10,MATCH(D17,Справочник!$E$3:$E$10,0)),0),"Нет данных")</f>
        <v>0.89676333075358461</v>
      </c>
      <c r="H17" s="57" t="s">
        <v>102</v>
      </c>
    </row>
    <row r="18" spans="1:17" x14ac:dyDescent="0.25">
      <c r="A18" s="102"/>
      <c r="B18" s="57">
        <v>7</v>
      </c>
      <c r="C18" s="57">
        <v>4</v>
      </c>
      <c r="D18" s="57">
        <v>5</v>
      </c>
      <c r="E18" s="84">
        <f>IFERROR(IF(B18&lt;&gt;0,INDEX(Справочник!$B$3:$B$10,MATCH(B18,Справочник!$E$3:$E$10,0)),0),"Нет данных")</f>
        <v>10</v>
      </c>
      <c r="F18" s="59">
        <f>IFERROR(IF(C18&lt;&gt;0,INDEX(Справочник!$C$3:$C$10,MATCH(C18,Справочник!$E$3:$E$10,0)),0),"Нет данных")</f>
        <v>6.15</v>
      </c>
      <c r="G18" s="59">
        <f>IFERROR(IF(D18&lt;&gt;0,INDEX(Справочник!$D$3:$D$10,MATCH(D18,Справочник!$E$3:$E$10,0)),0),"Нет данных")</f>
        <v>10.8</v>
      </c>
      <c r="H18" s="57" t="s">
        <v>101</v>
      </c>
      <c r="M18" s="86"/>
      <c r="Q18" s="86"/>
    </row>
    <row r="19" spans="1:17" x14ac:dyDescent="0.25">
      <c r="A19" s="102"/>
      <c r="B19" s="57">
        <v>0</v>
      </c>
      <c r="C19" s="57">
        <v>0</v>
      </c>
      <c r="D19" s="57">
        <v>0</v>
      </c>
      <c r="E19" s="84">
        <f>IFERROR(IF(B19&lt;&gt;0,INDEX(Справочник!$B$3:$B$10,MATCH(B19,Справочник!$E$3:$E$10,0)),0),"Нет данных")</f>
        <v>0</v>
      </c>
      <c r="F19" s="59">
        <f>IFERROR(IF(C19&lt;&gt;0,INDEX(Справочник!$C$3:$C$10,MATCH(C19,Справочник!$E$3:$E$10,0)),0),"Нет данных")</f>
        <v>0</v>
      </c>
      <c r="G19" s="59">
        <f>IFERROR(IF(D19&lt;&gt;0,INDEX(Справочник!$D$3:$D$10,MATCH(D19,Справочник!$E$3:$E$10,0)),0),"Нет данных")</f>
        <v>0</v>
      </c>
      <c r="H19" s="57" t="s">
        <v>100</v>
      </c>
    </row>
    <row r="20" spans="1:17" x14ac:dyDescent="0.25">
      <c r="A20" s="102"/>
      <c r="B20" s="57">
        <v>0</v>
      </c>
      <c r="C20" s="57">
        <v>0</v>
      </c>
      <c r="D20" s="57">
        <v>0</v>
      </c>
      <c r="E20" s="84">
        <f>IFERROR(IF(B20&lt;&gt;0,INDEX(Справочник!$B$3:$B$10,MATCH(B20,Справочник!$E$3:$E$10,0)),0),"Нет данных")</f>
        <v>0</v>
      </c>
      <c r="F20" s="59">
        <f>IFERROR(IF(C20&lt;&gt;0,INDEX(Справочник!$C$3:$C$10,MATCH(C20,Справочник!$E$3:$E$10,0)),0),"Нет данных")</f>
        <v>0</v>
      </c>
      <c r="G20" s="59">
        <f>IFERROR(IF(D20&lt;&gt;0,INDEX(Справочник!$D$3:$D$10,MATCH(D20,Справочник!$E$3:$E$10,0)),0),"Нет данных")</f>
        <v>0</v>
      </c>
      <c r="H20" s="57" t="s">
        <v>103</v>
      </c>
    </row>
    <row r="21" spans="1:17" x14ac:dyDescent="0.25">
      <c r="A21" s="102"/>
      <c r="B21" s="57">
        <v>0</v>
      </c>
      <c r="C21" s="57">
        <v>0</v>
      </c>
      <c r="D21" s="57">
        <v>0</v>
      </c>
      <c r="E21" s="84">
        <f>IFERROR(IF(B21&lt;&gt;0,INDEX(Справочник!$B$3:$B$10,MATCH(B21,Справочник!$E$3:$E$10,0)),0),"Нет данных")</f>
        <v>0</v>
      </c>
      <c r="F21" s="59">
        <f>IFERROR(IF(C21&lt;&gt;0,INDEX(Справочник!$C$3:$C$10,MATCH(C21,Справочник!$E$3:$E$10,0)),0),"Нет данных")</f>
        <v>0</v>
      </c>
      <c r="G21" s="59">
        <f>IFERROR(IF(D21&lt;&gt;0,INDEX(Справочник!$D$3:$D$10,MATCH(D21,Справочник!$E$3:$E$10,0)),0),"Нет данных")</f>
        <v>0</v>
      </c>
      <c r="H21" s="57" t="s">
        <v>104</v>
      </c>
    </row>
    <row r="22" spans="1:17" x14ac:dyDescent="0.25">
      <c r="A22" s="102"/>
      <c r="B22" s="57">
        <v>0</v>
      </c>
      <c r="C22" s="57">
        <v>0</v>
      </c>
      <c r="D22" s="57">
        <v>0</v>
      </c>
      <c r="E22" s="84">
        <f>IFERROR(IF(B22&lt;&gt;0,INDEX(Справочник!$B$3:$B$10,MATCH(B22,Справочник!$E$3:$E$10,0)),0),"Нет данных")</f>
        <v>0</v>
      </c>
      <c r="F22" s="59">
        <f>IFERROR(IF(C22&lt;&gt;0,INDEX(Справочник!$C$3:$C$10,MATCH(C22,Справочник!$E$3:$E$10,0)),0),"Нет данных")</f>
        <v>0</v>
      </c>
      <c r="G22" s="59">
        <f>IFERROR(IF(D22&lt;&gt;0,INDEX(Справочник!$D$3:$D$10,MATCH(D22,Справочник!$E$3:$E$10,0)),0),"Нет данных")</f>
        <v>0</v>
      </c>
      <c r="H22" s="57" t="s">
        <v>105</v>
      </c>
    </row>
    <row r="23" spans="1:17" x14ac:dyDescent="0.25">
      <c r="A23" s="102"/>
      <c r="B23" s="57">
        <v>0</v>
      </c>
      <c r="C23" s="57">
        <v>0</v>
      </c>
      <c r="D23" s="57">
        <v>0</v>
      </c>
      <c r="E23" s="84">
        <f>IFERROR(IF(B23&lt;&gt;0,INDEX(Справочник!$B$3:$B$10,MATCH(B23,Справочник!$E$3:$E$10,0)),0),"Нет данных")</f>
        <v>0</v>
      </c>
      <c r="F23" s="59">
        <f>IFERROR(IF(C23&lt;&gt;0,INDEX(Справочник!$C$3:$C$10,MATCH(C23,Справочник!$E$3:$E$10,0)),0),"Нет данных")</f>
        <v>0</v>
      </c>
      <c r="G23" s="59">
        <f>IFERROR(IF(D23&lt;&gt;0,INDEX(Справочник!$D$3:$D$10,MATCH(D23,Справочник!$E$3:$E$10,0)),0),"Нет данных")</f>
        <v>0</v>
      </c>
      <c r="H23" s="57" t="s">
        <v>106</v>
      </c>
    </row>
    <row r="24" spans="1:17" x14ac:dyDescent="0.25">
      <c r="A24" s="102"/>
      <c r="B24" s="57">
        <v>0</v>
      </c>
      <c r="C24" s="57">
        <v>0</v>
      </c>
      <c r="D24" s="57">
        <v>0</v>
      </c>
      <c r="E24" s="84">
        <f>IFERROR(IF(B24&lt;&gt;0,INDEX(Справочник!$B$3:$B$10,MATCH(B24,Справочник!$E$3:$E$10,0)),0),"Нет данных")</f>
        <v>0</v>
      </c>
      <c r="F24" s="59">
        <f>IFERROR(IF(C24&lt;&gt;0,INDEX(Справочник!$C$3:$C$10,MATCH(C24,Справочник!$E$3:$E$10,0)),0),"Нет данных")</f>
        <v>0</v>
      </c>
      <c r="G24" s="59">
        <f>IFERROR(IF(D24&lt;&gt;0,INDEX(Справочник!$D$3:$D$10,MATCH(D24,Справочник!$E$3:$E$10,0)),0),"Нет данных")</f>
        <v>0</v>
      </c>
      <c r="H24" s="57" t="s">
        <v>107</v>
      </c>
    </row>
    <row r="25" spans="1:17" x14ac:dyDescent="0.25">
      <c r="A25" s="57" t="s">
        <v>135</v>
      </c>
      <c r="B25" s="57" t="s">
        <v>138</v>
      </c>
      <c r="C25" s="57"/>
      <c r="D25" s="57"/>
    </row>
    <row r="26" spans="1:17" x14ac:dyDescent="0.25">
      <c r="A26" s="57"/>
      <c r="B26" s="57">
        <f>INDEX(Справочник!V37:W37,1,MATCH('Прямой расчет'!B25,Справочник!V36:W36,0))</f>
        <v>0.2</v>
      </c>
      <c r="C26" s="57"/>
      <c r="D26" s="57"/>
      <c r="E26" s="103" t="s">
        <v>9</v>
      </c>
    </row>
    <row r="27" spans="1:17" x14ac:dyDescent="0.25">
      <c r="A27" s="57" t="s">
        <v>87</v>
      </c>
      <c r="B27" s="57">
        <v>90</v>
      </c>
      <c r="C27" s="57">
        <v>90</v>
      </c>
      <c r="D27" s="57">
        <v>90</v>
      </c>
      <c r="E27" s="103"/>
    </row>
    <row r="28" spans="1:17" x14ac:dyDescent="0.25">
      <c r="A28" s="57" t="s">
        <v>88</v>
      </c>
      <c r="B28" s="57">
        <v>90</v>
      </c>
      <c r="C28" s="57">
        <v>30</v>
      </c>
      <c r="D28" s="57">
        <v>90</v>
      </c>
    </row>
    <row r="29" spans="1:17" x14ac:dyDescent="0.25">
      <c r="A29" s="57" t="s">
        <v>142</v>
      </c>
      <c r="B29" s="57">
        <v>30</v>
      </c>
      <c r="C29" s="57">
        <v>30</v>
      </c>
      <c r="D29" s="57">
        <v>30</v>
      </c>
    </row>
    <row r="30" spans="1:17" x14ac:dyDescent="0.25">
      <c r="A30" s="57" t="s">
        <v>95</v>
      </c>
      <c r="B30" s="57">
        <v>5</v>
      </c>
      <c r="C30" s="57"/>
      <c r="D30" s="57">
        <v>5</v>
      </c>
    </row>
    <row r="31" spans="1:17" x14ac:dyDescent="0.25">
      <c r="A31" s="57" t="s">
        <v>97</v>
      </c>
      <c r="B31" s="57">
        <v>0.3</v>
      </c>
      <c r="C31" s="90"/>
      <c r="D31" s="57"/>
    </row>
    <row r="32" spans="1:17" ht="18" x14ac:dyDescent="0.35">
      <c r="A32" s="80" t="s">
        <v>98</v>
      </c>
      <c r="B32" s="59">
        <f>IFERROR((SUM(E17:E24)+B26+Справочник!Y27),"Поменять условия")</f>
        <v>20.2</v>
      </c>
      <c r="C32" s="59">
        <f>IFERROR(SUM(F17:F24)+Справочник!Y33,"Поменять условия")</f>
        <v>13.36060251461374</v>
      </c>
      <c r="D32" s="59">
        <f>IFERROR(SUM(G17:G24)+1,"Поменять условия")</f>
        <v>12.696763330753585</v>
      </c>
      <c r="M32" s="86"/>
      <c r="Q32" s="86"/>
    </row>
    <row r="33" spans="1:2" x14ac:dyDescent="0.25">
      <c r="A33" s="57" t="s">
        <v>112</v>
      </c>
      <c r="B33" s="59">
        <f>IFERROR(SUM(B32:D32),"Поменяйте условия")</f>
        <v>46.257365845367325</v>
      </c>
    </row>
    <row r="34" spans="1:2" ht="30" x14ac:dyDescent="0.25">
      <c r="A34" s="91" t="s">
        <v>14</v>
      </c>
    </row>
    <row r="35" spans="1:2" ht="30" x14ac:dyDescent="0.25">
      <c r="A35" s="91" t="s">
        <v>15</v>
      </c>
    </row>
    <row r="36" spans="1:2" ht="45" x14ac:dyDescent="0.25">
      <c r="A36" s="91" t="s">
        <v>168</v>
      </c>
    </row>
  </sheetData>
  <mergeCells count="12">
    <mergeCell ref="E15:G15"/>
    <mergeCell ref="A17:A24"/>
    <mergeCell ref="E26:E27"/>
    <mergeCell ref="K1:L1"/>
    <mergeCell ref="A1:B1"/>
    <mergeCell ref="F1:I1"/>
    <mergeCell ref="G6:I6"/>
    <mergeCell ref="G7:I7"/>
    <mergeCell ref="A11:D11"/>
    <mergeCell ref="E14:G14"/>
    <mergeCell ref="L7:N7"/>
    <mergeCell ref="K5:N5"/>
  </mergeCells>
  <phoneticPr fontId="8" type="noConversion"/>
  <dataValidations disablePrompts="1" count="3">
    <dataValidation type="whole" allowBlank="1" showInputMessage="1" showErrorMessage="1" sqref="B17:D24" xr:uid="{8B351E94-ECFE-4E94-B6F0-B99B605AA604}">
      <formula1>0</formula1>
      <formula2>8</formula2>
    </dataValidation>
    <dataValidation type="decimal" operator="greaterThan" allowBlank="1" showInputMessage="1" showErrorMessage="1" sqref="B27:D27" xr:uid="{29D55A44-0E7A-44AB-929C-A75CEED00D14}">
      <formula1>B13</formula1>
    </dataValidation>
    <dataValidation type="decimal" allowBlank="1" showInputMessage="1" showErrorMessage="1" sqref="B3" xr:uid="{75F85ED4-2C37-4D38-93AF-85256E2ED0EB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51A684D6-477D-4A1D-A2BE-64D75F28F787}">
          <x14:formula1>
            <xm:f>Справочник!$V$36:$W$36</xm:f>
          </x14:formula1>
          <xm:sqref>B25</xm:sqref>
        </x14:dataValidation>
        <x14:dataValidation type="list" allowBlank="1" showInputMessage="1" showErrorMessage="1" xr:uid="{4EC97419-1614-435A-9553-BD163EFC03DB}">
          <x14:formula1>
            <xm:f>Справочник!$A$82:$A$92</xm:f>
          </x14:formula1>
          <xm:sqref>B16:D16</xm:sqref>
        </x14:dataValidation>
        <x14:dataValidation type="list" allowBlank="1" showInputMessage="1" showErrorMessage="1" xr:uid="{05F69D7D-76A8-4FE8-94B7-1AB0D73D4ECA}">
          <x14:formula1>
            <xm:f>Справочник!$B$46:$K$46</xm:f>
          </x14:formula1>
          <xm:sqref>B2</xm:sqref>
        </x14:dataValidation>
        <x14:dataValidation type="list" allowBlank="1" showInputMessage="1" showErrorMessage="1" xr:uid="{CBB0FA61-B4E0-4142-96CE-FCEAFB68CC5E}">
          <x14:formula1>
            <xm:f>Справочник!#REF!</xm:f>
          </x14:formula1>
          <xm:sqref>B31:D31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DF60-2B55-49F8-8D6C-FE7E48223681}">
  <sheetPr codeName="Лист3"/>
  <dimension ref="A1:S29"/>
  <sheetViews>
    <sheetView zoomScale="85" zoomScaleNormal="85" workbookViewId="0">
      <selection activeCell="D34" sqref="D34"/>
    </sheetView>
  </sheetViews>
  <sheetFormatPr defaultColWidth="8.85546875" defaultRowHeight="15" x14ac:dyDescent="0.25"/>
  <cols>
    <col min="1" max="1" width="11.5703125" style="54" customWidth="1"/>
    <col min="2" max="4" width="15.7109375" style="54" customWidth="1"/>
    <col min="5" max="6" width="8.85546875" style="54"/>
    <col min="7" max="7" width="10.85546875" style="54" customWidth="1"/>
    <col min="8" max="9" width="10.42578125" style="54" bestFit="1" customWidth="1"/>
    <col min="10" max="10" width="8.85546875" style="54"/>
    <col min="11" max="11" width="12" style="54" bestFit="1" customWidth="1"/>
    <col min="12" max="16384" width="8.85546875" style="54"/>
  </cols>
  <sheetData>
    <row r="1" spans="1:19" x14ac:dyDescent="0.25">
      <c r="A1" s="94" t="s">
        <v>10</v>
      </c>
      <c r="B1" s="94"/>
      <c r="C1" s="94"/>
      <c r="D1" s="94"/>
      <c r="E1" s="3"/>
      <c r="F1" s="73"/>
      <c r="G1" s="61"/>
      <c r="H1" s="75"/>
      <c r="I1" s="26"/>
      <c r="L1" s="54">
        <v>1</v>
      </c>
      <c r="M1" s="54">
        <v>2</v>
      </c>
      <c r="N1" s="54">
        <v>3</v>
      </c>
      <c r="O1" s="54" t="s">
        <v>162</v>
      </c>
    </row>
    <row r="2" spans="1:19" x14ac:dyDescent="0.25">
      <c r="A2" s="5"/>
      <c r="B2" s="5">
        <v>1</v>
      </c>
      <c r="C2" s="5">
        <v>2</v>
      </c>
      <c r="D2" s="6">
        <v>3</v>
      </c>
      <c r="E2" s="56"/>
      <c r="F2" s="56"/>
      <c r="G2" s="56"/>
      <c r="H2" s="75"/>
      <c r="I2" s="58"/>
      <c r="K2" s="8">
        <v>1</v>
      </c>
      <c r="L2" s="64">
        <f>IFERROR((IFERROR(IF((IFERROR((IFERROR((IFERROR((K2*1000)/(3600*(IFERROR(Справочник!$O$51,"Вещества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данных")*$B$4/($B$3*10^(-3))+$B$22)*((IFERROR((IFERROR((K2*1000)/(3600*(IFERROR(Справочник!$O$51,"Вещества не существует"))),"Ошибка в условии"))/((PI()*($B$3*10^(-3))^2)/4),"Нет данных"))^2)/(2*9.8),"Нет данных")</f>
        <v>63.698270138618398</v>
      </c>
      <c r="M2" s="70">
        <f>IFERROR(((IFERROR(IF((IFERROR((IFERROR((IFERROR((K2*1000)/(3600*(IFERROR(Справочник!$O$51,"Вещества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данных"))*$C$4/($C$3*10^(-3))+$C$22)*((IFERROR((IFERROR((K2*1000)/(3600*(IFERROR(Справочник!$P$51,"Вещества не существует"))),"Ошибка в условии"))/((PI()*($C$3*10^(-3))^2)/4),"Нет данных"))^2)/(2*9.8),"Нет данных")</f>
        <v>1.5811177418576603</v>
      </c>
      <c r="N2" s="64">
        <f>IFERROR(((IFERROR(IF((IFERROR((IFERROR((IFERROR((K2*1000)/(3600*(IFERROR(Справочник!$O$51,"Вещества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данных")))^0.25,IF((IFERROR((IFERROR((IFERROR((K2*1000)/(3600*(IFERROR(Справочник!$O$51,"Вещества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данных"))*$D$4/($D$3*10^(-3))+$D$22)*((IFERROR((IFERROR((K2*1000)/(3600*(IFERROR(Справочник!$Q$51,"Вещества не существует"))),"Ошибка в условии"))/((PI()*($D$3*10^(-3))^2)/4),"Нет данных"))^2)/(2*9.8),"Нет данных")</f>
        <v>54.810921047991904</v>
      </c>
      <c r="O2" s="11">
        <f t="shared" ref="O2:O11" si="0">L2+M2+N2</f>
        <v>120.09030892846795</v>
      </c>
      <c r="Q2" s="54" t="s">
        <v>163</v>
      </c>
      <c r="R2" s="54" t="s">
        <v>164</v>
      </c>
      <c r="S2" s="54" t="s">
        <v>165</v>
      </c>
    </row>
    <row r="3" spans="1:19" x14ac:dyDescent="0.25">
      <c r="A3" s="6" t="s">
        <v>6</v>
      </c>
      <c r="B3" s="8">
        <v>13</v>
      </c>
      <c r="C3" s="8">
        <v>25</v>
      </c>
      <c r="D3" s="8">
        <v>12</v>
      </c>
      <c r="H3" s="75"/>
      <c r="I3" s="75"/>
      <c r="K3" s="8">
        <v>2</v>
      </c>
      <c r="L3" s="64">
        <f>IFERROR((IFERROR(IF((IFERROR((IFERROR((IFERROR((K3*1000)/(3600*(IFERROR(Справочник!$O$51,"Вещества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данных")*$B$4/($B$3*10^(-3))+$B$22)*((IFERROR((IFERROR((K3*1000)/(3600*(IFERROR(Справочник!$O$51,"Вещества не существует"))),"Ошибка в условии"))/((PI()*($B$3*10^(-3))^2)/4),"Нет данных"))^2)/(2*9.8),"Нет данных")</f>
        <v>248.48020239633112</v>
      </c>
      <c r="M3" s="70">
        <f>IFERROR(((IFERROR(IF((IFERROR((IFERROR((IFERROR((K3*1000)/(3600*(IFERROR(Справочник!$O$51,"Вещества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данных"))*$C$4/($C$3*10^(-3))+$C$22)*((IFERROR((IFERROR((K3*1000)/(3600*(IFERROR(Справочник!$P$51,"Вещества не существует"))),"Ошибка в условии"))/((PI()*($C$3*10^(-3))^2)/4),"Нет данных"))^2)/(2*9.8),"Нет данных")</f>
        <v>5.9704989766133947</v>
      </c>
      <c r="N3" s="64">
        <f>IFERROR(((IFERROR(IF((IFERROR((IFERROR((IFERROR((K3*1000)/(3600*(IFERROR(Справочник!$O$51,"Вещества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данных")))^0.25,IF((IFERROR((IFERROR((IFERROR((K3*1000)/(3600*(IFERROR(Справочник!$O$51,"Вещества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данных"))*$D$4/($D$3*10^(-3))+$D$22)*((IFERROR((IFERROR((K3*1000)/(3600*(IFERROR(Справочник!$Q$51,"Вещества не существует"))),"Ошибка в условии"))/((PI()*($D$3*10^(-3))^2)/4),"Нет данных"))^2)/(2*9.8),"Нет данных")</f>
        <v>209.37709259661807</v>
      </c>
      <c r="O3" s="11">
        <f t="shared" si="0"/>
        <v>463.82779396956255</v>
      </c>
      <c r="Q3" s="54">
        <f t="shared" ref="Q3:Q11" si="1">K3-K2</f>
        <v>1</v>
      </c>
      <c r="R3" s="72">
        <f t="shared" ref="R3:R11" si="2">O3-O2</f>
        <v>343.7374850410946</v>
      </c>
      <c r="S3" s="54">
        <f>Q3/R3</f>
        <v>2.9091968246653336E-3</v>
      </c>
    </row>
    <row r="4" spans="1:19" x14ac:dyDescent="0.25">
      <c r="A4" s="6" t="s">
        <v>7</v>
      </c>
      <c r="B4" s="8">
        <v>80</v>
      </c>
      <c r="C4" s="8">
        <v>50</v>
      </c>
      <c r="D4" s="8">
        <v>45</v>
      </c>
      <c r="E4" s="96" t="s">
        <v>111</v>
      </c>
      <c r="F4" s="97"/>
      <c r="G4" s="107"/>
      <c r="H4" s="75"/>
      <c r="I4" s="75"/>
      <c r="K4" s="8">
        <v>3</v>
      </c>
      <c r="L4" s="64">
        <f>IFERROR((IFERROR(IF((IFERROR((IFERROR((IFERROR((K4*1000)/(3600*(IFERROR(Справочник!$O$51,"Вещества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данных")*$B$4/($B$3*10^(-3))+$B$22)*((IFERROR((IFERROR((K4*1000)/(3600*(IFERROR(Справочник!$O$51,"Вещества не существует"))),"Ошибка в условии"))/((PI()*($B$3*10^(-3))^2)/4),"Нет данных"))^2)/(2*9.8),"Нет данных")</f>
        <v>543.5604124152926</v>
      </c>
      <c r="M4" s="70">
        <f>IFERROR(((IFERROR(IF((IFERROR((IFERROR((IFERROR((K4*1000)/(3600*(IFERROR(Справочник!$O$51,"Вещества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данных"))*$C$4/($C$3*10^(-3))+$C$22)*((IFERROR((IFERROR((K4*1000)/(3600*(IFERROR(Справочник!$P$51,"Вещества не существует"))),"Ошибка в условии"))/((PI()*($C$3*10^(-3))^2)/4),"Нет данных"))^2)/(2*9.8),"Нет данных")</f>
        <v>13.124095556739094</v>
      </c>
      <c r="N4" s="64">
        <f>IFERROR(((IFERROR(IF((IFERROR((IFERROR((IFERROR((K4*1000)/(3600*(IFERROR(Справочник!$O$51,"Вещества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данных")))^0.25,IF((IFERROR((IFERROR((IFERROR((K4*1000)/(3600*(IFERROR(Справочник!$O$51,"Вещества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данных"))*$D$4/($D$3*10^(-3))+$D$22)*((IFERROR((IFERROR((K4*1000)/(3600*(IFERROR(Справочник!$Q$51,"Вещества не существует"))),"Ошибка в условии"))/((PI()*($D$3*10^(-3))^2)/4),"Нет данных"))^2)/(2*9.8),"Нет данных")</f>
        <v>471.09845834239064</v>
      </c>
      <c r="O4" s="11">
        <f t="shared" si="0"/>
        <v>1027.7829663144223</v>
      </c>
      <c r="Q4" s="54">
        <f t="shared" si="1"/>
        <v>1</v>
      </c>
      <c r="R4" s="72">
        <f t="shared" si="2"/>
        <v>563.95517234485976</v>
      </c>
      <c r="S4" s="54">
        <f t="shared" ref="S4:S11" si="3">Q4/R4</f>
        <v>1.7731905815175288E-3</v>
      </c>
    </row>
    <row r="5" spans="1:19" x14ac:dyDescent="0.25">
      <c r="A5" s="6" t="s">
        <v>22</v>
      </c>
      <c r="B5" s="11">
        <f>(PI()*(B3*10^(-3))^2)/4</f>
        <v>1.3273228961416879E-4</v>
      </c>
      <c r="C5" s="11">
        <f>(PI()*(C3*10^(-3))^2)/4</f>
        <v>4.9087385212340522E-4</v>
      </c>
      <c r="D5" s="11">
        <f>(PI()*(D3*10^(-3))^2)/4</f>
        <v>1.1309733552923255E-4</v>
      </c>
      <c r="E5" s="96" t="s">
        <v>10</v>
      </c>
      <c r="F5" s="97"/>
      <c r="G5" s="107"/>
      <c r="H5" s="75"/>
      <c r="I5" s="75"/>
      <c r="K5" s="8">
        <v>4</v>
      </c>
      <c r="L5" s="64">
        <f>IFERROR((IFERROR(IF((IFERROR((IFERROR((IFERROR((K5*1000)/(3600*(IFERROR(Справочник!$O$51,"Вещества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данных")*$B$4/($B$3*10^(-3))+$B$22)*((IFERROR((IFERROR((K5*1000)/(3600*(IFERROR(Справочник!$O$51,"Вещества не существует"))),"Ошибка в условии"))/((PI()*($B$3*10^(-3))^2)/4),"Нет данных"))^2)/(2*9.8),"Нет данных")</f>
        <v>966.32962207163109</v>
      </c>
      <c r="M5" s="70">
        <f>IFERROR(((IFERROR(IF((IFERROR((IFERROR((IFERROR((K5*1000)/(3600*(IFERROR(Справочник!$O$51,"Вещества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данных"))*$C$4/($C$3*10^(-3))+$C$22)*((IFERROR((IFERROR((K5*1000)/(3600*(IFERROR(Справочник!$P$51,"Вещества не существует"))),"Ошибка в условии"))/((PI()*($C$3*10^(-3))^2)/4),"Нет данных"))^2)/(2*9.8),"Нет данных")</f>
        <v>23.03719804552253</v>
      </c>
      <c r="N5" s="64">
        <f>IFERROR(((IFERROR(IF((IFERROR((IFERROR((IFERROR((K5*1000)/(3600*(IFERROR(Справочник!$O$51,"Вещества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данных")))^0.25,IF((IFERROR((IFERROR((IFERROR((K5*1000)/(3600*(IFERROR(Справочник!$O$51,"Вещества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данных"))*$D$4/($D$3*10^(-3))+$D$22)*((IFERROR((IFERROR((K5*1000)/(3600*(IFERROR(Справочник!$Q$51,"Вещества не существует"))),"Ошибка в условии"))/((PI()*($D$3*10^(-3))^2)/4),"Нет данных"))^2)/(2*9.8),"Нет данных")</f>
        <v>837.50837038647228</v>
      </c>
      <c r="O5" s="11">
        <f t="shared" si="0"/>
        <v>1826.8751905036258</v>
      </c>
      <c r="Q5" s="54">
        <f t="shared" si="1"/>
        <v>1</v>
      </c>
      <c r="R5" s="72">
        <f t="shared" si="2"/>
        <v>799.09222418920353</v>
      </c>
      <c r="S5" s="54">
        <f t="shared" si="3"/>
        <v>1.2514200110189371E-3</v>
      </c>
    </row>
    <row r="6" spans="1:19" ht="30" x14ac:dyDescent="0.25">
      <c r="A6" s="6" t="s">
        <v>29</v>
      </c>
      <c r="B6" s="52" t="s">
        <v>30</v>
      </c>
      <c r="C6" s="52" t="s">
        <v>30</v>
      </c>
      <c r="D6" s="52" t="s">
        <v>30</v>
      </c>
      <c r="E6" s="66">
        <v>1</v>
      </c>
      <c r="F6" s="51">
        <v>2</v>
      </c>
      <c r="G6" s="51">
        <v>3</v>
      </c>
      <c r="I6" s="76"/>
      <c r="K6" s="8">
        <v>5</v>
      </c>
      <c r="L6" s="64">
        <f>IFERROR((IFERROR(IF((IFERROR((IFERROR((IFERROR((K6*1000)/(3600*(IFERROR(Справочник!$O$51,"Вещества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данных")*$B$4/($B$3*10^(-3))+$B$22)*((IFERROR((IFERROR((K6*1000)/(3600*(IFERROR(Справочник!$O$51,"Вещества не существует"))),"Ошибка в условии"))/((PI()*($B$3*10^(-3))^2)/4),"Нет данных"))^2)/(2*9.8),"Нет данных")</f>
        <v>1509.8900344869237</v>
      </c>
      <c r="M6" s="70">
        <f>IFERROR(((IFERROR(IF((IFERROR((IFERROR((IFERROR((K6*1000)/(3600*(IFERROR(Справочник!$O$51,"Вещества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данных"))*$C$4/($C$3*10^(-3))+$C$22)*((IFERROR((IFERROR((K6*1000)/(3600*(IFERROR(Справочник!$P$51,"Вещества не существует"))),"Ошибка в условии"))/((PI()*($C$3*10^(-3))^2)/4),"Нет данных"))^2)/(2*9.8),"Нет данных")</f>
        <v>35.708460813282315</v>
      </c>
      <c r="N6" s="64">
        <f>IFERROR(((IFERROR(IF((IFERROR((IFERROR((IFERROR((K6*1000)/(3600*(IFERROR(Справочник!$O$51,"Вещества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данных")))^0.25,IF((IFERROR((IFERROR((IFERROR((K6*1000)/(3600*(IFERROR(Справочник!$O$51,"Вещества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данных"))*$D$4/($D$3*10^(-3))+$D$22)*((IFERROR((IFERROR((K6*1000)/(3600*(IFERROR(Справочник!$Q$51,"Вещества не существует"))),"Ошибка в условии"))/((PI()*($D$3*10^(-3))^2)/4),"Нет данных"))^2)/(2*9.8),"Нет данных")</f>
        <v>1308.6068287288629</v>
      </c>
      <c r="O6" s="11">
        <f t="shared" si="0"/>
        <v>2854.2053240290688</v>
      </c>
      <c r="Q6" s="54">
        <f t="shared" si="1"/>
        <v>1</v>
      </c>
      <c r="R6" s="72">
        <f t="shared" si="2"/>
        <v>1027.330133525443</v>
      </c>
      <c r="S6" s="54">
        <f t="shared" si="3"/>
        <v>9.733969318785039E-4</v>
      </c>
    </row>
    <row r="7" spans="1:19" x14ac:dyDescent="0.25">
      <c r="A7" s="95" t="s">
        <v>8</v>
      </c>
      <c r="B7" s="8">
        <f>'Обратный расчет'!B17</f>
        <v>7</v>
      </c>
      <c r="C7" s="8">
        <f>'Обратный расчет'!C17</f>
        <v>4</v>
      </c>
      <c r="D7" s="8">
        <f>'Обратный расчет'!D17</f>
        <v>3</v>
      </c>
      <c r="E7" s="67">
        <f>IFERROR(IF(B7&lt;&gt;0,INDEX(Справочник!$B$3:$B$10,MATCH(B7,Справочник!$E$3:$E$10,0)),0),"Нет данных")</f>
        <v>10</v>
      </c>
      <c r="F7" s="11">
        <f>IFERROR(IF(C7&lt;&gt;0,INDEX(Справочник!$C$3:$C$10,MATCH(C7,Справочник!$E$3:$E$10,0)),0),"Нет данных")</f>
        <v>6.15</v>
      </c>
      <c r="G7" s="11">
        <f>IFERROR(IF(D7&lt;&gt;0,INDEX(Справочник!$D$3:$D$10,MATCH(D7,Справочник!$E$3:$E$10,0)),0),"Нет данных")</f>
        <v>0.89676333075358461</v>
      </c>
      <c r="H7" s="48" t="s">
        <v>102</v>
      </c>
      <c r="I7" s="76"/>
      <c r="K7" s="8">
        <v>6</v>
      </c>
      <c r="L7" s="64">
        <f>IFERROR((IFERROR(IF((IFERROR((IFERROR((IFERROR((K7*1000)/(3600*(IFERROR(Справочник!$O$51,"Вещества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данных")*$B$4/($B$3*10^(-3))+$B$22)*((IFERROR((IFERROR((K7*1000)/(3600*(IFERROR(Справочник!$O$51,"Вещества не существует"))),"Ошибка в условии"))/((PI()*($B$3*10^(-3))^2)/4),"Нет данных"))^2)/(2*9.8),"Нет данных")</f>
        <v>2174.2416496611704</v>
      </c>
      <c r="M7" s="70">
        <f>IFERROR(((IFERROR(IF((IFERROR((IFERROR((IFERROR((K7*1000)/(3600*(IFERROR(Справочник!$O$51,"Вещества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данных"))*$C$4/($C$3*10^(-3))+$C$22)*((IFERROR((IFERROR((K7*1000)/(3600*(IFERROR(Справочник!$P$51,"Вещества не существует"))),"Ошибка в условии"))/((PI()*($C$3*10^(-3))^2)/4),"Нет данных"))^2)/(2*9.8),"Нет данных")</f>
        <v>51.137350782652206</v>
      </c>
      <c r="N7" s="64">
        <f>IFERROR(((IFERROR(IF((IFERROR((IFERROR((IFERROR((K7*1000)/(3600*(IFERROR(Справочник!$O$51,"Вещества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данных")))^0.25,IF((IFERROR((IFERROR((IFERROR((K7*1000)/(3600*(IFERROR(Справочник!$O$51,"Вещества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данных"))*$D$4/($D$3*10^(-3))+$D$22)*((IFERROR((IFERROR((K7*1000)/(3600*(IFERROR(Справочник!$Q$51,"Вещества не существует"))),"Ошибка в условии"))/((PI()*($D$3*10^(-3))^2)/4),"Нет данных"))^2)/(2*9.8),"Нет данных")</f>
        <v>1884.3938333695626</v>
      </c>
      <c r="O7" s="11">
        <f t="shared" si="0"/>
        <v>4109.7728338133848</v>
      </c>
      <c r="Q7" s="54">
        <f t="shared" si="1"/>
        <v>1</v>
      </c>
      <c r="R7" s="72">
        <f t="shared" si="2"/>
        <v>1255.5675097843159</v>
      </c>
      <c r="S7" s="54">
        <f t="shared" si="3"/>
        <v>7.9645259391251857E-4</v>
      </c>
    </row>
    <row r="8" spans="1:19" x14ac:dyDescent="0.25">
      <c r="A8" s="95"/>
      <c r="B8" s="8">
        <f>'Обратный расчет'!B18</f>
        <v>7</v>
      </c>
      <c r="C8" s="8">
        <f>'Обратный расчет'!C18</f>
        <v>4</v>
      </c>
      <c r="D8" s="8">
        <f>'Обратный расчет'!D18</f>
        <v>5</v>
      </c>
      <c r="E8" s="67">
        <f>IFERROR(IF(B8&lt;&gt;0,INDEX(Справочник!$B$3:$B$10,MATCH(B8,Справочник!$E$3:$E$10,0)),0),"Нет данных")</f>
        <v>10</v>
      </c>
      <c r="F8" s="11">
        <f>IFERROR(IF(C8&lt;&gt;0,INDEX(Справочник!$C$3:$C$10,MATCH(C8,Справочник!$E$3:$E$10,0)),0),"Нет данных")</f>
        <v>6.15</v>
      </c>
      <c r="G8" s="11">
        <f>IFERROR(IF(D8&lt;&gt;0,INDEX(Справочник!$D$3:$D$10,MATCH(D8,Справочник!$E$3:$E$10,0)),0),"Нет данных")</f>
        <v>10.8</v>
      </c>
      <c r="H8" s="48" t="s">
        <v>101</v>
      </c>
      <c r="I8" s="75"/>
      <c r="K8" s="8">
        <v>7</v>
      </c>
      <c r="L8" s="64">
        <f>IFERROR((IFERROR(IF((IFERROR((IFERROR((IFERROR((K8*1000)/(3600*(IFERROR(Справочник!$O$51,"Вещества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данных")*$B$4/($B$3*10^(-3))+$B$22)*((IFERROR((IFERROR((K8*1000)/(3600*(IFERROR(Справочник!$O$51,"Вещества не существует"))),"Ошибка в условии"))/((PI()*($B$3*10^(-3))^2)/4),"Нет данных"))^2)/(2*9.8),"Нет данных")</f>
        <v>2959.3844675943706</v>
      </c>
      <c r="M8" s="70">
        <f>IFERROR(((IFERROR(IF((IFERROR((IFERROR((IFERROR((K8*1000)/(3600*(IFERROR(Справочник!$O$51,"Вещества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данных"))*$C$4/($C$3*10^(-3))+$C$22)*((IFERROR((IFERROR((K8*1000)/(3600*(IFERROR(Справочник!$P$51,"Вещества не существует"))),"Ошибка в условии"))/((PI()*($C$3*10^(-3))^2)/4),"Нет данных"))^2)/(2*9.8),"Нет данных")</f>
        <v>69.323614107972745</v>
      </c>
      <c r="N8" s="64">
        <f>IFERROR(((IFERROR(IF((IFERROR((IFERROR((IFERROR((K8*1000)/(3600*(IFERROR(Справочник!$O$51,"Вещества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данных")))^0.25,IF((IFERROR((IFERROR((IFERROR((K8*1000)/(3600*(IFERROR(Справочник!$O$51,"Вещества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данных"))*$D$4/($D$3*10^(-3))+$D$22)*((IFERROR((IFERROR((K8*1000)/(3600*(IFERROR(Справочник!$Q$51,"Вещества не существует"))),"Ошибка в условии"))/((PI()*($D$3*10^(-3))^2)/4),"Нет данных"))^2)/(2*9.8),"Нет данных")</f>
        <v>2564.8693843085716</v>
      </c>
      <c r="O8" s="11">
        <f t="shared" si="0"/>
        <v>5593.5774660109146</v>
      </c>
      <c r="P8" s="75"/>
      <c r="Q8" s="54">
        <f t="shared" si="1"/>
        <v>1</v>
      </c>
      <c r="R8" s="72">
        <f t="shared" si="2"/>
        <v>1483.8046321975298</v>
      </c>
      <c r="S8" s="54">
        <f t="shared" si="3"/>
        <v>6.7394317169571698E-4</v>
      </c>
    </row>
    <row r="9" spans="1:19" x14ac:dyDescent="0.25">
      <c r="A9" s="95"/>
      <c r="B9" s="8">
        <f>'Обратный расчет'!B19</f>
        <v>0</v>
      </c>
      <c r="C9" s="8">
        <f>'Обратный расчет'!C19</f>
        <v>0</v>
      </c>
      <c r="D9" s="8">
        <f>'Обратный расчет'!D19</f>
        <v>0</v>
      </c>
      <c r="E9" s="67">
        <f>IFERROR(IF(B9&lt;&gt;0,INDEX(Справочник!$B$3:$B$10,MATCH(B9,Справочник!$E$3:$E$10,0)),0),"Нет данных")</f>
        <v>0</v>
      </c>
      <c r="F9" s="11">
        <f>IFERROR(IF(C9&lt;&gt;0,INDEX(Справочник!$C$3:$C$10,MATCH(C9,Справочник!$E$3:$E$10,0)),0),"Нет данных")</f>
        <v>0</v>
      </c>
      <c r="G9" s="11">
        <f>IFERROR(IF(D9&lt;&gt;0,INDEX(Справочник!$D$3:$D$10,MATCH(D9,Справочник!$E$3:$E$10,0)),0),"Нет данных")</f>
        <v>0</v>
      </c>
      <c r="H9" s="48" t="s">
        <v>100</v>
      </c>
      <c r="I9" s="74"/>
      <c r="K9" s="8">
        <v>8</v>
      </c>
      <c r="L9" s="64">
        <f>IFERROR((IFERROR(IF((IFERROR((IFERROR((IFERROR((K9*1000)/(3600*(IFERROR(Справочник!$O$51,"Вещества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данных")*$B$4/($B$3*10^(-3))+$B$22)*((IFERROR((IFERROR((K9*1000)/(3600*(IFERROR(Справочник!$O$51,"Вещества не существует"))),"Ошибка в условии"))/((PI()*($B$3*10^(-3))^2)/4),"Нет данных"))^2)/(2*9.8),"Нет данных")</f>
        <v>3865.3184882865244</v>
      </c>
      <c r="M9" s="70">
        <f>IFERROR(((IFERROR(IF((IFERROR((IFERROR((IFERROR((K9*1000)/(3600*(IFERROR(Справочник!$O$51,"Вещества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данных"))*$C$4/($C$3*10^(-3))+$C$22)*((IFERROR((IFERROR((K9*1000)/(3600*(IFERROR(Справочник!$P$51,"Вещества не существует"))),"Ошибка в условии"))/((PI()*($C$3*10^(-3))^2)/4),"Нет данных"))^2)/(2*9.8),"Нет данных")</f>
        <v>90.267114412107091</v>
      </c>
      <c r="N9" s="64">
        <f>IFERROR(((IFERROR(IF((IFERROR((IFERROR((IFERROR((K9*1000)/(3600*(IFERROR(Справочник!$O$51,"Вещества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данных")))^0.25,IF((IFERROR((IFERROR((IFERROR((K9*1000)/(3600*(IFERROR(Справочник!$O$51,"Вещества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данных"))*$D$4/($D$3*10^(-3))+$D$22)*((IFERROR((IFERROR((K9*1000)/(3600*(IFERROR(Справочник!$Q$51,"Вещества не существует"))),"Ошибка в условии"))/((PI()*($D$3*10^(-3))^2)/4),"Нет данных"))^2)/(2*9.8),"Нет данных")</f>
        <v>3350.0334815458891</v>
      </c>
      <c r="O9" s="11">
        <f t="shared" si="0"/>
        <v>7305.6190842445212</v>
      </c>
      <c r="Q9" s="54">
        <f t="shared" si="1"/>
        <v>1</v>
      </c>
      <c r="R9" s="72">
        <f t="shared" si="2"/>
        <v>1712.0416182336066</v>
      </c>
      <c r="S9" s="54">
        <f t="shared" si="3"/>
        <v>5.8409795027748604E-4</v>
      </c>
    </row>
    <row r="10" spans="1:19" x14ac:dyDescent="0.25">
      <c r="A10" s="95"/>
      <c r="B10" s="8">
        <f>'Обратный расчет'!B20</f>
        <v>0</v>
      </c>
      <c r="C10" s="8">
        <f>'Обратный расчет'!C20</f>
        <v>0</v>
      </c>
      <c r="D10" s="8">
        <f>'Обратный расчет'!D20</f>
        <v>0</v>
      </c>
      <c r="E10" s="67">
        <f>IFERROR(IF(B10&lt;&gt;0,INDEX(Справочник!$B$3:$B$10,MATCH(B10,Справочник!$E$3:$E$10,0)),0),"Нет данных")</f>
        <v>0</v>
      </c>
      <c r="F10" s="11">
        <f>IFERROR(IF(C10&lt;&gt;0,INDEX(Справочник!$C$3:$C$10,MATCH(C10,Справочник!$E$3:$E$10,0)),0),"Нет данных")</f>
        <v>0</v>
      </c>
      <c r="G10" s="11">
        <f>IFERROR(IF(D10&lt;&gt;0,INDEX(Справочник!$D$3:$D$10,MATCH(D10,Справочник!$E$3:$E$10,0)),0),"Нет данных")</f>
        <v>0</v>
      </c>
      <c r="H10" s="48" t="s">
        <v>103</v>
      </c>
      <c r="I10" s="75"/>
      <c r="K10" s="8">
        <v>9</v>
      </c>
      <c r="L10" s="64">
        <f>IFERROR((IFERROR(IF((IFERROR((IFERROR((IFERROR((K10*1000)/(3600*(IFERROR(Справочник!$O$51,"Вещества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данных")*$B$4/($B$3*10^(-3))+$B$22)*((IFERROR((IFERROR((K10*1000)/(3600*(IFERROR(Справочник!$O$51,"Вещества не существует"))),"Ошибка в условии"))/((PI()*($B$3*10^(-3))^2)/4),"Нет данных"))^2)/(2*9.8),"Нет данных")</f>
        <v>4892.0437117376323</v>
      </c>
      <c r="M10" s="70">
        <f>IFERROR(((IFERROR(IF((IFERROR((IFERROR((IFERROR((K10*1000)/(3600*(IFERROR(Справочник!$O$51,"Вещества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данных"))*$C$4/($C$3*10^(-3))+$C$22)*((IFERROR((IFERROR((K10*1000)/(3600*(IFERROR(Справочник!$P$51,"Вещества не существует"))),"Ошибка в условии"))/((PI()*($C$3*10^(-3))^2)/4),"Нет данных"))^2)/(2*9.8),"Нет данных")</f>
        <v>111.65768856855502</v>
      </c>
      <c r="N10" s="64">
        <f>IFERROR(((IFERROR(IF((IFERROR((IFERROR((IFERROR((K10*1000)/(3600*(IFERROR(Справочник!$O$51,"Вещества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данных")))^0.25,IF((IFERROR((IFERROR((IFERROR((K10*1000)/(3600*(IFERROR(Справочник!$O$51,"Вещества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данных"))*$D$4/($D$3*10^(-3))+$D$22)*((IFERROR((IFERROR((K10*1000)/(3600*(IFERROR(Справочник!$Q$51,"Вещества не существует"))),"Ошибка в условии"))/((PI()*($D$3*10^(-3))^2)/4),"Нет данных"))^2)/(2*9.8),"Нет данных")</f>
        <v>4239.8861250815153</v>
      </c>
      <c r="O10" s="11">
        <f t="shared" si="0"/>
        <v>9243.587525387702</v>
      </c>
      <c r="Q10" s="54">
        <f t="shared" si="1"/>
        <v>1</v>
      </c>
      <c r="R10" s="72">
        <f t="shared" si="2"/>
        <v>1937.9684411431808</v>
      </c>
      <c r="S10" s="54">
        <f t="shared" si="3"/>
        <v>5.1600427477039505E-4</v>
      </c>
    </row>
    <row r="11" spans="1:19" x14ac:dyDescent="0.25">
      <c r="A11" s="95"/>
      <c r="B11" s="8">
        <f>'Обратный расчет'!B21</f>
        <v>0</v>
      </c>
      <c r="C11" s="8">
        <f>'Обратный расчет'!C21</f>
        <v>0</v>
      </c>
      <c r="D11" s="8">
        <f>'Обратный расчет'!D21</f>
        <v>0</v>
      </c>
      <c r="E11" s="67">
        <f>IFERROR(IF(B11&lt;&gt;0,INDEX(Справочник!$B$3:$B$10,MATCH(B11,Справочник!$E$3:$E$10,0)),0),"Нет данных")</f>
        <v>0</v>
      </c>
      <c r="F11" s="11">
        <f>IFERROR(IF(C11&lt;&gt;0,INDEX(Справочник!$C$3:$C$10,MATCH(C11,Справочник!$E$3:$E$10,0)),0),"Нет данных")</f>
        <v>0</v>
      </c>
      <c r="G11" s="11">
        <f>IFERROR(IF(D11&lt;&gt;0,INDEX(Справочник!$D$3:$D$10,MATCH(D11,Справочник!$E$3:$E$10,0)),0),"Нет данных")</f>
        <v>0</v>
      </c>
      <c r="H11" s="48" t="s">
        <v>104</v>
      </c>
      <c r="I11" s="75"/>
      <c r="K11" s="8">
        <v>10</v>
      </c>
      <c r="L11" s="64">
        <f>IFERROR((IFERROR(IF((IFERROR((IFERROR((IFERROR((K11*1000)/(3600*(IFERROR(Справочник!$O$51,"Вещества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данных"))&lt;=10/INDEX(Справочник!$B$82:$B$92,MATCH('Прямой расчет'!$B$16,Справочник!$A$82:$A$92,0))/($B$3),0.316/(IFERROR((IFERROR((IFERROR((K11*1000)/(3600*(IFERROR(Справочник!$O$51,"Вещества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данных"))&lt;=560/(INDEX(Справочник!$B$82:$B$92,MATCH('Прямой расчет'!$B$16,Справочник!$A$82:$A$92,0))/($B$3)),0.11*((INDEX(Справочник!$B$82:$B$92,MATCH('Прямой расчет'!$B$16,Справочник!$A$82:$A$92,0))/($B$3))+68/(IFERROR((IFERROR((IFERROR((K11*1000)/(3600*(IFERROR(Справочник!$O$51,"Вещества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условии"))/((PI()*($B$3*10^(-3))^2)/4),"Нет данных"))*(IFERROR(Справочник!$O$51,"Вещества не существует"))*$B$3*10^(-3)/(IFERROR(Справочник!$O$70*10^-3,"Вещества не существует")),"Нет данных"))&gt;=560/(INDEX(Справочник!$B$82:$B$92,MATCH('Прямой расчет'!$B$16,Справочник!$A$82:$A$92,0))/($B$3)),0.11*(INDEX(Справочник!$B$82:$B$92,MATCH('Прямой расчет'!$B$16,Справочник!$A$82:$A$92,0))/($B$3))^0.25,"Ошибка")))),"Нет данных")*$B$4/($B$3*10^(-3))+$B$22)*((IFERROR((IFERROR((K11*1000)/(3600*(IFERROR(Справочник!$O$51,"Вещества не существует"))),"Ошибка в условии"))/((PI()*($B$3*10^(-3))^2)/4),"Нет данных"))^2)/(2*9.8),"Нет данных")</f>
        <v>6039.5601379476948</v>
      </c>
      <c r="M11" s="70">
        <f>IFERROR(((IFERROR(IF((IFERROR((IFERROR((IFERROR((K11*1000)/(3600*(IFERROR(Справочник!$O$51,"Вещества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данных"))&lt;=10/(INDEX(Справочник!$B$82:$B$92,MATCH('Прямой расчет'!$C$16,Справочник!$A$82:$A$92,0))/($C$3)),0.316/(IFERROR((IFERROR((IFERROR((K11*1000)/(3600*(IFERROR(Справочник!$O$51,"Вещества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данных"))&lt;=560/(INDEX(Справочник!$B$82:$B$92,MATCH('Прямой расчет'!$C$16,Справочник!$A$82:$A$92,0))/($C$3)),0.11*((INDEX(Справочник!$B$82:$B$92,MATCH('Прямой расчет'!$C$16,Справочник!$A$82:$A$92,0))/($C$3))+68/(IFERROR((IFERROR((IFERROR((K11*1000)/(3600*(IFERROR(Справочник!$O$51,"Вещества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условии"))/((PI()*($C$3*10^(-3))^2)/4),"Нет данных"))*(IFERROR(Справочник!$O$51,"Вещества не существует"))*$C$3*10^(-3)/(IFERROR(Справочник!$O$70*10^-3,"Вещества не существует")),"Нет данных"))&gt;=560/(INDEX(Справочник!$B$82:$B$92,MATCH('Прямой расчет'!$C$16,Справочник!$A$82:$A$92,0))/($C$3)),0.11*(INDEX(Справочник!$B$82:$B$92,MATCH('Прямой расчет'!$C$16,Справочник!$A$82:$A$92,0))/($C$3))^0.25,"Ошибка")))),"Нет данных"))*$C$4/($C$3*10^(-3))+$C$22)*((IFERROR((IFERROR((K11*1000)/(3600*(IFERROR(Справочник!$P$51,"Вещества не существует"))),"Ошибка в условии"))/((PI()*($C$3*10^(-3))^2)/4),"Нет данных"))^2)/(2*9.8),"Нет данных")</f>
        <v>137.84899823278394</v>
      </c>
      <c r="N11" s="64">
        <f>IFERROR(((IFERROR(IF((IFERROR((IFERROR((IFERROR((K11*1000)/(3600*(IFERROR(Справочник!$O$51,"Вещества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данных"))&lt;2320,64/(IFERROR((IFERROR((IFERROR((K11*1000)/(3600*(IFERROR(Справочник!$O$51,"Вещества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данных"))&lt;=10/(INDEX(Справочник!$B$82:$B$92,MATCH('Прямой расчет'!$D$16,Справочник!$A$82:$A$92,0))/($D$3)),0.316/(IFERROR((IFERROR((IFERROR((K11*1000)/(3600*(IFERROR(Справочник!$O$51,"Вещества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данных"))^(1/4),IF((IFERROR((IFERROR((IFERROR((K11*1000)/(3600*(IFERROR(Справочник!$O$51,"Вещества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данных"))&lt;=560/(INDEX(Справочник!$B$82:$B$92,MATCH('Прямой расчет'!$D$16,Справочник!$A$82:$A$92,0))/($D$3)),0.11*((INDEX(Справочник!$B$82:$B$92,MATCH('Прямой расчет'!$D$16,Справочник!$A$82:$A$92,0))/($D$3))+68/(IFERROR((IFERROR((IFERROR((K11*1000)/(3600*(IFERROR(Справочник!$O$51,"Вещества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данных")))^0.25,IF((IFERROR((IFERROR((IFERROR((K11*1000)/(3600*(IFERROR(Справочник!$O$51,"Вещества не существует"))),"Ошибка в условии"))/((PI()*($D$3*10^(-3))^2)/4),"Нет данных"))*(IFERROR(Справочник!$O$51,"Вещества не существует"))*$D$3*10^(-3)/(IFERROR(Справочник!$O$70*10^-3,"Вещества не существует")),"Нет данных"))&gt;=560/(INDEX(Справочник!$B$82:$B$92,MATCH('Прямой расчет'!$D$16,Справочник!$A$82:$A$92,0))/($D$3)),0.11*(INDEX(Справочник!$B$82:$B$92,MATCH('Прямой расчет'!$D$16,Справочник!$A$82:$A$92,0))/($D$3))^0.25,"Ошибка")))),"Нет данных"))*$D$4/($D$3*10^(-3))+$D$22)*((IFERROR((IFERROR((K11*1000)/(3600*(IFERROR(Справочник!$Q$51,"Вещества не существует"))),"Ошибка в условии"))/((PI()*($D$3*10^(-3))^2)/4),"Нет данных"))^2)/(2*9.8),"Нет данных")</f>
        <v>5234.4273149154515</v>
      </c>
      <c r="O11" s="11">
        <f t="shared" si="0"/>
        <v>11411.836451095929</v>
      </c>
      <c r="Q11" s="54">
        <f t="shared" si="1"/>
        <v>1</v>
      </c>
      <c r="R11" s="72">
        <f t="shared" si="2"/>
        <v>2168.248925708227</v>
      </c>
      <c r="S11" s="54">
        <f t="shared" si="3"/>
        <v>4.6120165823366636E-4</v>
      </c>
    </row>
    <row r="12" spans="1:19" x14ac:dyDescent="0.25">
      <c r="A12" s="95"/>
      <c r="B12" s="8">
        <f>'Обратный расчет'!B22</f>
        <v>0</v>
      </c>
      <c r="C12" s="8">
        <f>'Обратный расчет'!C22</f>
        <v>0</v>
      </c>
      <c r="D12" s="8">
        <f>'Обратный расчет'!D22</f>
        <v>0</v>
      </c>
      <c r="E12" s="67">
        <f>IFERROR(IF(B12&lt;&gt;0,INDEX(Справочник!$B$3:$B$10,MATCH(B12,Справочник!$E$3:$E$10,0)),0),"Нет данных")</f>
        <v>0</v>
      </c>
      <c r="F12" s="11">
        <f>IFERROR(IF(C12&lt;&gt;0,INDEX(Справочник!$C$3:$C$10,MATCH(C12,Справочник!$E$3:$E$10,0)),0),"Нет данных")</f>
        <v>0</v>
      </c>
      <c r="G12" s="11">
        <f>IFERROR(IF(D12&lt;&gt;0,INDEX(Справочник!$D$3:$D$10,MATCH(D12,Справочник!$E$3:$E$10,0)),0),"Нет данных")</f>
        <v>0</v>
      </c>
      <c r="H12" s="48" t="s">
        <v>105</v>
      </c>
      <c r="I12" s="75"/>
    </row>
    <row r="13" spans="1:19" x14ac:dyDescent="0.25">
      <c r="A13" s="95"/>
      <c r="B13" s="8">
        <f>'Обратный расчет'!B23</f>
        <v>0</v>
      </c>
      <c r="C13" s="8">
        <f>'Обратный расчет'!C23</f>
        <v>0</v>
      </c>
      <c r="D13" s="8">
        <f>'Обратный расчет'!D23</f>
        <v>0</v>
      </c>
      <c r="E13" s="67">
        <f>IFERROR(IF(B13&lt;&gt;0,INDEX(Справочник!$B$3:$B$10,MATCH(B13,Справочник!$E$3:$E$10,0)),0),"Нет данных")</f>
        <v>0</v>
      </c>
      <c r="F13" s="11">
        <f>IFERROR(IF(C13&lt;&gt;0,INDEX(Справочник!$C$3:$C$10,MATCH(C13,Справочник!$E$3:$E$10,0)),0),"Нет данных")</f>
        <v>0</v>
      </c>
      <c r="G13" s="11">
        <f>IFERROR(IF(D13&lt;&gt;0,INDEX(Справочник!$D$3:$D$10,MATCH(D13,Справочник!$E$3:$E$10,0)),0),"Нет данных")</f>
        <v>0</v>
      </c>
      <c r="H13" s="48" t="s">
        <v>106</v>
      </c>
      <c r="I13" s="75"/>
    </row>
    <row r="14" spans="1:19" x14ac:dyDescent="0.25">
      <c r="A14" s="95"/>
      <c r="B14" s="8">
        <f>'Обратный расчет'!B24</f>
        <v>0</v>
      </c>
      <c r="C14" s="8">
        <f>'Обратный расчет'!C24</f>
        <v>0</v>
      </c>
      <c r="D14" s="8">
        <f>'Обратный расчет'!D24</f>
        <v>0</v>
      </c>
      <c r="E14" s="67">
        <f>IFERROR(IF(B14&lt;&gt;0,INDEX(Справочник!$B$3:$B$10,MATCH(B14,Справочник!$E$3:$E$10,0)),0),"Нет данных")</f>
        <v>0</v>
      </c>
      <c r="F14" s="11">
        <f>IFERROR(IF(C14&lt;&gt;0,INDEX(Справочник!$C$3:$C$10,MATCH(C14,Справочник!$E$3:$E$10,0)),0),"Нет данных")</f>
        <v>0</v>
      </c>
      <c r="G14" s="11">
        <f>IFERROR(IF(D14&lt;&gt;0,INDEX(Справочник!$D$3:$D$10,MATCH(D14,Справочник!$E$3:$E$10,0)),0),"Нет данных")</f>
        <v>0</v>
      </c>
      <c r="H14" s="48" t="s">
        <v>107</v>
      </c>
      <c r="I14" s="75"/>
      <c r="L14" s="72">
        <f>'Обратный расчет'!G11</f>
        <v>119</v>
      </c>
    </row>
    <row r="15" spans="1:19" x14ac:dyDescent="0.25">
      <c r="A15" s="6" t="s">
        <v>135</v>
      </c>
      <c r="B15" s="8" t="s">
        <v>138</v>
      </c>
      <c r="C15" s="8"/>
      <c r="D15" s="8"/>
      <c r="I15" s="75"/>
      <c r="L15" s="54">
        <f>0.09*L14^0.5047</f>
        <v>1.0040863447528316</v>
      </c>
    </row>
    <row r="16" spans="1:19" x14ac:dyDescent="0.25">
      <c r="A16" s="6"/>
      <c r="B16" s="51">
        <f>INDEX(Справочник!V37:W37,1,MATCH('Прямой расчет'!B25,Справочник!V36:W36,0))</f>
        <v>0.2</v>
      </c>
      <c r="C16" s="8"/>
      <c r="D16" s="8"/>
      <c r="E16" s="98" t="s">
        <v>9</v>
      </c>
    </row>
    <row r="17" spans="1:17" x14ac:dyDescent="0.25">
      <c r="A17" s="6" t="s">
        <v>87</v>
      </c>
      <c r="B17" s="8">
        <v>90</v>
      </c>
      <c r="C17" s="8">
        <v>90</v>
      </c>
      <c r="D17" s="8">
        <v>90</v>
      </c>
      <c r="E17" s="98"/>
    </row>
    <row r="18" spans="1:17" x14ac:dyDescent="0.25">
      <c r="A18" s="6" t="s">
        <v>88</v>
      </c>
      <c r="B18" s="8">
        <v>90</v>
      </c>
      <c r="C18" s="8">
        <v>30</v>
      </c>
      <c r="D18" s="8">
        <v>90</v>
      </c>
      <c r="L18" s="54" t="s">
        <v>153</v>
      </c>
    </row>
    <row r="19" spans="1:17" x14ac:dyDescent="0.25">
      <c r="A19" s="6" t="s">
        <v>142</v>
      </c>
      <c r="B19" s="8">
        <v>30</v>
      </c>
      <c r="C19" s="8">
        <v>30</v>
      </c>
      <c r="D19" s="8">
        <v>30</v>
      </c>
      <c r="Q19" s="54" t="s">
        <v>153</v>
      </c>
    </row>
    <row r="20" spans="1:17" x14ac:dyDescent="0.25">
      <c r="A20" s="6" t="s">
        <v>95</v>
      </c>
      <c r="B20" s="8">
        <v>5</v>
      </c>
      <c r="C20" s="8"/>
      <c r="D20" s="8">
        <v>5</v>
      </c>
      <c r="O20" s="54">
        <f>CORREL(K2:K11,O2:O11)</f>
        <v>0.97448953576318753</v>
      </c>
    </row>
    <row r="21" spans="1:17" x14ac:dyDescent="0.25">
      <c r="A21" s="6" t="s">
        <v>97</v>
      </c>
      <c r="B21" s="8">
        <v>0.3</v>
      </c>
      <c r="C21" s="68"/>
      <c r="D21" s="8"/>
    </row>
    <row r="22" spans="1:17" ht="18" x14ac:dyDescent="0.35">
      <c r="A22" s="13" t="s">
        <v>98</v>
      </c>
      <c r="B22" s="11">
        <f>IFERROR((SUM(E7:E14)+B16+Справочник!Y27),"Поменять условия")</f>
        <v>20.2</v>
      </c>
      <c r="C22" s="11">
        <f>IFERROR(SUM(F7:F14)+Справочник!Y33,"Поменять условия")</f>
        <v>13.36060251461374</v>
      </c>
      <c r="D22" s="11">
        <f>IFERROR(SUM(G7:G14)+1,"Поменять условия")</f>
        <v>12.696763330753585</v>
      </c>
    </row>
    <row r="23" spans="1:17" x14ac:dyDescent="0.25">
      <c r="A23" s="6" t="s">
        <v>112</v>
      </c>
      <c r="B23" s="11">
        <f>IFERROR(SUM(B22:D22),"Поменяйте условия")</f>
        <v>46.257365845367325</v>
      </c>
    </row>
    <row r="24" spans="1:17" x14ac:dyDescent="0.25">
      <c r="A24" s="9" t="s">
        <v>14</v>
      </c>
    </row>
    <row r="25" spans="1:17" x14ac:dyDescent="0.25">
      <c r="A25" s="10" t="s">
        <v>15</v>
      </c>
    </row>
    <row r="28" spans="1:17" x14ac:dyDescent="0.25">
      <c r="J28" s="54" t="s">
        <v>160</v>
      </c>
    </row>
    <row r="29" spans="1:17" x14ac:dyDescent="0.25">
      <c r="J29" s="54" t="s">
        <v>161</v>
      </c>
    </row>
  </sheetData>
  <mergeCells count="5">
    <mergeCell ref="E4:G4"/>
    <mergeCell ref="E5:G5"/>
    <mergeCell ref="A7:A14"/>
    <mergeCell ref="E16:E17"/>
    <mergeCell ref="A1:D1"/>
  </mergeCells>
  <dataValidations count="1">
    <dataValidation type="decimal" operator="greaterThan" allowBlank="1" showInputMessage="1" showErrorMessage="1" sqref="B17:D17" xr:uid="{D6E68EA6-C8EC-47F8-B5F4-E96F1D6C5545}">
      <formula1>B3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45172A2-B4AC-4BA0-AFD5-04AB2CBB284E}">
          <x14:formula1>
            <xm:f>Справочник!$V$36:$W$36</xm:f>
          </x14:formula1>
          <xm:sqref>B15</xm:sqref>
        </x14:dataValidation>
        <x14:dataValidation type="list" allowBlank="1" showInputMessage="1" showErrorMessage="1" xr:uid="{2B4038CE-3134-43B2-9660-F5A94A983266}">
          <x14:formula1>
            <xm:f>Справочник!$A$82:$A$92</xm:f>
          </x14:formula1>
          <xm:sqref>B6:D6</xm:sqref>
        </x14:dataValidation>
        <x14:dataValidation type="list" allowBlank="1" showInputMessage="1" showErrorMessage="1" xr:uid="{09BE134C-5B5D-4149-A54B-CA7A1AB61E88}">
          <x14:formula1>
            <xm:f>Справочник!#REF!</xm:f>
          </x14:formula1>
          <xm:sqref>B21:D21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BC6BF-73E6-46AA-B799-F2FA291F9ECE}">
  <sheetPr codeName="Лист4"/>
  <dimension ref="A1:BE92"/>
  <sheetViews>
    <sheetView zoomScaleNormal="100" workbookViewId="0">
      <selection activeCell="AS17" sqref="AS17:AS19"/>
    </sheetView>
  </sheetViews>
  <sheetFormatPr defaultRowHeight="15" x14ac:dyDescent="0.25"/>
  <cols>
    <col min="1" max="1" width="25.5703125" customWidth="1"/>
    <col min="2" max="2" width="10" customWidth="1"/>
    <col min="3" max="3" width="8.7109375" customWidth="1"/>
    <col min="5" max="5" width="9.140625" bestFit="1" customWidth="1"/>
    <col min="6" max="6" width="14.7109375" customWidth="1"/>
    <col min="7" max="7" width="12" bestFit="1" customWidth="1"/>
    <col min="8" max="8" width="13.7109375" customWidth="1"/>
    <col min="9" max="9" width="9.42578125" bestFit="1" customWidth="1"/>
    <col min="11" max="11" width="8.85546875" customWidth="1"/>
    <col min="13" max="13" width="8.7109375" customWidth="1"/>
    <col min="14" max="14" width="9.42578125" bestFit="1" customWidth="1"/>
    <col min="24" max="24" width="8.85546875" customWidth="1"/>
    <col min="25" max="26" width="9.42578125" bestFit="1" customWidth="1"/>
  </cols>
  <sheetData>
    <row r="1" spans="1:57" ht="17.25" x14ac:dyDescent="0.25">
      <c r="A1" s="48" t="s">
        <v>148</v>
      </c>
      <c r="B1" s="121" t="s">
        <v>10</v>
      </c>
      <c r="C1" s="121"/>
      <c r="D1" s="121"/>
      <c r="G1" s="129" t="s">
        <v>49</v>
      </c>
      <c r="H1" s="130"/>
      <c r="I1" s="130"/>
      <c r="J1" s="130"/>
      <c r="K1" s="130"/>
      <c r="L1" s="130"/>
      <c r="M1" s="130"/>
      <c r="N1" s="130"/>
      <c r="O1" s="130"/>
      <c r="P1" s="130"/>
      <c r="Q1" s="130"/>
      <c r="T1" s="108" t="s">
        <v>56</v>
      </c>
      <c r="U1" s="108"/>
      <c r="V1" s="108"/>
      <c r="W1" s="108"/>
      <c r="X1" s="108"/>
      <c r="Y1" s="108"/>
      <c r="AB1" s="114" t="s">
        <v>149</v>
      </c>
      <c r="AC1" s="108" t="s">
        <v>17</v>
      </c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T1" s="118" t="s">
        <v>150</v>
      </c>
      <c r="AU1" s="120"/>
      <c r="AV1" s="120"/>
      <c r="AW1" s="119"/>
      <c r="AX1" s="71" t="s">
        <v>149</v>
      </c>
      <c r="AY1" s="55">
        <v>0.3</v>
      </c>
      <c r="AZ1" s="55">
        <v>0.4</v>
      </c>
      <c r="BA1" s="55">
        <v>0.36</v>
      </c>
      <c r="BB1" s="136" t="s">
        <v>17</v>
      </c>
      <c r="BC1" s="133" t="s">
        <v>149</v>
      </c>
      <c r="BD1" s="134"/>
      <c r="BE1" s="135"/>
    </row>
    <row r="2" spans="1:57" ht="18" x14ac:dyDescent="0.35">
      <c r="A2" s="48" t="s">
        <v>99</v>
      </c>
      <c r="B2" s="48">
        <v>1</v>
      </c>
      <c r="C2" s="48">
        <v>2</v>
      </c>
      <c r="D2" s="48">
        <v>3</v>
      </c>
      <c r="G2" s="131" t="s">
        <v>50</v>
      </c>
      <c r="H2" s="128"/>
      <c r="I2" s="128"/>
      <c r="J2" s="128"/>
      <c r="K2" s="128"/>
      <c r="L2" s="128"/>
      <c r="M2" s="128"/>
      <c r="N2" s="128"/>
      <c r="O2" s="128"/>
      <c r="P2" s="128"/>
      <c r="Q2" s="128"/>
      <c r="T2" s="2" t="s">
        <v>57</v>
      </c>
      <c r="U2" s="2">
        <v>0</v>
      </c>
      <c r="V2" s="2">
        <v>12.5</v>
      </c>
      <c r="W2" s="2">
        <v>25</v>
      </c>
      <c r="X2" s="2">
        <v>37</v>
      </c>
      <c r="Y2" s="2">
        <v>50</v>
      </c>
      <c r="Z2" s="2">
        <v>99999</v>
      </c>
      <c r="AB2" s="114"/>
      <c r="AC2" s="2">
        <v>0</v>
      </c>
      <c r="AD2" s="2">
        <v>25</v>
      </c>
      <c r="AE2" s="2">
        <v>40</v>
      </c>
      <c r="AF2" s="2">
        <v>60</v>
      </c>
      <c r="AG2" s="2">
        <v>200</v>
      </c>
      <c r="AH2" s="2">
        <v>400</v>
      </c>
      <c r="AI2" s="2">
        <v>1000</v>
      </c>
      <c r="AJ2" s="2">
        <v>2000</v>
      </c>
      <c r="AK2" s="2">
        <v>4000</v>
      </c>
      <c r="AL2" s="2">
        <v>10000</v>
      </c>
      <c r="AM2" s="2">
        <v>20000</v>
      </c>
      <c r="AN2" s="2">
        <v>100000</v>
      </c>
      <c r="AO2" s="2">
        <v>200000</v>
      </c>
      <c r="AP2" s="2">
        <v>1000000</v>
      </c>
      <c r="AQ2" s="2">
        <f>10^99</f>
        <v>9.9999999999999997E+98</v>
      </c>
      <c r="AT2" s="136" t="s">
        <v>149</v>
      </c>
      <c r="AU2" s="118" t="s">
        <v>149</v>
      </c>
      <c r="AV2" s="120"/>
      <c r="AW2" s="119"/>
      <c r="AX2" s="55" t="s">
        <v>151</v>
      </c>
      <c r="AY2" s="57">
        <v>1.59</v>
      </c>
      <c r="AZ2" s="57">
        <v>1.55</v>
      </c>
      <c r="BA2" s="37">
        <f>AY2+(AZ2-AY2)/(AZ1-AY1)*(BA1-AY1)</f>
        <v>1.5660000000000001</v>
      </c>
      <c r="BB2" s="137"/>
      <c r="BC2" s="71">
        <v>0.3</v>
      </c>
      <c r="BD2" s="55">
        <v>0.4</v>
      </c>
      <c r="BE2" s="55">
        <v>0.36</v>
      </c>
    </row>
    <row r="3" spans="1:57" x14ac:dyDescent="0.25">
      <c r="A3" s="48" t="s">
        <v>102</v>
      </c>
      <c r="B3" s="49">
        <f>H15</f>
        <v>8.6923076923076922E-2</v>
      </c>
      <c r="C3" s="49">
        <f>L15</f>
        <v>5.3100000000000001E-2</v>
      </c>
      <c r="D3" s="49">
        <f>P15</f>
        <v>8.4999999999999992E-2</v>
      </c>
      <c r="E3" s="50">
        <v>1</v>
      </c>
      <c r="G3" s="2" t="s">
        <v>51</v>
      </c>
      <c r="H3" s="2">
        <v>0</v>
      </c>
      <c r="I3" s="2">
        <v>20</v>
      </c>
      <c r="J3" s="2">
        <v>30</v>
      </c>
      <c r="K3" s="2">
        <v>45</v>
      </c>
      <c r="L3" s="2">
        <v>60</v>
      </c>
      <c r="M3" s="2">
        <v>90</v>
      </c>
      <c r="N3" s="2">
        <v>110</v>
      </c>
      <c r="O3" s="2">
        <v>130</v>
      </c>
      <c r="P3" s="2">
        <v>150</v>
      </c>
      <c r="Q3" s="2">
        <v>180</v>
      </c>
      <c r="T3" s="2" t="s">
        <v>43</v>
      </c>
      <c r="U3" s="2">
        <f>V3</f>
        <v>2.2000000000000002</v>
      </c>
      <c r="V3" s="2">
        <v>2.2000000000000002</v>
      </c>
      <c r="W3" s="2">
        <v>2</v>
      </c>
      <c r="X3" s="2">
        <v>1.6</v>
      </c>
      <c r="Y3" s="2">
        <v>1.1000000000000001</v>
      </c>
      <c r="Z3" s="2">
        <v>1.1000000000000001</v>
      </c>
      <c r="AB3" s="2">
        <v>0.36</v>
      </c>
      <c r="AC3">
        <f>AD3</f>
        <v>1.4380000000000002</v>
      </c>
      <c r="AD3" s="2">
        <f t="shared" ref="AD3:AP3" si="0">INDEX($BE$3:$BE$15,MATCH(AD2,$BB$3:$BB$15,0),1)</f>
        <v>1.4380000000000002</v>
      </c>
      <c r="AE3" s="55">
        <f t="shared" si="0"/>
        <v>1.0580000000000001</v>
      </c>
      <c r="AF3" s="55">
        <f t="shared" si="0"/>
        <v>0.82600000000000007</v>
      </c>
      <c r="AG3" s="55">
        <f t="shared" si="0"/>
        <v>0.64200000000000002</v>
      </c>
      <c r="AH3" s="55">
        <f t="shared" si="0"/>
        <v>0.46800000000000003</v>
      </c>
      <c r="AI3" s="55">
        <f t="shared" si="0"/>
        <v>0.34000000000000008</v>
      </c>
      <c r="AJ3" s="55">
        <f t="shared" si="0"/>
        <v>0.23400000000000004</v>
      </c>
      <c r="AK3" s="55">
        <f t="shared" si="0"/>
        <v>0.17200000000000004</v>
      </c>
      <c r="AL3" s="55">
        <f t="shared" si="0"/>
        <v>0.12800000000000003</v>
      </c>
      <c r="AM3" s="55">
        <f t="shared" si="0"/>
        <v>7.6000000000000012E-2</v>
      </c>
      <c r="AN3" s="55">
        <f t="shared" si="0"/>
        <v>5.2000000000000011E-2</v>
      </c>
      <c r="AO3" s="55">
        <f t="shared" si="0"/>
        <v>0.02</v>
      </c>
      <c r="AP3" s="55">
        <f t="shared" si="0"/>
        <v>0.01</v>
      </c>
      <c r="AQ3" s="2">
        <f>AP3</f>
        <v>0.01</v>
      </c>
      <c r="AR3" s="12" t="s">
        <v>66</v>
      </c>
      <c r="AT3" s="137"/>
      <c r="AU3" s="55">
        <v>0.3</v>
      </c>
      <c r="AV3" s="55">
        <v>0.4</v>
      </c>
      <c r="AW3" s="55">
        <v>0.36</v>
      </c>
      <c r="BB3" s="71">
        <v>25</v>
      </c>
      <c r="BC3" s="55">
        <v>1.57</v>
      </c>
      <c r="BD3" s="55">
        <v>1.35</v>
      </c>
      <c r="BE3" s="22">
        <f t="shared" ref="BE3:BE15" si="1">IFERROR(BC3+(BD3-BC3)/($BD$2-$BC$2)*($BE$2-$BC$2),0)</f>
        <v>1.4380000000000002</v>
      </c>
    </row>
    <row r="4" spans="1:57" x14ac:dyDescent="0.25">
      <c r="A4" s="48" t="s">
        <v>101</v>
      </c>
      <c r="B4" s="49">
        <f>W7</f>
        <v>2.1920000000000002</v>
      </c>
      <c r="C4" s="49">
        <f>W9</f>
        <v>2</v>
      </c>
      <c r="D4" s="49">
        <f>W11</f>
        <v>2.2000000000000002</v>
      </c>
      <c r="E4" s="50">
        <v>2</v>
      </c>
      <c r="G4" s="2" t="s">
        <v>52</v>
      </c>
      <c r="H4" s="2">
        <v>0</v>
      </c>
      <c r="I4" s="2">
        <v>0.31</v>
      </c>
      <c r="J4" s="2">
        <v>0.45</v>
      </c>
      <c r="K4" s="2">
        <v>0.6</v>
      </c>
      <c r="L4" s="2">
        <v>0.78</v>
      </c>
      <c r="M4" s="2">
        <v>1</v>
      </c>
      <c r="N4" s="2">
        <v>1.1299999999999999</v>
      </c>
      <c r="O4" s="2">
        <v>1.2</v>
      </c>
      <c r="P4" s="2">
        <v>1.28</v>
      </c>
      <c r="Q4" s="2">
        <v>1.4</v>
      </c>
      <c r="AT4" s="55">
        <v>0.2</v>
      </c>
      <c r="AU4" s="55">
        <v>1.94</v>
      </c>
      <c r="AV4" s="55">
        <v>1.82</v>
      </c>
      <c r="AW4" s="57">
        <f>IFERROR(AU4+(AV4-AU4)/(AV3-AU3)*(AW3-AU3),0)</f>
        <v>1.8680000000000001</v>
      </c>
      <c r="BB4" s="55">
        <v>40</v>
      </c>
      <c r="BC4" s="55">
        <v>1.1599999999999999</v>
      </c>
      <c r="BD4" s="55">
        <v>0.99</v>
      </c>
      <c r="BE4" s="22">
        <f t="shared" si="1"/>
        <v>1.0580000000000001</v>
      </c>
    </row>
    <row r="5" spans="1:57" x14ac:dyDescent="0.25">
      <c r="A5" s="48" t="s">
        <v>100</v>
      </c>
      <c r="B5" s="49">
        <f>AN16</f>
        <v>0.88820682761869352</v>
      </c>
      <c r="C5" s="49">
        <f>AO16</f>
        <v>0.8389213695617207</v>
      </c>
      <c r="D5" s="49">
        <f>AP16</f>
        <v>0.89676333075358461</v>
      </c>
      <c r="E5" s="50">
        <v>3</v>
      </c>
      <c r="G5" s="108" t="s">
        <v>53</v>
      </c>
      <c r="H5" s="108"/>
      <c r="I5" s="108"/>
      <c r="J5" s="108"/>
      <c r="K5" s="108"/>
      <c r="L5" s="108"/>
      <c r="M5" s="108"/>
      <c r="N5" s="108"/>
      <c r="O5" s="108"/>
      <c r="P5" s="108"/>
      <c r="T5" s="108" t="s">
        <v>83</v>
      </c>
      <c r="U5" s="108"/>
      <c r="V5" s="108"/>
      <c r="W5" s="108"/>
      <c r="AB5" s="2" t="s">
        <v>17</v>
      </c>
      <c r="AC5" s="2">
        <v>0</v>
      </c>
      <c r="AD5" s="2">
        <v>25</v>
      </c>
      <c r="AE5" s="2">
        <v>40</v>
      </c>
      <c r="AF5" s="2">
        <v>60</v>
      </c>
      <c r="AG5" s="2">
        <v>200</v>
      </c>
      <c r="AH5" s="2">
        <v>400</v>
      </c>
      <c r="AI5" s="2">
        <v>1000</v>
      </c>
      <c r="AJ5" s="2">
        <v>2000</v>
      </c>
      <c r="AK5" s="2">
        <v>4000</v>
      </c>
      <c r="AL5" s="2">
        <v>10000</v>
      </c>
      <c r="AM5" s="2">
        <v>20000</v>
      </c>
      <c r="AN5" s="2">
        <v>100000</v>
      </c>
      <c r="AO5" s="2">
        <v>200000</v>
      </c>
      <c r="AP5" s="2">
        <v>1000000</v>
      </c>
      <c r="AQ5" s="2" t="s">
        <v>61</v>
      </c>
      <c r="AT5" s="55">
        <v>0.4</v>
      </c>
      <c r="AU5" s="55">
        <v>1.42</v>
      </c>
      <c r="AV5" s="55">
        <v>1.32</v>
      </c>
      <c r="AW5" s="57">
        <f>IFERROR(AU5+(AV5-AU5)/(AV3-AU3)*(AW3-AU3),0)</f>
        <v>1.36</v>
      </c>
      <c r="BB5" s="55">
        <v>60</v>
      </c>
      <c r="BC5" s="55">
        <v>0.88</v>
      </c>
      <c r="BD5" s="55">
        <v>0.79</v>
      </c>
      <c r="BE5" s="22">
        <f t="shared" si="1"/>
        <v>0.82600000000000007</v>
      </c>
    </row>
    <row r="6" spans="1:57" x14ac:dyDescent="0.25">
      <c r="A6" s="48" t="s">
        <v>103</v>
      </c>
      <c r="B6" s="49">
        <f>D15</f>
        <v>6.15</v>
      </c>
      <c r="C6" s="49">
        <f>D18</f>
        <v>6.15</v>
      </c>
      <c r="D6" s="49">
        <f>D21</f>
        <v>6.15</v>
      </c>
      <c r="E6" s="50">
        <v>4</v>
      </c>
      <c r="G6" s="2" t="s">
        <v>54</v>
      </c>
      <c r="H6" s="2">
        <v>0</v>
      </c>
      <c r="I6" s="2">
        <v>1</v>
      </c>
      <c r="J6" s="2">
        <v>2</v>
      </c>
      <c r="K6" s="2">
        <v>4</v>
      </c>
      <c r="L6" s="2">
        <v>6</v>
      </c>
      <c r="M6" s="2">
        <v>15</v>
      </c>
      <c r="N6" s="2">
        <v>30</v>
      </c>
      <c r="O6" s="2">
        <v>50</v>
      </c>
      <c r="P6" s="28">
        <f>10^99</f>
        <v>9.9999999999999997E+98</v>
      </c>
      <c r="Q6" s="29"/>
      <c r="T6" s="39" t="s">
        <v>84</v>
      </c>
      <c r="U6" s="39">
        <f>IF(W6&gt;$Y$2,$Y$2,IF(W6&gt;$X$2,$X$2,IF(W6&gt;$W$2,$W$2,IF(W6&gt;$V$2,$V$2,IF(W6&gt;$U$2,$U$2,"ошибка")))))</f>
        <v>12.5</v>
      </c>
      <c r="V6" s="39">
        <f>IF(W6&gt;$Y$2,$Z$2,IF(W6&gt;$X$2,$Y$2,IF(W6&gt;$W$2,$X$2,IF(W6&gt;$V$2,$W$2,"ошибка"))))</f>
        <v>25</v>
      </c>
      <c r="W6" s="39">
        <f>'Прямой расчет'!B13</f>
        <v>13</v>
      </c>
      <c r="AB6" s="12" t="s">
        <v>62</v>
      </c>
      <c r="AC6" s="25">
        <v>0.34</v>
      </c>
      <c r="AD6" s="25">
        <v>0.36</v>
      </c>
      <c r="AE6" s="25">
        <v>0.37</v>
      </c>
      <c r="AF6" s="25">
        <v>0.4</v>
      </c>
      <c r="AG6" s="25">
        <v>0.42</v>
      </c>
      <c r="AH6" s="25">
        <v>0.46</v>
      </c>
      <c r="AI6" s="25">
        <v>0.53</v>
      </c>
      <c r="AJ6" s="25">
        <v>0.59</v>
      </c>
      <c r="AK6" s="25">
        <v>0.64</v>
      </c>
      <c r="AL6" s="25">
        <v>0.74</v>
      </c>
      <c r="AM6" s="25">
        <v>0.81</v>
      </c>
      <c r="AN6" s="25">
        <v>0.94</v>
      </c>
      <c r="AO6" s="25">
        <v>0.96</v>
      </c>
      <c r="AP6" s="25">
        <v>0.98</v>
      </c>
      <c r="AQ6" s="25">
        <v>0.98</v>
      </c>
      <c r="AT6" s="55">
        <v>0.36</v>
      </c>
      <c r="AU6" s="59">
        <f>AU4+(AU4-AU5)/(AT4-AT5)*(AT6-AT4)</f>
        <v>1.524</v>
      </c>
      <c r="AV6" s="59">
        <f>AV4+(AV4-AV5)/(AT4-AT5)*(AT6-AT4)</f>
        <v>1.4200000000000002</v>
      </c>
      <c r="AW6" s="24">
        <f>AW4+(AW4-AW5)/(AT4-AT5)*(AT6-AT4)</f>
        <v>1.4616000000000002</v>
      </c>
      <c r="BB6" s="55">
        <v>200</v>
      </c>
      <c r="BC6" s="55">
        <v>0.75</v>
      </c>
      <c r="BD6" s="55">
        <v>0.56999999999999995</v>
      </c>
      <c r="BE6" s="22">
        <f t="shared" si="1"/>
        <v>0.64200000000000002</v>
      </c>
    </row>
    <row r="7" spans="1:57" x14ac:dyDescent="0.25">
      <c r="A7" s="48" t="s">
        <v>104</v>
      </c>
      <c r="B7" s="49">
        <f>G33</f>
        <v>10.8</v>
      </c>
      <c r="C7" s="49">
        <f>G35</f>
        <v>7.2249999999999996</v>
      </c>
      <c r="D7" s="49">
        <f>G37</f>
        <v>10.8</v>
      </c>
      <c r="E7" s="50">
        <v>5</v>
      </c>
      <c r="G7" s="2" t="s">
        <v>55</v>
      </c>
      <c r="H7" s="2">
        <f>I7</f>
        <v>0.21</v>
      </c>
      <c r="I7" s="2">
        <v>0.21</v>
      </c>
      <c r="J7" s="2">
        <v>0.15</v>
      </c>
      <c r="K7" s="2">
        <v>0.11</v>
      </c>
      <c r="L7" s="2">
        <v>0.09</v>
      </c>
      <c r="M7" s="2">
        <v>0.06</v>
      </c>
      <c r="N7" s="2">
        <v>0.04</v>
      </c>
      <c r="O7" s="2">
        <v>0.03</v>
      </c>
      <c r="P7" s="28">
        <f>O7</f>
        <v>0.03</v>
      </c>
      <c r="Q7" s="30"/>
      <c r="T7" s="39" t="s">
        <v>80</v>
      </c>
      <c r="U7" s="39">
        <f>INDEX($U$3:$Z$3,1,MATCH(U6,$U$2:$Z$2,0))</f>
        <v>2.2000000000000002</v>
      </c>
      <c r="V7" s="39">
        <f>INDEX($U$3:$Z$3,1,MATCH(V6,$U$2:$Z$2,0))</f>
        <v>2</v>
      </c>
      <c r="W7" s="37">
        <f>U7+(V7-U7)/(V6-U6)*(W6-U6)</f>
        <v>2.1920000000000002</v>
      </c>
      <c r="BB7" s="55">
        <v>400</v>
      </c>
      <c r="BC7" s="55">
        <v>0.56999999999999995</v>
      </c>
      <c r="BD7" s="55">
        <v>0.4</v>
      </c>
      <c r="BE7" s="22">
        <f t="shared" si="1"/>
        <v>0.46800000000000003</v>
      </c>
    </row>
    <row r="8" spans="1:57" x14ac:dyDescent="0.25">
      <c r="A8" s="48" t="s">
        <v>105</v>
      </c>
      <c r="B8" s="49">
        <v>0</v>
      </c>
      <c r="C8" s="49">
        <v>0</v>
      </c>
      <c r="D8" s="49">
        <v>0</v>
      </c>
      <c r="E8" s="50">
        <v>6</v>
      </c>
      <c r="T8" s="31" t="s">
        <v>85</v>
      </c>
      <c r="U8" s="31">
        <f>IF(W8&gt;$Y$2,$Y$2,IF(W8&gt;$X$2,$X$2,IF(W8&gt;$W$2,$W$2,IF(W8&gt;$V$2,$V$2,IF(W8&gt;$U$2,$U$2,"ошибка")))))</f>
        <v>12.5</v>
      </c>
      <c r="V8" s="31">
        <f>IF(W8&gt;$Y$2,$Z$2,IF(W8&gt;$X$2,$Y$2,IF(W8&gt;$W$2,$X$2,IF(W8&gt;$V$2,$W$2,"ошибка"))))</f>
        <v>25</v>
      </c>
      <c r="W8" s="31">
        <f>'Прямой расчет'!C13</f>
        <v>25</v>
      </c>
      <c r="AB8" s="2" t="s">
        <v>63</v>
      </c>
      <c r="AC8" s="2">
        <v>0.36</v>
      </c>
      <c r="BB8" s="55">
        <v>1000</v>
      </c>
      <c r="BC8" s="55">
        <v>0.43</v>
      </c>
      <c r="BD8" s="55">
        <v>0.28000000000000003</v>
      </c>
      <c r="BE8" s="22">
        <f t="shared" si="1"/>
        <v>0.34000000000000008</v>
      </c>
    </row>
    <row r="9" spans="1:57" x14ac:dyDescent="0.25">
      <c r="A9" s="48" t="s">
        <v>106</v>
      </c>
      <c r="B9" s="49">
        <v>10</v>
      </c>
      <c r="C9" s="49">
        <v>10</v>
      </c>
      <c r="D9" s="49">
        <v>10</v>
      </c>
      <c r="E9" s="50">
        <v>7</v>
      </c>
      <c r="G9" s="110" t="s">
        <v>77</v>
      </c>
      <c r="H9" s="108" t="s">
        <v>89</v>
      </c>
      <c r="I9" s="108"/>
      <c r="J9" s="108"/>
      <c r="K9" s="110" t="s">
        <v>78</v>
      </c>
      <c r="L9" s="108" t="s">
        <v>89</v>
      </c>
      <c r="M9" s="108"/>
      <c r="N9" s="108"/>
      <c r="O9" s="110" t="s">
        <v>79</v>
      </c>
      <c r="P9" s="108" t="s">
        <v>89</v>
      </c>
      <c r="Q9" s="108"/>
      <c r="R9" s="108"/>
      <c r="T9" s="31" t="s">
        <v>81</v>
      </c>
      <c r="U9" s="31">
        <f>INDEX($U$3:$Z$3,1,MATCH(U8,$U$2:$Z$2,0))</f>
        <v>2.2000000000000002</v>
      </c>
      <c r="V9" s="31">
        <f>INDEX($U$3:$Z$3,1,MATCH(V8,$U$2:$Z$2,0))</f>
        <v>2</v>
      </c>
      <c r="W9" s="37">
        <f>U9+(V9-U9)/(V8-U8)*(W8-U8)</f>
        <v>2</v>
      </c>
      <c r="AB9" s="12" t="s">
        <v>65</v>
      </c>
      <c r="AC9" s="2">
        <v>1.5660000000000001</v>
      </c>
      <c r="BB9" s="55">
        <v>2000</v>
      </c>
      <c r="BC9" s="55">
        <v>0.3</v>
      </c>
      <c r="BD9" s="55">
        <v>0.19</v>
      </c>
      <c r="BE9" s="22">
        <f t="shared" si="1"/>
        <v>0.23400000000000004</v>
      </c>
    </row>
    <row r="10" spans="1:57" x14ac:dyDescent="0.25">
      <c r="A10" s="48" t="s">
        <v>107</v>
      </c>
      <c r="B10" s="49">
        <f>N29</f>
        <v>1.3</v>
      </c>
      <c r="C10" s="49">
        <f>N32</f>
        <v>1.3</v>
      </c>
      <c r="D10" s="49">
        <f>N35</f>
        <v>1.3</v>
      </c>
      <c r="E10" s="50">
        <v>8</v>
      </c>
      <c r="G10" s="111"/>
      <c r="H10" s="2">
        <f>IF(J10&gt;=$P$3,$P$3,IF(J10&gt;=$O$3,$O$3,IF(J10&gt;=$N$3,$N$3,IF(J10&gt;=$M$3,$M$3,IF(J10&gt;=$L$3,$L$3,IF(J10&gt;=$K$3,$K$3,IF(J10&gt;=$J$3,$J$3,IF(J10&gt;=$I$3,$I$3,IF(J10&gt;=$H$3,$H$3)))))))))</f>
        <v>90</v>
      </c>
      <c r="I10" s="2">
        <f>IF(J10&gt;=$P$3,$Q$3,IF(J10&gt;=$O$3,$P$3,IF(J10&gt;=$N$3,$O$3,IF(J10&gt;=$M$3,$N$3,IF(J10&gt;=$L$3,$M$3,IF(J10&gt;=$K$3,$L$3,IF(J10&gt;=$J$3,$K$3,IF(J10&gt;=$I$3,$J$3,IF(J10&gt;=$H$3,$I$3)))))))))</f>
        <v>110</v>
      </c>
      <c r="J10" s="2">
        <f>'Прямой расчет'!B28</f>
        <v>90</v>
      </c>
      <c r="K10" s="111"/>
      <c r="L10" s="2">
        <f>IF(N10&gt;=$P$3,$P$3,IF(N10&gt;=$O$3,$O$3,IF(N10&gt;=$N$3,$N$3,IF(N10&gt;=$M$3,$M$3,IF(N10&gt;=$L$3,$L$3,IF(N10&gt;=$K$3,$K$3,IF(N10&gt;=$J$3,$J$3,IF(N10&gt;=$I$3,$I$3,IF(N10&gt;=$H$3,$H$3)))))))))</f>
        <v>30</v>
      </c>
      <c r="M10" s="2">
        <f>IF(N10&gt;=$P$3,$Q$3,IF(N10&gt;=$O$3,$P$3,IF(N10&gt;=$N$3,$O$3,IF(N10&gt;=$M$3,$N$3,IF(N10&gt;=$L$3,$M$3,IF(N10&gt;=$K$3,$L$3,IF(N10&gt;=$J$3,$K$3,IF(N10&gt;=$I$3,$J$3,IF(N10&gt;=$H$3,$I$3)))))))))</f>
        <v>45</v>
      </c>
      <c r="N10" s="2">
        <f>'Прямой расчет'!C28</f>
        <v>30</v>
      </c>
      <c r="O10" s="111"/>
      <c r="P10" s="2">
        <f>IF(R10&gt;=$P$3,$P$3,IF(R10&gt;=$O$3,$O$3,IF(R10&gt;=$N$3,$N$3,IF(R10&gt;=$M$3,$M$3,IF(R10&gt;=$L$3,$L$3,IF(R10&gt;=$K$3,$K$3,IF(R10&gt;=$J$3,$J$3,IF(R10&gt;=$I$3,$I$3,IF(R10&gt;=$H$3,$H$3)))))))))</f>
        <v>90</v>
      </c>
      <c r="Q10" s="2">
        <f>IF(R10&gt;=$P$3,$Q$3,IF(R10&gt;=$O$3,$P$3,IF(R10&gt;=$N$3,$O$3,IF(R10&gt;=$M$3,$N$3,IF(R10&gt;=$L$3,$M$3,IF(R10&gt;=$K$3,$L$3,IF(R10&gt;=$J$3,$K$3,IF(R10&gt;=$I$3,$J$3,IF(R10&gt;=$H$3,$I$3)))))))))</f>
        <v>110</v>
      </c>
      <c r="R10" s="2">
        <f>'Прямой расчет'!D28</f>
        <v>90</v>
      </c>
      <c r="T10" s="32" t="s">
        <v>86</v>
      </c>
      <c r="U10" s="32">
        <f>IF(W10&gt;$Y$2,$Y$2,IF(W10&gt;$X$2,$X$2,IF(W10&gt;$W$2,$W$2,IF(W10&gt;$V$2,$V$2,IF(W10&gt;$U$2,$U$2,"ошибка")))))</f>
        <v>0</v>
      </c>
      <c r="V10" s="32">
        <f>IF(W10&gt;$Y$2,$Z$2,IF(W10&gt;$X$2,$Y$2,IF(W10&gt;$W$2,$X$2,IF(W10&gt;$V$2,$W$2,IF(W10&gt;=U2,V2,"ошибка")))))</f>
        <v>12.5</v>
      </c>
      <c r="W10" s="32">
        <f>'Прямой расчет'!D13</f>
        <v>12</v>
      </c>
      <c r="AM10" s="116" t="s">
        <v>67</v>
      </c>
      <c r="AN10" s="117"/>
      <c r="AO10" s="117"/>
      <c r="AP10" s="117"/>
      <c r="BB10" s="55">
        <v>4000</v>
      </c>
      <c r="BC10" s="55">
        <v>0.22</v>
      </c>
      <c r="BD10" s="55">
        <v>0.14000000000000001</v>
      </c>
      <c r="BE10" s="22">
        <f t="shared" si="1"/>
        <v>0.17200000000000004</v>
      </c>
    </row>
    <row r="11" spans="1:57" ht="30" x14ac:dyDescent="0.25">
      <c r="G11" s="2" t="s">
        <v>52</v>
      </c>
      <c r="H11" s="2">
        <f>INDEX($H$4:$Q$4,1,MATCH(H10,$H$3:$Q$3,0))</f>
        <v>1</v>
      </c>
      <c r="I11" s="2">
        <f>INDEX($H$4:$Q$4,1,MATCH(I10,$H$3:$Q$3,0))</f>
        <v>1.1299999999999999</v>
      </c>
      <c r="J11" s="45">
        <f>H11+(I11-H11)/(I10-H10)*(J10-H10)</f>
        <v>1</v>
      </c>
      <c r="K11" s="2" t="s">
        <v>52</v>
      </c>
      <c r="L11" s="2">
        <f>INDEX($H$4:$Q$4,1,MATCH(L10,$H$3:$Q$3,0))</f>
        <v>0.45</v>
      </c>
      <c r="M11" s="2">
        <f>INDEX($H$4:$Q$4,1,MATCH(M10,$H$3:$Q$3,0))</f>
        <v>0.6</v>
      </c>
      <c r="N11" s="45">
        <f>L11+(M11-L11)/(M10-L10)*(N10-L10)</f>
        <v>0.45</v>
      </c>
      <c r="O11" s="2" t="s">
        <v>52</v>
      </c>
      <c r="P11" s="2">
        <f>INDEX($H$4:$Q$4,1,MATCH(P10,$H$3:$Q$3,0))</f>
        <v>1</v>
      </c>
      <c r="Q11" s="2">
        <f>INDEX($H$4:$Q$4,1,MATCH(Q10,$H$3:$Q$3,0))</f>
        <v>1.1299999999999999</v>
      </c>
      <c r="R11" s="45">
        <f>P11+(Q11-P11)/(Q10-P10)*(R10-P10)</f>
        <v>1</v>
      </c>
      <c r="T11" s="32" t="s">
        <v>82</v>
      </c>
      <c r="U11" s="32">
        <f>INDEX($U$3:$Z$3,1,MATCH(U10,$U$2:$Z$2,0))</f>
        <v>2.2000000000000002</v>
      </c>
      <c r="V11" s="32">
        <f>INDEX($U$3:$Z$3,1,MATCH(V10,$U$2:$Z$2,0))</f>
        <v>2.2000000000000002</v>
      </c>
      <c r="W11" s="37">
        <f>U11+(V11-U11)/(V10-U10)*(W10-U10)</f>
        <v>2.2000000000000002</v>
      </c>
      <c r="AB11" s="108" t="s">
        <v>76</v>
      </c>
      <c r="AC11" s="108"/>
      <c r="AD11" s="108"/>
      <c r="AE11" s="108"/>
      <c r="AF11" s="132" t="s">
        <v>73</v>
      </c>
      <c r="AG11" s="132"/>
      <c r="AH11" s="132"/>
      <c r="AI11" s="113" t="s">
        <v>74</v>
      </c>
      <c r="AJ11" s="113"/>
      <c r="AK11" s="113"/>
      <c r="AM11" s="43"/>
      <c r="AN11" s="33" t="s">
        <v>70</v>
      </c>
      <c r="AO11" s="33" t="s">
        <v>73</v>
      </c>
      <c r="AP11" s="33" t="s">
        <v>74</v>
      </c>
      <c r="BB11" s="55">
        <v>10000</v>
      </c>
      <c r="BC11" s="55">
        <v>0.17</v>
      </c>
      <c r="BD11" s="55">
        <v>0.1</v>
      </c>
      <c r="BE11" s="22">
        <f t="shared" si="1"/>
        <v>0.12800000000000003</v>
      </c>
    </row>
    <row r="12" spans="1:57" x14ac:dyDescent="0.25">
      <c r="A12" s="108" t="s">
        <v>92</v>
      </c>
      <c r="B12" s="108"/>
      <c r="C12" s="108"/>
      <c r="D12" s="108"/>
      <c r="G12" s="108"/>
      <c r="H12" s="108" t="s">
        <v>54</v>
      </c>
      <c r="I12" s="108"/>
      <c r="J12" s="108"/>
      <c r="K12" s="108"/>
      <c r="L12" s="108" t="s">
        <v>54</v>
      </c>
      <c r="M12" s="108"/>
      <c r="N12" s="108"/>
      <c r="O12" s="108"/>
      <c r="P12" s="108" t="s">
        <v>54</v>
      </c>
      <c r="Q12" s="108"/>
      <c r="R12" s="108"/>
      <c r="AB12" s="115" t="s">
        <v>60</v>
      </c>
      <c r="AC12" s="108" t="s">
        <v>17</v>
      </c>
      <c r="AD12" s="108"/>
      <c r="AE12" s="108"/>
      <c r="AF12" s="132" t="s">
        <v>17</v>
      </c>
      <c r="AG12" s="132"/>
      <c r="AH12" s="132"/>
      <c r="AI12" s="113" t="s">
        <v>17</v>
      </c>
      <c r="AJ12" s="113"/>
      <c r="AK12" s="113"/>
      <c r="AM12" s="22" t="s">
        <v>68</v>
      </c>
      <c r="AN12" s="24">
        <f>'Прямой расчет'!$B$5/Справочник!AN14</f>
        <v>6.8154547535881687</v>
      </c>
      <c r="AO12" s="24">
        <f>'Прямой расчет'!$B$5/Справочник!AO14</f>
        <v>1.8428989653702406</v>
      </c>
      <c r="AP12" s="24">
        <f>'Прямой расчет'!$B$5/Справочник!AP14</f>
        <v>7.9986934260861142</v>
      </c>
      <c r="BB12" s="55">
        <v>20000</v>
      </c>
      <c r="BC12" s="55">
        <v>0.1</v>
      </c>
      <c r="BD12" s="55">
        <v>0.06</v>
      </c>
      <c r="BE12" s="22">
        <f t="shared" si="1"/>
        <v>7.6000000000000012E-2</v>
      </c>
    </row>
    <row r="13" spans="1:57" x14ac:dyDescent="0.25">
      <c r="A13" s="108" t="s">
        <v>77</v>
      </c>
      <c r="B13" s="108"/>
      <c r="C13" s="108"/>
      <c r="D13" s="108"/>
      <c r="G13" s="108"/>
      <c r="H13" s="2">
        <f>IF(J13&gt;=$O$6,$O$6,IF(J13&gt;=$N$6,$N$6,IF(J13&gt;=$M$6,$M$6,IF(J13&gt;=$L$6,$L$6,IF(J13&gt;=$K$6,$K$6,IF(J13&gt;=$J$6,$J$6,IF(J13&gt;=$I$6,$I$6,IF(J13&gt;=$H$6,$H$6))))))))</f>
        <v>6</v>
      </c>
      <c r="I13" s="2">
        <f>IF(J13&gt;=$O$6,$P$6,IF(J13&gt;=$N$6,$O$6,IF(J13&gt;=$M$6,$N$6,IF(J13&gt;=$L$6,$M$6,IF(J13&gt;=$K$6,$L$6,IF(J13&gt;=$J$6,$K$6,IF(J13&gt;=$I$6,$J$6,IF(J13&gt;=$H$6,$I$6))))))))</f>
        <v>15</v>
      </c>
      <c r="J13" s="46">
        <f>'Прямой расчет'!B27/'Прямой расчет'!B13</f>
        <v>6.9230769230769234</v>
      </c>
      <c r="K13" s="108"/>
      <c r="L13" s="2">
        <f>IF(N13&gt;=$O$6,$O$6,IF(N13&gt;=$N$6,$N$6,IF(N13&gt;=$M$6,$M$6,IF(N13&gt;=$L$6,$L$6,IF(N13&gt;=$K$6,$K$6,IF(N13&gt;=$J$6,$J$6,IF(N13&gt;=$I$6,$I$6,IF(N13&gt;=$H$6,$H$6))))))))</f>
        <v>2</v>
      </c>
      <c r="M13" s="2">
        <f>IF(N13&gt;=$O$6,$P$6,IF(N13&gt;=$N$6,$O$6,IF(N13&gt;=$M$6,$N$6,IF(N13&gt;=$L$6,$M$6,IF(N13&gt;=$K$6,$L$6,IF(N13&gt;=$J$6,$K$6,IF(N13&gt;=$I$6,$J$6,IF(N13&gt;=$H$6,$I$6))))))))</f>
        <v>4</v>
      </c>
      <c r="N13" s="46">
        <f>'Прямой расчет'!C27/'Прямой расчет'!C13</f>
        <v>3.6</v>
      </c>
      <c r="O13" s="108"/>
      <c r="P13" s="2">
        <f>IF(R13&gt;=$O$6,$O$6,IF(R13&gt;=$N$6,$N$6,IF(R13&gt;=$M$6,$M$6,IF(R13&gt;=$L$6,$L$6,IF(R13&gt;=$K$6,$K$6,IF(R13&gt;=$J$6,$J$6,IF(R13&gt;=$I$6,$I$6,IF(R13&gt;=$H$6,$H$6))))))))</f>
        <v>6</v>
      </c>
      <c r="Q13" s="2">
        <f>IF(R13&gt;=$O$6,$P$6,IF(R13&gt;=$N$6,$O$6,IF(R13&gt;=$M$6,$N$6,IF(R13&gt;=$L$6,$M$6,IF(R13&gt;=$K$6,$L$6,IF(R13&gt;=$J$6,$K$6,IF(R13&gt;=$I$6,$J$6,IF(R13&gt;=$H$6,$I$6))))))))</f>
        <v>15</v>
      </c>
      <c r="R13" s="19">
        <f>'Прямой расчет'!D27/'Прямой расчет'!D13</f>
        <v>7.5</v>
      </c>
      <c r="AB13" s="115"/>
      <c r="AC13" s="2">
        <f>IF($AN$15&gt;AP2,AP2,IF($AN$15&gt;AO2,AO2,IF($AN$15&gt;AN2,AN2,IF($AN$15&gt;AM2,AM2,IF($AN$15&gt;AL2,AL2,IF($AN$15&gt;AK2,AK2,IF($AN$15&gt;AJ2,AJ2,IF($AN$15&gt;AI2,AI2,IF($AN$15&gt;AH2,AH2,IF($AN$15&gt;AG2,AG2,IF($AN$15&gt;AF2,AF2,IF($AN$15&gt;AE2,AE2,IF($AN$15&gt;AD2,AD2,IF($AN$15&gt;AC2,AC2))))))))))))))</f>
        <v>20000</v>
      </c>
      <c r="AD13" s="2">
        <f>IF(AN15&gt;AP2,AQ2,IF(AN15&gt;AO2,AP2,IF(AN15&gt;AN2,AO2,IF(AN15&gt;AM2,AN2,IF(AN15&gt;AL2,AM2,IF(AN15&gt;AK2,AL2,IF(AN15&gt;AJ2,AK2,IF(AN15&gt;AI2,AJ2,IF(AN15&gt;AH2,AI2,IF(AN15&gt;AG2,AH2,IF(AN15&gt;AF2,AG2,IF(AN15&gt;AE2,AF2,IF(AN15&gt;AD2,AE2,IF(AN15&gt;AC2,AD2,"что то не учел"))))))))))))))</f>
        <v>100000</v>
      </c>
      <c r="AE13" s="2">
        <f>AN15</f>
        <v>91974.216288376512</v>
      </c>
      <c r="AF13" s="31">
        <f>IF($AO$15&gt;AP2,AP2,IF($AO$15&gt;AO2,AO2,IF($AO$15&gt;AN2,AN2,IF($AO$15&gt;AM2,AM2,IF($AO$15&gt;AL2,AL2,IF($AO$15&gt;AK2,AK2,IF($AO$15&gt;AJ2,AJ2,IF($AO$15&gt;AI2,AI2,IF($AO$15&gt;AH2,AH2,IF($AO$15&gt;AG2,AG2,IF($AO$15&gt;AF2,AF2,IF($AO$15&gt;AE2,AE2,IF($AO$15&gt;AD2,AD2,IF($AO$15&gt;AC2,AC2))))))))))))))</f>
        <v>20000</v>
      </c>
      <c r="AG13" s="31">
        <f>IF(AO15&gt;AP2,AQ2,IF(AO15&gt;AO2,AP2,IF(AO15&gt;AN2,AO2,IF(AO15&gt;AM2,AN2,IF(AO15&gt;AL2,AM2,IF(AO15&gt;AK2,AL2,IF(AO15&gt;AJ2,AK2,IF(AO15&gt;AI2,AJ2,IF(AO15&gt;AH2,AI2,IF(AO15&gt;AG2,AH2,IF(AO15&gt;AF2,AG2,IF(AO15&gt;AE2,AF2,IF(AO15&gt;AD2,AE2,IF(AO15&gt;AC2,AD2,"абоба"))))))))))))))</f>
        <v>100000</v>
      </c>
      <c r="AH13" s="31">
        <f>AO15</f>
        <v>47826.59246995578</v>
      </c>
      <c r="AI13" s="32">
        <f>IF($AP$15&gt;AP2,AP2,IF($AP$15&gt;AO2,AO2,IF($AP$15&gt;AN2,AN2,IF($AP$15&gt;AM2,AM2,IF($AP$15&gt;AL2,AL2,IF($AP$15&gt;AK2,AK2,IF($AP$15&gt;AJ2,AJ2,IF($AP$15&gt;AI2,AI2,IF($AP$15&gt;AH2,AH2,IF($AP$15&gt;AG2,AG2,IF($AP$15&gt;AF2,AF2,IF($AP$15&gt;AE2,AE2,IF($AP$15&gt;AD2,AD2,IF($AP$15&gt;AC2,AC2))))))))))))))</f>
        <v>20000</v>
      </c>
      <c r="AJ13" s="32">
        <f>IF(AP15&gt;AP2,AQ2,IF(AP15&gt;AO2,AP2,IF(AP15&gt;AN2,AO2,IF(AP15&gt;AM2,AN2,IF(AP15&gt;AL2,AM2,IF(AP15&gt;AK2,AL2,IF(AP15&gt;AJ2,AK2,IF(AP15&gt;AI2,AJ2,IF(AP15&gt;AH2,AI2,IF(AP15&gt;AG2,AH2,IF(AP15&gt;AF2,AG2,IF(AP15&gt;AE2,AF2,IF(AP15&gt;AD2,AE2,IF(AP15&gt;AC2,AD2,"абоба"))))))))))))))</f>
        <v>100000</v>
      </c>
      <c r="AK13" s="32">
        <f>AP15</f>
        <v>99638.734312407876</v>
      </c>
      <c r="AM13" s="22" t="s">
        <v>71</v>
      </c>
      <c r="AN13" s="22">
        <f>'Прямой расчет'!B13*0.6</f>
        <v>7.8</v>
      </c>
      <c r="AO13" s="22">
        <f>'Прямой расчет'!C13*0.6</f>
        <v>15</v>
      </c>
      <c r="AP13" s="22">
        <f>'Прямой расчет'!D13*0.6</f>
        <v>7.1999999999999993</v>
      </c>
      <c r="BB13" s="55">
        <v>100000</v>
      </c>
      <c r="BC13" s="55">
        <v>7.0000000000000007E-2</v>
      </c>
      <c r="BD13" s="55">
        <v>0.04</v>
      </c>
      <c r="BE13" s="22">
        <f t="shared" si="1"/>
        <v>5.2000000000000011E-2</v>
      </c>
    </row>
    <row r="14" spans="1:57" x14ac:dyDescent="0.25">
      <c r="A14" s="2" t="s">
        <v>90</v>
      </c>
      <c r="B14" s="2">
        <f>IF(D14&gt;=$H$23,$H$23,IF(D14&gt;=$G$23,$G$23,IF(D14&gt;=$F$23,$F$23,IF(D14&gt;=$E$23,$E$23,IF(D14&gt;=$D$23,$D$23,IF(D14&gt;=$C$23,$C$23,IF(D14&gt;=$B$23,$B$23)))))))</f>
        <v>30</v>
      </c>
      <c r="C14" s="2">
        <f>IF(D14&gt;=$H$23,$I$23,IF(D14&gt;=$G$23,$H$23,IF(D14&gt;=$F$23,$G$23,IF(D14&gt;=$E$23,$F$23,IF(D14&gt;=$D$23,$E$23,IF(D14&gt;=$C$23,$D$23,IF(D14&gt;=$B$23,$C$23)))))))</f>
        <v>40</v>
      </c>
      <c r="D14" s="2">
        <f>'Прямой расчет'!B29</f>
        <v>30</v>
      </c>
      <c r="G14" s="2" t="s">
        <v>55</v>
      </c>
      <c r="H14" s="2">
        <f>INDEX($H$7:$P$7,1,MATCH(H13,$H$6:$P$6,0))</f>
        <v>0.09</v>
      </c>
      <c r="I14" s="2">
        <f>INDEX($H$7:$P$7,1,MATCH(I13,$H$6:$P$6,0))</f>
        <v>0.06</v>
      </c>
      <c r="J14" s="45">
        <f>H14+(I14-H14)/(I13-H13)*(J13-H13)</f>
        <v>8.6923076923076922E-2</v>
      </c>
      <c r="K14" s="2" t="s">
        <v>55</v>
      </c>
      <c r="L14" s="2">
        <f>INDEX($H$7:$P$7,1,MATCH(L13,$H$6:$P$6,0))</f>
        <v>0.15</v>
      </c>
      <c r="M14" s="2">
        <f>INDEX($H$7:$P$7,1,MATCH(M13,$H$6:$P$6,0))</f>
        <v>0.11</v>
      </c>
      <c r="N14" s="45">
        <f>L14+(M14-L14)/(M13-L13)*(N13-L13)</f>
        <v>0.11799999999999999</v>
      </c>
      <c r="O14" s="2" t="s">
        <v>55</v>
      </c>
      <c r="P14" s="2">
        <f>INDEX($H$7:$P$7,1,MATCH(P13,$H$6:$P$6,0))</f>
        <v>0.09</v>
      </c>
      <c r="Q14" s="2">
        <f>INDEX($H$7:$P$7,1,MATCH(Q13,$H$6:$P$6,0))</f>
        <v>0.06</v>
      </c>
      <c r="R14" s="45">
        <f>P14+(Q14-P14)/(Q13-P13)*(R13-P13)</f>
        <v>8.4999999999999992E-2</v>
      </c>
      <c r="AB14" s="12" t="s">
        <v>75</v>
      </c>
      <c r="AC14" s="2">
        <f>INDEX($AD$3:$AQ$3,1,MATCH(AC13,$AC$2:$AQ$2,0))</f>
        <v>5.2000000000000011E-2</v>
      </c>
      <c r="AD14" s="2">
        <f>INDEX($AD$3:$AQ$3,1,MATCH(AD13,$AC$2:$AQ$2,0))</f>
        <v>0.02</v>
      </c>
      <c r="AE14" s="2">
        <f>AC14+(AD14-AC14)/(AD13-AC13)*(AE13-AC13)</f>
        <v>2.3210313484649393E-2</v>
      </c>
      <c r="AF14" s="31">
        <f>INDEX($AD$3:$AQ$3,1,MATCH(AF13,$AC$2:$AQ$2,0))</f>
        <v>5.2000000000000011E-2</v>
      </c>
      <c r="AG14" s="31">
        <f>INDEX($AD$3:$AQ$3,1,MATCH(AG13,$AC$2:$AQ$2,0))</f>
        <v>0.02</v>
      </c>
      <c r="AH14" s="31">
        <f>AF14+(AG14-AF14)/(AG13-AF13)*(AH13-AF13)</f>
        <v>4.0869363012017698E-2</v>
      </c>
      <c r="AI14" s="32">
        <f>INDEX($AD$3:$AQ$3,1,MATCH(AI13,$AC$2:$AQ$2,0))</f>
        <v>5.2000000000000011E-2</v>
      </c>
      <c r="AJ14" s="32">
        <f>INDEX($AD$3:$AQ$3,1,MATCH(AJ13,$AC$2:$AQ$2,0))</f>
        <v>0.02</v>
      </c>
      <c r="AK14" s="32">
        <f>AI14+(AJ14-AI14)/(AJ13-AI13)*(AK13-AI13)</f>
        <v>2.0144506275036847E-2</v>
      </c>
      <c r="AM14" s="22" t="s">
        <v>72</v>
      </c>
      <c r="AN14" s="34">
        <f>(PI()*((AN13)*10^(-3))^2)/4</f>
        <v>4.7783624261100745E-5</v>
      </c>
      <c r="AO14" s="35">
        <f t="shared" ref="AO14:AP14" si="2">(PI()*((AO13)*10^(-3))^2)/4</f>
        <v>1.7671458676442585E-4</v>
      </c>
      <c r="AP14" s="22">
        <f t="shared" si="2"/>
        <v>4.0715040790523715E-5</v>
      </c>
      <c r="BB14" s="55">
        <v>200000</v>
      </c>
      <c r="BC14" s="55">
        <v>0.02</v>
      </c>
      <c r="BD14" s="55">
        <v>0.02</v>
      </c>
      <c r="BE14" s="22">
        <f t="shared" si="1"/>
        <v>0.02</v>
      </c>
    </row>
    <row r="15" spans="1:57" x14ac:dyDescent="0.25">
      <c r="A15" s="2" t="s">
        <v>43</v>
      </c>
      <c r="B15" s="2">
        <f>INDEX($B$24:$I$24,1,MATCH(B14,$B$23:$I$23,0))</f>
        <v>6.15</v>
      </c>
      <c r="C15" s="2">
        <f>INDEX($B$24:$I$24,1,MATCH(C14,$B$23:$I$23,0))</f>
        <v>20.7</v>
      </c>
      <c r="D15" s="37">
        <f>B15+(C15-B15)/(C14-B14)*(D14-B14)</f>
        <v>6.15</v>
      </c>
      <c r="G15" s="12" t="s">
        <v>80</v>
      </c>
      <c r="H15" s="44">
        <f>J11*J14</f>
        <v>8.6923076923076922E-2</v>
      </c>
      <c r="K15" s="12" t="s">
        <v>80</v>
      </c>
      <c r="L15" s="44">
        <f>N11*N14</f>
        <v>5.3100000000000001E-2</v>
      </c>
      <c r="O15" s="12" t="s">
        <v>80</v>
      </c>
      <c r="P15" s="44">
        <f>R11*R14</f>
        <v>8.4999999999999992E-2</v>
      </c>
      <c r="AB15" s="12" t="s">
        <v>62</v>
      </c>
      <c r="AC15" s="2">
        <f>INDEX($AC$6:$AQ$6,1,MATCH(AC13,$AC$5:$AQ$5,0))</f>
        <v>0.81</v>
      </c>
      <c r="AD15" s="2">
        <f>INDEX($AC$6:$AQ$6,1,MATCH(AD13,$AC$5:$AQ$5,0))</f>
        <v>0.94</v>
      </c>
      <c r="AE15" s="2">
        <f>AC15+(AD15-AC15)/(AD13-AC13)*(AE13-AC13)</f>
        <v>0.92695810146861179</v>
      </c>
      <c r="AF15" s="31">
        <f>INDEX($AC$6:$AQ$6,1,MATCH(AF13,$AC$5:$AQ$5,0))</f>
        <v>0.81</v>
      </c>
      <c r="AG15" s="31">
        <f>INDEX($AC$6:$AQ$6,1,MATCH(AG13,$AC$5:$AQ$5,0))</f>
        <v>0.94</v>
      </c>
      <c r="AH15" s="31">
        <f>AF15+(AG15-AF15)/(AG13-AF13)*(AH13-AF13)</f>
        <v>0.85521821276367815</v>
      </c>
      <c r="AI15" s="32">
        <f>INDEX($AC$6:$AQ$6,1,MATCH(AI13,$AC$5:$AQ$5,0))</f>
        <v>0.81</v>
      </c>
      <c r="AJ15" s="32">
        <f>INDEX($AC$6:$AQ$6,1,MATCH(AJ13,$AC$5:$AQ$5,0))</f>
        <v>0.94</v>
      </c>
      <c r="AK15" s="32">
        <f>AI15+(AJ15-AI15)/(AJ13-AI13)*(AK13-AI13)</f>
        <v>0.93941294325766278</v>
      </c>
      <c r="AM15" s="22" t="s">
        <v>69</v>
      </c>
      <c r="AN15" s="24">
        <f>AN12*AN13*(10^-3)/'Прямой расчет'!$G$6*'Прямой расчет'!$G$7</f>
        <v>91974.216288376512</v>
      </c>
      <c r="AO15" s="22">
        <f>AO12*AO13*(10^-3)/'Прямой расчет'!$G$6*'Прямой расчет'!$G$7</f>
        <v>47826.59246995578</v>
      </c>
      <c r="AP15" s="22">
        <f>AP12*AP13*(10^-3)/'Прямой расчет'!$G$6*'Прямой расчет'!$G$7</f>
        <v>99638.734312407876</v>
      </c>
      <c r="BB15" s="55">
        <v>1000000</v>
      </c>
      <c r="BC15" s="55">
        <v>0.01</v>
      </c>
      <c r="BD15" s="55">
        <v>0.01</v>
      </c>
      <c r="BE15" s="22">
        <f t="shared" si="1"/>
        <v>0.01</v>
      </c>
    </row>
    <row r="16" spans="1:57" x14ac:dyDescent="0.25">
      <c r="A16" s="108" t="s">
        <v>78</v>
      </c>
      <c r="B16" s="108"/>
      <c r="C16" s="108"/>
      <c r="D16" s="108"/>
      <c r="AB16" s="12" t="s">
        <v>65</v>
      </c>
      <c r="AC16" s="2">
        <f>AC9</f>
        <v>1.5660000000000001</v>
      </c>
      <c r="AM16" s="36" t="s">
        <v>64</v>
      </c>
      <c r="AN16" s="37">
        <f>IF(AN15&lt;10^5,$AE$14+$AE$15*(($AC$16-0.6)^2),AW6)</f>
        <v>0.88820682761869352</v>
      </c>
      <c r="AO16" s="37">
        <f>IF(AO15&lt;10^5,$AH$14+$AH$15*(($AC$16-0.6)^2),AW6)</f>
        <v>0.8389213695617207</v>
      </c>
      <c r="AP16" s="37">
        <f>IF(AP15&lt;10^5,$AK$14+$AK$15*(($AC$16-0.6)^2),AW6)</f>
        <v>0.89676333075358461</v>
      </c>
    </row>
    <row r="17" spans="1:44" x14ac:dyDescent="0.25">
      <c r="A17" s="2" t="s">
        <v>90</v>
      </c>
      <c r="B17" s="2">
        <f>IF(D17&gt;=$H$23,$H$23,IF(D17&gt;=$G$23,$G$23,IF(D17&gt;=$F$23,$F$23,IF(D17&gt;=$E$23,$E$23,IF(D17&gt;=$D$23,$D$23,IF(D17&gt;=$C$23,$C$23,IF(D17&gt;=$B$23,$B$23)))))))</f>
        <v>30</v>
      </c>
      <c r="C17" s="2">
        <f>IF(D17&gt;=$H$23,$I$23,IF(D17&gt;=$G$23,$H$23,IF(D17&gt;=$F$23,$G$23,IF(D17&gt;=$E$23,$F$23,IF(D17&gt;=$D$23,$E$23,IF(D17&gt;=$C$23,$D$23,IF(D17&gt;=$B$23,$C$23)))))))</f>
        <v>40</v>
      </c>
      <c r="D17" s="2">
        <f>'Прямой расчет'!C29</f>
        <v>30</v>
      </c>
      <c r="F17" s="108" t="s">
        <v>108</v>
      </c>
      <c r="G17" s="108"/>
      <c r="H17" s="108"/>
      <c r="I17" s="118" t="s">
        <v>110</v>
      </c>
      <c r="J17" s="120"/>
      <c r="K17" s="119"/>
      <c r="AM17" s="4"/>
    </row>
    <row r="18" spans="1:44" x14ac:dyDescent="0.25">
      <c r="A18" s="2" t="s">
        <v>43</v>
      </c>
      <c r="B18" s="2">
        <f>INDEX($B$24:$I$24,1,MATCH(B17,$B$23:$I$23,0))</f>
        <v>6.15</v>
      </c>
      <c r="C18" s="2">
        <f>INDEX($B$24:$I$24,1,MATCH(C17,$B$23:$I$23,0))</f>
        <v>20.7</v>
      </c>
      <c r="D18" s="37">
        <f>B18+(C18-B18)/(C17-B17)*(D17-B17)</f>
        <v>6.15</v>
      </c>
      <c r="F18" s="2" t="s">
        <v>109</v>
      </c>
      <c r="G18" s="2">
        <v>0.3</v>
      </c>
      <c r="H18" s="2">
        <v>1</v>
      </c>
      <c r="I18" s="2">
        <v>1</v>
      </c>
      <c r="J18" s="2">
        <v>2</v>
      </c>
      <c r="K18" s="2">
        <v>3</v>
      </c>
    </row>
    <row r="19" spans="1:44" x14ac:dyDescent="0.25">
      <c r="A19" s="108" t="s">
        <v>79</v>
      </c>
      <c r="B19" s="108"/>
      <c r="C19" s="108"/>
      <c r="D19" s="108"/>
      <c r="F19" s="12" t="s">
        <v>64</v>
      </c>
      <c r="G19" s="2">
        <v>10</v>
      </c>
      <c r="H19" s="2">
        <v>0</v>
      </c>
      <c r="I19" s="47">
        <f>IF('Прямой расчет'!B31=0.3,Справочник!$G$19,0)</f>
        <v>10</v>
      </c>
      <c r="J19" s="47">
        <f>IF('Прямой расчет'!C31=0.3,Справочник!$G$19,0)</f>
        <v>0</v>
      </c>
      <c r="K19" s="47">
        <f>IF('Прямой расчет'!D31=0.3,Справочник!$G$19,0)</f>
        <v>0</v>
      </c>
    </row>
    <row r="20" spans="1:44" x14ac:dyDescent="0.25">
      <c r="A20" s="2" t="s">
        <v>90</v>
      </c>
      <c r="B20" s="2">
        <f>IF(D20&gt;=$H$23,$H$23,IF(D20&gt;=$G$23,$G$23,IF(D20&gt;=$F$23,$F$23,IF(D20&gt;=$E$23,$E$23,IF(D20&gt;=$D$23,$D$23,IF(D20&gt;=$C$23,$C$23,IF(D20&gt;=$B$23,$B$23)))))))</f>
        <v>30</v>
      </c>
      <c r="C20" s="2">
        <f>IF(D20&gt;=$H$23,$I$23,IF(D20&gt;=$G$23,$H$23,IF(D20&gt;=$F$23,$G$23,IF(D20&gt;=$E$23,$F$23,IF(D20&gt;=$D$23,$E$23,IF(D20&gt;=$C$23,$D$23,IF(D20&gt;=$B$23,$C$23)))))))</f>
        <v>40</v>
      </c>
      <c r="D20" s="2">
        <f>'Прямой расчет'!D29</f>
        <v>30</v>
      </c>
    </row>
    <row r="21" spans="1:44" x14ac:dyDescent="0.25">
      <c r="A21" s="2" t="s">
        <v>43</v>
      </c>
      <c r="B21" s="2">
        <f>INDEX($B$24:$I$24,1,MATCH(B20,$B$23:$I$23,0))</f>
        <v>6.15</v>
      </c>
      <c r="C21" s="2">
        <f>INDEX($B$24:$I$24,1,MATCH(C20,$B$23:$I$23,0))</f>
        <v>20.7</v>
      </c>
      <c r="D21" s="37">
        <f>B21+(C21-B21)/(C20-B20)*(D20-B20)</f>
        <v>6.15</v>
      </c>
    </row>
    <row r="22" spans="1:44" x14ac:dyDescent="0.25">
      <c r="H22" s="1"/>
    </row>
    <row r="23" spans="1:44" x14ac:dyDescent="0.25">
      <c r="A23" s="2" t="s">
        <v>90</v>
      </c>
      <c r="B23" s="2">
        <v>0</v>
      </c>
      <c r="C23" s="2">
        <v>5</v>
      </c>
      <c r="D23" s="2">
        <v>10</v>
      </c>
      <c r="E23" s="2">
        <v>20</v>
      </c>
      <c r="F23" s="2">
        <v>30</v>
      </c>
      <c r="G23" s="2">
        <v>40</v>
      </c>
      <c r="H23" s="2">
        <v>50</v>
      </c>
      <c r="I23" s="2">
        <v>82</v>
      </c>
      <c r="K23" s="108" t="s">
        <v>96</v>
      </c>
      <c r="L23" s="108"/>
      <c r="M23" s="108"/>
      <c r="N23" s="108"/>
      <c r="O23" s="108"/>
      <c r="P23" s="108"/>
      <c r="Q23" s="108"/>
      <c r="R23" s="108"/>
      <c r="S23" s="108"/>
      <c r="T23" s="108"/>
      <c r="V23" s="112" t="s">
        <v>58</v>
      </c>
      <c r="W23" s="112"/>
      <c r="X23" s="112"/>
      <c r="Y23" s="112"/>
      <c r="AA23" s="108" t="s">
        <v>46</v>
      </c>
      <c r="AB23" s="108"/>
      <c r="AC23" s="108"/>
      <c r="AD23" s="108"/>
      <c r="AE23" s="108"/>
      <c r="AF23" s="108"/>
      <c r="AG23" s="108"/>
      <c r="AH23" s="108"/>
      <c r="AI23" s="108"/>
      <c r="AR23" s="53"/>
    </row>
    <row r="24" spans="1:44" x14ac:dyDescent="0.25">
      <c r="A24" s="2" t="s">
        <v>91</v>
      </c>
      <c r="B24" s="2">
        <v>0</v>
      </c>
      <c r="C24" s="2">
        <v>0.05</v>
      </c>
      <c r="D24" s="2">
        <v>0.31</v>
      </c>
      <c r="E24" s="2">
        <v>1.84</v>
      </c>
      <c r="F24" s="2">
        <v>6.15</v>
      </c>
      <c r="G24" s="2">
        <v>20.7</v>
      </c>
      <c r="H24" s="2">
        <v>95.3</v>
      </c>
      <c r="I24" s="2">
        <f>10^99</f>
        <v>9.9999999999999997E+98</v>
      </c>
      <c r="K24" s="2" t="s">
        <v>93</v>
      </c>
      <c r="L24" s="2">
        <v>0</v>
      </c>
      <c r="M24" s="2">
        <v>40</v>
      </c>
      <c r="N24" s="2">
        <v>70</v>
      </c>
      <c r="O24" s="2">
        <v>100</v>
      </c>
      <c r="P24" s="2">
        <v>200</v>
      </c>
      <c r="Q24" s="2">
        <v>300</v>
      </c>
      <c r="R24" s="2">
        <v>500</v>
      </c>
      <c r="S24" s="2">
        <v>750</v>
      </c>
      <c r="T24" s="2">
        <f>10^99</f>
        <v>9.9999999999999997E+98</v>
      </c>
      <c r="V24" s="22" t="s">
        <v>17</v>
      </c>
      <c r="W24" s="23">
        <f>IF('Прямой расчет'!B15&lt;='Прямой расчет'!C15,INDEX(AB36:AI36,1,MATCH(Y24,AB36:AI36,1)),IF('Прямой расчет'!B15&gt;'Прямой расчет'!C15,INDEX(AB25:AI25,1,MATCH(Y24,AB25:AI25,1))))</f>
        <v>0.2</v>
      </c>
      <c r="X24" s="23">
        <f>IF('Прямой расчет'!B15&lt;'Прямой расчет'!C15,INDEX(AB36:AI36,1,1+MATCH(Y24,AB36:AI36,1)),IF('Прямой расчет'!B15&gt;'Прямой расчет'!C15,INDEX(AB25:AI25,1,1+MATCH(Y24,AB25:AI25,1)),1))</f>
        <v>0.3</v>
      </c>
      <c r="Y24" s="23">
        <f>IF('Прямой расчет'!B15&lt;'Прямой расчет'!C15,'Прямой расчет'!B15/'Прямой расчет'!C15,'Прямой расчет'!C15/'Прямой расчет'!B15)</f>
        <v>0.27040000000000003</v>
      </c>
      <c r="AA24" s="108" t="s">
        <v>17</v>
      </c>
      <c r="AB24" s="109" t="s">
        <v>47</v>
      </c>
      <c r="AC24" s="109"/>
      <c r="AD24" s="109"/>
      <c r="AE24" s="109"/>
      <c r="AF24" s="109"/>
      <c r="AG24" s="109"/>
      <c r="AH24" s="109"/>
      <c r="AI24" s="109"/>
    </row>
    <row r="25" spans="1:44" x14ac:dyDescent="0.25">
      <c r="K25" s="2" t="s">
        <v>94</v>
      </c>
      <c r="L25" s="2">
        <f>M25</f>
        <v>1.3</v>
      </c>
      <c r="M25" s="2">
        <v>1.3</v>
      </c>
      <c r="N25" s="2">
        <v>1.4</v>
      </c>
      <c r="O25" s="2">
        <v>1.5</v>
      </c>
      <c r="P25" s="2">
        <v>1.9</v>
      </c>
      <c r="Q25" s="2">
        <v>2.1</v>
      </c>
      <c r="R25" s="2">
        <v>2.5</v>
      </c>
      <c r="S25" s="2">
        <v>2.9</v>
      </c>
      <c r="T25" s="2">
        <f>S25</f>
        <v>2.9</v>
      </c>
      <c r="V25" s="22">
        <f>IF('Прямой расчет'!$B$13&lt;='Прямой расчет'!$C$13,INDEX(Справочник!$AA$26:$AA$32,MATCH(Справочник!V27,Справочник!$AA$26:$AA$32,1)),INDEX($AA$37:$AA$42,MATCH(V27,$AA$37:$AA$42,1)))</f>
        <v>3500</v>
      </c>
      <c r="W25" s="22" t="e">
        <f>IF('Прямой расчет'!$C$15&gt;'Прямой расчет'!$D$15,INDEX(Справочник!AB$37:$AI$42,MATCH(Справочник!$V$25,Справочник!$AA$37:$AA$42,0),MATCH(Справочник!W24,Справочник!$AB$36:$AI$36,0)),IF('Прямой расчет'!$C$15&lt;'Прямой расчет'!$D$15,INDEX(Справочник!$AB$26:$AI$32,MATCH(Справочник!$V$25,Справочник!$AA$26:$AA$32,0),MATCH(Справочник!W24,Справочник!$AB$25:$AI$25,0)),0))</f>
        <v>#N/A</v>
      </c>
      <c r="X25" s="22" t="e">
        <f>IF('Прямой расчет'!$C$15&gt;'Прямой расчет'!$D$15,INDEX(Справочник!AC$37:$AI$42,MATCH(Справочник!V25,Справочник!$AA$37:$AA$42,0),MATCH(Справочник!$X$24,Справочник!$AB$36:$AI$36,0)),IF('Прямой расчет'!$C$15&lt;'Прямой расчет'!$D$15,INDEX(Справочник!$AB$26:$AI$32,MATCH(Справочник!V25,Справочник!$AA$26:$AA$32,0),MATCH(Справочник!$X$24,Справочник!$AB$25:$AI$25,0)),0))</f>
        <v>#N/A</v>
      </c>
      <c r="Y25" s="22">
        <f>IFERROR(W25+(X25-W25)/(X24-W24)*(Y24-W24),0)</f>
        <v>0</v>
      </c>
      <c r="AA25" s="108"/>
      <c r="AB25" s="55">
        <v>0</v>
      </c>
      <c r="AC25" s="55">
        <v>0.1</v>
      </c>
      <c r="AD25" s="55">
        <v>0.2</v>
      </c>
      <c r="AE25" s="55">
        <v>0.3</v>
      </c>
      <c r="AF25" s="55">
        <v>0.4</v>
      </c>
      <c r="AG25" s="55">
        <v>0.5</v>
      </c>
      <c r="AH25" s="55">
        <v>0.6</v>
      </c>
      <c r="AI25" s="55">
        <v>1</v>
      </c>
    </row>
    <row r="26" spans="1:44" x14ac:dyDescent="0.25">
      <c r="A26" s="108" t="s">
        <v>44</v>
      </c>
      <c r="B26" s="108"/>
      <c r="V26" s="22">
        <f>IF('Прямой расчет'!$B$13&lt;='Прямой расчет'!$C$13,INDEX(Справочник!$AA$26:$AA$32,1+MATCH(Справочник!V27,Справочник!$AA$26:$AA$32,1)))</f>
        <v>9.9999999999999997E+98</v>
      </c>
      <c r="W26" s="22">
        <f>IF('Прямой расчет'!$C$15&gt;'Прямой расчет'!$D$15,INDEX(Справочник!AB$37:$AI$42,MATCH(Справочник!V26,Справочник!$AA$37:$AA$42,0),MATCH(Справочник!$W$24,Справочник!$AB$36:$AI$36,0)),IF('Прямой расчет'!$C$15&lt;'Прямой расчет'!$D$15,INDEX(Справочник!$AB$26:$AI$32,MATCH(Справочник!V26,Справочник!$AA$26:$AA$32,0),MATCH(Справочник!$W$24,Справочник!$AB$25:$AI$25,0)),0))</f>
        <v>0.4</v>
      </c>
      <c r="X26" s="22">
        <f>IF('Прямой расчет'!$C$15&gt;'Прямой расчет'!$D$15,INDEX(Справочник!AC$37:$AI$42,MATCH(Справочник!V26,Справочник!$AA$37:$AA$42,0),MATCH(Справочник!$X$24,Справочник!$AB$36:$AI$36,0)),IF('Прямой расчет'!$C$15&lt;'Прямой расчет'!$D$15,INDEX(Справочник!$AB$26:$AI$32,MATCH(Справочник!V26,Справочник!$AA$26:$AA$32,0),MATCH(Справочник!$X$24,Справочник!$AB$25:$AI$25,0)),0))</f>
        <v>0.3</v>
      </c>
      <c r="Y26" s="22">
        <f>IFERROR(W26+(X26-W26)/(X24-W24)*(Y24-W24),0)</f>
        <v>0.32959999999999995</v>
      </c>
      <c r="AA26" s="55">
        <v>0</v>
      </c>
      <c r="AB26" s="55">
        <f>AC26</f>
        <v>3.1</v>
      </c>
      <c r="AC26" s="55">
        <f>AC27</f>
        <v>3.1</v>
      </c>
      <c r="AD26" s="55">
        <f t="shared" ref="AD26:AH26" si="3">AD27</f>
        <v>3.1</v>
      </c>
      <c r="AE26" s="55">
        <f t="shared" si="3"/>
        <v>3.1</v>
      </c>
      <c r="AF26" s="55">
        <f t="shared" si="3"/>
        <v>3.1</v>
      </c>
      <c r="AG26" s="55">
        <f t="shared" si="3"/>
        <v>3.1</v>
      </c>
      <c r="AH26" s="55">
        <f t="shared" si="3"/>
        <v>3.1</v>
      </c>
      <c r="AI26" s="55">
        <v>0</v>
      </c>
    </row>
    <row r="27" spans="1:44" x14ac:dyDescent="0.25">
      <c r="A27" s="2" t="s">
        <v>45</v>
      </c>
      <c r="B27" s="12" t="s">
        <v>43</v>
      </c>
      <c r="K27" s="108" t="s">
        <v>77</v>
      </c>
      <c r="L27" s="108"/>
      <c r="M27" s="108"/>
      <c r="N27" s="108"/>
      <c r="V27" s="24">
        <f>'Прямой расчет'!G4</f>
        <v>55184.529773025875</v>
      </c>
      <c r="W27" s="24" t="e">
        <f>W25+(W25-W26)/(V25-V26)*(V27-V25)</f>
        <v>#N/A</v>
      </c>
      <c r="X27" s="24" t="e">
        <f>X25+(X25-X26)/(V25-V26)*(V27-V25)</f>
        <v>#N/A</v>
      </c>
      <c r="Y27" s="22">
        <f>IFERROR(W27+(X27-W27)/(X24-W24)*(Y24-W24),0)</f>
        <v>0</v>
      </c>
      <c r="AA27" s="55">
        <v>10</v>
      </c>
      <c r="AB27" s="55">
        <f t="shared" ref="AB27:AB32" si="4">AC27</f>
        <v>3.1</v>
      </c>
      <c r="AC27" s="55">
        <v>3.1</v>
      </c>
      <c r="AD27" s="55">
        <v>3.1</v>
      </c>
      <c r="AE27" s="55">
        <v>3.1</v>
      </c>
      <c r="AF27" s="55">
        <v>3.1</v>
      </c>
      <c r="AG27" s="55">
        <v>3.1</v>
      </c>
      <c r="AH27" s="55">
        <v>3.1</v>
      </c>
      <c r="AI27" s="55">
        <v>0</v>
      </c>
    </row>
    <row r="28" spans="1:44" x14ac:dyDescent="0.25">
      <c r="A28">
        <v>0</v>
      </c>
      <c r="B28">
        <f>B29</f>
        <v>10.8</v>
      </c>
      <c r="K28" s="2" t="s">
        <v>45</v>
      </c>
      <c r="L28" s="2">
        <f>IF(N28&gt;=$S$24,$S$24,IF(N28&gt;=$R$24,$R$24,IF(N28&gt;=$Q$24,$Q$24,IF(N28&gt;=$P$24,$P$24,IF(N28&gt;=$O$24,$O$24,IF(N28&gt;=$N$24,$N$24,IF(N28&gt;=$M$24,$M$24,IF(N28&gt;=$L$24,$L$24,"что то не так"))))))))</f>
        <v>0</v>
      </c>
      <c r="M28" s="2">
        <f>IF(N28&gt;=$S$24,$T$24,IF(N28&gt;=$R$24,$S$24,IF(N28&gt;=$Q$24,$R$24,IF(N28&gt;=$P$24,$Q$24,IF(N28&gt;=$O$24,$P$24,IF(N28&gt;=$N$24,$O$24,IF(N28&gt;=$M$24,$N$24,IF(N28&gt;=$L$24,$M$24,"что то не так"))))))))</f>
        <v>40</v>
      </c>
      <c r="N28" s="2">
        <f>'Прямой расчет'!B30</f>
        <v>5</v>
      </c>
      <c r="AA28" s="55">
        <v>100</v>
      </c>
      <c r="AB28" s="55">
        <f t="shared" si="4"/>
        <v>1.7</v>
      </c>
      <c r="AC28" s="55">
        <v>1.7</v>
      </c>
      <c r="AD28" s="55">
        <v>1.4</v>
      </c>
      <c r="AE28" s="55">
        <v>1.2</v>
      </c>
      <c r="AF28" s="55">
        <v>1.1000000000000001</v>
      </c>
      <c r="AG28" s="55">
        <v>0.9</v>
      </c>
      <c r="AH28" s="55">
        <v>0.8</v>
      </c>
      <c r="AI28" s="55">
        <v>0</v>
      </c>
    </row>
    <row r="29" spans="1:44" x14ac:dyDescent="0.25">
      <c r="A29" s="2">
        <v>13</v>
      </c>
      <c r="B29" s="2">
        <v>10.8</v>
      </c>
      <c r="I29" s="21"/>
      <c r="K29" s="2" t="s">
        <v>80</v>
      </c>
      <c r="L29" s="2">
        <f>INDEX($L$25:$T$25,1,MATCH(L28,$L$24:$T$24))</f>
        <v>1.3</v>
      </c>
      <c r="M29" s="2">
        <f>INDEX($L$25:$T$25,1,MATCH(M28,$L$24:$T$24))</f>
        <v>1.3</v>
      </c>
      <c r="N29" s="37">
        <f>L29+(M29-L29)/(M28-L28)*(N28-L28)</f>
        <v>1.3</v>
      </c>
      <c r="V29" s="112" t="s">
        <v>59</v>
      </c>
      <c r="W29" s="112"/>
      <c r="X29" s="112"/>
      <c r="Y29" s="112"/>
      <c r="Z29" s="53"/>
      <c r="AA29" s="55">
        <v>1000</v>
      </c>
      <c r="AB29" s="55">
        <f t="shared" si="4"/>
        <v>2</v>
      </c>
      <c r="AC29" s="55">
        <v>2</v>
      </c>
      <c r="AD29" s="55">
        <v>1.6</v>
      </c>
      <c r="AE29" s="55">
        <v>1.3</v>
      </c>
      <c r="AF29" s="55">
        <v>1.05</v>
      </c>
      <c r="AG29" s="55">
        <v>0.9</v>
      </c>
      <c r="AH29" s="55">
        <v>0.6</v>
      </c>
      <c r="AI29" s="55">
        <v>0</v>
      </c>
    </row>
    <row r="30" spans="1:44" x14ac:dyDescent="0.25">
      <c r="A30" s="2">
        <v>20</v>
      </c>
      <c r="B30" s="2">
        <v>8</v>
      </c>
      <c r="D30" s="128" t="s">
        <v>113</v>
      </c>
      <c r="E30" s="128"/>
      <c r="F30" s="128"/>
      <c r="G30" s="128"/>
      <c r="I30" s="21"/>
      <c r="K30" s="108" t="s">
        <v>78</v>
      </c>
      <c r="L30" s="108"/>
      <c r="M30" s="108"/>
      <c r="N30" s="108"/>
      <c r="V30" s="22" t="s">
        <v>17</v>
      </c>
      <c r="W30" s="23">
        <f>IF('Прямой расчет'!$D$15&lt;'Прямой расчет'!$C$15,INDEX($AB$36:$AI$36,1,MATCH($Y$30,$AB$36:$AI$36,1)),INDEX($AB$25:$AI$25,1,MATCH($Y$30,$AB$25:$AI$25,1)))</f>
        <v>0.2</v>
      </c>
      <c r="X30" s="23">
        <f>IFERROR(IF('Прямой расчет'!$D$15&lt;='Прямой расчет'!$C$15,INDEX($AB$36:$AI$36,1,1+MATCH($Y$30,$AB$36:$AI$36,1)),INDEX($AB$25:$AI$25,1,1+MATCH($Y$30,$AB$25:$AI$25,1))),1)</f>
        <v>0.3</v>
      </c>
      <c r="Y30" s="24">
        <f>IF('Прямой расчет'!D15&lt;'Прямой расчет'!C15,'Прямой расчет'!D15/'Прямой расчет'!C15,'Прямой расчет'!C15/'Прямой расчет'!D15)</f>
        <v>0.23039999999999997</v>
      </c>
      <c r="AA30" s="55">
        <v>3000</v>
      </c>
      <c r="AB30" s="55">
        <f t="shared" si="4"/>
        <v>1</v>
      </c>
      <c r="AC30" s="55">
        <v>1</v>
      </c>
      <c r="AD30" s="55">
        <v>0.7</v>
      </c>
      <c r="AE30" s="55">
        <v>0.6</v>
      </c>
      <c r="AF30" s="55">
        <v>0.4</v>
      </c>
      <c r="AG30" s="55">
        <v>0.3</v>
      </c>
      <c r="AH30" s="55">
        <v>0.2</v>
      </c>
      <c r="AI30" s="55">
        <v>0</v>
      </c>
    </row>
    <row r="31" spans="1:44" x14ac:dyDescent="0.25">
      <c r="A31" s="2">
        <v>40</v>
      </c>
      <c r="B31" s="2">
        <v>4.9000000000000004</v>
      </c>
      <c r="D31" s="5"/>
      <c r="E31" s="127" t="s">
        <v>45</v>
      </c>
      <c r="F31" s="127"/>
      <c r="G31" s="127"/>
      <c r="K31" s="2" t="s">
        <v>45</v>
      </c>
      <c r="L31" s="2">
        <f>IF(N31&gt;=$S$24,$S$24,IF(N31&gt;=$R$24,$R$24,IF(N31&gt;=$Q$24,$Q$24,IF(N31&gt;=$P$24,$P$24,IF(N31&gt;=$O$24,$O$24,IF(N31&gt;=$N$24,$N$24,IF(N31&gt;=$M$24,$M$24,IF(N31&gt;=$L$24,$L$24,"что то не так"))))))))</f>
        <v>0</v>
      </c>
      <c r="M31" s="2">
        <f>IF(N31&gt;=$S$24,$T$24,IF(N31&gt;=$R$24,$S$24,IF(N31&gt;=$Q$24,$R$24,IF(N31&gt;=$P$24,$Q$24,IF(N31&gt;=$O$24,$P$24,IF(N31&gt;=$N$24,$O$24,IF(N31&gt;=$M$24,$N$24,IF(N31&gt;=$L$24,$M$24,"что то не так"))))))))</f>
        <v>40</v>
      </c>
      <c r="N31" s="2">
        <f>'Прямой расчет'!C30</f>
        <v>0</v>
      </c>
      <c r="V31" s="22">
        <f>IF('Прямой расчет'!$C$13&lt;='Прямой расчет'!$D$13,INDEX(Справочник!$AA$26:$AA$32,MATCH(Справочник!V33,Справочник!$AA$26:$AA$32,1)),INDEX($AA$37:$AA$42,MATCH(V33,$AA$37:$AA$42,1)))</f>
        <v>10000</v>
      </c>
      <c r="W31" s="22">
        <f>IF('Прямой расчет'!$C$15&gt;'Прямой расчет'!$D$15,INDEX(Справочник!AB$37:$AI$42,MATCH(Справочник!V31,Справочник!$AA$37:$AA$42,0),MATCH(Справочник!W30,Справочник!$AB$36:$AI$36,0)),IF('Прямой расчет'!$C$15&lt;'Прямой расчет'!$D$15,INDEX(Справочник!$AB$26:$AI$32,MATCH(Справочник!V31,Справочник!$AA$26:$AA$32,0),MATCH(Справочник!W30,Справочник!$AB$25:$AI$25,0)),0))</f>
        <v>0.4</v>
      </c>
      <c r="X31" s="22">
        <f>IF('Прямой расчет'!$C$15&gt;'Прямой расчет'!$D$15,INDEX(Справочник!AC$37:$AI$42,MATCH(Справочник!V31,Справочник!$AA$37:$AA$42,0),MATCH(Справочник!$X$30,Справочник!$AB$36:$AI$36,0)),IF('Прямой расчет'!$C$15&lt;'Прямой расчет'!$D$15,INDEX(Справочник!$AB$26:$AI$32,MATCH(Справочник!V31,Справочник!$AA$26:$AA$32,0),MATCH(Справочник!$X$30,Справочник!$AB$25:$AI$25,0)),0))</f>
        <v>0.3</v>
      </c>
      <c r="Y31" s="22">
        <f>IFERROR(W31+(X31-W31)/($X$30-$W$30)*($Y$30-$W$30),0)</f>
        <v>0.36960000000000004</v>
      </c>
      <c r="AA31" s="55">
        <v>3500</v>
      </c>
      <c r="AB31" s="55">
        <f t="shared" si="4"/>
        <v>0.81</v>
      </c>
      <c r="AC31" s="55">
        <v>0.81</v>
      </c>
      <c r="AD31" s="55">
        <v>0.64</v>
      </c>
      <c r="AE31" s="55">
        <v>0.5</v>
      </c>
      <c r="AF31" s="55">
        <v>0.36</v>
      </c>
      <c r="AG31" s="55">
        <v>0.25</v>
      </c>
      <c r="AH31" s="55">
        <v>0.16</v>
      </c>
      <c r="AI31" s="55">
        <v>0</v>
      </c>
    </row>
    <row r="32" spans="1:44" x14ac:dyDescent="0.25">
      <c r="A32" s="2">
        <v>80</v>
      </c>
      <c r="B32" s="2">
        <v>4</v>
      </c>
      <c r="D32" s="38"/>
      <c r="E32" s="39">
        <f>IF('Прямой расчет'!B13&gt;=Справочник!$A$37,Справочник!$A$37,IF('Прямой расчет'!B13&gt;=Справочник!$A$36,Справочник!$A$36,IF('Прямой расчет'!B13&gt;=Справочник!$A$35,Справочник!$A$35,IF('Прямой расчет'!B13&gt;=Справочник!$A$34,Справочник!$A$34,IF('Прямой расчет'!B13&gt;=Справочник!$A$33,Справочник!$A$33,IF('Прямой расчет'!B13&gt;=Справочник!$A$32,Справочник!$A$32,IF('Прямой расчет'!B13&gt;=Справочник!$A$31,Справочник!$A$31,IF('Прямой расчет'!B13&gt;=Справочник!$A$30,Справочник!$A$30,IF('Прямой расчет'!B13&gt;=Справочник!$A$29,Справочник!$A$29,IF('Прямой расчет'!B13&gt;=Справочник!$A$28,Справочник!$A$28))))))))))</f>
        <v>13</v>
      </c>
      <c r="F32" s="39">
        <f>IF('Прямой расчет'!B13&gt;=$A$37,$A$38,IF('Прямой расчет'!B13&gt;=$A$36,$A$37,IF('Прямой расчет'!B13&gt;=$A$35,$A$36,IF('Прямой расчет'!B13&gt;=$A$34,$A$35,IF('Прямой расчет'!B13&gt;=$A$33,$A$34,IF('Прямой расчет'!B13&gt;=$A$32,$A$33,IF('Прямой расчет'!B13&gt;=$A$31,$A$32,IF('Прямой расчет'!B13&gt;=$A$30,$A$31,IF('Прямой расчет'!B13&gt;=$A$29,$A$30,IF('Прямой расчет'!B13&gt;=$A$28,$A$29,"ошибка"))))))))))</f>
        <v>20</v>
      </c>
      <c r="G32" s="39">
        <f>'Прямой расчет'!B13</f>
        <v>13</v>
      </c>
      <c r="K32" s="2" t="s">
        <v>81</v>
      </c>
      <c r="L32" s="2">
        <f>INDEX($L$25:$T$25,1,MATCH(L31,$L$24:$T$24))</f>
        <v>1.3</v>
      </c>
      <c r="M32" s="2">
        <f>INDEX($L$25:$T$25,1,MATCH(M31,$L$24:$T$24))</f>
        <v>1.3</v>
      </c>
      <c r="N32" s="37">
        <f>L32+(M32-L32)/(M31-L31)*(N31-L31)</f>
        <v>1.3</v>
      </c>
      <c r="V32" s="22" t="b">
        <f>IF('Прямой расчет'!$C$13&lt;='Прямой расчет'!$D$13,INDEX(Справочник!$AA$26:$AA$32,1+MATCH(Справочник!V33,Справочник!$AA$26:$AA$32,1)))</f>
        <v>0</v>
      </c>
      <c r="W32" s="24" t="e">
        <f>IF('Прямой расчет'!$C$15&gt;'Прямой расчет'!$D$15,INDEX(Справочник!AB$37:$AI$42,MATCH(Справочник!V32,Справочник!$AA$37:$AA$42,0),MATCH(Справочник!$W$30,Справочник!$AB$36:$AI$36,0)),IF('Прямой расчет'!C15&lt;'Прямой расчет'!D15,INDEX(Справочник!$AB$26:$AI$32,MATCH(Справочник!V32,Справочник!$AA$26:$AA$32,0),MATCH(Справочник!$W$30,Справочник!$AB$25:$AI$25,0)),0))</f>
        <v>#N/A</v>
      </c>
      <c r="X32" s="22" t="e">
        <f>IF('Прямой расчет'!$C$15&gt;'Прямой расчет'!$D$15,INDEX(Справочник!AC$37:$AI$42,MATCH(Справочник!V32,Справочник!$AA$37:$AA$42,0),MATCH(Справочник!$X$30,Справочник!$AB$36:$AI$36,0)),IF('Прямой расчет'!$C$15&lt;'Прямой расчет'!$D$15,INDEX(Справочник!$AB$26:$AI$32,MATCH(Справочник!V32,Справочник!$AA$26:$AA$32,0),MATCH(Справочник!$X$30,Справочник!$AB$25:$AI$25,0)),0))</f>
        <v>#N/A</v>
      </c>
      <c r="Y32" s="24">
        <f>IFERROR(W32+(X32-W32)/($X$30-$W$30)*($Y$30-$W$30),0)</f>
        <v>0</v>
      </c>
      <c r="AA32" s="55">
        <f>10^99</f>
        <v>9.9999999999999997E+98</v>
      </c>
      <c r="AB32" s="55">
        <f t="shared" si="4"/>
        <v>0.81</v>
      </c>
      <c r="AC32" s="55">
        <f>AC31</f>
        <v>0.81</v>
      </c>
      <c r="AD32" s="55">
        <f t="shared" ref="AD32:AH32" si="5">AD31</f>
        <v>0.64</v>
      </c>
      <c r="AE32" s="55">
        <f t="shared" si="5"/>
        <v>0.5</v>
      </c>
      <c r="AF32" s="55">
        <f t="shared" si="5"/>
        <v>0.36</v>
      </c>
      <c r="AG32" s="55">
        <f t="shared" si="5"/>
        <v>0.25</v>
      </c>
      <c r="AH32" s="55">
        <f t="shared" si="5"/>
        <v>0.16</v>
      </c>
      <c r="AI32" s="55">
        <v>0</v>
      </c>
    </row>
    <row r="33" spans="1:35" x14ac:dyDescent="0.25">
      <c r="A33" s="2">
        <v>100</v>
      </c>
      <c r="B33" s="2">
        <v>4.0999999999999996</v>
      </c>
      <c r="D33" s="40" t="s">
        <v>80</v>
      </c>
      <c r="E33" s="39">
        <f>INDEX($B$28:$B$38,MATCH(E32,$A$28:$A$38,0))</f>
        <v>10.8</v>
      </c>
      <c r="F33" s="39">
        <f>INDEX($B$28:$B$38,MATCH(F32,$A$28:$A$38,0))</f>
        <v>8</v>
      </c>
      <c r="G33" s="37">
        <f>E33+(F33-E33)/(F32-E32)*(G32-E32)</f>
        <v>10.8</v>
      </c>
      <c r="K33" s="108" t="s">
        <v>79</v>
      </c>
      <c r="L33" s="108"/>
      <c r="M33" s="108"/>
      <c r="N33" s="108"/>
      <c r="V33" s="24">
        <f>'Прямой расчет'!H4</f>
        <v>28695.955481973466</v>
      </c>
      <c r="W33" s="24" t="e">
        <f>W31+(W31-W32)/(V31-V32)*(V33-V31)</f>
        <v>#N/A</v>
      </c>
      <c r="X33" s="24" t="e">
        <f>X31+(X31-X32)/(V31-V32)*(V33-V31)</f>
        <v>#N/A</v>
      </c>
      <c r="Y33" s="24">
        <f>Y31+(Y31-Y32)/(V31-V32)*(V33-V31)</f>
        <v>1.0606025146137394</v>
      </c>
    </row>
    <row r="34" spans="1:35" x14ac:dyDescent="0.25">
      <c r="A34" s="2">
        <v>150</v>
      </c>
      <c r="B34" s="2">
        <v>4.4000000000000004</v>
      </c>
      <c r="D34" s="31"/>
      <c r="E34" s="31">
        <f>IF('Прямой расчет'!C13&gt;=Справочник!$A$37,Справочник!$A$37,IF('Прямой расчет'!C13&gt;=Справочник!$A$36,Справочник!$A$36,IF('Прямой расчет'!C13&gt;=Справочник!$A$35,Справочник!$A$35,IF('Прямой расчет'!C13&gt;=Справочник!$A$34,Справочник!$A$34,IF('Прямой расчет'!C13&gt;=Справочник!$A$33,Справочник!$A$33,IF('Прямой расчет'!C13&gt;=Справочник!$A$32,Справочник!$A$32,IF('Прямой расчет'!C13&gt;=Справочник!$A$31,Справочник!$A$31,IF('Прямой расчет'!C13&gt;=Справочник!$A$30,Справочник!$A$30,IF('Прямой расчет'!C13&gt;=Справочник!$A$29,Справочник!$A$29,IF('Прямой расчет'!C13&gt;=Справочник!$A$28,Справочник!$A$28))))))))))</f>
        <v>20</v>
      </c>
      <c r="F34" s="31">
        <f>IF('Прямой расчет'!C13&gt;=$A$37,$A$38,IF('Прямой расчет'!C13&gt;=$A$36,$A$37,IF('Прямой расчет'!C13&gt;=$A$35,$A$36,IF('Прямой расчет'!C13&gt;=$A$34,$A$35,IF('Прямой расчет'!C13&gt;=$A$33,$A$34,IF('Прямой расчет'!C13&gt;=$A$32,$A$33,IF('Прямой расчет'!C13&gt;=$A$31,$A$32,IF('Прямой расчет'!C13&gt;=$A$30,$A$31,IF('Прямой расчет'!C13&gt;=$A$29,$A$30,IF('Прямой расчет'!C13&gt;=$A$28,$A$29,"ошибка"))))))))))</f>
        <v>40</v>
      </c>
      <c r="G34" s="31">
        <f>'Прямой расчет'!C13</f>
        <v>25</v>
      </c>
      <c r="K34" s="2" t="s">
        <v>45</v>
      </c>
      <c r="L34" s="2">
        <f>IF(N34&gt;=$S$24,$S$24,IF(N34&gt;=$R$24,$R$24,IF(N34&gt;=$Q$24,$Q$24,IF(N34&gt;=$P$24,$P$24,IF(N34&gt;=$O$24,$O$24,IF(N34&gt;=$N$24,$N$24,IF(N34&gt;=$M$24,$M$24,IF(N34&gt;=$L$24,$L$24,"что то не так"))))))))</f>
        <v>0</v>
      </c>
      <c r="M34" s="2">
        <f>IF(N34&gt;=$S$24,$T$24,IF(N34&gt;=$R$24,$S$24,IF(N34&gt;=$Q$24,$R$24,IF(N34&gt;=$P$24,$Q$24,IF(N34&gt;=$O$24,$P$24,IF(N34&gt;=$N$24,$O$24,IF(N34&gt;=$M$24,$N$24,IF(N34&gt;=$L$24,$M$24,"что то не так"))))))))</f>
        <v>40</v>
      </c>
      <c r="N34" s="2">
        <f>'Прямой расчет'!D30</f>
        <v>5</v>
      </c>
      <c r="AA34" s="108" t="s">
        <v>48</v>
      </c>
      <c r="AB34" s="108"/>
      <c r="AC34" s="108"/>
      <c r="AD34" s="108"/>
      <c r="AE34" s="108"/>
      <c r="AF34" s="108"/>
      <c r="AG34" s="108"/>
    </row>
    <row r="35" spans="1:35" x14ac:dyDescent="0.25">
      <c r="A35" s="2">
        <v>200</v>
      </c>
      <c r="B35" s="2">
        <v>4.7</v>
      </c>
      <c r="D35" s="41" t="s">
        <v>81</v>
      </c>
      <c r="E35" s="31">
        <f>INDEX($B$28:$B$38,MATCH(F32,$A$28:$A$38,0))</f>
        <v>8</v>
      </c>
      <c r="F35" s="31">
        <f>INDEX($B$28:$B$38,MATCH(F34,$A$28:$A$38,0))</f>
        <v>4.9000000000000004</v>
      </c>
      <c r="G35" s="37">
        <f>E35+(F35-E35)/(F34-E34)*(G34-E34)</f>
        <v>7.2249999999999996</v>
      </c>
      <c r="K35" s="2" t="s">
        <v>82</v>
      </c>
      <c r="L35" s="2">
        <f>INDEX($L$25:$T$25,1,MATCH(L34,$L$24:$T$24))</f>
        <v>1.3</v>
      </c>
      <c r="M35" s="2">
        <f>INDEX($L$25:$T$25,1,MATCH(M34,$L$24:$T$24))</f>
        <v>1.3</v>
      </c>
      <c r="N35" s="37">
        <f>L35+(M35-L35)/(M34-L34)*(N34-L34)</f>
        <v>1.3</v>
      </c>
      <c r="AA35" s="125" t="s">
        <v>17</v>
      </c>
      <c r="AB35" s="122" t="s">
        <v>47</v>
      </c>
      <c r="AC35" s="123"/>
      <c r="AD35" s="123"/>
      <c r="AE35" s="123"/>
      <c r="AF35" s="123"/>
      <c r="AG35" s="124"/>
    </row>
    <row r="36" spans="1:35" x14ac:dyDescent="0.25">
      <c r="A36" s="2">
        <v>250</v>
      </c>
      <c r="B36" s="2">
        <v>5.0999999999999996</v>
      </c>
      <c r="D36" s="32"/>
      <c r="E36" s="32">
        <f>IF('Прямой расчет'!D13&gt;=Справочник!$A$37,Справочник!$A$37,IF('Прямой расчет'!D13&gt;=Справочник!$A$36,Справочник!$A$36,IF('Прямой расчет'!D13&gt;=Справочник!$A$35,Справочник!$A$35,IF('Прямой расчет'!D13&gt;=Справочник!$A$34,Справочник!$A$34,IF('Прямой расчет'!D13&gt;=Справочник!$A$33,Справочник!$A$33,IF('Прямой расчет'!D13&gt;=Справочник!$A$32,Справочник!$A$32,IF('Прямой расчет'!D13&gt;=Справочник!$A$31,Справочник!$A$31,IF('Прямой расчет'!D13&gt;=Справочник!$A$30,Справочник!$A$30,IF('Прямой расчет'!D13&gt;=Справочник!$A$29,Справочник!$A$29,IF('Прямой расчет'!D13&gt;=Справочник!$A$28,Справочник!$A$28))))))))))</f>
        <v>0</v>
      </c>
      <c r="F36" s="32">
        <f>IF('Прямой расчет'!D13&gt;=$A$37,$A$38,IF('Прямой расчет'!D13&gt;=$A$36,$A$37,IF('Прямой расчет'!D13&gt;=$A$35,$A$36,IF('Прямой расчет'!D13&gt;=$A$34,$A$35,IF('Прямой расчет'!D13&gt;=$A$33,$A$34,IF('Прямой расчет'!D13&gt;=$A$32,$A$33,IF('Прямой расчет'!D13&gt;=$A$31,$A$32,IF('Прямой расчет'!D13&gt;=$A$30,$A$31,IF('Прямой расчет'!D13&gt;=$A$29,$A$30,IF('Прямой расчет'!D13&gt;=$A$28,$A$29,"ошибка"))))))))))</f>
        <v>13</v>
      </c>
      <c r="G36" s="32">
        <f>'Прямой расчет'!D13</f>
        <v>12</v>
      </c>
      <c r="U36" s="55" t="s">
        <v>136</v>
      </c>
      <c r="V36" s="55" t="s">
        <v>137</v>
      </c>
      <c r="W36" s="55" t="s">
        <v>138</v>
      </c>
      <c r="AA36" s="126"/>
      <c r="AB36">
        <v>0</v>
      </c>
      <c r="AC36" s="2">
        <v>0.1</v>
      </c>
      <c r="AD36" s="2">
        <v>0.2</v>
      </c>
      <c r="AE36" s="20">
        <v>0.3</v>
      </c>
      <c r="AF36" s="2">
        <v>0.4</v>
      </c>
      <c r="AG36" s="2">
        <v>0.5</v>
      </c>
      <c r="AH36" s="2">
        <v>0.6</v>
      </c>
      <c r="AI36" s="55">
        <v>1</v>
      </c>
    </row>
    <row r="37" spans="1:35" x14ac:dyDescent="0.25">
      <c r="A37" s="2">
        <v>350</v>
      </c>
      <c r="B37" s="2">
        <v>5.5</v>
      </c>
      <c r="D37" s="42" t="s">
        <v>82</v>
      </c>
      <c r="E37" s="32">
        <f>INDEX($B$28:$B$38,MATCH(E36,$A$28:$A$38,0))</f>
        <v>10.8</v>
      </c>
      <c r="F37" s="32">
        <f>INDEX($B$28:$B$38,MATCH(F36,$A$28:$A$38,0))</f>
        <v>10.8</v>
      </c>
      <c r="G37" s="37">
        <f>E37+(F37-E37)/(F36-E36)*(G36-E36)</f>
        <v>10.8</v>
      </c>
      <c r="U37" s="12" t="s">
        <v>43</v>
      </c>
      <c r="V37" s="55">
        <v>0.5</v>
      </c>
      <c r="W37" s="55">
        <v>0.2</v>
      </c>
      <c r="AA37" s="2">
        <v>0</v>
      </c>
      <c r="AB37" s="54">
        <f>AC37</f>
        <v>5</v>
      </c>
      <c r="AC37" s="2">
        <f>AC38</f>
        <v>5</v>
      </c>
      <c r="AD37" s="2">
        <f t="shared" ref="AD37:AH37" si="6">AD38</f>
        <v>5</v>
      </c>
      <c r="AE37" s="2">
        <f t="shared" si="6"/>
        <v>5</v>
      </c>
      <c r="AF37" s="2">
        <f t="shared" si="6"/>
        <v>5</v>
      </c>
      <c r="AG37" s="2">
        <f t="shared" si="6"/>
        <v>5</v>
      </c>
      <c r="AH37" s="2">
        <f t="shared" si="6"/>
        <v>5</v>
      </c>
      <c r="AI37" s="55">
        <v>0</v>
      </c>
    </row>
    <row r="38" spans="1:35" x14ac:dyDescent="0.25">
      <c r="A38">
        <f>10^99</f>
        <v>9.9999999999999997E+98</v>
      </c>
      <c r="B38" s="26">
        <f>B37</f>
        <v>5.5</v>
      </c>
      <c r="AA38" s="2">
        <v>10</v>
      </c>
      <c r="AB38" s="54">
        <f t="shared" ref="AB38:AB42" si="7">AC38</f>
        <v>5</v>
      </c>
      <c r="AC38" s="2">
        <v>5</v>
      </c>
      <c r="AD38" s="2">
        <v>5</v>
      </c>
      <c r="AE38" s="2">
        <v>5</v>
      </c>
      <c r="AF38" s="2">
        <v>5</v>
      </c>
      <c r="AG38" s="2">
        <v>5</v>
      </c>
      <c r="AH38" s="2">
        <v>5</v>
      </c>
      <c r="AI38" s="55">
        <v>0</v>
      </c>
    </row>
    <row r="39" spans="1:35" x14ac:dyDescent="0.25">
      <c r="U39" s="118" t="s">
        <v>139</v>
      </c>
      <c r="V39" s="119"/>
      <c r="AA39" s="2">
        <v>100</v>
      </c>
      <c r="AB39" s="54">
        <f t="shared" si="7"/>
        <v>1.3</v>
      </c>
      <c r="AC39" s="2">
        <v>1.3</v>
      </c>
      <c r="AD39" s="2">
        <v>1.2</v>
      </c>
      <c r="AE39" s="2">
        <v>1.1000000000000001</v>
      </c>
      <c r="AF39" s="2">
        <v>1</v>
      </c>
      <c r="AG39" s="2">
        <v>0.9</v>
      </c>
      <c r="AH39" s="2">
        <v>0.8</v>
      </c>
      <c r="AI39" s="55">
        <v>0</v>
      </c>
    </row>
    <row r="40" spans="1:35" x14ac:dyDescent="0.25">
      <c r="U40" s="12" t="s">
        <v>140</v>
      </c>
      <c r="V40" s="55">
        <v>1</v>
      </c>
      <c r="AA40" s="2">
        <v>1000</v>
      </c>
      <c r="AB40" s="54">
        <f t="shared" si="7"/>
        <v>0.64</v>
      </c>
      <c r="AC40" s="2">
        <v>0.64</v>
      </c>
      <c r="AD40" s="2">
        <v>0.5</v>
      </c>
      <c r="AE40" s="2">
        <v>0.44</v>
      </c>
      <c r="AF40" s="2">
        <v>0.35</v>
      </c>
      <c r="AG40" s="2">
        <v>0.3</v>
      </c>
      <c r="AH40" s="2">
        <v>0.24</v>
      </c>
      <c r="AI40" s="55">
        <v>0</v>
      </c>
    </row>
    <row r="41" spans="1:35" x14ac:dyDescent="0.25">
      <c r="AA41" s="2">
        <v>10000</v>
      </c>
      <c r="AB41" s="54">
        <f t="shared" si="7"/>
        <v>0.5</v>
      </c>
      <c r="AC41" s="2">
        <v>0.5</v>
      </c>
      <c r="AD41" s="2">
        <v>0.4</v>
      </c>
      <c r="AE41" s="2">
        <v>0.35</v>
      </c>
      <c r="AF41" s="2">
        <v>0.3</v>
      </c>
      <c r="AG41" s="2">
        <v>0.25</v>
      </c>
      <c r="AH41" s="2">
        <v>0.2</v>
      </c>
      <c r="AI41" s="55">
        <v>0</v>
      </c>
    </row>
    <row r="42" spans="1:35" x14ac:dyDescent="0.25">
      <c r="AA42" s="2">
        <f>AA32</f>
        <v>9.9999999999999997E+98</v>
      </c>
      <c r="AB42" s="54">
        <f t="shared" si="7"/>
        <v>0.45</v>
      </c>
      <c r="AC42" s="2">
        <v>0.45</v>
      </c>
      <c r="AD42" s="2">
        <v>0.4</v>
      </c>
      <c r="AE42" s="2">
        <v>0.35</v>
      </c>
      <c r="AF42" s="2">
        <v>0.3</v>
      </c>
      <c r="AG42" s="2">
        <v>0.25</v>
      </c>
      <c r="AH42" s="2">
        <v>0.2</v>
      </c>
      <c r="AI42" s="55">
        <v>0</v>
      </c>
    </row>
    <row r="43" spans="1:35" x14ac:dyDescent="0.25">
      <c r="AB43" s="21"/>
      <c r="AC43" s="21"/>
    </row>
    <row r="44" spans="1:35" x14ac:dyDescent="0.25">
      <c r="AB44" s="21"/>
      <c r="AC44" s="21"/>
    </row>
    <row r="45" spans="1:35" x14ac:dyDescent="0.25">
      <c r="A45" s="108" t="s">
        <v>114</v>
      </c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AB45" s="21"/>
      <c r="AC45" s="21"/>
    </row>
    <row r="46" spans="1:35" x14ac:dyDescent="0.25">
      <c r="A46" s="2" t="s">
        <v>2</v>
      </c>
      <c r="B46" s="2" t="s">
        <v>5</v>
      </c>
      <c r="C46" s="2" t="s">
        <v>115</v>
      </c>
      <c r="D46" s="2" t="s">
        <v>116</v>
      </c>
      <c r="E46" s="2" t="s">
        <v>117</v>
      </c>
      <c r="F46" s="2" t="s">
        <v>118</v>
      </c>
      <c r="G46" s="2" t="s">
        <v>119</v>
      </c>
      <c r="H46" s="2" t="s">
        <v>120</v>
      </c>
      <c r="I46" s="2" t="s">
        <v>121</v>
      </c>
      <c r="J46" s="2" t="s">
        <v>122</v>
      </c>
      <c r="K46" s="2" t="s">
        <v>123</v>
      </c>
    </row>
    <row r="47" spans="1:35" x14ac:dyDescent="0.25">
      <c r="A47">
        <f>-10^99</f>
        <v>-1.0000000000000001E+99</v>
      </c>
      <c r="B47">
        <f>B48</f>
        <v>884.6</v>
      </c>
      <c r="C47" s="54">
        <f t="shared" ref="C47:K47" si="8">C48</f>
        <v>812.9</v>
      </c>
      <c r="D47" s="54">
        <f t="shared" si="8"/>
        <v>999.87</v>
      </c>
      <c r="E47" s="54">
        <f t="shared" si="8"/>
        <v>1275</v>
      </c>
      <c r="F47" s="54">
        <f t="shared" si="8"/>
        <v>718.5</v>
      </c>
      <c r="G47" s="54">
        <f t="shared" si="8"/>
        <v>1515.4</v>
      </c>
      <c r="H47" s="54" t="str">
        <f t="shared" si="8"/>
        <v>-</v>
      </c>
      <c r="I47" s="54">
        <f t="shared" si="8"/>
        <v>1524</v>
      </c>
      <c r="J47" s="54">
        <f t="shared" si="8"/>
        <v>924.5</v>
      </c>
      <c r="K47" s="54">
        <f t="shared" si="8"/>
        <v>949</v>
      </c>
    </row>
    <row r="48" spans="1:35" x14ac:dyDescent="0.25">
      <c r="A48" s="2">
        <v>0</v>
      </c>
      <c r="B48" s="15">
        <v>884.6</v>
      </c>
      <c r="C48" s="2">
        <v>812.9</v>
      </c>
      <c r="D48" s="2">
        <v>999.87</v>
      </c>
      <c r="E48" s="2">
        <f>-0.65*A48+1275</f>
        <v>1275</v>
      </c>
      <c r="F48" s="2">
        <v>718.5</v>
      </c>
      <c r="G48" s="2">
        <v>1515.4</v>
      </c>
      <c r="H48" s="2" t="s">
        <v>124</v>
      </c>
      <c r="I48" s="2">
        <v>1524</v>
      </c>
      <c r="J48" s="2">
        <v>924.5</v>
      </c>
      <c r="K48" s="2">
        <v>949</v>
      </c>
      <c r="M48" s="108" t="s">
        <v>157</v>
      </c>
      <c r="N48" s="108"/>
      <c r="O48" s="108"/>
      <c r="P48" s="108" t="s">
        <v>158</v>
      </c>
      <c r="Q48" s="108"/>
      <c r="R48" s="108"/>
    </row>
    <row r="49" spans="1:18" x14ac:dyDescent="0.25">
      <c r="A49" s="2">
        <v>10</v>
      </c>
      <c r="B49" s="2">
        <v>875.7</v>
      </c>
      <c r="C49" s="2">
        <v>801.6</v>
      </c>
      <c r="D49" s="2">
        <v>999.73</v>
      </c>
      <c r="E49" s="2">
        <f>-0.65*A49+1275</f>
        <v>1268.5</v>
      </c>
      <c r="F49" s="2">
        <v>710.6</v>
      </c>
      <c r="G49" s="2">
        <v>1506.7</v>
      </c>
      <c r="H49" s="2">
        <v>1059.3</v>
      </c>
      <c r="I49" s="2">
        <v>1507</v>
      </c>
      <c r="J49" s="2">
        <v>912.6</v>
      </c>
      <c r="K49" s="2">
        <f>AVERAGE(K48,K50)</f>
        <v>942</v>
      </c>
      <c r="M49" s="108" t="str">
        <f>'Прямой расчет'!B2</f>
        <v>Толуол</v>
      </c>
      <c r="N49" s="108"/>
      <c r="O49" s="108"/>
      <c r="P49" s="108" t="str">
        <f>'Обратный расчет'!B2</f>
        <v>Толуол</v>
      </c>
      <c r="Q49" s="108"/>
      <c r="R49" s="108"/>
    </row>
    <row r="50" spans="1:18" x14ac:dyDescent="0.25">
      <c r="A50" s="2">
        <v>20</v>
      </c>
      <c r="B50" s="2">
        <v>866.7</v>
      </c>
      <c r="C50" s="2">
        <v>790.2</v>
      </c>
      <c r="D50" s="2">
        <v>998.23</v>
      </c>
      <c r="E50" s="2">
        <v>1260</v>
      </c>
      <c r="F50" s="2">
        <v>702.7</v>
      </c>
      <c r="G50" s="2">
        <v>1498.2</v>
      </c>
      <c r="H50" s="2">
        <v>1049.0999999999999</v>
      </c>
      <c r="I50" s="2">
        <v>1489</v>
      </c>
      <c r="J50" s="2">
        <v>900.6</v>
      </c>
      <c r="K50" s="2">
        <v>935</v>
      </c>
      <c r="M50" s="2">
        <f>INDEX($A$47:$A$58,MATCH(ROUNDDOWN($O$50,-1),$A$47:$A$58,0))</f>
        <v>30</v>
      </c>
      <c r="N50" s="2">
        <f>INDEX($A$47:$A$59,1+MATCH($O$50,$A$47:$A$59,1))</f>
        <v>40</v>
      </c>
      <c r="O50" s="2">
        <f>'Прямой расчет'!B3</f>
        <v>35</v>
      </c>
      <c r="P50" s="55">
        <f>INDEX($A$47:$A$58,MATCH(ROUNDDOWN($R$50,-1),$A$47:$A$58,0))</f>
        <v>30</v>
      </c>
      <c r="Q50" s="55">
        <f>INDEX($A$47:$A$59,1+MATCH($R$50,$A$47:$A$59,1))</f>
        <v>40</v>
      </c>
      <c r="R50" s="55">
        <f>'Обратный расчет'!B3</f>
        <v>35</v>
      </c>
    </row>
    <row r="51" spans="1:18" x14ac:dyDescent="0.25">
      <c r="A51" s="2">
        <v>30</v>
      </c>
      <c r="B51" s="2">
        <v>857.6</v>
      </c>
      <c r="C51" s="2">
        <v>778.5</v>
      </c>
      <c r="D51" s="2">
        <v>995.68</v>
      </c>
      <c r="E51" s="2">
        <f>-0.65*A51+1275</f>
        <v>1255.5</v>
      </c>
      <c r="F51" s="2">
        <v>694.5</v>
      </c>
      <c r="G51" s="2">
        <v>1489.8</v>
      </c>
      <c r="H51" s="2">
        <v>1039.2</v>
      </c>
      <c r="I51" s="2">
        <v>1471</v>
      </c>
      <c r="J51" s="2">
        <v>888.4</v>
      </c>
      <c r="K51" s="2">
        <f>AVERAGE(K50,K52)</f>
        <v>927.5</v>
      </c>
      <c r="L51" s="12" t="s">
        <v>133</v>
      </c>
      <c r="M51" s="2">
        <f>INDEX($B$47:$K$59,MATCH(M50,$A$47:$A$59,0),MATCH($M$49,$B$46:$K$46,0))</f>
        <v>857.6</v>
      </c>
      <c r="N51" s="55">
        <f>INDEX($B$47:$K$59,MATCH(N50,$A$47:$A$59,0),MATCH($M$49,$B$46:$K$46,0))</f>
        <v>848.3</v>
      </c>
      <c r="O51" s="37">
        <f>M51+(N51-M51)/(N50-M50)*(O50-M50)</f>
        <v>852.95</v>
      </c>
      <c r="P51" s="55">
        <f>INDEX($B$47:$K$59,MATCH(P50,$A$47:$A$59,0),MATCH($P$49,$B$46:$K$46,0))</f>
        <v>857.6</v>
      </c>
      <c r="Q51" s="55">
        <f>INDEX($B$47:$K$59,MATCH(Q50,$A$47:$A$59,0),MATCH($P$49,$B$46:$K$46,0))</f>
        <v>848.3</v>
      </c>
      <c r="R51" s="37">
        <f>P51+(Q51-P51)/(Q50-P50)*(R50-P50)</f>
        <v>852.95</v>
      </c>
    </row>
    <row r="52" spans="1:18" x14ac:dyDescent="0.25">
      <c r="A52" s="2">
        <v>40</v>
      </c>
      <c r="B52" s="2">
        <v>848.3</v>
      </c>
      <c r="C52" s="2">
        <v>766.6</v>
      </c>
      <c r="D52" s="2">
        <v>992.25</v>
      </c>
      <c r="E52" s="2">
        <v>1250</v>
      </c>
      <c r="F52" s="2">
        <v>686.3</v>
      </c>
      <c r="G52" s="2">
        <v>1481.6</v>
      </c>
      <c r="H52" s="2">
        <v>1028.4000000000001</v>
      </c>
      <c r="I52" s="2">
        <v>1452</v>
      </c>
      <c r="J52" s="2">
        <v>875.9</v>
      </c>
      <c r="K52" s="2">
        <v>920</v>
      </c>
    </row>
    <row r="53" spans="1:18" x14ac:dyDescent="0.25">
      <c r="A53" s="2">
        <v>50</v>
      </c>
      <c r="B53" s="2">
        <v>838.9</v>
      </c>
      <c r="C53" s="2">
        <v>754.5</v>
      </c>
      <c r="D53" s="2">
        <v>988.1</v>
      </c>
      <c r="E53" s="2">
        <f>-0.65*A53+1275</f>
        <v>1242.5</v>
      </c>
      <c r="F53" s="2">
        <v>677.9</v>
      </c>
      <c r="G53" s="2">
        <v>1473.5</v>
      </c>
      <c r="H53" s="2">
        <v>1017.5</v>
      </c>
      <c r="I53" s="2">
        <v>1433</v>
      </c>
      <c r="J53" s="2">
        <v>863.2</v>
      </c>
      <c r="K53" s="2">
        <f>AVERAGE(K52,K54)</f>
        <v>911.5</v>
      </c>
    </row>
    <row r="54" spans="1:18" x14ac:dyDescent="0.25">
      <c r="A54" s="2">
        <v>60</v>
      </c>
      <c r="B54" s="2">
        <v>829.4</v>
      </c>
      <c r="C54" s="2">
        <v>742.1</v>
      </c>
      <c r="D54" s="2">
        <v>983.2</v>
      </c>
      <c r="E54" s="2">
        <v>1238</v>
      </c>
      <c r="F54" s="2">
        <v>669.4</v>
      </c>
      <c r="G54" s="2">
        <v>1465.6</v>
      </c>
      <c r="H54" s="2">
        <v>1006</v>
      </c>
      <c r="I54" s="2">
        <v>1414</v>
      </c>
      <c r="J54" s="2">
        <v>850.3</v>
      </c>
      <c r="K54" s="2">
        <v>903</v>
      </c>
    </row>
    <row r="55" spans="1:18" x14ac:dyDescent="0.25">
      <c r="A55" s="2">
        <v>70</v>
      </c>
      <c r="B55" s="2">
        <v>819.7</v>
      </c>
      <c r="C55" s="2">
        <v>729.3</v>
      </c>
      <c r="D55" s="2">
        <v>977.8</v>
      </c>
      <c r="E55" s="2">
        <f>-0.65*A55+1275</f>
        <v>1229.5</v>
      </c>
      <c r="F55" s="2">
        <v>660.8</v>
      </c>
      <c r="G55" s="2">
        <v>1457.7</v>
      </c>
      <c r="H55" s="2">
        <v>994.8</v>
      </c>
      <c r="I55" s="2">
        <v>1394</v>
      </c>
      <c r="J55" s="2">
        <v>837</v>
      </c>
      <c r="K55" s="2">
        <f>AVERAGE(K54,K56)</f>
        <v>895.5</v>
      </c>
    </row>
    <row r="56" spans="1:18" x14ac:dyDescent="0.25">
      <c r="A56" s="2">
        <v>80</v>
      </c>
      <c r="B56" s="2">
        <v>809.8</v>
      </c>
      <c r="C56" s="2">
        <v>716.3</v>
      </c>
      <c r="D56" s="2">
        <v>971.8</v>
      </c>
      <c r="E56" s="2">
        <v>1224</v>
      </c>
      <c r="F56" s="2">
        <v>652</v>
      </c>
      <c r="G56" s="2">
        <v>1449.7</v>
      </c>
      <c r="H56" s="2">
        <v>983.5</v>
      </c>
      <c r="I56" s="2" t="s">
        <v>124</v>
      </c>
      <c r="J56" s="2">
        <v>823.4</v>
      </c>
      <c r="K56" s="2">
        <v>888</v>
      </c>
    </row>
    <row r="57" spans="1:18" x14ac:dyDescent="0.25">
      <c r="A57" s="2">
        <v>90</v>
      </c>
      <c r="B57" s="2">
        <v>799.8</v>
      </c>
      <c r="C57" s="2">
        <v>702.9</v>
      </c>
      <c r="D57" s="2">
        <v>965.3</v>
      </c>
      <c r="E57" s="2">
        <f>-0.65*A57+1275</f>
        <v>1216.5</v>
      </c>
      <c r="F57" s="2">
        <v>643</v>
      </c>
      <c r="G57" s="2">
        <v>1442.1</v>
      </c>
      <c r="H57" s="2">
        <v>971.8</v>
      </c>
      <c r="I57" s="2" t="s">
        <v>124</v>
      </c>
      <c r="J57" s="2">
        <v>809.5</v>
      </c>
      <c r="K57" s="2">
        <f>-0.7725*A57+949.96</f>
        <v>880.43500000000006</v>
      </c>
    </row>
    <row r="58" spans="1:18" x14ac:dyDescent="0.25">
      <c r="A58" s="2">
        <v>100</v>
      </c>
      <c r="B58" s="2">
        <v>789.6</v>
      </c>
      <c r="C58" s="2">
        <v>689</v>
      </c>
      <c r="D58" s="2">
        <v>958.4</v>
      </c>
      <c r="E58" s="2">
        <v>1208</v>
      </c>
      <c r="F58" s="2">
        <v>633.79999999999995</v>
      </c>
      <c r="G58" s="2">
        <v>1434.4</v>
      </c>
      <c r="H58" s="2">
        <v>959.9</v>
      </c>
      <c r="I58" s="2" t="s">
        <v>124</v>
      </c>
      <c r="J58" s="2">
        <v>795.2</v>
      </c>
      <c r="K58" s="2">
        <f>-0.7725*A58+949.96</f>
        <v>872.71</v>
      </c>
      <c r="L58" t="s">
        <v>26</v>
      </c>
    </row>
    <row r="59" spans="1:18" x14ac:dyDescent="0.25">
      <c r="A59">
        <f>10^99</f>
        <v>9.9999999999999997E+98</v>
      </c>
      <c r="B59">
        <f>B58</f>
        <v>789.6</v>
      </c>
      <c r="C59" s="54">
        <f t="shared" ref="C59:K59" si="9">C58</f>
        <v>689</v>
      </c>
      <c r="D59" s="54">
        <f t="shared" si="9"/>
        <v>958.4</v>
      </c>
      <c r="E59" s="54">
        <f t="shared" si="9"/>
        <v>1208</v>
      </c>
      <c r="F59" s="54">
        <f t="shared" si="9"/>
        <v>633.79999999999995</v>
      </c>
      <c r="G59" s="54">
        <f t="shared" si="9"/>
        <v>1434.4</v>
      </c>
      <c r="H59" s="54">
        <f t="shared" si="9"/>
        <v>959.9</v>
      </c>
      <c r="I59" s="54" t="str">
        <f t="shared" si="9"/>
        <v>-</v>
      </c>
      <c r="J59" s="54">
        <f t="shared" si="9"/>
        <v>795.2</v>
      </c>
      <c r="K59" s="54">
        <f t="shared" si="9"/>
        <v>872.71</v>
      </c>
      <c r="L59" s="62" t="s">
        <v>26</v>
      </c>
      <c r="M59" s="56"/>
      <c r="N59" s="56"/>
      <c r="O59" s="56"/>
      <c r="P59" s="56"/>
      <c r="Q59" s="56"/>
    </row>
    <row r="60" spans="1:18" x14ac:dyDescent="0.25">
      <c r="A60" s="2" t="s">
        <v>24</v>
      </c>
      <c r="B60" s="27" t="s">
        <v>25</v>
      </c>
      <c r="C60" s="2" t="s">
        <v>26</v>
      </c>
      <c r="D60" s="2" t="s">
        <v>127</v>
      </c>
      <c r="E60" s="2" t="s">
        <v>26</v>
      </c>
      <c r="F60" s="2"/>
      <c r="G60" s="27" t="s">
        <v>130</v>
      </c>
      <c r="H60" s="2" t="s">
        <v>128</v>
      </c>
      <c r="I60" s="2" t="s">
        <v>26</v>
      </c>
      <c r="J60" s="2"/>
      <c r="K60" s="2" t="s">
        <v>125</v>
      </c>
      <c r="M60" s="56"/>
      <c r="N60" s="56"/>
      <c r="O60" s="56"/>
      <c r="P60" s="56"/>
      <c r="Q60" s="56"/>
    </row>
    <row r="61" spans="1:18" x14ac:dyDescent="0.25">
      <c r="A61" s="2"/>
      <c r="B61" s="2"/>
      <c r="C61" s="2"/>
      <c r="D61" s="2" t="s">
        <v>126</v>
      </c>
      <c r="E61" s="2" t="s">
        <v>26</v>
      </c>
      <c r="F61" s="2"/>
      <c r="G61" s="2"/>
      <c r="H61" s="2" t="s">
        <v>129</v>
      </c>
      <c r="I61" s="2" t="s">
        <v>26</v>
      </c>
      <c r="J61" s="2"/>
      <c r="K61" s="2" t="s">
        <v>126</v>
      </c>
      <c r="P61" s="56"/>
      <c r="Q61" s="56"/>
    </row>
    <row r="62" spans="1:18" x14ac:dyDescent="0.25">
      <c r="P62" s="56"/>
      <c r="Q62" s="56"/>
    </row>
    <row r="63" spans="1:18" x14ac:dyDescent="0.25">
      <c r="P63" s="56"/>
      <c r="Q63" s="56"/>
    </row>
    <row r="64" spans="1:18" x14ac:dyDescent="0.25">
      <c r="A64" s="108" t="s">
        <v>131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M64" s="56"/>
      <c r="N64" s="58"/>
      <c r="O64" s="56"/>
      <c r="P64" s="56"/>
      <c r="Q64" s="56"/>
    </row>
    <row r="65" spans="1:18" x14ac:dyDescent="0.25">
      <c r="A65" s="55" t="s">
        <v>2</v>
      </c>
      <c r="B65" s="55" t="s">
        <v>5</v>
      </c>
      <c r="C65" s="55" t="s">
        <v>115</v>
      </c>
      <c r="D65" s="55" t="s">
        <v>116</v>
      </c>
      <c r="E65" s="55" t="s">
        <v>117</v>
      </c>
      <c r="F65" s="55" t="s">
        <v>118</v>
      </c>
      <c r="G65" s="55" t="s">
        <v>119</v>
      </c>
      <c r="H65" s="55" t="s">
        <v>120</v>
      </c>
      <c r="I65" s="55" t="s">
        <v>121</v>
      </c>
      <c r="J65" s="55" t="s">
        <v>122</v>
      </c>
      <c r="K65" s="55" t="s">
        <v>123</v>
      </c>
      <c r="M65" s="56"/>
      <c r="N65" s="61"/>
      <c r="O65" s="56"/>
      <c r="P65" s="56"/>
      <c r="Q65" s="56"/>
    </row>
    <row r="66" spans="1:18" x14ac:dyDescent="0.25">
      <c r="A66" s="55">
        <f>-10^99</f>
        <v>-1.0000000000000001E+99</v>
      </c>
      <c r="B66" s="55">
        <f>B67</f>
        <v>0.77</v>
      </c>
      <c r="C66" s="55">
        <f t="shared" ref="C66" si="10">C67</f>
        <v>0.39700000000000002</v>
      </c>
      <c r="D66" s="55">
        <f t="shared" ref="D66" si="11">D67</f>
        <v>1.7969999999999999</v>
      </c>
      <c r="E66" s="55">
        <f t="shared" ref="E66" si="12">E67</f>
        <v>12100</v>
      </c>
      <c r="F66" s="55">
        <f t="shared" ref="F66" si="13">F67</f>
        <v>0.71399999999999997</v>
      </c>
      <c r="G66" s="55">
        <f t="shared" ref="G66" si="14">G67</f>
        <v>0.13600000000000001</v>
      </c>
      <c r="H66" s="55" t="str">
        <f t="shared" ref="H66" si="15">H67</f>
        <v>-</v>
      </c>
      <c r="I66" s="55">
        <f t="shared" ref="I66" si="16">I67</f>
        <v>0.70399999999999996</v>
      </c>
      <c r="J66" s="55">
        <f t="shared" ref="J66" si="17">J67</f>
        <v>0.58099999999999996</v>
      </c>
      <c r="K66" s="55">
        <f t="shared" ref="K66" si="18">K67</f>
        <v>1.7729999999999999</v>
      </c>
      <c r="M66" s="56"/>
      <c r="N66" s="58"/>
      <c r="O66" s="56"/>
      <c r="P66" s="56"/>
      <c r="Q66" s="56"/>
    </row>
    <row r="67" spans="1:18" x14ac:dyDescent="0.25">
      <c r="A67" s="55">
        <v>0</v>
      </c>
      <c r="B67" s="55">
        <v>0.77</v>
      </c>
      <c r="C67" s="55">
        <v>0.39700000000000002</v>
      </c>
      <c r="D67" s="55">
        <v>1.7969999999999999</v>
      </c>
      <c r="E67" s="55">
        <v>12100</v>
      </c>
      <c r="F67" s="55">
        <v>0.71399999999999997</v>
      </c>
      <c r="G67" s="55">
        <v>0.13600000000000001</v>
      </c>
      <c r="H67" s="55" t="s">
        <v>124</v>
      </c>
      <c r="I67" s="55">
        <v>0.70399999999999996</v>
      </c>
      <c r="J67" s="55">
        <v>0.58099999999999996</v>
      </c>
      <c r="K67" s="55">
        <v>1.7729999999999999</v>
      </c>
      <c r="M67" s="108" t="s">
        <v>157</v>
      </c>
      <c r="N67" s="108"/>
      <c r="O67" s="108"/>
      <c r="P67" s="108" t="s">
        <v>158</v>
      </c>
      <c r="Q67" s="108"/>
      <c r="R67" s="108"/>
    </row>
    <row r="68" spans="1:18" x14ac:dyDescent="0.25">
      <c r="A68" s="55">
        <v>10</v>
      </c>
      <c r="B68" s="55">
        <v>0.66700000000000004</v>
      </c>
      <c r="C68" s="55">
        <v>0.36099999999999999</v>
      </c>
      <c r="D68" s="55">
        <v>1.3069999999999999</v>
      </c>
      <c r="E68" s="55">
        <v>3950</v>
      </c>
      <c r="F68" s="55">
        <v>0.622</v>
      </c>
      <c r="G68" s="55">
        <v>0.108</v>
      </c>
      <c r="H68" s="55">
        <v>1.45</v>
      </c>
      <c r="I68" s="55">
        <v>0.63</v>
      </c>
      <c r="J68" s="55">
        <v>0.51200000000000001</v>
      </c>
      <c r="K68" s="55">
        <v>1.466</v>
      </c>
      <c r="M68" s="108" t="str">
        <f>'Прямой расчет'!B2</f>
        <v>Толуол</v>
      </c>
      <c r="N68" s="108"/>
      <c r="O68" s="108"/>
      <c r="P68" s="108" t="str">
        <f>'Обратный расчет'!B2</f>
        <v>Толуол</v>
      </c>
      <c r="Q68" s="108"/>
      <c r="R68" s="108"/>
    </row>
    <row r="69" spans="1:18" x14ac:dyDescent="0.25">
      <c r="A69" s="55">
        <v>20</v>
      </c>
      <c r="B69" s="55">
        <v>0.58399999999999996</v>
      </c>
      <c r="C69" s="55">
        <v>0.32500000000000001</v>
      </c>
      <c r="D69" s="55">
        <v>1.004</v>
      </c>
      <c r="E69" s="55">
        <v>1480</v>
      </c>
      <c r="F69" s="55">
        <v>0.54600000000000004</v>
      </c>
      <c r="G69" s="55">
        <v>9.6500000000000002E-2</v>
      </c>
      <c r="H69" s="55">
        <v>1.21</v>
      </c>
      <c r="I69" s="55">
        <v>0.56999999999999995</v>
      </c>
      <c r="J69" s="55">
        <v>0.45800000000000002</v>
      </c>
      <c r="K69" s="55">
        <v>1.2</v>
      </c>
      <c r="M69" s="55">
        <f>INDEX($A$66:$A$78,MATCH(ROUNDDOWN($O$69,-1),$A$66:$A$78,0))</f>
        <v>30</v>
      </c>
      <c r="N69" s="55">
        <f>INDEX($A$66:$A$78,1+MATCH($O$69,$A$66:$A$78,1))</f>
        <v>40</v>
      </c>
      <c r="O69" s="55">
        <f>'Прямой расчет'!B3</f>
        <v>35</v>
      </c>
      <c r="P69" s="55">
        <f>INDEX($A$66:$A$78,MATCH(ROUNDDOWN($R$69,-1),$A$66:$A$78,0))</f>
        <v>30</v>
      </c>
      <c r="Q69" s="55">
        <f>INDEX($A$66:$A$78,1+MATCH($R$69,$A$66:$A$78,1))</f>
        <v>40</v>
      </c>
      <c r="R69" s="55">
        <f>'Обратный расчет'!B3</f>
        <v>35</v>
      </c>
    </row>
    <row r="70" spans="1:18" x14ac:dyDescent="0.25">
      <c r="A70" s="55">
        <v>30</v>
      </c>
      <c r="B70" s="55">
        <v>0.51700000000000002</v>
      </c>
      <c r="C70" s="55">
        <v>0.29599999999999999</v>
      </c>
      <c r="D70" s="55">
        <v>0.80300000000000005</v>
      </c>
      <c r="E70" s="55">
        <v>600</v>
      </c>
      <c r="F70" s="55">
        <v>0.48599999999999999</v>
      </c>
      <c r="G70" s="55">
        <v>7.9000000000000001E-2</v>
      </c>
      <c r="H70" s="55">
        <v>1.04</v>
      </c>
      <c r="I70" s="55">
        <v>0.51400000000000001</v>
      </c>
      <c r="J70" s="55">
        <v>0.40300000000000002</v>
      </c>
      <c r="K70" s="55">
        <v>1.0029999999999999</v>
      </c>
      <c r="L70" s="63" t="s">
        <v>132</v>
      </c>
      <c r="M70" s="55">
        <f>INDEX($B$66:$K$78,MATCH(M69,$A$66:$A$78,0),MATCH($M$68,$B$65:$K$65,0))</f>
        <v>0.51700000000000002</v>
      </c>
      <c r="N70" s="55">
        <f>INDEX($B$66:$K$78,MATCH(N69,$A$66:$A$78,0),MATCH($M$68,$B$65:$K$65,0))</f>
        <v>0.46899999999999997</v>
      </c>
      <c r="O70" s="37">
        <f>M70+(N70-M70)/(N69-M69)*(O69-M69)</f>
        <v>0.49299999999999999</v>
      </c>
      <c r="P70" s="55">
        <f>INDEX($B$66:$K$78,MATCH(P69,$A$66:$A$78,0),MATCH($P$68,$B$65:$K$65,0))</f>
        <v>0.51700000000000002</v>
      </c>
      <c r="Q70" s="55">
        <f>INDEX($B$66:$K$78,MATCH(Q69,$A$66:$A$78,0),MATCH($P$68,$B$65:$K$65,0))</f>
        <v>0.46899999999999997</v>
      </c>
      <c r="R70" s="37">
        <f>P70+(Q70-P70)/(Q69-P69)*(R69-P69)</f>
        <v>0.49299999999999999</v>
      </c>
    </row>
    <row r="71" spans="1:18" x14ac:dyDescent="0.25">
      <c r="A71" s="55">
        <v>40</v>
      </c>
      <c r="B71" s="55">
        <v>0.46899999999999997</v>
      </c>
      <c r="C71" s="55">
        <v>0.27100000000000002</v>
      </c>
      <c r="D71" s="55">
        <v>0.65500000000000003</v>
      </c>
      <c r="E71" s="55">
        <v>330</v>
      </c>
      <c r="F71" s="55">
        <v>0.435</v>
      </c>
      <c r="G71" s="55">
        <v>6.0999999999999999E-2</v>
      </c>
      <c r="H71" s="55">
        <v>0.9</v>
      </c>
      <c r="I71" s="55">
        <v>0.46600000000000003</v>
      </c>
      <c r="J71" s="55">
        <v>0.36</v>
      </c>
      <c r="K71" s="55">
        <v>0.83399999999999996</v>
      </c>
      <c r="M71" s="56"/>
      <c r="N71" s="56"/>
      <c r="O71" s="56"/>
      <c r="P71" s="56"/>
      <c r="Q71" s="56"/>
    </row>
    <row r="72" spans="1:18" x14ac:dyDescent="0.25">
      <c r="A72" s="55">
        <v>50</v>
      </c>
      <c r="B72" s="55">
        <v>0.42499999999999999</v>
      </c>
      <c r="C72" s="55">
        <v>0.249</v>
      </c>
      <c r="D72" s="55">
        <v>0.55100000000000005</v>
      </c>
      <c r="E72" s="55">
        <v>180</v>
      </c>
      <c r="F72" s="55">
        <v>0.39200000000000002</v>
      </c>
      <c r="G72" s="57">
        <v>4.2000000000000003E-2</v>
      </c>
      <c r="H72" s="55">
        <v>0.79</v>
      </c>
      <c r="I72" s="55">
        <v>0.43</v>
      </c>
      <c r="J72" s="55">
        <v>0.32400000000000001</v>
      </c>
      <c r="K72" s="55">
        <v>0.70199999999999996</v>
      </c>
      <c r="M72" s="56"/>
      <c r="N72" s="56"/>
      <c r="O72" s="56"/>
      <c r="P72" s="56"/>
      <c r="Q72" s="56"/>
    </row>
    <row r="73" spans="1:18" x14ac:dyDescent="0.25">
      <c r="A73" s="55">
        <v>60</v>
      </c>
      <c r="B73" s="55">
        <v>0.38100000000000001</v>
      </c>
      <c r="C73" s="55">
        <v>0.22800000000000001</v>
      </c>
      <c r="D73" s="55">
        <v>0.47</v>
      </c>
      <c r="E73" s="55">
        <v>102</v>
      </c>
      <c r="F73" s="55">
        <v>0.35599999999999998</v>
      </c>
      <c r="G73" s="57">
        <v>3.2000000000000001E-2</v>
      </c>
      <c r="H73" s="55">
        <v>0.7</v>
      </c>
      <c r="I73" s="55">
        <v>0.39800000000000002</v>
      </c>
      <c r="J73" s="55">
        <v>0.29399999999999998</v>
      </c>
      <c r="K73" s="55">
        <v>0.59199999999999997</v>
      </c>
      <c r="M73" s="56"/>
      <c r="N73" s="56"/>
      <c r="O73" s="56"/>
      <c r="P73" s="56"/>
      <c r="Q73" s="56"/>
    </row>
    <row r="74" spans="1:18" x14ac:dyDescent="0.25">
      <c r="A74" s="55">
        <v>70</v>
      </c>
      <c r="B74" s="57">
        <v>0.34799999999999998</v>
      </c>
      <c r="C74" s="55">
        <v>0.21099999999999999</v>
      </c>
      <c r="D74" s="55">
        <v>0.40699999999999997</v>
      </c>
      <c r="E74" s="55">
        <v>59</v>
      </c>
      <c r="F74" s="55">
        <v>0.32500000000000001</v>
      </c>
      <c r="G74" s="59">
        <f>AVERAGE(G73,G75)</f>
        <v>2.8500000000000001E-2</v>
      </c>
      <c r="H74" s="55">
        <v>0.62</v>
      </c>
      <c r="I74" s="55">
        <v>0.36699999999999999</v>
      </c>
      <c r="J74" s="55">
        <v>0.26900000000000002</v>
      </c>
      <c r="K74" s="55">
        <v>0.504</v>
      </c>
      <c r="M74" s="56"/>
      <c r="N74" s="56"/>
      <c r="O74" s="56"/>
      <c r="P74" s="56"/>
      <c r="Q74" s="56"/>
    </row>
    <row r="75" spans="1:18" x14ac:dyDescent="0.25">
      <c r="A75" s="55">
        <v>80</v>
      </c>
      <c r="B75" s="57">
        <v>0.31900000000000001</v>
      </c>
      <c r="C75" s="55">
        <v>0.19700000000000001</v>
      </c>
      <c r="D75" s="55">
        <v>0.35699999999999998</v>
      </c>
      <c r="E75" s="55">
        <v>35</v>
      </c>
      <c r="F75" s="55">
        <v>0.29899999999999999</v>
      </c>
      <c r="G75" s="59">
        <v>2.5000000000000001E-2</v>
      </c>
      <c r="H75" s="55">
        <v>0.56000000000000005</v>
      </c>
      <c r="I75" s="55">
        <v>0.33900000000000002</v>
      </c>
      <c r="J75" s="55">
        <v>0.246</v>
      </c>
      <c r="K75" s="55">
        <v>0.435</v>
      </c>
    </row>
    <row r="76" spans="1:18" x14ac:dyDescent="0.25">
      <c r="A76" s="55">
        <v>90</v>
      </c>
      <c r="B76" s="57">
        <v>0.29299999999999998</v>
      </c>
      <c r="C76" s="55">
        <v>0.184</v>
      </c>
      <c r="D76" s="55">
        <v>0.317</v>
      </c>
      <c r="E76" s="55">
        <v>21</v>
      </c>
      <c r="F76" s="55">
        <v>0.27500000000000002</v>
      </c>
      <c r="G76" s="60">
        <f>AVERAGE(G75,G77)</f>
        <v>1.95E-2</v>
      </c>
      <c r="H76" s="55">
        <v>0.5</v>
      </c>
      <c r="I76" s="55">
        <v>0.315</v>
      </c>
      <c r="J76" s="55">
        <v>0.22600000000000001</v>
      </c>
      <c r="K76" s="55">
        <v>0.375</v>
      </c>
    </row>
    <row r="77" spans="1:18" x14ac:dyDescent="0.25">
      <c r="A77" s="55">
        <v>100</v>
      </c>
      <c r="B77" s="57">
        <v>0.27</v>
      </c>
      <c r="C77" s="55">
        <v>0.17100000000000001</v>
      </c>
      <c r="D77" s="55">
        <v>0.28399999999999997</v>
      </c>
      <c r="E77" s="55">
        <v>13</v>
      </c>
      <c r="F77" s="55">
        <v>0.255</v>
      </c>
      <c r="G77" s="57">
        <v>1.4E-2</v>
      </c>
      <c r="H77" s="55">
        <v>0.46</v>
      </c>
      <c r="I77" s="55">
        <v>0.29499999999999998</v>
      </c>
      <c r="J77" s="55">
        <v>0.20799999999999999</v>
      </c>
      <c r="K77" s="55">
        <v>0.32600000000000001</v>
      </c>
    </row>
    <row r="78" spans="1:18" x14ac:dyDescent="0.25">
      <c r="A78" s="55">
        <f>10^99</f>
        <v>9.9999999999999997E+98</v>
      </c>
      <c r="B78" s="55">
        <f>B77</f>
        <v>0.27</v>
      </c>
      <c r="C78" s="55">
        <f t="shared" ref="C78" si="19">C77</f>
        <v>0.17100000000000001</v>
      </c>
      <c r="D78" s="55">
        <f t="shared" ref="D78" si="20">D77</f>
        <v>0.28399999999999997</v>
      </c>
      <c r="E78" s="55">
        <f t="shared" ref="E78" si="21">E77</f>
        <v>13</v>
      </c>
      <c r="F78" s="55">
        <f t="shared" ref="F78" si="22">F77</f>
        <v>0.255</v>
      </c>
      <c r="G78" s="55">
        <f t="shared" ref="G78" si="23">G77</f>
        <v>1.4E-2</v>
      </c>
      <c r="H78" s="55">
        <f t="shared" ref="H78" si="24">H77</f>
        <v>0.46</v>
      </c>
      <c r="I78" s="55">
        <f t="shared" ref="I78" si="25">I77</f>
        <v>0.29499999999999998</v>
      </c>
      <c r="J78" s="55">
        <f t="shared" ref="J78" si="26">J77</f>
        <v>0.20799999999999999</v>
      </c>
      <c r="K78" s="55">
        <f t="shared" ref="K78" si="27">K77</f>
        <v>0.32600000000000001</v>
      </c>
    </row>
    <row r="81" spans="1:2" x14ac:dyDescent="0.25">
      <c r="A81" s="2" t="s">
        <v>29</v>
      </c>
      <c r="B81" s="12" t="s">
        <v>41</v>
      </c>
    </row>
    <row r="82" spans="1:2" x14ac:dyDescent="0.25">
      <c r="A82" s="16" t="s">
        <v>30</v>
      </c>
      <c r="B82" s="2">
        <v>0.06</v>
      </c>
    </row>
    <row r="83" spans="1:2" ht="45" x14ac:dyDescent="0.25">
      <c r="A83" s="16" t="s">
        <v>39</v>
      </c>
      <c r="B83" s="2">
        <v>0.1</v>
      </c>
    </row>
    <row r="84" spans="1:2" ht="30" x14ac:dyDescent="0.25">
      <c r="A84" s="16" t="s">
        <v>31</v>
      </c>
      <c r="B84" s="2">
        <v>0.5</v>
      </c>
    </row>
    <row r="85" spans="1:2" ht="30" x14ac:dyDescent="0.25">
      <c r="A85" s="16" t="s">
        <v>32</v>
      </c>
      <c r="B85" s="2">
        <v>0.35</v>
      </c>
    </row>
    <row r="86" spans="1:2" ht="30" x14ac:dyDescent="0.25">
      <c r="A86" s="16" t="s">
        <v>40</v>
      </c>
      <c r="B86" s="2">
        <v>1.4</v>
      </c>
    </row>
    <row r="87" spans="1:2" x14ac:dyDescent="0.25">
      <c r="A87" s="16" t="s">
        <v>33</v>
      </c>
      <c r="B87" s="2">
        <v>1.4999999999999999E-2</v>
      </c>
    </row>
    <row r="88" spans="1:2" ht="60" x14ac:dyDescent="0.25">
      <c r="A88" s="16" t="s">
        <v>34</v>
      </c>
      <c r="B88" s="2">
        <v>1.5E-3</v>
      </c>
    </row>
    <row r="89" spans="1:2" x14ac:dyDescent="0.25">
      <c r="A89" s="16" t="s">
        <v>35</v>
      </c>
      <c r="B89" s="2">
        <v>0.2</v>
      </c>
    </row>
    <row r="90" spans="1:2" ht="30" x14ac:dyDescent="0.25">
      <c r="A90" s="16" t="s">
        <v>36</v>
      </c>
      <c r="B90" s="2">
        <v>0.5</v>
      </c>
    </row>
    <row r="91" spans="1:2" ht="45" x14ac:dyDescent="0.25">
      <c r="A91" s="16" t="s">
        <v>37</v>
      </c>
      <c r="B91" s="2">
        <v>1</v>
      </c>
    </row>
    <row r="92" spans="1:2" ht="45" x14ac:dyDescent="0.25">
      <c r="A92" s="16" t="s">
        <v>38</v>
      </c>
      <c r="B92" s="2">
        <v>0.8</v>
      </c>
    </row>
  </sheetData>
  <mergeCells count="65">
    <mergeCell ref="BC1:BE1"/>
    <mergeCell ref="BB1:BB2"/>
    <mergeCell ref="AT1:AW1"/>
    <mergeCell ref="AT2:AT3"/>
    <mergeCell ref="AU2:AW2"/>
    <mergeCell ref="B1:D1"/>
    <mergeCell ref="G5:P5"/>
    <mergeCell ref="T1:Y1"/>
    <mergeCell ref="AB35:AG35"/>
    <mergeCell ref="AA35:AA36"/>
    <mergeCell ref="K23:T23"/>
    <mergeCell ref="E31:G31"/>
    <mergeCell ref="D30:G30"/>
    <mergeCell ref="G1:Q1"/>
    <mergeCell ref="G2:Q2"/>
    <mergeCell ref="V29:Y29"/>
    <mergeCell ref="T5:W5"/>
    <mergeCell ref="AF11:AH11"/>
    <mergeCell ref="AF12:AH12"/>
    <mergeCell ref="A12:D12"/>
    <mergeCell ref="L9:N9"/>
    <mergeCell ref="U39:V39"/>
    <mergeCell ref="A26:B26"/>
    <mergeCell ref="AA24:AA25"/>
    <mergeCell ref="A45:K45"/>
    <mergeCell ref="M49:O49"/>
    <mergeCell ref="M48:O48"/>
    <mergeCell ref="P48:R48"/>
    <mergeCell ref="P49:R49"/>
    <mergeCell ref="K27:N27"/>
    <mergeCell ref="K30:N30"/>
    <mergeCell ref="K33:N33"/>
    <mergeCell ref="AC1:AQ1"/>
    <mergeCell ref="AB1:AB2"/>
    <mergeCell ref="AA34:AG34"/>
    <mergeCell ref="AC12:AE12"/>
    <mergeCell ref="AB12:AB13"/>
    <mergeCell ref="AB11:AE11"/>
    <mergeCell ref="AM10:AP10"/>
    <mergeCell ref="H9:J9"/>
    <mergeCell ref="G9:G10"/>
    <mergeCell ref="H12:J12"/>
    <mergeCell ref="G12:G13"/>
    <mergeCell ref="K9:K10"/>
    <mergeCell ref="AA23:AI23"/>
    <mergeCell ref="AB24:AI24"/>
    <mergeCell ref="K12:K13"/>
    <mergeCell ref="L12:N12"/>
    <mergeCell ref="O9:O10"/>
    <mergeCell ref="P9:R9"/>
    <mergeCell ref="O12:O13"/>
    <mergeCell ref="P12:R12"/>
    <mergeCell ref="V23:Y23"/>
    <mergeCell ref="AI11:AK11"/>
    <mergeCell ref="AI12:AK12"/>
    <mergeCell ref="I17:K17"/>
    <mergeCell ref="P67:R67"/>
    <mergeCell ref="P68:R68"/>
    <mergeCell ref="A13:D13"/>
    <mergeCell ref="A16:D16"/>
    <mergeCell ref="A19:D19"/>
    <mergeCell ref="A64:K64"/>
    <mergeCell ref="M68:O68"/>
    <mergeCell ref="F17:H17"/>
    <mergeCell ref="M67:O67"/>
  </mergeCells>
  <phoneticPr fontId="8" type="noConversion"/>
  <hyperlinks>
    <hyperlink ref="B60" r:id="rId1" xr:uid="{628DF9EA-126F-4F61-B800-94E0540393E8}"/>
    <hyperlink ref="G60" r:id="rId2" xr:uid="{C333CDB7-F8E5-45A8-8C7A-B37D4E3069C8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Прямой расчет</vt:lpstr>
      <vt:lpstr>Обратный расчет</vt:lpstr>
      <vt:lpstr>Для расхода</vt:lpstr>
      <vt:lpstr>Справочник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Владислав Трифонов</dc:creator>
  <cp:lastModifiedBy>Elena</cp:lastModifiedBy>
  <dcterms:created xsi:type="dcterms:W3CDTF">2015-06-05T18:19:34Z</dcterms:created>
  <dcterms:modified xsi:type="dcterms:W3CDTF">2022-04-14T14:09:14Z</dcterms:modified>
</cp:coreProperties>
</file>