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olya\OneDrive\Рабочий стол\Для форума\"/>
    </mc:Choice>
  </mc:AlternateContent>
  <xr:revisionPtr revIDLastSave="0" documentId="13_ncr:1_{E7B8E578-A122-4121-A577-86651FD7F7DD}" xr6:coauthVersionLast="45" xr6:coauthVersionMax="45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J27" i="1" l="1"/>
  <c r="J26" i="1"/>
  <c r="J25" i="1"/>
  <c r="J24" i="1"/>
  <c r="J23" i="1"/>
  <c r="J22" i="1"/>
  <c r="J21" i="1"/>
  <c r="J20" i="1"/>
  <c r="J19" i="1"/>
  <c r="J18" i="1"/>
  <c r="J17" i="1"/>
  <c r="J16" i="1"/>
  <c r="J2" i="1"/>
  <c r="J13" i="1"/>
  <c r="J12" i="1"/>
  <c r="J11" i="1"/>
  <c r="J10" i="1"/>
  <c r="J9" i="1"/>
  <c r="J8" i="1"/>
  <c r="J7" i="1"/>
  <c r="J6" i="1"/>
  <c r="J5" i="1"/>
  <c r="J4" i="1"/>
  <c r="J3" i="1"/>
  <c r="I27" i="1" l="1"/>
  <c r="I26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<sst xmlns="http://schemas.openxmlformats.org/spreadsheetml/2006/main" count="91" uniqueCount="27">
  <si>
    <t>Листовка</t>
  </si>
  <si>
    <t>Гарантия</t>
  </si>
  <si>
    <t>Авито/Юла</t>
  </si>
  <si>
    <t>Впервые</t>
  </si>
  <si>
    <t>Сумма</t>
  </si>
  <si>
    <t>Дата</t>
  </si>
  <si>
    <t>Источник</t>
  </si>
  <si>
    <t>Тип</t>
  </si>
  <si>
    <t>Сайт</t>
  </si>
  <si>
    <t>Количество заявок</t>
  </si>
  <si>
    <t>Впервые. Авито/Юла.</t>
  </si>
  <si>
    <t>Впервые. Листовка.</t>
  </si>
  <si>
    <t>Впервые. Сайт.</t>
  </si>
  <si>
    <t>Гарантия. Авито/Юла.</t>
  </si>
  <si>
    <t>Гарантия. Листовка.</t>
  </si>
  <si>
    <t>Гарантия. Сайт.</t>
  </si>
  <si>
    <t>Впервые.</t>
  </si>
  <si>
    <t>Гарантия.</t>
  </si>
  <si>
    <t>Всего.</t>
  </si>
  <si>
    <t>Выручка</t>
  </si>
  <si>
    <t>Авито/Юла.</t>
  </si>
  <si>
    <t>Сайт.</t>
  </si>
  <si>
    <t>Листовка.</t>
  </si>
  <si>
    <t>Средний Чек</t>
  </si>
  <si>
    <t>За всё время</t>
  </si>
  <si>
    <t>Общий.</t>
  </si>
  <si>
    <t>По фирме.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</si>
</sst>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[$-419]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1" fillId="0" borderId="0" xfId="0" applyNumberFormat="1" applyFont="1"/>
    <xf numFmtId="3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workbookViewId="0">
      <selection activeCell="R6" sqref="R6"/>
    </sheetView>
  </sheetViews>
  <sheetFormatPr defaultRowHeight="14.5" x14ac:dyDescent="0.35"/>
  <cols>
    <col min="1" max="1" width="8.6328125" bestFit="1" customWidth="1"/>
    <col min="2" max="2" width="10.54296875" bestFit="1" customWidth="1"/>
    <col min="3" max="3" width="19.453125" style="3" customWidth="1"/>
    <col min="4" max="4" width="6.81640625" style="7" bestFit="1" customWidth="1"/>
    <col min="5" max="5" width="13.1796875" bestFit="1" customWidth="1"/>
    <col min="6" max="6" width="8.7265625" bestFit="1" customWidth="1"/>
    <col min="8" max="8" width="20.08984375" style="2" customWidth="1"/>
    <col min="9" max="9" width="12.7265625" bestFit="1" customWidth="1"/>
    <col min="10" max="10" width="11.453125" bestFit="1" customWidth="1"/>
    <col min="11" max="11" width="9.08984375" bestFit="1" customWidth="1"/>
    <col min="12" max="12" width="10" bestFit="1" customWidth="1"/>
    <col min="13" max="13" width="9.90625" bestFit="1" customWidth="1"/>
    <col min="14" max="14" width="10.7265625" bestFit="1" customWidth="1"/>
    <col min="15" max="15" width="13.36328125" bestFit="1" customWidth="1"/>
    <col min="16" max="16" width="12.36328125" bestFit="1" customWidth="1"/>
    <col min="17" max="17" width="11.6328125" bestFit="1" customWidth="1"/>
    <col min="18" max="18" width="12.54296875" bestFit="1" customWidth="1"/>
    <col min="19" max="19" width="11.453125" bestFit="1" customWidth="1"/>
    <col min="20" max="20" width="12.6328125" bestFit="1" customWidth="1"/>
    <col min="21" max="21" width="9.90625" bestFit="1" customWidth="1"/>
  </cols>
  <sheetData>
    <row r="1" spans="1:21" x14ac:dyDescent="0.35">
      <c r="A1" s="5" t="s">
        <v>7</v>
      </c>
      <c r="B1" s="5" t="s">
        <v>6</v>
      </c>
      <c r="C1" s="6" t="s">
        <v>5</v>
      </c>
      <c r="D1" s="5"/>
      <c r="E1" s="5"/>
      <c r="F1" s="4" t="s">
        <v>4</v>
      </c>
      <c r="H1" s="9" t="s">
        <v>9</v>
      </c>
      <c r="I1" t="s">
        <v>24</v>
      </c>
      <c r="J1" s="8">
        <v>44652</v>
      </c>
      <c r="K1" s="8">
        <v>44682</v>
      </c>
      <c r="L1" s="8">
        <v>44713</v>
      </c>
      <c r="M1" s="8">
        <v>44743</v>
      </c>
      <c r="N1" s="8">
        <v>44774</v>
      </c>
      <c r="O1" s="8">
        <v>44805</v>
      </c>
      <c r="P1" s="8">
        <v>44835</v>
      </c>
      <c r="Q1" s="8">
        <v>44866</v>
      </c>
      <c r="R1" s="8">
        <v>44896</v>
      </c>
      <c r="S1" s="8">
        <v>44927</v>
      </c>
      <c r="T1" s="8">
        <v>44958</v>
      </c>
      <c r="U1" s="8">
        <v>44986</v>
      </c>
    </row>
    <row r="2" spans="1:21" x14ac:dyDescent="0.35">
      <c r="A2" s="2" t="s">
        <v>3</v>
      </c>
      <c r="B2" s="2" t="s">
        <v>2</v>
      </c>
      <c r="C2" s="3">
        <v>44666</v>
      </c>
      <c r="F2" s="1">
        <v>54</v>
      </c>
      <c r="H2" s="2" t="s">
        <v>10</v>
      </c>
      <c r="I2" s="10">
        <f>COUNTIFS($A:$A,"Впервые",$B:$B,"Авито/Юла")</f>
        <v>2</v>
      </c>
      <c r="J2" s="10">
        <f>COUNTIFS($A:$A,"впервые",$B:$B,"Авито/Юла",$C:$C,"&gt;=01.04.2022",$C:$C,"&lt;=30.04.2022")</f>
        <v>2</v>
      </c>
      <c r="K2" s="10">
        <f>COUNTIFS($A:$A,"впервые",$B:$B,"Авито/Юла",$C:$C,"&gt;=01.05.2022",$C:$C,"&lt;=31.05.2022")</f>
        <v>0</v>
      </c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35">
      <c r="A3" s="2" t="s">
        <v>1</v>
      </c>
      <c r="B3" s="2" t="s">
        <v>0</v>
      </c>
      <c r="C3" s="3">
        <v>44667</v>
      </c>
      <c r="F3" s="1">
        <v>78</v>
      </c>
      <c r="H3" s="2" t="s">
        <v>11</v>
      </c>
      <c r="I3" s="10">
        <f>COUNTIFS($A:$A,"Впервые",$B:$B,"Листовка")</f>
        <v>14</v>
      </c>
      <c r="J3" s="10">
        <f>COUNTIFS($A:$A,"Впервые",$B:$B,"Листовка",$C:$C,"&gt;=01.04.2022",$C:$C,"&lt;=30.04.2022")</f>
        <v>11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35">
      <c r="A4" s="2" t="s">
        <v>3</v>
      </c>
      <c r="B4" s="2" t="s">
        <v>2</v>
      </c>
      <c r="C4" s="3">
        <v>44667</v>
      </c>
      <c r="F4" s="1">
        <v>587</v>
      </c>
      <c r="H4" s="2" t="s">
        <v>12</v>
      </c>
      <c r="I4" s="10">
        <f>COUNTIFS($A:$A,"Впервые",$B:$B,"Сайт")</f>
        <v>1</v>
      </c>
      <c r="J4" s="10">
        <f>COUNTIFS($A:$A,"Впервые",$B:$B,"Сайт",$C:$C,"&gt;=01.04.2022",$C:$C,"&lt;=30.04.2022")</f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35">
      <c r="A5" s="2" t="s">
        <v>1</v>
      </c>
      <c r="B5" s="2" t="s">
        <v>0</v>
      </c>
      <c r="C5" s="3">
        <v>44668</v>
      </c>
      <c r="F5" s="1">
        <v>457</v>
      </c>
      <c r="H5" t="s">
        <v>13</v>
      </c>
      <c r="I5" s="10">
        <f>COUNTIFS($A:$A,"Гарантия",$B:$B,"Авито/Юла")</f>
        <v>0</v>
      </c>
      <c r="J5" s="10">
        <f>COUNTIFS($A:$A,"Гарантия",$B:$B,"Авито/Юла",$C:$C,"&gt;=01.04.2022",$C:$C,"&lt;=30.04.2022")</f>
        <v>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35">
      <c r="A6" s="2" t="s">
        <v>3</v>
      </c>
      <c r="B6" s="2" t="s">
        <v>0</v>
      </c>
      <c r="C6" s="3">
        <v>44669</v>
      </c>
      <c r="F6" s="1">
        <v>547</v>
      </c>
      <c r="H6" t="s">
        <v>14</v>
      </c>
      <c r="I6" s="10">
        <f>COUNTIFS($A:$A,"Гарантия",$B:$B,"Листовка")</f>
        <v>5</v>
      </c>
      <c r="J6" s="10">
        <f>COUNTIFS($A:$A,"Гарантия",$B:$B,"Листовка",$C:$C,"&gt;=01.04.2022",$C:$C,"&lt;=30.04.2022")</f>
        <v>3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2" t="s">
        <v>3</v>
      </c>
      <c r="B7" s="2" t="s">
        <v>0</v>
      </c>
      <c r="C7" s="3">
        <v>44669</v>
      </c>
      <c r="F7" s="1">
        <v>2000</v>
      </c>
      <c r="H7" t="s">
        <v>15</v>
      </c>
      <c r="I7" s="10">
        <f>COUNTIFS($A:$A,"Гарантия",$B:$B,"Сайт")</f>
        <v>0</v>
      </c>
      <c r="J7" s="10">
        <f>COUNTIFS($A:$A,"Гарантия",$B:$B,"Сайт",$C:$C,"&gt;=01.04.2022",$C:$C,"&lt;=30.04.2022")</f>
        <v>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35">
      <c r="A8" s="2" t="s">
        <v>3</v>
      </c>
      <c r="B8" s="2" t="s">
        <v>0</v>
      </c>
      <c r="C8" s="3">
        <v>44670</v>
      </c>
      <c r="F8" s="1">
        <v>147</v>
      </c>
      <c r="H8" s="2" t="s">
        <v>20</v>
      </c>
      <c r="I8" s="10">
        <f>COUNTIF($B:$B,"Авито/Юла")</f>
        <v>2</v>
      </c>
      <c r="J8" s="10">
        <f>COUNTIFS($B:$B,"Авито/Юла",$C:$C,"&gt;=01.04.2022",$C:$C,"&lt;=30.04.2022")</f>
        <v>2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5">
      <c r="A9" s="2" t="s">
        <v>3</v>
      </c>
      <c r="B9" s="2" t="s">
        <v>0</v>
      </c>
      <c r="C9" s="3">
        <v>44670</v>
      </c>
      <c r="F9" s="1">
        <v>457</v>
      </c>
      <c r="H9" s="2" t="s">
        <v>22</v>
      </c>
      <c r="I9" s="10">
        <f>COUNTIF($B:$B,"Листовка")</f>
        <v>19</v>
      </c>
      <c r="J9" s="10">
        <f>COUNTIFS($B:$B,"Листовка",$C:$C,"&gt;=01.04.2022",$C:$C,"&lt;=30.04.2022")</f>
        <v>14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35">
      <c r="A10" s="2" t="s">
        <v>1</v>
      </c>
      <c r="B10" s="2" t="s">
        <v>0</v>
      </c>
      <c r="C10" s="3">
        <v>44671</v>
      </c>
      <c r="F10" s="1">
        <v>85</v>
      </c>
      <c r="H10" s="2" t="s">
        <v>21</v>
      </c>
      <c r="I10" s="10">
        <f>COUNTIF($B:$B,"Сайт")</f>
        <v>1</v>
      </c>
      <c r="J10" s="10">
        <f>COUNTIFS($B:$B,"Сайт",$C:$C,"&gt;=01.04.2022",$C:$C,"&lt;=30.04.2022")</f>
        <v>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35">
      <c r="A11" s="2" t="s">
        <v>3</v>
      </c>
      <c r="B11" s="2" t="s">
        <v>0</v>
      </c>
      <c r="C11" s="3">
        <v>44671</v>
      </c>
      <c r="F11" s="1">
        <v>453</v>
      </c>
      <c r="H11" s="2" t="s">
        <v>16</v>
      </c>
      <c r="I11" s="10">
        <f>COUNTIF($A:$A,"Впервые")</f>
        <v>17</v>
      </c>
      <c r="J11" s="10">
        <f>COUNTIFS($A:$A,"Впервые",$C:$C,"&gt;=01.04.2022",$C:$C,"&lt;=30.04.2022")</f>
        <v>14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35">
      <c r="A12" s="2" t="s">
        <v>3</v>
      </c>
      <c r="B12" s="2" t="s">
        <v>8</v>
      </c>
      <c r="C12" s="3">
        <v>44671</v>
      </c>
      <c r="F12" s="1">
        <v>357</v>
      </c>
      <c r="H12" s="2" t="s">
        <v>17</v>
      </c>
      <c r="I12" s="10">
        <f>COUNTIF($A:$A,"Гарантия")</f>
        <v>5</v>
      </c>
      <c r="J12" s="10">
        <f>COUNTIFS($A:$A,"Гарантия",$C:$C,"&gt;=01.04.2022",$C:$C,"&lt;=30.04.2022")</f>
        <v>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35">
      <c r="A13" s="2" t="s">
        <v>3</v>
      </c>
      <c r="B13" s="2" t="s">
        <v>0</v>
      </c>
      <c r="C13" s="3">
        <v>44672</v>
      </c>
      <c r="F13" s="1">
        <v>758</v>
      </c>
      <c r="H13" s="2" t="s">
        <v>18</v>
      </c>
      <c r="I13" s="10">
        <f>COUNT($F:$F)</f>
        <v>22</v>
      </c>
      <c r="J13" s="10">
        <f>COUNTIFS(C:C,"&gt;=01.04.2022",C:C,"&lt;=30.04.2022")</f>
        <v>17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35">
      <c r="A14" s="2" t="s">
        <v>3</v>
      </c>
      <c r="B14" s="2" t="s">
        <v>0</v>
      </c>
      <c r="C14" s="3">
        <v>44672</v>
      </c>
      <c r="F14" s="1">
        <v>54</v>
      </c>
    </row>
    <row r="15" spans="1:21" x14ac:dyDescent="0.35">
      <c r="A15" s="2" t="s">
        <v>3</v>
      </c>
      <c r="B15" s="2" t="s">
        <v>0</v>
      </c>
      <c r="C15" s="3">
        <v>44675</v>
      </c>
      <c r="F15" s="1">
        <v>4</v>
      </c>
      <c r="H15" s="9" t="s">
        <v>19</v>
      </c>
      <c r="I15" t="s">
        <v>24</v>
      </c>
      <c r="J15" s="8">
        <v>44652</v>
      </c>
      <c r="K15" s="8">
        <v>44682</v>
      </c>
      <c r="L15" s="8">
        <v>44713</v>
      </c>
      <c r="M15" s="8">
        <v>44743</v>
      </c>
      <c r="N15" s="8">
        <v>44774</v>
      </c>
      <c r="O15" s="8">
        <v>44805</v>
      </c>
      <c r="P15" s="8">
        <v>44835</v>
      </c>
      <c r="Q15" s="8">
        <v>44866</v>
      </c>
      <c r="R15" s="8">
        <v>44896</v>
      </c>
      <c r="S15" s="8">
        <v>44927</v>
      </c>
      <c r="T15" s="8">
        <v>44958</v>
      </c>
      <c r="U15" s="8">
        <v>44986</v>
      </c>
    </row>
    <row r="16" spans="1:21" x14ac:dyDescent="0.35">
      <c r="A16" s="2" t="s">
        <v>3</v>
      </c>
      <c r="B16" s="2" t="s">
        <v>0</v>
      </c>
      <c r="C16" s="3">
        <v>44676</v>
      </c>
      <c r="F16" s="1">
        <v>587</v>
      </c>
      <c r="H16" s="2" t="s">
        <v>10</v>
      </c>
      <c r="I16" s="11">
        <f>SUMIFS($F:$F,$A:$A,"Впервые",$B:$B,"Авито/Юла")</f>
        <v>641</v>
      </c>
      <c r="J16" s="11">
        <f>SUMIFS($F:$F,$A:$A,"Впервые",$B:$B,"Авито/Юла",$C:$C,"&gt;=01.04.2022",$C:$C,"&lt;=30.04.2022")</f>
        <v>641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5">
      <c r="A17" s="2" t="s">
        <v>3</v>
      </c>
      <c r="B17" s="2" t="s">
        <v>0</v>
      </c>
      <c r="C17" s="3">
        <v>44676</v>
      </c>
      <c r="F17" s="1">
        <v>5778</v>
      </c>
      <c r="H17" s="2" t="s">
        <v>11</v>
      </c>
      <c r="I17" s="11">
        <f>SUMIFS($F:$F,$A:$A,"Впервые",$B:$B,"Листовка")</f>
        <v>17645</v>
      </c>
      <c r="J17" s="11">
        <f>SUMIFS($F:$F,$A:$A,"Впервые",$B:$B,"Листовка",$C:$C,"&gt;=01.04.2022",$C:$C,"&lt;=30.04.2022")</f>
        <v>16185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5">
      <c r="A18" s="2" t="s">
        <v>3</v>
      </c>
      <c r="B18" s="2" t="s">
        <v>0</v>
      </c>
      <c r="C18" s="3">
        <v>44677</v>
      </c>
      <c r="F18" s="1">
        <v>5400</v>
      </c>
      <c r="H18" s="2" t="s">
        <v>12</v>
      </c>
      <c r="I18" s="11">
        <f>SUMIFS($F:$F,$A:$A,"Впервые",$B:$B,"Сайт")</f>
        <v>357</v>
      </c>
      <c r="J18" s="11">
        <f>SUMIFS($F:$F,$A:$A,"Впервые",$B:$B,"Сайт",$C:$C,"&gt;=01.04.2022",$C:$C,"&lt;=30.04.2022")</f>
        <v>357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35">
      <c r="A19" s="2" t="s">
        <v>1</v>
      </c>
      <c r="B19" s="2" t="s">
        <v>0</v>
      </c>
      <c r="C19" s="3">
        <v>44685</v>
      </c>
      <c r="F19" s="1">
        <v>865</v>
      </c>
      <c r="H19" t="s">
        <v>13</v>
      </c>
      <c r="I19" s="11">
        <f>SUMIFS($F:$F,$A:$A,"Гарантия",$B:$B,"Авито/Юла")</f>
        <v>0</v>
      </c>
      <c r="J19" s="11">
        <f>SUMIFS($F:$F,$A:$A,"Гарантия",$B:$B,"Авито/Юла",$C:$C,"&gt;=01.04.2022",$C:$C,"&lt;=30.04.2022")</f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35">
      <c r="A20" s="2" t="s">
        <v>3</v>
      </c>
      <c r="B20" s="2" t="s">
        <v>0</v>
      </c>
      <c r="C20" s="3">
        <v>44689</v>
      </c>
      <c r="F20" s="1">
        <v>487</v>
      </c>
      <c r="H20" t="s">
        <v>14</v>
      </c>
      <c r="I20" s="11">
        <f>SUMIFS($F:$F,$A:$A,"Гарантия",$B:$B,"Листовка")</f>
        <v>2072</v>
      </c>
      <c r="J20" s="11">
        <f>SUMIFS($F:$F,$A:$A,"Гарантия",$B:$B,"Листовка",$C:$C,"&gt;=01.04.2022",$C:$C,"&lt;=30.04.2022")</f>
        <v>620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5">
      <c r="A21" s="2" t="s">
        <v>3</v>
      </c>
      <c r="B21" s="2" t="s">
        <v>0</v>
      </c>
      <c r="C21" s="3">
        <v>44689</v>
      </c>
      <c r="F21" s="1">
        <v>97</v>
      </c>
      <c r="H21" t="s">
        <v>15</v>
      </c>
      <c r="I21" s="11">
        <f>SUMIFS($F:$F,$A:$A,"Гарантия",$B:$B,"Сайт")</f>
        <v>0</v>
      </c>
      <c r="J21" s="11">
        <f>SUMIFS($F:$F,$A:$A,"Гарантия",$B:$B,"Сайт",$C:$C,"&gt;=01.04.2022",$C:$C,"&lt;=30.04.2022")</f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5">
      <c r="A22" s="2" t="s">
        <v>1</v>
      </c>
      <c r="B22" s="2" t="s">
        <v>0</v>
      </c>
      <c r="C22" s="3">
        <v>44691</v>
      </c>
      <c r="F22" s="1">
        <v>587</v>
      </c>
      <c r="H22" s="2" t="s">
        <v>20</v>
      </c>
      <c r="I22" s="11">
        <f>SUMIF($B:$B,"Авито/Юла",$F:$F)</f>
        <v>641</v>
      </c>
      <c r="J22" s="11">
        <f>SUMIFS(F:F,B:B,"Авито/Юла",C:C,"&gt;=01.04.2022",C:C,"&lt;=30.04.2022")</f>
        <v>641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5">
      <c r="A23" s="2" t="s">
        <v>3</v>
      </c>
      <c r="B23" s="2" t="s">
        <v>0</v>
      </c>
      <c r="C23" s="3">
        <v>44693</v>
      </c>
      <c r="F23" s="1">
        <v>876</v>
      </c>
      <c r="H23" s="2" t="s">
        <v>22</v>
      </c>
      <c r="I23" s="11">
        <f>SUMIF($B:$B,"Листовка",$F:$F)</f>
        <v>19717</v>
      </c>
      <c r="J23" s="11">
        <f>SUMIFS(F:F,B:B,"Листовка",C:C,"&gt;=01.04.2022",C:C,"&lt;=30.04.2022")</f>
        <v>16805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5">
      <c r="A24" s="2"/>
      <c r="B24" s="2"/>
      <c r="F24" s="1"/>
      <c r="H24" s="2" t="s">
        <v>21</v>
      </c>
      <c r="I24" s="11">
        <f>SUMIF($B:$B,"Сайт",$F:$F)</f>
        <v>357</v>
      </c>
      <c r="J24" s="11">
        <f>SUMIFS(F:F,B:B,"Сайт",C:C,"&gt;=01.04.2022",C:C,"&lt;=30.04.2022")</f>
        <v>357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5">
      <c r="A25" s="2"/>
      <c r="B25" s="2"/>
      <c r="F25" s="1"/>
      <c r="H25" s="2" t="s">
        <v>16</v>
      </c>
      <c r="I25" s="11">
        <f>SUMIF($A:$A,"Впервые",$F:$F)</f>
        <v>18643</v>
      </c>
      <c r="J25" s="11">
        <f>SUMIFS(F:F,A:A,"Впервые",C:C,"&gt;=01.04.2022",C:C,"&lt;=30.04.2022")</f>
        <v>17183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5">
      <c r="F26" s="1"/>
      <c r="H26" s="2" t="s">
        <v>17</v>
      </c>
      <c r="I26" s="11">
        <f>SUMIF($A:$A,"Гарантия",$F:$F)</f>
        <v>2072</v>
      </c>
      <c r="J26" s="11">
        <f>SUMIFS(F:F,A:A,"Гарантия",C:C,"&gt;=01.04.2022",C:C,"&lt;=30.04.2022")</f>
        <v>620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5">
      <c r="H27" s="2" t="s">
        <v>18</v>
      </c>
      <c r="I27" s="11">
        <f>SUM($F:$F)</f>
        <v>20715</v>
      </c>
      <c r="J27" s="11">
        <f>SUMIFS(F:F,C:C,"&gt;=01.04.2022",C:C,"&lt;=30.04.2022")</f>
        <v>17803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9" spans="1:21" x14ac:dyDescent="0.35">
      <c r="H29" s="9" t="s">
        <v>23</v>
      </c>
      <c r="I29" t="s">
        <v>24</v>
      </c>
      <c r="J29" s="8">
        <v>44652</v>
      </c>
      <c r="K29" s="8">
        <v>44682</v>
      </c>
      <c r="L29" s="8">
        <v>44713</v>
      </c>
      <c r="M29" s="8">
        <v>44743</v>
      </c>
      <c r="N29" s="8">
        <v>44774</v>
      </c>
      <c r="O29" s="8">
        <v>44805</v>
      </c>
      <c r="P29" s="8">
        <v>44835</v>
      </c>
      <c r="Q29" s="8">
        <v>44866</v>
      </c>
      <c r="R29" s="8">
        <v>44896</v>
      </c>
      <c r="S29" s="8">
        <v>44927</v>
      </c>
      <c r="T29" s="8">
        <v>44958</v>
      </c>
      <c r="U29" s="8">
        <v>44986</v>
      </c>
    </row>
    <row r="30" spans="1:21" x14ac:dyDescent="0.35">
      <c r="H30" s="2" t="s">
        <v>10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35">
      <c r="H31" s="2" t="s">
        <v>11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35">
      <c r="H32" s="2" t="s">
        <v>12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8:21" x14ac:dyDescent="0.35">
      <c r="H33" t="s">
        <v>13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8:21" x14ac:dyDescent="0.35">
      <c r="H34" t="s">
        <v>14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8:21" x14ac:dyDescent="0.35">
      <c r="H35" t="s">
        <v>15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8:21" x14ac:dyDescent="0.35">
      <c r="H36" s="2" t="s">
        <v>20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8:21" x14ac:dyDescent="0.35">
      <c r="H37" s="2" t="s">
        <v>22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8:21" x14ac:dyDescent="0.35">
      <c r="H38" s="2" t="s">
        <v>21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8:21" x14ac:dyDescent="0.35">
      <c r="H39" s="2" t="s">
        <v>16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8:21" x14ac:dyDescent="0.35">
      <c r="H40" s="2" t="s">
        <v>17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8:21" x14ac:dyDescent="0.35">
      <c r="H41" s="2" t="s">
        <v>25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8:21" x14ac:dyDescent="0.35">
      <c r="H42" s="2" t="s">
        <v>26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4" spans="8:21" x14ac:dyDescent="0.35">
      <c r="H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8" spans="8:21" x14ac:dyDescent="0.35">
      <c r="H48"/>
    </row>
    <row r="49" spans="8:8" x14ac:dyDescent="0.35">
      <c r="H49"/>
    </row>
    <row r="50" spans="8:8" x14ac:dyDescent="0.35">
      <c r="H5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Чудогашев</dc:creator>
  <cp:lastModifiedBy>Николай Чудогашев</cp:lastModifiedBy>
  <dcterms:created xsi:type="dcterms:W3CDTF">2015-06-05T18:19:34Z</dcterms:created>
  <dcterms:modified xsi:type="dcterms:W3CDTF">2022-05-02T14:03:30Z</dcterms:modified>
</cp:coreProperties>
</file>