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34A2F71-34D2-4B45-BC52-767299ADE69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1" r:id="rId2"/>
  </sheet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H27" i="1" l="1"/>
  <c r="H26" i="1"/>
  <c r="H25" i="1"/>
  <c r="H24" i="1"/>
  <c r="H23" i="1"/>
  <c r="H22" i="1"/>
  <c r="H21" i="1"/>
  <c r="H20" i="1"/>
  <c r="H19" i="1"/>
  <c r="H18" i="1"/>
  <c r="H17" i="1"/>
  <c r="H16" i="1"/>
  <c r="H2" i="1"/>
  <c r="H13" i="1"/>
  <c r="H12" i="1"/>
  <c r="H11" i="1"/>
  <c r="H10" i="1"/>
  <c r="H9" i="1"/>
  <c r="H8" i="1"/>
  <c r="H7" i="1"/>
  <c r="H6" i="1"/>
  <c r="H5" i="1"/>
  <c r="H4" i="1"/>
  <c r="H3" i="1"/>
  <c r="G27" i="1" l="1"/>
  <c r="G26" i="1"/>
  <c r="G25" i="1"/>
  <c r="G24" i="1"/>
  <c r="G23" i="1"/>
  <c r="G22" i="1"/>
  <c r="G21" i="1"/>
  <c r="G20" i="1"/>
  <c r="G19" i="1"/>
  <c r="G18" i="1"/>
  <c r="G17" i="1"/>
  <c r="G16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<sst xmlns="http://schemas.openxmlformats.org/spreadsheetml/2006/main" count="112" uniqueCount="39">
  <si>
    <t>Листовка</t>
  </si>
  <si>
    <t>Гарантия</t>
  </si>
  <si>
    <t>Авито/Юла</t>
  </si>
  <si>
    <t>Впервые</t>
  </si>
  <si>
    <t>Сумма</t>
  </si>
  <si>
    <t>Дата</t>
  </si>
  <si>
    <t>Источник</t>
  </si>
  <si>
    <t>Тип</t>
  </si>
  <si>
    <t>Сайт</t>
  </si>
  <si>
    <t>Количество заявок</t>
  </si>
  <si>
    <t>Впервые. Авито/Юла.</t>
  </si>
  <si>
    <t>Впервые. Листовка.</t>
  </si>
  <si>
    <t>Впервые. Сайт.</t>
  </si>
  <si>
    <t>Гарантия. Авито/Юла.</t>
  </si>
  <si>
    <t>Гарантия. Листовка.</t>
  </si>
  <si>
    <t>Гарантия. Сайт.</t>
  </si>
  <si>
    <t>Впервые.</t>
  </si>
  <si>
    <t>Гарантия.</t>
  </si>
  <si>
    <t>Всего.</t>
  </si>
  <si>
    <t>Выручка</t>
  </si>
  <si>
    <t>Авито/Юла.</t>
  </si>
  <si>
    <t>Сайт.</t>
  </si>
  <si>
    <t>Листовка.</t>
  </si>
  <si>
    <t>Средний Чек</t>
  </si>
  <si>
    <t>За всё время</t>
  </si>
  <si>
    <t>Общий.</t>
  </si>
  <si>
    <t>По фирме.</t>
  </si>
  <si>
    <t>Названия строк</t>
  </si>
  <si>
    <t>Общий итог</t>
  </si>
  <si>
    <t>Названия столбцов</t>
  </si>
  <si>
    <t>апр</t>
  </si>
  <si>
    <t>май</t>
  </si>
  <si>
    <t>2022</t>
  </si>
  <si>
    <t>Итог Количество</t>
  </si>
  <si>
    <t>Количество</t>
  </si>
  <si>
    <t>Итог Средняя выручка</t>
  </si>
  <si>
    <t>Средняя выручка</t>
  </si>
  <si>
    <t>Итог Сумма выручки</t>
  </si>
  <si>
    <t>Сумма выручки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</si>
</sst>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[$-419]mmmm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49" fontId="0" fillId="0" borderId="0" xfId="0" applyNumberFormat="1"/>
    <xf numFmtId="1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9" fontId="1" fillId="0" borderId="0" xfId="0" applyNumberFormat="1" applyFont="1"/>
    <xf numFmtId="3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4">
    <dxf>
      <numFmt numFmtId="164" formatCode="#,##0\ &quot;₽&quot;"/>
    </dxf>
    <dxf>
      <numFmt numFmtId="19" formatCode="dd/mm/yyyy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683.767909837959" createdVersion="7" refreshedVersion="7" minRefreshableVersion="3" recordCount="22" xr:uid="{1B1B6F67-B07C-42F4-A2BE-B1C356D53D84}">
  <cacheSource type="worksheet">
    <worksheetSource name="Таблица1"/>
  </cacheSource>
  <cacheFields count="5">
    <cacheField name="Тип" numFmtId="49">
      <sharedItems count="2">
        <s v="Впервые"/>
        <s v="Гарантия"/>
      </sharedItems>
    </cacheField>
    <cacheField name="Источник" numFmtId="49">
      <sharedItems count="3">
        <s v="Авито/Юла"/>
        <s v="Листовка"/>
        <s v="Сайт"/>
      </sharedItems>
    </cacheField>
    <cacheField name="Дата" numFmtId="14">
      <sharedItems containsSemiMixedTypes="0" containsNonDate="0" containsDate="1" containsString="0" minDate="2022-04-15T00:00:00" maxDate="2022-05-13T00:00:00" count="14"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4T00:00:00"/>
        <d v="2022-04-25T00:00:00"/>
        <d v="2022-04-26T00:00:00"/>
        <d v="2022-05-04T00:00:00"/>
        <d v="2022-05-08T00:00:00"/>
        <d v="2022-05-10T00:00:00"/>
        <d v="2022-05-12T00:00:00"/>
      </sharedItems>
      <fieldGroup par="4" base="2">
        <rangePr groupBy="months" startDate="2022-04-15T00:00:00" endDate="2022-05-13T00:00:00"/>
        <groupItems count="14">
          <s v="&lt;15.04.202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3.05.2022"/>
        </groupItems>
      </fieldGroup>
    </cacheField>
    <cacheField name="Сумма" numFmtId="164">
      <sharedItems containsSemiMixedTypes="0" containsString="0" containsNumber="1" containsInteger="1" minValue="4" maxValue="5778"/>
    </cacheField>
    <cacheField name="Годы" numFmtId="0" databaseField="0">
      <fieldGroup base="2">
        <rangePr groupBy="years" startDate="2022-04-15T00:00:00" endDate="2022-05-13T00:00:00"/>
        <groupItems count="3">
          <s v="&lt;15.04.2022"/>
          <s v="2022"/>
          <s v="&gt;13.05.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x v="0"/>
    <n v="54"/>
  </r>
  <r>
    <x v="1"/>
    <x v="1"/>
    <x v="1"/>
    <n v="78"/>
  </r>
  <r>
    <x v="0"/>
    <x v="0"/>
    <x v="1"/>
    <n v="587"/>
  </r>
  <r>
    <x v="1"/>
    <x v="1"/>
    <x v="2"/>
    <n v="457"/>
  </r>
  <r>
    <x v="0"/>
    <x v="1"/>
    <x v="3"/>
    <n v="547"/>
  </r>
  <r>
    <x v="0"/>
    <x v="1"/>
    <x v="3"/>
    <n v="2000"/>
  </r>
  <r>
    <x v="0"/>
    <x v="1"/>
    <x v="4"/>
    <n v="147"/>
  </r>
  <r>
    <x v="0"/>
    <x v="1"/>
    <x v="4"/>
    <n v="457"/>
  </r>
  <r>
    <x v="1"/>
    <x v="1"/>
    <x v="5"/>
    <n v="85"/>
  </r>
  <r>
    <x v="0"/>
    <x v="1"/>
    <x v="5"/>
    <n v="453"/>
  </r>
  <r>
    <x v="0"/>
    <x v="2"/>
    <x v="5"/>
    <n v="357"/>
  </r>
  <r>
    <x v="0"/>
    <x v="1"/>
    <x v="6"/>
    <n v="758"/>
  </r>
  <r>
    <x v="0"/>
    <x v="1"/>
    <x v="6"/>
    <n v="54"/>
  </r>
  <r>
    <x v="0"/>
    <x v="1"/>
    <x v="7"/>
    <n v="4"/>
  </r>
  <r>
    <x v="0"/>
    <x v="1"/>
    <x v="8"/>
    <n v="587"/>
  </r>
  <r>
    <x v="0"/>
    <x v="1"/>
    <x v="8"/>
    <n v="5778"/>
  </r>
  <r>
    <x v="0"/>
    <x v="1"/>
    <x v="9"/>
    <n v="5400"/>
  </r>
  <r>
    <x v="1"/>
    <x v="1"/>
    <x v="10"/>
    <n v="865"/>
  </r>
  <r>
    <x v="0"/>
    <x v="1"/>
    <x v="11"/>
    <n v="487"/>
  </r>
  <r>
    <x v="0"/>
    <x v="1"/>
    <x v="11"/>
    <n v="97"/>
  </r>
  <r>
    <x v="1"/>
    <x v="1"/>
    <x v="12"/>
    <n v="587"/>
  </r>
  <r>
    <x v="0"/>
    <x v="1"/>
    <x v="13"/>
    <n v="8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482D2-1FF9-420F-AE0C-7323840EE3B7}" name="Сводная таблица1" cacheId="11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J13" firstHeaderRow="1" firstDataRow="4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axis="axisCol" showAll="0" defaultSubtotal="0">
      <items count="3">
        <item x="0"/>
        <item x="1"/>
        <item x="2"/>
      </items>
    </pivotField>
  </pivotFields>
  <rowFields count="2">
    <field x="0"/>
    <field x="1"/>
  </rowFields>
  <rowItems count="7">
    <i>
      <x/>
    </i>
    <i r="1">
      <x/>
    </i>
    <i r="1">
      <x v="1"/>
    </i>
    <i r="1">
      <x v="2"/>
    </i>
    <i>
      <x v="1"/>
    </i>
    <i r="1">
      <x v="1"/>
    </i>
    <i t="grand">
      <x/>
    </i>
  </rowItems>
  <colFields count="3">
    <field x="4"/>
    <field x="2"/>
    <field x="-2"/>
  </colFields>
  <colItems count="9">
    <i>
      <x v="1"/>
      <x v="4"/>
      <x/>
    </i>
    <i r="2" i="1">
      <x v="1"/>
    </i>
    <i r="2" i="2">
      <x v="2"/>
    </i>
    <i r="1">
      <x v="5"/>
      <x/>
    </i>
    <i r="2" i="1">
      <x v="1"/>
    </i>
    <i r="2" i="2">
      <x v="2"/>
    </i>
    <i t="grand">
      <x/>
    </i>
    <i t="grand" i="1">
      <x/>
    </i>
    <i t="grand" i="2">
      <x/>
    </i>
  </colItems>
  <dataFields count="3">
    <dataField name="Количество" fld="3" subtotal="count" baseField="0" baseItem="0"/>
    <dataField name="Сумма выручки" fld="3" baseField="0" baseItem="0" numFmtId="4"/>
    <dataField name="Средняя выручка" fld="3" subtotal="average" baseField="0" baseItem="0" numFmtId="4"/>
  </dataFields>
  <pivotTableStyleInfo name="PivotStyleLight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81538B-D96A-49C6-BBF0-A8EB6E8C434E}" name="Таблица1" displayName="Таблица1" ref="A1:D23" totalsRowShown="0">
  <autoFilter ref="A1:D23" xr:uid="{A181538B-D96A-49C6-BBF0-A8EB6E8C434E}"/>
  <tableColumns count="4">
    <tableColumn id="1" xr3:uid="{5A9C1775-F471-4CAD-9A30-EE2783CC0A7E}" name="Тип" dataDxfId="3"/>
    <tableColumn id="2" xr3:uid="{D78BB20B-EAD3-4813-8A59-9D0D3E7F6D83}" name="Источник" dataDxfId="2"/>
    <tableColumn id="3" xr3:uid="{4F9968C1-EC25-4AC5-B0CC-A0B0F91E43B3}" name="Дата" dataDxfId="1"/>
    <tableColumn id="4" xr3:uid="{95882F70-3662-4018-9F58-89880D9865D7}" name="Сумм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9ECC7-95BB-4E5D-BCDD-41E2CADC3708}">
  <dimension ref="A3:J13"/>
  <sheetViews>
    <sheetView tabSelected="1" workbookViewId="0">
      <selection activeCell="D7" sqref="D7"/>
    </sheetView>
  </sheetViews>
  <sheetFormatPr defaultRowHeight="15" x14ac:dyDescent="0.25"/>
  <cols>
    <col min="1" max="1" width="17.28515625" bestFit="1" customWidth="1"/>
    <col min="2" max="2" width="20.85546875" bestFit="1" customWidth="1"/>
    <col min="3" max="3" width="15.7109375" bestFit="1" customWidth="1"/>
    <col min="4" max="4" width="17.28515625" bestFit="1" customWidth="1"/>
    <col min="5" max="5" width="11.5703125" bestFit="1" customWidth="1"/>
    <col min="6" max="6" width="15.7109375" bestFit="1" customWidth="1"/>
    <col min="7" max="7" width="17.28515625" bestFit="1" customWidth="1"/>
    <col min="8" max="8" width="16.28515625" bestFit="1" customWidth="1"/>
    <col min="9" max="9" width="20.42578125" bestFit="1" customWidth="1"/>
    <col min="10" max="10" width="22" bestFit="1" customWidth="1"/>
    <col min="11" max="11" width="16.28515625" bestFit="1" customWidth="1"/>
    <col min="12" max="12" width="20.42578125" bestFit="1" customWidth="1"/>
    <col min="13" max="13" width="22" bestFit="1" customWidth="1"/>
    <col min="14" max="15" width="7" bestFit="1" customWidth="1"/>
    <col min="16" max="16" width="8.85546875" bestFit="1" customWidth="1"/>
    <col min="17" max="17" width="6.5703125" bestFit="1" customWidth="1"/>
    <col min="18" max="21" width="5.5703125" bestFit="1" customWidth="1"/>
    <col min="22" max="22" width="9.28515625" bestFit="1" customWidth="1"/>
    <col min="23" max="23" width="9.5703125" bestFit="1" customWidth="1"/>
    <col min="24" max="24" width="11.85546875" bestFit="1" customWidth="1"/>
  </cols>
  <sheetData>
    <row r="3" spans="1:10" x14ac:dyDescent="0.25">
      <c r="B3" s="11" t="s">
        <v>29</v>
      </c>
    </row>
    <row r="4" spans="1:10" x14ac:dyDescent="0.25">
      <c r="B4" t="s">
        <v>32</v>
      </c>
      <c r="H4" t="s">
        <v>33</v>
      </c>
      <c r="I4" t="s">
        <v>37</v>
      </c>
      <c r="J4" t="s">
        <v>35</v>
      </c>
    </row>
    <row r="5" spans="1:10" x14ac:dyDescent="0.25">
      <c r="B5" s="14" t="s">
        <v>30</v>
      </c>
      <c r="E5" s="14" t="s">
        <v>31</v>
      </c>
    </row>
    <row r="6" spans="1:10" x14ac:dyDescent="0.25">
      <c r="A6" s="11" t="s">
        <v>27</v>
      </c>
      <c r="B6" t="s">
        <v>34</v>
      </c>
      <c r="C6" t="s">
        <v>38</v>
      </c>
      <c r="D6" t="s">
        <v>36</v>
      </c>
      <c r="E6" t="s">
        <v>34</v>
      </c>
      <c r="F6" t="s">
        <v>38</v>
      </c>
      <c r="G6" t="s">
        <v>36</v>
      </c>
    </row>
    <row r="7" spans="1:10" x14ac:dyDescent="0.25">
      <c r="A7" s="12" t="s">
        <v>3</v>
      </c>
      <c r="B7" s="10">
        <v>14</v>
      </c>
      <c r="C7" s="15">
        <v>17183</v>
      </c>
      <c r="D7" s="15">
        <v>1227.3571428571429</v>
      </c>
      <c r="E7" s="10">
        <v>3</v>
      </c>
      <c r="F7" s="15">
        <v>1460</v>
      </c>
      <c r="G7" s="15">
        <v>486.66666666666669</v>
      </c>
      <c r="H7" s="10">
        <v>17</v>
      </c>
      <c r="I7" s="15">
        <v>18643</v>
      </c>
      <c r="J7" s="15">
        <v>1096.6470588235295</v>
      </c>
    </row>
    <row r="8" spans="1:10" x14ac:dyDescent="0.25">
      <c r="A8" s="13" t="s">
        <v>2</v>
      </c>
      <c r="B8" s="10">
        <v>2</v>
      </c>
      <c r="C8" s="15">
        <v>641</v>
      </c>
      <c r="D8" s="15">
        <v>320.5</v>
      </c>
      <c r="E8" s="10"/>
      <c r="F8" s="15"/>
      <c r="G8" s="15"/>
      <c r="H8" s="10">
        <v>2</v>
      </c>
      <c r="I8" s="15">
        <v>641</v>
      </c>
      <c r="J8" s="15">
        <v>320.5</v>
      </c>
    </row>
    <row r="9" spans="1:10" x14ac:dyDescent="0.25">
      <c r="A9" s="13" t="s">
        <v>0</v>
      </c>
      <c r="B9" s="10">
        <v>11</v>
      </c>
      <c r="C9" s="15">
        <v>16185</v>
      </c>
      <c r="D9" s="15">
        <v>1471.3636363636363</v>
      </c>
      <c r="E9" s="10">
        <v>3</v>
      </c>
      <c r="F9" s="15">
        <v>1460</v>
      </c>
      <c r="G9" s="15">
        <v>486.66666666666669</v>
      </c>
      <c r="H9" s="10">
        <v>14</v>
      </c>
      <c r="I9" s="15">
        <v>17645</v>
      </c>
      <c r="J9" s="15">
        <v>1260.3571428571429</v>
      </c>
    </row>
    <row r="10" spans="1:10" x14ac:dyDescent="0.25">
      <c r="A10" s="13" t="s">
        <v>8</v>
      </c>
      <c r="B10" s="10">
        <v>1</v>
      </c>
      <c r="C10" s="15">
        <v>357</v>
      </c>
      <c r="D10" s="15">
        <v>357</v>
      </c>
      <c r="E10" s="10"/>
      <c r="F10" s="15"/>
      <c r="G10" s="15"/>
      <c r="H10" s="10">
        <v>1</v>
      </c>
      <c r="I10" s="15">
        <v>357</v>
      </c>
      <c r="J10" s="15">
        <v>357</v>
      </c>
    </row>
    <row r="11" spans="1:10" x14ac:dyDescent="0.25">
      <c r="A11" s="12" t="s">
        <v>1</v>
      </c>
      <c r="B11" s="10">
        <v>3</v>
      </c>
      <c r="C11" s="15">
        <v>620</v>
      </c>
      <c r="D11" s="15">
        <v>206.66666666666666</v>
      </c>
      <c r="E11" s="10">
        <v>2</v>
      </c>
      <c r="F11" s="15">
        <v>1452</v>
      </c>
      <c r="G11" s="15">
        <v>726</v>
      </c>
      <c r="H11" s="10">
        <v>5</v>
      </c>
      <c r="I11" s="15">
        <v>2072</v>
      </c>
      <c r="J11" s="15">
        <v>414.4</v>
      </c>
    </row>
    <row r="12" spans="1:10" x14ac:dyDescent="0.25">
      <c r="A12" s="13" t="s">
        <v>0</v>
      </c>
      <c r="B12" s="10">
        <v>3</v>
      </c>
      <c r="C12" s="15">
        <v>620</v>
      </c>
      <c r="D12" s="15">
        <v>206.66666666666666</v>
      </c>
      <c r="E12" s="10">
        <v>2</v>
      </c>
      <c r="F12" s="15">
        <v>1452</v>
      </c>
      <c r="G12" s="15">
        <v>726</v>
      </c>
      <c r="H12" s="10">
        <v>5</v>
      </c>
      <c r="I12" s="15">
        <v>2072</v>
      </c>
      <c r="J12" s="15">
        <v>414.4</v>
      </c>
    </row>
    <row r="13" spans="1:10" x14ac:dyDescent="0.25">
      <c r="A13" s="12" t="s">
        <v>28</v>
      </c>
      <c r="B13" s="10">
        <v>17</v>
      </c>
      <c r="C13" s="15">
        <v>17803</v>
      </c>
      <c r="D13" s="15">
        <v>1047.2352941176471</v>
      </c>
      <c r="E13" s="10">
        <v>5</v>
      </c>
      <c r="F13" s="15">
        <v>2912</v>
      </c>
      <c r="G13" s="15">
        <v>582.4</v>
      </c>
      <c r="H13" s="10">
        <v>22</v>
      </c>
      <c r="I13" s="15">
        <v>20715</v>
      </c>
      <c r="J13" s="15">
        <v>941.59090909090912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workbookViewId="0">
      <selection sqref="A1:D23"/>
    </sheetView>
  </sheetViews>
  <sheetFormatPr defaultRowHeight="15" x14ac:dyDescent="0.25"/>
  <cols>
    <col min="1" max="1" width="15.42578125" customWidth="1"/>
    <col min="2" max="2" width="11.7109375" customWidth="1"/>
    <col min="3" max="3" width="19.42578125" style="3" customWidth="1"/>
    <col min="4" max="4" width="9.42578125" customWidth="1"/>
    <col min="6" max="6" width="20.140625" style="2" customWidth="1"/>
    <col min="7" max="7" width="12.7109375" bestFit="1" customWidth="1"/>
    <col min="8" max="8" width="12.7109375" customWidth="1"/>
    <col min="9" max="9" width="9.140625" bestFit="1" customWidth="1"/>
    <col min="10" max="10" width="10" bestFit="1" customWidth="1"/>
    <col min="11" max="11" width="9.85546875" bestFit="1" customWidth="1"/>
    <col min="12" max="12" width="10.7109375" bestFit="1" customWidth="1"/>
    <col min="13" max="13" width="13.42578125" bestFit="1" customWidth="1"/>
    <col min="14" max="14" width="12.42578125" bestFit="1" customWidth="1"/>
    <col min="15" max="15" width="11.5703125" bestFit="1" customWidth="1"/>
    <col min="16" max="16" width="12.5703125" bestFit="1" customWidth="1"/>
    <col min="17" max="17" width="11.42578125" bestFit="1" customWidth="1"/>
    <col min="18" max="18" width="12.5703125" bestFit="1" customWidth="1"/>
    <col min="19" max="19" width="9.85546875" bestFit="1" customWidth="1"/>
  </cols>
  <sheetData>
    <row r="1" spans="1:19" x14ac:dyDescent="0.25">
      <c r="A1" s="5" t="s">
        <v>7</v>
      </c>
      <c r="B1" s="5" t="s">
        <v>6</v>
      </c>
      <c r="C1" s="6" t="s">
        <v>5</v>
      </c>
      <c r="D1" s="4" t="s">
        <v>4</v>
      </c>
      <c r="F1" s="8" t="s">
        <v>9</v>
      </c>
      <c r="G1" t="s">
        <v>24</v>
      </c>
      <c r="H1" s="7">
        <v>44652</v>
      </c>
      <c r="I1" s="7">
        <v>44682</v>
      </c>
      <c r="J1" s="7">
        <v>44713</v>
      </c>
      <c r="K1" s="7">
        <v>44743</v>
      </c>
      <c r="L1" s="7">
        <v>44774</v>
      </c>
      <c r="M1" s="7">
        <v>44805</v>
      </c>
      <c r="N1" s="7">
        <v>44835</v>
      </c>
      <c r="O1" s="7">
        <v>44866</v>
      </c>
      <c r="P1" s="7">
        <v>44896</v>
      </c>
      <c r="Q1" s="7">
        <v>44927</v>
      </c>
      <c r="R1" s="7">
        <v>44958</v>
      </c>
      <c r="S1" s="7">
        <v>44986</v>
      </c>
    </row>
    <row r="2" spans="1:19" x14ac:dyDescent="0.25">
      <c r="A2" s="2" t="s">
        <v>3</v>
      </c>
      <c r="B2" s="2" t="s">
        <v>2</v>
      </c>
      <c r="C2" s="3">
        <v>44666</v>
      </c>
      <c r="D2" s="1">
        <v>54</v>
      </c>
      <c r="F2" s="2" t="s">
        <v>10</v>
      </c>
      <c r="G2" s="9">
        <f>COUNTIFS($A:$A,"Впервые",$B:$B,"Авито/Юла")</f>
        <v>2</v>
      </c>
      <c r="H2" s="9">
        <f>COUNTIFS($A:$A,"впервые",$B:$B,"Авито/Юла",$C:$C,"&gt;=01.04.2022",$C:$C,"&lt;=30.04.2022")</f>
        <v>2</v>
      </c>
      <c r="I2" s="9">
        <f>COUNTIFS($A:$A,"впервые",$B:$B,"Авито/Юла",$C:$C,"&gt;=01.05.2022",$C:$C,"&lt;=31.05.2022")</f>
        <v>0</v>
      </c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x14ac:dyDescent="0.25">
      <c r="A3" s="2" t="s">
        <v>1</v>
      </c>
      <c r="B3" s="2" t="s">
        <v>0</v>
      </c>
      <c r="C3" s="3">
        <v>44667</v>
      </c>
      <c r="D3" s="1">
        <v>78</v>
      </c>
      <c r="F3" s="2" t="s">
        <v>11</v>
      </c>
      <c r="G3" s="9">
        <f>COUNTIFS($A:$A,"Впервые",$B:$B,"Листовка")</f>
        <v>14</v>
      </c>
      <c r="H3" s="9">
        <f>COUNTIFS($A:$A,"Впервые",$B:$B,"Листовка",$C:$C,"&gt;=01.04.2022",$C:$C,"&lt;=30.04.2022")</f>
        <v>11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x14ac:dyDescent="0.25">
      <c r="A4" s="2" t="s">
        <v>3</v>
      </c>
      <c r="B4" s="2" t="s">
        <v>2</v>
      </c>
      <c r="C4" s="3">
        <v>44667</v>
      </c>
      <c r="D4" s="1">
        <v>587</v>
      </c>
      <c r="F4" s="2" t="s">
        <v>12</v>
      </c>
      <c r="G4" s="9">
        <f>COUNTIFS($A:$A,"Впервые",$B:$B,"Сайт")</f>
        <v>1</v>
      </c>
      <c r="H4" s="9">
        <f>COUNTIFS($A:$A,"Впервые",$B:$B,"Сайт",$C:$C,"&gt;=01.04.2022",$C:$C,"&lt;=30.04.2022")</f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x14ac:dyDescent="0.25">
      <c r="A5" s="2" t="s">
        <v>1</v>
      </c>
      <c r="B5" s="2" t="s">
        <v>0</v>
      </c>
      <c r="C5" s="3">
        <v>44668</v>
      </c>
      <c r="D5" s="1">
        <v>457</v>
      </c>
      <c r="F5" t="s">
        <v>13</v>
      </c>
      <c r="G5" s="9">
        <f>COUNTIFS($A:$A,"Гарантия",$B:$B,"Авито/Юла")</f>
        <v>0</v>
      </c>
      <c r="H5" s="9">
        <f>COUNTIFS($A:$A,"Гарантия",$B:$B,"Авито/Юла",$C:$C,"&gt;=01.04.2022",$C:$C,"&lt;=30.04.2022")</f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x14ac:dyDescent="0.25">
      <c r="A6" s="2" t="s">
        <v>3</v>
      </c>
      <c r="B6" s="2" t="s">
        <v>0</v>
      </c>
      <c r="C6" s="3">
        <v>44669</v>
      </c>
      <c r="D6" s="1">
        <v>547</v>
      </c>
      <c r="F6" t="s">
        <v>14</v>
      </c>
      <c r="G6" s="9">
        <f>COUNTIFS($A:$A,"Гарантия",$B:$B,"Листовка")</f>
        <v>5</v>
      </c>
      <c r="H6" s="9">
        <f>COUNTIFS($A:$A,"Гарантия",$B:$B,"Листовка",$C:$C,"&gt;=01.04.2022",$C:$C,"&lt;=30.04.2022")</f>
        <v>3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5">
      <c r="A7" s="2" t="s">
        <v>3</v>
      </c>
      <c r="B7" s="2" t="s">
        <v>0</v>
      </c>
      <c r="C7" s="3">
        <v>44669</v>
      </c>
      <c r="D7" s="1">
        <v>2000</v>
      </c>
      <c r="F7" t="s">
        <v>15</v>
      </c>
      <c r="G7" s="9">
        <f>COUNTIFS($A:$A,"Гарантия",$B:$B,"Сайт")</f>
        <v>0</v>
      </c>
      <c r="H7" s="9">
        <f>COUNTIFS($A:$A,"Гарантия",$B:$B,"Сайт",$C:$C,"&gt;=01.04.2022",$C:$C,"&lt;=30.04.2022")</f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2" t="s">
        <v>3</v>
      </c>
      <c r="B8" s="2" t="s">
        <v>0</v>
      </c>
      <c r="C8" s="3">
        <v>44670</v>
      </c>
      <c r="D8" s="1">
        <v>147</v>
      </c>
      <c r="F8" s="2" t="s">
        <v>20</v>
      </c>
      <c r="G8" s="9">
        <f>COUNTIF($B:$B,"Авито/Юла")</f>
        <v>2</v>
      </c>
      <c r="H8" s="9">
        <f>COUNTIFS($B:$B,"Авито/Юла",$C:$C,"&gt;=01.04.2022",$C:$C,"&lt;=30.04.2022")</f>
        <v>2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A9" s="2" t="s">
        <v>3</v>
      </c>
      <c r="B9" s="2" t="s">
        <v>0</v>
      </c>
      <c r="C9" s="3">
        <v>44670</v>
      </c>
      <c r="D9" s="1">
        <v>457</v>
      </c>
      <c r="F9" s="2" t="s">
        <v>22</v>
      </c>
      <c r="G9" s="9">
        <f>COUNTIF($B:$B,"Листовка")</f>
        <v>19</v>
      </c>
      <c r="H9" s="9">
        <f>COUNTIFS($B:$B,"Листовка",$C:$C,"&gt;=01.04.2022",$C:$C,"&lt;=30.04.2022")</f>
        <v>14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2" t="s">
        <v>1</v>
      </c>
      <c r="B10" s="2" t="s">
        <v>0</v>
      </c>
      <c r="C10" s="3">
        <v>44671</v>
      </c>
      <c r="D10" s="1">
        <v>85</v>
      </c>
      <c r="F10" s="2" t="s">
        <v>21</v>
      </c>
      <c r="G10" s="9">
        <f>COUNTIF($B:$B,"Сайт")</f>
        <v>1</v>
      </c>
      <c r="H10" s="9">
        <f>COUNTIFS($B:$B,"Сайт",$C:$C,"&gt;=01.04.2022",$C:$C,"&lt;=30.04.2022")</f>
        <v>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2" t="s">
        <v>3</v>
      </c>
      <c r="B11" s="2" t="s">
        <v>0</v>
      </c>
      <c r="C11" s="3">
        <v>44671</v>
      </c>
      <c r="D11" s="1">
        <v>453</v>
      </c>
      <c r="F11" s="2" t="s">
        <v>16</v>
      </c>
      <c r="G11" s="9">
        <f>COUNTIF($A:$A,"Впервые")</f>
        <v>17</v>
      </c>
      <c r="H11" s="9">
        <f>COUNTIFS($A:$A,"Впервые",$C:$C,"&gt;=01.04.2022",$C:$C,"&lt;=30.04.2022")</f>
        <v>14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2" t="s">
        <v>3</v>
      </c>
      <c r="B12" s="2" t="s">
        <v>8</v>
      </c>
      <c r="C12" s="3">
        <v>44671</v>
      </c>
      <c r="D12" s="1">
        <v>357</v>
      </c>
      <c r="F12" s="2" t="s">
        <v>17</v>
      </c>
      <c r="G12" s="9">
        <f>COUNTIF($A:$A,"Гарантия")</f>
        <v>5</v>
      </c>
      <c r="H12" s="9">
        <f>COUNTIFS($A:$A,"Гарантия",$C:$C,"&gt;=01.04.2022",$C:$C,"&lt;=30.04.2022")</f>
        <v>3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2" t="s">
        <v>3</v>
      </c>
      <c r="B13" s="2" t="s">
        <v>0</v>
      </c>
      <c r="C13" s="3">
        <v>44672</v>
      </c>
      <c r="D13" s="1">
        <v>758</v>
      </c>
      <c r="F13" s="2" t="s">
        <v>18</v>
      </c>
      <c r="G13" s="9">
        <f>COUNT($D:$D)</f>
        <v>22</v>
      </c>
      <c r="H13" s="9">
        <f>COUNTIFS(C:C,"&gt;=01.04.2022",C:C,"&lt;=30.04.2022")</f>
        <v>17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5">
      <c r="A14" s="2" t="s">
        <v>3</v>
      </c>
      <c r="B14" s="2" t="s">
        <v>0</v>
      </c>
      <c r="C14" s="3">
        <v>44672</v>
      </c>
      <c r="D14" s="1">
        <v>54</v>
      </c>
    </row>
    <row r="15" spans="1:19" x14ac:dyDescent="0.25">
      <c r="A15" s="2" t="s">
        <v>3</v>
      </c>
      <c r="B15" s="2" t="s">
        <v>0</v>
      </c>
      <c r="C15" s="3">
        <v>44675</v>
      </c>
      <c r="D15" s="1">
        <v>4</v>
      </c>
      <c r="F15" s="8" t="s">
        <v>19</v>
      </c>
      <c r="G15" t="s">
        <v>24</v>
      </c>
      <c r="H15" s="7">
        <v>44652</v>
      </c>
      <c r="I15" s="7">
        <v>44682</v>
      </c>
      <c r="J15" s="7">
        <v>44713</v>
      </c>
      <c r="K15" s="7">
        <v>44743</v>
      </c>
      <c r="L15" s="7">
        <v>44774</v>
      </c>
      <c r="M15" s="7">
        <v>44805</v>
      </c>
      <c r="N15" s="7">
        <v>44835</v>
      </c>
      <c r="O15" s="7">
        <v>44866</v>
      </c>
      <c r="P15" s="7">
        <v>44896</v>
      </c>
      <c r="Q15" s="7">
        <v>44927</v>
      </c>
      <c r="R15" s="7">
        <v>44958</v>
      </c>
      <c r="S15" s="7">
        <v>44986</v>
      </c>
    </row>
    <row r="16" spans="1:19" x14ac:dyDescent="0.25">
      <c r="A16" s="2" t="s">
        <v>3</v>
      </c>
      <c r="B16" s="2" t="s">
        <v>0</v>
      </c>
      <c r="C16" s="3">
        <v>44676</v>
      </c>
      <c r="D16" s="1">
        <v>587</v>
      </c>
      <c r="F16" s="2" t="s">
        <v>10</v>
      </c>
      <c r="G16" s="10">
        <f>SUMIFS($D:$D,$A:$A,"Впервые",$B:$B,"Авито/Юла")</f>
        <v>641</v>
      </c>
      <c r="H16" s="10">
        <f>SUMIFS($D:$D,$A:$A,"Впервые",$B:$B,"Авито/Юла",$C:$C,"&gt;=01.04.2022",$C:$C,"&lt;=30.04.2022")</f>
        <v>641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x14ac:dyDescent="0.25">
      <c r="A17" s="2" t="s">
        <v>3</v>
      </c>
      <c r="B17" s="2" t="s">
        <v>0</v>
      </c>
      <c r="C17" s="3">
        <v>44676</v>
      </c>
      <c r="D17" s="1">
        <v>5778</v>
      </c>
      <c r="F17" s="2" t="s">
        <v>11</v>
      </c>
      <c r="G17" s="10">
        <f>SUMIFS($D:$D,$A:$A,"Впервые",$B:$B,"Листовка")</f>
        <v>17645</v>
      </c>
      <c r="H17" s="10">
        <f>SUMIFS($D:$D,$A:$A,"Впервые",$B:$B,"Листовка",$C:$C,"&gt;=01.04.2022",$C:$C,"&lt;=30.04.2022")</f>
        <v>16185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2" t="s">
        <v>3</v>
      </c>
      <c r="B18" s="2" t="s">
        <v>0</v>
      </c>
      <c r="C18" s="3">
        <v>44677</v>
      </c>
      <c r="D18" s="1">
        <v>5400</v>
      </c>
      <c r="F18" s="2" t="s">
        <v>12</v>
      </c>
      <c r="G18" s="10">
        <f>SUMIFS($D:$D,$A:$A,"Впервые",$B:$B,"Сайт")</f>
        <v>357</v>
      </c>
      <c r="H18" s="10">
        <f>SUMIFS($D:$D,$A:$A,"Впервые",$B:$B,"Сайт",$C:$C,"&gt;=01.04.2022",$C:$C,"&lt;=30.04.2022")</f>
        <v>357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5">
      <c r="A19" s="2" t="s">
        <v>1</v>
      </c>
      <c r="B19" s="2" t="s">
        <v>0</v>
      </c>
      <c r="C19" s="3">
        <v>44685</v>
      </c>
      <c r="D19" s="1">
        <v>865</v>
      </c>
      <c r="F19" t="s">
        <v>13</v>
      </c>
      <c r="G19" s="10">
        <f>SUMIFS($D:$D,$A:$A,"Гарантия",$B:$B,"Авито/Юла")</f>
        <v>0</v>
      </c>
      <c r="H19" s="10">
        <f>SUMIFS($D:$D,$A:$A,"Гарантия",$B:$B,"Авито/Юла",$C:$C,"&gt;=01.04.2022",$C:$C,"&lt;=30.04.2022")</f>
        <v>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x14ac:dyDescent="0.25">
      <c r="A20" s="2" t="s">
        <v>3</v>
      </c>
      <c r="B20" s="2" t="s">
        <v>0</v>
      </c>
      <c r="C20" s="3">
        <v>44689</v>
      </c>
      <c r="D20" s="1">
        <v>487</v>
      </c>
      <c r="F20" t="s">
        <v>14</v>
      </c>
      <c r="G20" s="10">
        <f>SUMIFS($D:$D,$A:$A,"Гарантия",$B:$B,"Листовка")</f>
        <v>2072</v>
      </c>
      <c r="H20" s="10">
        <f>SUMIFS($D:$D,$A:$A,"Гарантия",$B:$B,"Листовка",$C:$C,"&gt;=01.04.2022",$C:$C,"&lt;=30.04.2022")</f>
        <v>620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x14ac:dyDescent="0.25">
      <c r="A21" s="2" t="s">
        <v>3</v>
      </c>
      <c r="B21" s="2" t="s">
        <v>0</v>
      </c>
      <c r="C21" s="3">
        <v>44689</v>
      </c>
      <c r="D21" s="1">
        <v>97</v>
      </c>
      <c r="F21" t="s">
        <v>15</v>
      </c>
      <c r="G21" s="10">
        <f>SUMIFS($D:$D,$A:$A,"Гарантия",$B:$B,"Сайт")</f>
        <v>0</v>
      </c>
      <c r="H21" s="10">
        <f>SUMIFS($D:$D,$A:$A,"Гарантия",$B:$B,"Сайт",$C:$C,"&gt;=01.04.2022",$C:$C,"&lt;=30.04.2022")</f>
        <v>0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2" t="s">
        <v>1</v>
      </c>
      <c r="B22" s="2" t="s">
        <v>0</v>
      </c>
      <c r="C22" s="3">
        <v>44691</v>
      </c>
      <c r="D22" s="1">
        <v>587</v>
      </c>
      <c r="F22" s="2" t="s">
        <v>20</v>
      </c>
      <c r="G22" s="10">
        <f>SUMIF($B:$B,"Авито/Юла",$D:$D)</f>
        <v>641</v>
      </c>
      <c r="H22" s="10">
        <f>SUMIFS(D:D,B:B,"Авито/Юла",C:C,"&gt;=01.04.2022",C:C,"&lt;=30.04.2022")</f>
        <v>641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2" t="s">
        <v>3</v>
      </c>
      <c r="B23" s="2" t="s">
        <v>0</v>
      </c>
      <c r="C23" s="3">
        <v>44693</v>
      </c>
      <c r="D23" s="1">
        <v>876</v>
      </c>
      <c r="F23" s="2" t="s">
        <v>22</v>
      </c>
      <c r="G23" s="10">
        <f>SUMIF($B:$B,"Листовка",$D:$D)</f>
        <v>19717</v>
      </c>
      <c r="H23" s="10">
        <f>SUMIFS(D:D,B:B,"Листовка",C:C,"&gt;=01.04.2022",C:C,"&lt;=30.04.2022")</f>
        <v>16805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2"/>
      <c r="B24" s="2"/>
      <c r="D24" s="1"/>
      <c r="F24" s="2" t="s">
        <v>21</v>
      </c>
      <c r="G24" s="10">
        <f>SUMIF($B:$B,"Сайт",$D:$D)</f>
        <v>357</v>
      </c>
      <c r="H24" s="10">
        <f>SUMIFS(D:D,B:B,"Сайт",C:C,"&gt;=01.04.2022",C:C,"&lt;=30.04.2022")</f>
        <v>357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2"/>
      <c r="B25" s="2"/>
      <c r="D25" s="1"/>
      <c r="F25" s="2" t="s">
        <v>16</v>
      </c>
      <c r="G25" s="10">
        <f>SUMIF($A:$A,"Впервые",$D:$D)</f>
        <v>18643</v>
      </c>
      <c r="H25" s="10">
        <f>SUMIFS(D:D,A:A,"Впервые",C:C,"&gt;=01.04.2022",C:C,"&lt;=30.04.2022")</f>
        <v>17183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D26" s="1"/>
      <c r="F26" s="2" t="s">
        <v>17</v>
      </c>
      <c r="G26" s="10">
        <f>SUMIF($A:$A,"Гарантия",$D:$D)</f>
        <v>2072</v>
      </c>
      <c r="H26" s="10">
        <f>SUMIFS(D:D,A:A,"Гарантия",C:C,"&gt;=01.04.2022",C:C,"&lt;=30.04.2022")</f>
        <v>620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F27" s="2" t="s">
        <v>18</v>
      </c>
      <c r="G27" s="10">
        <f>SUM($D:$D)</f>
        <v>20715</v>
      </c>
      <c r="H27" s="10">
        <f>SUMIFS(D:D,C:C,"&gt;=01.04.2022",C:C,"&lt;=30.04.2022")</f>
        <v>17803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9" spans="1:19" x14ac:dyDescent="0.25">
      <c r="F29" s="8" t="s">
        <v>23</v>
      </c>
      <c r="G29" t="s">
        <v>24</v>
      </c>
      <c r="H29" s="7">
        <v>44652</v>
      </c>
      <c r="I29" s="7">
        <v>44682</v>
      </c>
      <c r="J29" s="7">
        <v>44713</v>
      </c>
      <c r="K29" s="7">
        <v>44743</v>
      </c>
      <c r="L29" s="7">
        <v>44774</v>
      </c>
      <c r="M29" s="7">
        <v>44805</v>
      </c>
      <c r="N29" s="7">
        <v>44835</v>
      </c>
      <c r="O29" s="7">
        <v>44866</v>
      </c>
      <c r="P29" s="7">
        <v>44896</v>
      </c>
      <c r="Q29" s="7">
        <v>44927</v>
      </c>
      <c r="R29" s="7">
        <v>44958</v>
      </c>
      <c r="S29" s="7">
        <v>44986</v>
      </c>
    </row>
    <row r="30" spans="1:19" x14ac:dyDescent="0.25">
      <c r="F30" s="2" t="s">
        <v>10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5">
      <c r="F31" s="2" t="s">
        <v>11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F32" s="2" t="s">
        <v>12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6:19" x14ac:dyDescent="0.25">
      <c r="F33" t="s">
        <v>13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6:19" x14ac:dyDescent="0.25">
      <c r="F34" t="s">
        <v>14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6:19" x14ac:dyDescent="0.25">
      <c r="F35" t="s">
        <v>15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6:19" x14ac:dyDescent="0.25">
      <c r="F36" s="2" t="s">
        <v>20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6:19" x14ac:dyDescent="0.25">
      <c r="F37" s="2" t="s">
        <v>22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6:19" x14ac:dyDescent="0.25">
      <c r="F38" s="2" t="s">
        <v>21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6:19" x14ac:dyDescent="0.25">
      <c r="F39" s="2" t="s">
        <v>16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6:19" x14ac:dyDescent="0.25">
      <c r="F40" s="2" t="s">
        <v>17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6:19" x14ac:dyDescent="0.25">
      <c r="F41" s="2" t="s">
        <v>25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6:19" x14ac:dyDescent="0.25">
      <c r="F42" s="2" t="s">
        <v>26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4" spans="6:19" x14ac:dyDescent="0.25">
      <c r="F44" s="8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8" spans="6:19" x14ac:dyDescent="0.25">
      <c r="F48"/>
    </row>
    <row r="49" spans="6:6" x14ac:dyDescent="0.25">
      <c r="F49"/>
    </row>
    <row r="50" spans="6:6" x14ac:dyDescent="0.25">
      <c r="F50"/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Чудогашев</dc:creator>
  <cp:lastModifiedBy>Elena</cp:lastModifiedBy>
  <dcterms:created xsi:type="dcterms:W3CDTF">2015-06-05T18:19:34Z</dcterms:created>
  <dcterms:modified xsi:type="dcterms:W3CDTF">2022-05-02T15:28:04Z</dcterms:modified>
</cp:coreProperties>
</file>