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1BD961C-84E2-4BFF-8113-D194AF9A89E6}" xr6:coauthVersionLast="47" xr6:coauthVersionMax="47" xr10:uidLastSave="{00000000-0000-0000-0000-000000000000}"/>
  <bookViews>
    <workbookView xWindow="-120" yWindow="-120" windowWidth="38640" windowHeight="15840" firstSheet="1" activeTab="1" xr2:uid="{00000000-000D-0000-FFFF-FFFF00000000}"/>
  </bookViews>
  <sheets>
    <sheet name="Лист1" sheetId="1" state="hidden" r:id="rId1"/>
    <sheet name="Лист2" sheetId="5" r:id="rId2"/>
    <sheet name="План" sheetId="2" state="hidden" r:id="rId3"/>
    <sheet name="Остаточная тр-ть" sheetId="3" state="hidden" r:id="rId4"/>
    <sheet name="План слачи на СГП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5" l="1" a="1"/>
  <c r="G3" i="5" s="1"/>
  <c r="H3" i="5" a="1"/>
  <c r="H3" i="5"/>
  <c r="I3" i="5" a="1"/>
  <c r="I3" i="5" s="1"/>
  <c r="J3" i="5" a="1"/>
  <c r="J3" i="5" s="1"/>
  <c r="K3" i="5" a="1"/>
  <c r="K3" i="5"/>
  <c r="L3" i="5" a="1"/>
  <c r="L3" i="5" s="1"/>
  <c r="M3" i="5" a="1"/>
  <c r="M3" i="5" s="1"/>
  <c r="N3" i="5" a="1"/>
  <c r="N3" i="5"/>
  <c r="O3" i="5" a="1"/>
  <c r="O3" i="5" s="1"/>
  <c r="P3" i="5" a="1"/>
  <c r="P3" i="5" s="1"/>
  <c r="Q3" i="5" a="1"/>
  <c r="Q3" i="5"/>
  <c r="R3" i="5" a="1"/>
  <c r="R3" i="5" s="1"/>
  <c r="S3" i="5" a="1"/>
  <c r="S3" i="5" s="1"/>
  <c r="G4" i="5" a="1"/>
  <c r="G4" i="5"/>
  <c r="H4" i="5" a="1"/>
  <c r="H4" i="5" s="1"/>
  <c r="I4" i="5" a="1"/>
  <c r="I4" i="5" s="1"/>
  <c r="J4" i="5" a="1"/>
  <c r="J4" i="5"/>
  <c r="K4" i="5" a="1"/>
  <c r="K4" i="5" s="1"/>
  <c r="L4" i="5" a="1"/>
  <c r="L4" i="5" s="1"/>
  <c r="M4" i="5" a="1"/>
  <c r="M4" i="5"/>
  <c r="N4" i="5" a="1"/>
  <c r="N4" i="5" s="1"/>
  <c r="O4" i="5" a="1"/>
  <c r="O4" i="5" s="1"/>
  <c r="P4" i="5" a="1"/>
  <c r="P4" i="5"/>
  <c r="Q4" i="5" a="1"/>
  <c r="Q4" i="5" s="1"/>
  <c r="R4" i="5" a="1"/>
  <c r="R4" i="5" s="1"/>
  <c r="S4" i="5" a="1"/>
  <c r="S4" i="5" s="1"/>
  <c r="H5" i="5" a="1"/>
  <c r="H5" i="5" s="1"/>
  <c r="I5" i="5" a="1"/>
  <c r="I5" i="5" s="1"/>
  <c r="J5" i="5" a="1"/>
  <c r="J5" i="5" s="1"/>
  <c r="K5" i="5" a="1"/>
  <c r="K5" i="5" s="1"/>
  <c r="L5" i="5" a="1"/>
  <c r="L5" i="5" s="1"/>
  <c r="M5" i="5" a="1"/>
  <c r="M5" i="5" s="1"/>
  <c r="N5" i="5" a="1"/>
  <c r="N5" i="5" s="1"/>
  <c r="O5" i="5" a="1"/>
  <c r="O5" i="5" s="1"/>
  <c r="P5" i="5" a="1"/>
  <c r="P5" i="5" s="1"/>
  <c r="Q5" i="5" a="1"/>
  <c r="Q5" i="5" s="1"/>
  <c r="R5" i="5" a="1"/>
  <c r="R5" i="5" s="1"/>
  <c r="S5" i="5" a="1"/>
  <c r="S5" i="5" s="1"/>
  <c r="G5" i="5" a="1"/>
  <c r="G5" i="5" s="1"/>
  <c r="R32" i="1" l="1"/>
  <c r="Q32" i="1"/>
  <c r="P32" i="1"/>
  <c r="O32" i="1"/>
  <c r="G32" i="1"/>
  <c r="E13" i="1" l="1"/>
  <c r="H32" i="1" s="1"/>
  <c r="I32" i="1" l="1"/>
  <c r="G8" i="1"/>
  <c r="H8" i="1" s="1"/>
  <c r="I8" i="1" s="1"/>
  <c r="J8" i="1" s="1"/>
  <c r="E12" i="1"/>
  <c r="G14" i="1"/>
  <c r="H14" i="1"/>
  <c r="J14" i="1"/>
  <c r="K14" i="1"/>
  <c r="L14" i="1"/>
  <c r="M14" i="1"/>
  <c r="N14" i="1"/>
  <c r="O14" i="1"/>
  <c r="P14" i="1"/>
  <c r="Q14" i="1"/>
  <c r="R14" i="1"/>
  <c r="G15" i="1"/>
  <c r="H15" i="1"/>
  <c r="I15" i="1"/>
  <c r="K15" i="1"/>
  <c r="L15" i="1"/>
  <c r="M15" i="1"/>
  <c r="N15" i="1"/>
  <c r="O15" i="1"/>
  <c r="P15" i="1"/>
  <c r="Q15" i="1"/>
  <c r="R15" i="1"/>
  <c r="G16" i="1"/>
  <c r="I16" i="1"/>
  <c r="J16" i="1"/>
  <c r="K16" i="1"/>
  <c r="L16" i="1"/>
  <c r="M16" i="1"/>
  <c r="N16" i="1"/>
  <c r="O16" i="1"/>
  <c r="P16" i="1"/>
  <c r="Q16" i="1"/>
  <c r="R16" i="1"/>
  <c r="G17" i="1"/>
  <c r="I17" i="1"/>
  <c r="J17" i="1"/>
  <c r="K17" i="1"/>
  <c r="L17" i="1"/>
  <c r="M17" i="1"/>
  <c r="N17" i="1"/>
  <c r="O17" i="1"/>
  <c r="P17" i="1"/>
  <c r="Q17" i="1"/>
  <c r="R17" i="1"/>
  <c r="G18" i="1"/>
  <c r="H18" i="1"/>
  <c r="I18" i="1"/>
  <c r="K18" i="1"/>
  <c r="L18" i="1"/>
  <c r="M18" i="1"/>
  <c r="N18" i="1"/>
  <c r="O18" i="1"/>
  <c r="P18" i="1"/>
  <c r="Q18" i="1"/>
  <c r="R18" i="1"/>
  <c r="J32" i="1" l="1"/>
  <c r="K8" i="1"/>
  <c r="E14" i="1"/>
  <c r="E15" i="1"/>
  <c r="E16" i="1"/>
  <c r="E17" i="1"/>
  <c r="E18" i="1"/>
  <c r="B14" i="1"/>
  <c r="I14" i="1" s="1"/>
  <c r="B15" i="1"/>
  <c r="J15" i="1" s="1"/>
  <c r="B16" i="1"/>
  <c r="H16" i="1" s="1"/>
  <c r="B17" i="1"/>
  <c r="H17" i="1" s="1"/>
  <c r="B18" i="1"/>
  <c r="J18" i="1" s="1"/>
  <c r="B13" i="1"/>
  <c r="B12" i="1"/>
  <c r="K32" i="1" l="1"/>
  <c r="L32" i="1" s="1"/>
  <c r="L8" i="1"/>
  <c r="M8" i="1" s="1"/>
  <c r="F12" i="1"/>
  <c r="G12" i="1" s="1"/>
  <c r="M32" i="1" l="1"/>
  <c r="N32" i="1"/>
  <c r="N8" i="1"/>
  <c r="O8" i="1" s="1"/>
  <c r="H12" i="1"/>
  <c r="P8" i="1" l="1"/>
  <c r="Q8" i="1" s="1"/>
  <c r="I12" i="1"/>
  <c r="F14" i="1"/>
  <c r="S14" i="1" s="1"/>
  <c r="R8" i="1" l="1"/>
  <c r="S8" i="1"/>
  <c r="J12" i="1"/>
  <c r="F15" i="1"/>
  <c r="S15" i="1" s="1"/>
  <c r="K12" i="1" l="1"/>
  <c r="F16" i="1"/>
  <c r="S16" i="1" s="1"/>
  <c r="L12" i="1" l="1"/>
  <c r="F17" i="1"/>
  <c r="S17" i="1" s="1"/>
  <c r="M12" i="1" l="1"/>
  <c r="F18" i="1"/>
  <c r="S18" i="1" s="1"/>
  <c r="N12" i="1" l="1"/>
  <c r="F19" i="1"/>
  <c r="O12" i="1" l="1"/>
  <c r="O19" i="1" l="1"/>
  <c r="P12" i="1"/>
  <c r="Q12" i="1" l="1"/>
  <c r="S12" i="1" l="1"/>
  <c r="J19" i="1" l="1"/>
  <c r="Q19" i="1"/>
  <c r="P19" i="1"/>
  <c r="H19" i="1"/>
  <c r="I19" i="1" l="1"/>
  <c r="G19" i="1" l="1"/>
  <c r="K19" i="1" l="1"/>
  <c r="M19" i="1" l="1"/>
  <c r="N19" i="1"/>
  <c r="S32" i="1" l="1"/>
  <c r="L19" i="1"/>
  <c r="S19" i="1" s="1"/>
  <c r="S1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<sst xmlns="http://schemas.openxmlformats.org/spreadsheetml/2006/main" count="53" uniqueCount="36">
  <si>
    <t>Мощность</t>
  </si>
  <si>
    <t>Сепаратор</t>
  </si>
  <si>
    <t>Анализатор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</si>
  <si>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</si>
  <si>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</si>
  <si>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</si>
  <si>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</si>
  <si>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</si>
  <si>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</si>
  <si>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</si>
  <si>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</si>
  <si>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</si>
  <si>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</si>
  <si>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</si>
  <si>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</si>
  <si>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</si>
  <si>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Наименование</t>
  </si>
  <si>
    <t>Спектрометр</t>
  </si>
  <si>
    <t>Анализатор2</t>
  </si>
  <si>
    <t>Спектрометр2</t>
  </si>
  <si>
    <t>Сепаратор2</t>
  </si>
  <si>
    <t>Сепаратор3</t>
  </si>
  <si>
    <t>Набор</t>
  </si>
  <si>
    <t>Дефицит</t>
  </si>
  <si>
    <t>Январь (след год)</t>
  </si>
  <si>
    <t>начало</t>
  </si>
  <si>
    <t>конец</t>
  </si>
  <si>
    <t>Календарь (кол-во дней):</t>
  </si>
  <si>
    <t>Разница между датами</t>
  </si>
  <si>
    <t>Списание</t>
  </si>
  <si>
    <t>На склад</t>
  </si>
  <si>
    <t>Со склада</t>
  </si>
  <si>
    <t>A</t>
  </si>
  <si>
    <t>B</t>
  </si>
  <si>
    <t>C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</si>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</sst>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Fill="1"/>
    <xf numFmtId="14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ill="1"/>
    <xf numFmtId="0" fontId="0" fillId="0" borderId="1" xfId="0" applyFill="1" applyBorder="1"/>
    <xf numFmtId="0" fontId="1" fillId="0" borderId="0" xfId="0" applyFont="1"/>
    <xf numFmtId="14" fontId="1" fillId="2" borderId="1" xfId="0" applyNumberFormat="1" applyFont="1" applyFill="1" applyBorder="1"/>
    <xf numFmtId="1" fontId="1" fillId="2" borderId="1" xfId="0" applyNumberFormat="1" applyFont="1" applyFill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" fontId="1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6:AB35"/>
  <sheetViews>
    <sheetView workbookViewId="0">
      <selection activeCell="H32" sqref="H32"/>
    </sheetView>
  </sheetViews>
  <sheetFormatPr defaultRowHeight="15" x14ac:dyDescent="0.25"/>
  <cols>
    <col min="1" max="1" width="3.140625" bestFit="1" customWidth="1"/>
    <col min="2" max="2" width="14.85546875" bestFit="1" customWidth="1"/>
    <col min="3" max="3" width="11.7109375" customWidth="1"/>
    <col min="4" max="4" width="12.5703125" customWidth="1"/>
    <col min="5" max="5" width="11" customWidth="1"/>
    <col min="18" max="18" width="9.140625" customWidth="1"/>
  </cols>
  <sheetData>
    <row r="6" spans="1:19" x14ac:dyDescent="0.25">
      <c r="H6" s="7"/>
    </row>
    <row r="8" spans="1:19" hidden="1" x14ac:dyDescent="0.25">
      <c r="G8">
        <f>IF(SUM(G22)&gt;$E$13,$E$13,G22)</f>
        <v>29</v>
      </c>
      <c r="H8">
        <f>IF(SUM($G$8:G8)&lt;$E$13,IF(SUM($G$22:H22)&gt;$E$13,SUM($E$13-SUM($G$22:G22)),H22),0)</f>
        <v>31</v>
      </c>
      <c r="I8">
        <f>IF(SUM($G$8:H8)&lt;$E$13,IF(SUM($G$22:I22)&gt;$E$13,SUM($E$13-SUM($G$22:H22)),I22),0)</f>
        <v>30</v>
      </c>
      <c r="J8">
        <f>IF(SUM($G$8:I8)&lt;$E$13,IF(SUM($G$22:J22)&gt;$E$13,SUM($E$13-SUM($G$22:I22)),J22),0)</f>
        <v>31</v>
      </c>
      <c r="K8">
        <f>IF(SUM($G$8:J8)&lt;$E$13,IF(SUM($G$22:K22)&gt;$E$13,SUM($E$13-SUM($G$22:J22)),K22),0)</f>
        <v>30</v>
      </c>
      <c r="L8">
        <f>IF(SUM($G$8:K8)&lt;$E$13,IF(SUM($G$22:L22)&gt;$E$13,SUM($E$13-SUM($G$22:K22)),L22),0)</f>
        <v>31</v>
      </c>
      <c r="M8">
        <f>IF(SUM($G$8:L8)&lt;$E$13,IF(SUM($G$22:M22)&gt;$E$13,SUM($E$13-SUM($G$22:L22)),M22),0)</f>
        <v>31</v>
      </c>
      <c r="N8">
        <f>IF(SUM($G$8:M8)&lt;$E$13,IF(SUM($G$22:N22)&gt;$E$13,SUM($E$13-SUM($G$22:M22)),N22),0)</f>
        <v>11</v>
      </c>
      <c r="O8">
        <f>IF(SUM($G$8:N8)&lt;$E$13,IF(SUM($G$22:O22)&gt;$E$13,SUM($E$13-SUM($G$22:N22)),O22),0)</f>
        <v>0</v>
      </c>
      <c r="P8">
        <f>IF(SUM($G$8:O8)&lt;$E$13,IF(SUM($G$22:P22)&gt;$E$13,SUM($E$13-SUM($G$22:O22)),P22),0)</f>
        <v>0</v>
      </c>
      <c r="Q8">
        <f>IF(SUM($G$8:P8)&lt;$E$13,IF(SUM($G$22:Q22)&gt;$E$13,SUM($E$13-SUM($G$22:P22)),Q22),0)</f>
        <v>0</v>
      </c>
      <c r="R8">
        <f>IF(SUM($G$8:Q8)&lt;$E$13,IF(SUM($G$22:R22)&gt;$E$13,SUM($E$13-SUM($G$22:Q22)),R22),0)</f>
        <v>0</v>
      </c>
      <c r="S8" t="b">
        <f>SUM(G8:Q8)=E13</f>
        <v>1</v>
      </c>
    </row>
    <row r="9" spans="1:19" x14ac:dyDescent="0.25">
      <c r="C9" s="1"/>
    </row>
    <row r="11" spans="1:19" ht="48" customHeight="1" x14ac:dyDescent="0.25">
      <c r="A11" s="15" t="s">
        <v>15</v>
      </c>
      <c r="B11" s="15" t="s">
        <v>16</v>
      </c>
      <c r="C11" s="16" t="s">
        <v>26</v>
      </c>
      <c r="D11" s="17" t="s">
        <v>25</v>
      </c>
      <c r="E11" s="17" t="s">
        <v>28</v>
      </c>
      <c r="F11" s="18" t="s">
        <v>3</v>
      </c>
      <c r="G11" s="18" t="s">
        <v>4</v>
      </c>
      <c r="H11" s="18" t="s">
        <v>5</v>
      </c>
      <c r="I11" s="18" t="s">
        <v>6</v>
      </c>
      <c r="J11" s="18" t="s">
        <v>7</v>
      </c>
      <c r="K11" s="18" t="s">
        <v>8</v>
      </c>
      <c r="L11" s="18" t="s">
        <v>9</v>
      </c>
      <c r="M11" s="18" t="s">
        <v>10</v>
      </c>
      <c r="N11" s="18" t="s">
        <v>11</v>
      </c>
      <c r="O11" s="18" t="s">
        <v>12</v>
      </c>
      <c r="P11" s="18" t="s">
        <v>13</v>
      </c>
      <c r="Q11" s="18" t="s">
        <v>14</v>
      </c>
      <c r="R11" s="19" t="s">
        <v>24</v>
      </c>
    </row>
    <row r="12" spans="1:19" hidden="1" x14ac:dyDescent="0.25">
      <c r="A12" s="2">
        <v>1</v>
      </c>
      <c r="B12" s="2" t="str">
        <f>VLOOKUP(A12,'План слачи на СГП'!A:B,2,0)</f>
        <v>Анализатор</v>
      </c>
      <c r="C12" s="8">
        <v>42510</v>
      </c>
      <c r="D12" s="8">
        <v>42401</v>
      </c>
      <c r="E12" s="9">
        <f t="shared" ref="E12:E18" si="0">C12-D12</f>
        <v>109</v>
      </c>
      <c r="F12" s="2" t="str">
        <f>IFERROR(IF(F11=План!B1,IF(VLOOKUP(B12,План!A:B,2,0)&gt;0,VLOOKUP(B12,План!A:B,2,0),""),""),"")</f>
        <v/>
      </c>
      <c r="G12" s="2">
        <f>IF(IFERROR(IF(MONTH($D$12)=2,SUM(VLOOKUP($B$12,'Остаточная тр-ть'!$A:$B,2,0)-VLOOKUP($B$12,План!$A:$B,2,0))/$E$12*IF(SUM($F$22:G22)&gt;E12,E12-F22,SUM(F22:G22)+SUM(F12)),""),"")&gt;VLOOKUP($B$12,'Остаточная тр-ть'!$A:$B,2,0),"",IFERROR(IF(MONTH($D$12)=2,SUM(VLOOKUP($B$12,'Остаточная тр-ть'!$A:$B,2,0)-VLOOKUP($B$12,План!$A:$B,2,0))/$E$12*SUM(G22),""),""))</f>
        <v>106.42201834862387</v>
      </c>
      <c r="H12" s="2" t="str">
        <f>IF(IFERROR(IF(MONTH($D$12)=2,SUM(VLOOKUP($B$12,'Остаточная тр-ть'!$A:$B,2,0)-VLOOKUP($B$12,План!$A:$B,2,0))/$E$12*IF(SUM($G$22:H22)&gt;F12,F12-G22,SUM(G22:H22)+SUM(G12)),""),"")&gt;VLOOKUP($B$12,'Остаточная тр-ть'!$A:$B,2,0),"",IFERROR(IF(MONTH($D$12)=2,SUM(VLOOKUP($B$12,'Остаточная тр-ть'!$A:$B,2,0)-VLOOKUP($B$12,План!$A:$B,2,0))/$E$12*SUM(H22),""),""))</f>
        <v/>
      </c>
      <c r="I12" s="2">
        <f>IF(IFERROR(IF(MONTH($D$12)=2,SUM(VLOOKUP($B$12,'Остаточная тр-ть'!$A:$B,2,0)-VLOOKUP($B$12,План!$A:$B,2,0))/$E$12*IF(SUM($F$22:I22)&gt;G12,G12-H22,SUM(H22:I22)+SUM(H12)),""),"")&gt;VLOOKUP($B$12,'Остаточная тр-ть'!$A:$B,2,0),"",IFERROR(IF(MONTH($D$12)=2,SUM(VLOOKUP($B$12,'Остаточная тр-ть'!$A:$B,2,0)-VLOOKUP($B$12,План!$A:$B,2,0))/$E$12*SUM(I22),""),""))</f>
        <v>110.09174311926606</v>
      </c>
      <c r="J12" s="2" t="str">
        <f>IF(IFERROR(IF(MONTH($D$12)=2,SUM(VLOOKUP($B$12,'Остаточная тр-ть'!$A:$B,2,0)-VLOOKUP($B$12,План!$A:$B,2,0))/$E$12*IF(SUM($F$22:J22)&gt;H12,H12-I22,SUM(I22:J22)+SUM(I12)),""),"")&gt;VLOOKUP($B$12,'Остаточная тр-ть'!$A:$B,2,0),"",IFERROR(IF(MONTH($D$12)=2,SUM(VLOOKUP($B$12,'Остаточная тр-ть'!$A:$B,2,0)-VLOOKUP($B$12,План!$A:$B,2,0))/$E$12*SUM(J22),""),""))</f>
        <v/>
      </c>
      <c r="K12" s="2">
        <f>IF(IFERROR(IF(MONTH($D$12)=2,SUM(VLOOKUP($B$12,'Остаточная тр-ть'!$A:$B,2,0)-VLOOKUP($B$12,План!$A:$B,2,0))/$E$12*IF(SUM($F$22:K22)&gt;I12,I12-J22,SUM(J22:K22)+SUM(J12)),""),"")&gt;VLOOKUP($B$12,'Остаточная тр-ть'!$A:$B,2,0),"",IFERROR(IF(MONTH($D$12)=2,SUM(VLOOKUP($B$12,'Остаточная тр-ть'!$A:$B,2,0)-VLOOKUP($B$12,План!$A:$B,2,0))/$E$12*SUM(K22),""),""))</f>
        <v>110.09174311926606</v>
      </c>
      <c r="L12" s="2" t="str">
        <f>IF(IFERROR(IF(MONTH($D$12)=2,SUM(VLOOKUP($B$12,'Остаточная тр-ть'!$A:$B,2,0)-VLOOKUP($B$12,План!$A:$B,2,0))/$E$12*IF(SUM($F$22:L22)&gt;J12,J12-K22,SUM(K22:L22)+SUM(K12)),""),"")&gt;VLOOKUP($B$12,'Остаточная тр-ть'!$A:$B,2,0),"",IFERROR(IF(MONTH($D$12)=2,SUM(VLOOKUP($B$12,'Остаточная тр-ть'!$A:$B,2,0)-VLOOKUP($B$12,План!$A:$B,2,0))/$E$12*SUM(L22),""),""))</f>
        <v/>
      </c>
      <c r="M12" s="2">
        <f>IF(IFERROR(IF(MONTH($D$12)=2,SUM(VLOOKUP($B$12,'Остаточная тр-ть'!$A:$B,2,0)-VLOOKUP($B$12,План!$A:$B,2,0))/$E$12*IF(SUM($F$22:M22)&gt;K12,K12-L22,SUM(L22:M22)+SUM(L12)),""),"")&gt;VLOOKUP($B$12,'Остаточная тр-ть'!$A:$B,2,0),"",IFERROR(IF(MONTH($D$12)=2,SUM(VLOOKUP($B$12,'Остаточная тр-ть'!$A:$B,2,0)-VLOOKUP($B$12,План!$A:$B,2,0))/$E$12*SUM(M22),""),""))</f>
        <v>113.76146788990826</v>
      </c>
      <c r="N12" s="2" t="str">
        <f>IF(IFERROR(IF(MONTH($D$12)=2,SUM(VLOOKUP($B$12,'Остаточная тр-ть'!$A:$B,2,0)-VLOOKUP($B$12,План!$A:$B,2,0))/$E$12*IF(SUM($F$22:N22)&gt;L12,L12-M22,SUM(M22:N22)+SUM(M12)),""),"")&gt;VLOOKUP($B$12,'Остаточная тр-ть'!$A:$B,2,0),"",IFERROR(IF(MONTH($D$12)=2,SUM(VLOOKUP($B$12,'Остаточная тр-ть'!$A:$B,2,0)-VLOOKUP($B$12,План!$A:$B,2,0))/$E$12*SUM(N22),""),""))</f>
        <v/>
      </c>
      <c r="O12" s="2">
        <f>IF(IFERROR(IF(MONTH($D$12)=2,SUM(VLOOKUP($B$12,'Остаточная тр-ть'!$A:$B,2,0)-VLOOKUP($B$12,План!$A:$B,2,0))/$E$12*IF(SUM($F$22:O22)&gt;M12,M12-N22,SUM(N22:O22)+SUM(N12)),""),"")&gt;VLOOKUP($B$12,'Остаточная тр-ть'!$A:$B,2,0),"",IFERROR(IF(MONTH($D$12)=2,SUM(VLOOKUP($B$12,'Остаточная тр-ть'!$A:$B,2,0)-VLOOKUP($B$12,План!$A:$B,2,0))/$E$12*SUM(O22),""),""))</f>
        <v>113.76146788990826</v>
      </c>
      <c r="P12" s="2" t="str">
        <f>IF(IFERROR(IF(MONTH($D$12)=2,SUM(VLOOKUP($B$12,'Остаточная тр-ть'!$A:$B,2,0)-VLOOKUP($B$12,План!$A:$B,2,0))/$E$12*IF(SUM($F$22:P22)&gt;N12,N12-O22,SUM(O22:P22)+SUM(O12)),""),"")&gt;VLOOKUP($B$12,'Остаточная тр-ть'!$A:$B,2,0),"",IFERROR(IF(MONTH($D$12)=2,SUM(VLOOKUP($B$12,'Остаточная тр-ть'!$A:$B,2,0)-VLOOKUP($B$12,План!$A:$B,2,0))/$E$12*SUM(P22),""),""))</f>
        <v/>
      </c>
      <c r="Q12" s="2">
        <f>IF(IFERROR(IF(MONTH($D$12)=2,SUM(VLOOKUP($B$12,'Остаточная тр-ть'!$A:$B,2,0)-VLOOKUP($B$12,План!$A:$B,2,0))/$E$12*IF(SUM($F$22:Q22)&gt;O12,O12-P22,SUM(P22:Q22)+SUM(P12)),""),"")&gt;VLOOKUP($B$12,'Остаточная тр-ть'!$A:$B,2,0),"",IFERROR(IF(MONTH($D$12)=2,SUM(VLOOKUP($B$12,'Остаточная тр-ть'!$A:$B,2,0)-VLOOKUP($B$12,План!$A:$B,2,0))/$E$12*SUM(Q22),""),""))</f>
        <v>113.76146788990826</v>
      </c>
      <c r="R12" s="2"/>
      <c r="S12">
        <f>SUM(F12:R12)</f>
        <v>667.88990825688074</v>
      </c>
    </row>
    <row r="13" spans="1:19" x14ac:dyDescent="0.25">
      <c r="A13" s="11">
        <v>2</v>
      </c>
      <c r="B13" s="11" t="str">
        <f>VLOOKUP(A13,'План слачи на СГП'!A:B,2,0)</f>
        <v>Сепаратор</v>
      </c>
      <c r="C13" s="13">
        <v>42653</v>
      </c>
      <c r="D13" s="13">
        <v>42430</v>
      </c>
      <c r="E13" s="14">
        <f>C13-D13+1</f>
        <v>224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>
        <f t="shared" ref="S13:S19" si="1">SUM(F13:R13)</f>
        <v>0</v>
      </c>
    </row>
    <row r="14" spans="1:19" hidden="1" x14ac:dyDescent="0.25">
      <c r="A14" s="2">
        <v>3</v>
      </c>
      <c r="B14" s="2" t="str">
        <f>VLOOKUP(A14,'План слачи на СГП'!A:B,2,0)</f>
        <v>Спектрометр</v>
      </c>
      <c r="C14" s="3">
        <v>42488</v>
      </c>
      <c r="D14" s="3">
        <v>42401</v>
      </c>
      <c r="E14" s="4">
        <f t="shared" si="0"/>
        <v>87</v>
      </c>
      <c r="F14" s="2" t="str">
        <f>IFERROR(IF(F13=План!B3,IF(VLOOKUP(B14,План!A:B,2,0)&gt;0,VLOOKUP(B14,План!A:B,2,0),""),""),"")</f>
        <v/>
      </c>
      <c r="G14" s="2" t="str">
        <f>IFERROR(IF(MONTH(C14)&amp;YEAR(C14)="22016",SUM(VLOOKUP(B14,'Остаточная тр-ть'!A:B,2,0)-VLOOKUP(B14,План!A:B,2,0)),""),"")</f>
        <v/>
      </c>
      <c r="H14" s="2" t="str">
        <f>IFERROR(IF(MONTH(C14)&amp;YEAR(C14)="32016",SUM(VLOOKUP(B14,'Остаточная тр-ть'!A:B,2,0)-VLOOKUP(B14,План!A:B,2,0)),""),"")</f>
        <v/>
      </c>
      <c r="I14" s="2">
        <f>IFERROR(IF(MONTH(C14)&amp;YEAR(C14)="42016",SUM(VLOOKUP(B14,'Остаточная тр-ть'!A:B,2,0)-VLOOKUP(B14,План!A:B,2,0)),""),"")</f>
        <v>2900</v>
      </c>
      <c r="J14" s="2" t="str">
        <f>IFERROR(IF(MONTH(C14)&amp;YEAR(C14)="52016",SUM(VLOOKUP(B14,'Остаточная тр-ть'!A:B,2,0)-VLOOKUP(B14,План!A:B,2,0)),""),"")</f>
        <v/>
      </c>
      <c r="K14" s="2" t="str">
        <f>IFERROR(IF(MONTH(C14)&amp;YEAR(C14)="62016",SUM(VLOOKUP(B14,'Остаточная тр-ть'!A:B,2,0)-VLOOKUP(B14,План!A:B,2,0)),""),"")</f>
        <v/>
      </c>
      <c r="L14" s="2" t="str">
        <f>IFERROR(IF(MONTH(C14)&amp;YEAR(C14)="72016",SUM(VLOOKUP(B14,'Остаточная тр-ть'!A:B,2,0)-VLOOKUP(B14,План!A:B,2,0)),""),"")</f>
        <v/>
      </c>
      <c r="M14" s="2" t="str">
        <f>IFERROR(IF(MONTH(C14)&amp;YEAR(C14)="82016",SUM(VLOOKUP(B14,'Остаточная тр-ть'!A:B,2,0)-VLOOKUP(B14,План!A:B,2,0)),""),"")</f>
        <v/>
      </c>
      <c r="N14" s="2" t="str">
        <f>IFERROR(IF(MONTH(C14)&amp;YEAR(C14)="92016",SUM(VLOOKUP(B14,'Остаточная тр-ть'!A:B,2,0)-VLOOKUP(B14,План!A:B,2,0)),""),"")</f>
        <v/>
      </c>
      <c r="O14" s="2" t="str">
        <f>IFERROR(IF(MONTH(C14)&amp;YEAR(C14)="102016",SUM(VLOOKUP(B14,'Остаточная тр-ть'!A:B,2,0)-VLOOKUP(B14,План!A:B,2,0)),""),"")</f>
        <v/>
      </c>
      <c r="P14" s="2" t="str">
        <f>IFERROR(IF(MONTH(C14)&amp;YEAR(C14)="112016",SUM(VLOOKUP(B14,'Остаточная тр-ть'!A:B,2,0)-VLOOKUP(B14,План!A:B,2,0)),""),"")</f>
        <v/>
      </c>
      <c r="Q14" s="2" t="str">
        <f>IFERROR(IF(MONTH(C14)&amp;YEAR(C14)="122016",SUM(VLOOKUP(B14,'Остаточная тр-ть'!A:B,2,0)-VLOOKUP(B14,План!A:B,2,0)),""),"")</f>
        <v/>
      </c>
      <c r="R14" s="2" t="str">
        <f>IFERROR(IF(MONTH(C14)&amp;YEAR(C14)="12017",SUM(VLOOKUP(B14,'Остаточная тр-ть'!A:B,2,0)-VLOOKUP(B14,План!A:B,2,0)),""),"")</f>
        <v/>
      </c>
      <c r="S14">
        <f t="shared" si="1"/>
        <v>2900</v>
      </c>
    </row>
    <row r="15" spans="1:19" hidden="1" x14ac:dyDescent="0.25">
      <c r="A15" s="2">
        <v>4</v>
      </c>
      <c r="B15" s="2" t="str">
        <f>VLOOKUP(A15,'План слачи на СГП'!A:B,2,0)</f>
        <v>Анализатор2</v>
      </c>
      <c r="C15" s="3">
        <v>42518</v>
      </c>
      <c r="D15" s="3">
        <v>42401</v>
      </c>
      <c r="E15" s="4">
        <f t="shared" si="0"/>
        <v>117</v>
      </c>
      <c r="F15" s="2" t="str">
        <f>IFERROR(IF(F14=План!B4,IF(VLOOKUP(B15,План!A:B,2,0)&gt;0,VLOOKUP(B15,План!A:B,2,0),""),""),"")</f>
        <v/>
      </c>
      <c r="G15" s="2" t="str">
        <f>IFERROR(IF(MONTH(C15)&amp;YEAR(C15)="22016",SUM(VLOOKUP(B15,'Остаточная тр-ть'!A:B,2,0)-VLOOKUP(B15,План!A:B,2,0)),""),"")</f>
        <v/>
      </c>
      <c r="H15" s="2" t="str">
        <f>IFERROR(IF(MONTH(C15)&amp;YEAR(C15)="32016",SUM(VLOOKUP(B15,'Остаточная тр-ть'!A:B,2,0)-VLOOKUP(B15,План!A:B,2,0)),""),"")</f>
        <v/>
      </c>
      <c r="I15" s="2" t="str">
        <f>IFERROR(IF(MONTH(C15)&amp;YEAR(C15)="42016",SUM(VLOOKUP(B15,'Остаточная тр-ть'!A:B,2,0)-VLOOKUP(B15,План!A:B,2,0)),""),"")</f>
        <v/>
      </c>
      <c r="J15" s="2">
        <f>IFERROR(IF(MONTH(C15)&amp;YEAR(C15)="52016",SUM(VLOOKUP(B15,'Остаточная тр-ть'!A:B,2,0)-VLOOKUP(B15,План!A:B,2,0)),""),"")</f>
        <v>2980</v>
      </c>
      <c r="K15" s="2" t="str">
        <f>IFERROR(IF(MONTH(C15)&amp;YEAR(C15)="62016",SUM(VLOOKUP(B15,'Остаточная тр-ть'!A:B,2,0)-VLOOKUP(B15,План!A:B,2,0)),""),"")</f>
        <v/>
      </c>
      <c r="L15" s="2" t="str">
        <f>IFERROR(IF(MONTH(C15)&amp;YEAR(C15)="72016",SUM(VLOOKUP(B15,'Остаточная тр-ть'!A:B,2,0)-VLOOKUP(B15,План!A:B,2,0)),""),"")</f>
        <v/>
      </c>
      <c r="M15" s="2" t="str">
        <f>IFERROR(IF(MONTH(C15)&amp;YEAR(C15)="82016",SUM(VLOOKUP(B15,'Остаточная тр-ть'!A:B,2,0)-VLOOKUP(B15,План!A:B,2,0)),""),"")</f>
        <v/>
      </c>
      <c r="N15" s="2" t="str">
        <f>IFERROR(IF(MONTH(C15)&amp;YEAR(C15)="92016",SUM(VLOOKUP(B15,'Остаточная тр-ть'!A:B,2,0)-VLOOKUP(B15,План!A:B,2,0)),""),"")</f>
        <v/>
      </c>
      <c r="O15" s="2" t="str">
        <f>IFERROR(IF(MONTH(C15)&amp;YEAR(C15)="102016",SUM(VLOOKUP(B15,'Остаточная тр-ть'!A:B,2,0)-VLOOKUP(B15,План!A:B,2,0)),""),"")</f>
        <v/>
      </c>
      <c r="P15" s="2" t="str">
        <f>IFERROR(IF(MONTH(C15)&amp;YEAR(C15)="112016",SUM(VLOOKUP(B15,'Остаточная тр-ть'!A:B,2,0)-VLOOKUP(B15,План!A:B,2,0)),""),"")</f>
        <v/>
      </c>
      <c r="Q15" s="2" t="str">
        <f>IFERROR(IF(MONTH(C15)&amp;YEAR(C15)="122016",SUM(VLOOKUP(B15,'Остаточная тр-ть'!A:B,2,0)-VLOOKUP(B15,План!A:B,2,0)),""),"")</f>
        <v/>
      </c>
      <c r="R15" s="2" t="str">
        <f>IFERROR(IF(MONTH(C15)&amp;YEAR(C15)="12017",SUM(VLOOKUP(B15,'Остаточная тр-ть'!A:B,2,0)-VLOOKUP(B15,План!A:B,2,0)),""),"")</f>
        <v/>
      </c>
      <c r="S15">
        <f t="shared" si="1"/>
        <v>2980</v>
      </c>
    </row>
    <row r="16" spans="1:19" hidden="1" x14ac:dyDescent="0.25">
      <c r="A16" s="2">
        <v>5</v>
      </c>
      <c r="B16" s="2" t="str">
        <f>VLOOKUP(A16,'План слачи на СГП'!A:B,2,0)</f>
        <v>Спектрометр2</v>
      </c>
      <c r="C16" s="3">
        <v>42457</v>
      </c>
      <c r="D16" s="3">
        <v>42401</v>
      </c>
      <c r="E16" s="4">
        <f t="shared" si="0"/>
        <v>56</v>
      </c>
      <c r="F16" s="2" t="str">
        <f>IFERROR(IF(F15=План!B5,IF(VLOOKUP(B16,План!A:B,2,0)&gt;0,VLOOKUP(B16,План!A:B,2,0),""),""),"")</f>
        <v/>
      </c>
      <c r="G16" s="2" t="str">
        <f>IFERROR(IF(MONTH(C16)&amp;YEAR(C16)="22016",SUM(VLOOKUP(B16,'Остаточная тр-ть'!A:B,2,0)-VLOOKUP(B16,План!A:B,2,0)),""),"")</f>
        <v/>
      </c>
      <c r="H16" s="2">
        <f>IFERROR(IF(MONTH(C16)&amp;YEAR(C16)="32016",SUM(VLOOKUP(B16,'Остаточная тр-ть'!A:B,2,0)-VLOOKUP(B16,План!A:B,2,0)),""),"")</f>
        <v>2970</v>
      </c>
      <c r="I16" s="2" t="str">
        <f>IFERROR(IF(MONTH(C16)&amp;YEAR(C16)="42016",SUM(VLOOKUP(B16,'Остаточная тр-ть'!A:B,2,0)-VLOOKUP(B16,План!A:B,2,0)),""),"")</f>
        <v/>
      </c>
      <c r="J16" s="2" t="str">
        <f>IFERROR(IF(MONTH(C16)&amp;YEAR(C16)="52016",SUM(VLOOKUP(B16,'Остаточная тр-ть'!A:B,2,0)-VLOOKUP(B16,План!A:B,2,0)),""),"")</f>
        <v/>
      </c>
      <c r="K16" s="2" t="str">
        <f>IFERROR(IF(MONTH(C16)&amp;YEAR(C16)="62016",SUM(VLOOKUP(B16,'Остаточная тр-ть'!A:B,2,0)-VLOOKUP(B16,План!A:B,2,0)),""),"")</f>
        <v/>
      </c>
      <c r="L16" s="2" t="str">
        <f>IFERROR(IF(MONTH(C16)&amp;YEAR(C16)="72016",SUM(VLOOKUP(B16,'Остаточная тр-ть'!A:B,2,0)-VLOOKUP(B16,План!A:B,2,0)),""),"")</f>
        <v/>
      </c>
      <c r="M16" s="2" t="str">
        <f>IFERROR(IF(MONTH(C16)&amp;YEAR(C16)="82016",SUM(VLOOKUP(B16,'Остаточная тр-ть'!A:B,2,0)-VLOOKUP(B16,План!A:B,2,0)),""),"")</f>
        <v/>
      </c>
      <c r="N16" s="2" t="str">
        <f>IFERROR(IF(MONTH(C16)&amp;YEAR(C16)="92016",SUM(VLOOKUP(B16,'Остаточная тр-ть'!A:B,2,0)-VLOOKUP(B16,План!A:B,2,0)),""),"")</f>
        <v/>
      </c>
      <c r="O16" s="2" t="str">
        <f>IFERROR(IF(MONTH(C16)&amp;YEAR(C16)="102016",SUM(VLOOKUP(B16,'Остаточная тр-ть'!A:B,2,0)-VLOOKUP(B16,План!A:B,2,0)),""),"")</f>
        <v/>
      </c>
      <c r="P16" s="2" t="str">
        <f>IFERROR(IF(MONTH(C16)&amp;YEAR(C16)="112016",SUM(VLOOKUP(B16,'Остаточная тр-ть'!A:B,2,0)-VLOOKUP(B16,План!A:B,2,0)),""),"")</f>
        <v/>
      </c>
      <c r="Q16" s="2" t="str">
        <f>IFERROR(IF(MONTH(C16)&amp;YEAR(C16)="122016",SUM(VLOOKUP(B16,'Остаточная тр-ть'!A:B,2,0)-VLOOKUP(B16,План!A:B,2,0)),""),"")</f>
        <v/>
      </c>
      <c r="R16" s="2" t="str">
        <f>IFERROR(IF(MONTH(C16)&amp;YEAR(C16)="12017",SUM(VLOOKUP(B16,'Остаточная тр-ть'!A:B,2,0)-VLOOKUP(B16,План!A:B,2,0)),""),"")</f>
        <v/>
      </c>
      <c r="S16">
        <f t="shared" si="1"/>
        <v>2970</v>
      </c>
    </row>
    <row r="17" spans="1:28" hidden="1" x14ac:dyDescent="0.25">
      <c r="A17" s="2">
        <v>6</v>
      </c>
      <c r="B17" s="2" t="str">
        <f>VLOOKUP(A17,'План слачи на СГП'!A:B,2,0)</f>
        <v>Сепаратор2</v>
      </c>
      <c r="C17" s="3">
        <v>42454</v>
      </c>
      <c r="D17" s="3">
        <v>42401</v>
      </c>
      <c r="E17" s="4">
        <f t="shared" si="0"/>
        <v>53</v>
      </c>
      <c r="F17" s="2" t="str">
        <f>IFERROR(IF(F16=План!B6,IF(VLOOKUP(B17,План!A:B,2,0)&gt;0,VLOOKUP(B17,План!A:B,2,0),""),""),"")</f>
        <v/>
      </c>
      <c r="G17" s="2" t="str">
        <f>IFERROR(IF(MONTH(C17)&amp;YEAR(C17)="22016",SUM(VLOOKUP(B17,'Остаточная тр-ть'!A:B,2,0)-VLOOKUP(B17,План!A:B,2,0)),""),"")</f>
        <v/>
      </c>
      <c r="H17" s="2">
        <f>IFERROR(IF(MONTH(C17)&amp;YEAR(C17)="32016",SUM(VLOOKUP(B17,'Остаточная тр-ть'!A:B,2,0)-VLOOKUP(B17,План!A:B,2,0)),""),"")</f>
        <v>3000</v>
      </c>
      <c r="I17" s="2" t="str">
        <f>IFERROR(IF(MONTH(C17)&amp;YEAR(C17)="42016",SUM(VLOOKUP(B17,'Остаточная тр-ть'!A:B,2,0)-VLOOKUP(B17,План!A:B,2,0)),""),"")</f>
        <v/>
      </c>
      <c r="J17" s="2" t="str">
        <f>IFERROR(IF(MONTH(C17)&amp;YEAR(C17)="52016",SUM(VLOOKUP(B17,'Остаточная тр-ть'!A:B,2,0)-VLOOKUP(B17,План!A:B,2,0)),""),"")</f>
        <v/>
      </c>
      <c r="K17" s="2" t="str">
        <f>IFERROR(IF(MONTH(C17)&amp;YEAR(C17)="62016",SUM(VLOOKUP(B17,'Остаточная тр-ть'!A:B,2,0)-VLOOKUP(B17,План!A:B,2,0)),""),"")</f>
        <v/>
      </c>
      <c r="L17" s="2" t="str">
        <f>IFERROR(IF(MONTH(C17)&amp;YEAR(C17)="72016",SUM(VLOOKUP(B17,'Остаточная тр-ть'!A:B,2,0)-VLOOKUP(B17,План!A:B,2,0)),""),"")</f>
        <v/>
      </c>
      <c r="M17" s="2" t="str">
        <f>IFERROR(IF(MONTH(C17)&amp;YEAR(C17)="82016",SUM(VLOOKUP(B17,'Остаточная тр-ть'!A:B,2,0)-VLOOKUP(B17,План!A:B,2,0)),""),"")</f>
        <v/>
      </c>
      <c r="N17" s="2" t="str">
        <f>IFERROR(IF(MONTH(C17)&amp;YEAR(C17)="92016",SUM(VLOOKUP(B17,'Остаточная тр-ть'!A:B,2,0)-VLOOKUP(B17,План!A:B,2,0)),""),"")</f>
        <v/>
      </c>
      <c r="O17" s="2" t="str">
        <f>IFERROR(IF(MONTH(C17)&amp;YEAR(C17)="102016",SUM(VLOOKUP(B17,'Остаточная тр-ть'!A:B,2,0)-VLOOKUP(B17,План!A:B,2,0)),""),"")</f>
        <v/>
      </c>
      <c r="P17" s="2" t="str">
        <f>IFERROR(IF(MONTH(C17)&amp;YEAR(C17)="112016",SUM(VLOOKUP(B17,'Остаточная тр-ть'!A:B,2,0)-VLOOKUP(B17,План!A:B,2,0)),""),"")</f>
        <v/>
      </c>
      <c r="Q17" s="2" t="str">
        <f>IFERROR(IF(MONTH(C17)&amp;YEAR(C17)="122016",SUM(VLOOKUP(B17,'Остаточная тр-ть'!A:B,2,0)-VLOOKUP(B17,План!A:B,2,0)),""),"")</f>
        <v/>
      </c>
      <c r="R17" s="2" t="str">
        <f>IFERROR(IF(MONTH(C17)&amp;YEAR(C17)="12017",SUM(VLOOKUP(B17,'Остаточная тр-ть'!A:B,2,0)-VLOOKUP(B17,План!A:B,2,0)),""),"")</f>
        <v/>
      </c>
      <c r="S17">
        <f t="shared" si="1"/>
        <v>3000</v>
      </c>
    </row>
    <row r="18" spans="1:28" hidden="1" x14ac:dyDescent="0.25">
      <c r="A18" s="2">
        <v>7</v>
      </c>
      <c r="B18" s="2" t="str">
        <f>VLOOKUP(A18,'План слачи на СГП'!A:B,2,0)</f>
        <v>Сепаратор3</v>
      </c>
      <c r="C18" s="3">
        <v>42518</v>
      </c>
      <c r="D18" s="3">
        <v>42401</v>
      </c>
      <c r="E18" s="4">
        <f t="shared" si="0"/>
        <v>117</v>
      </c>
      <c r="F18" s="2" t="str">
        <f>IFERROR(IF(F17=План!B7,IF(VLOOKUP(B18,План!A:B,2,0)&gt;0,VLOOKUP(B18,План!A:B,2,0),""),""),"")</f>
        <v/>
      </c>
      <c r="G18" s="2" t="str">
        <f>IFERROR(IF(MONTH(C18)&amp;YEAR(C18)="22016",SUM(VLOOKUP(B18,'Остаточная тр-ть'!A:B,2,0)-VLOOKUP(B18,План!A:B,2,0)),""),"")</f>
        <v/>
      </c>
      <c r="H18" s="2" t="str">
        <f>IFERROR(IF(MONTH(C18)&amp;YEAR(C18)="32016",SUM(VLOOKUP(B18,'Остаточная тр-ть'!A:B,2,0)-VLOOKUP(B18,План!A:B,2,0)),""),"")</f>
        <v/>
      </c>
      <c r="I18" s="2" t="str">
        <f>IFERROR(IF(MONTH(C18)&amp;YEAR(C18)="42016",SUM(VLOOKUP(B18,'Остаточная тр-ть'!A:B,2,0)-VLOOKUP(B18,План!A:B,2,0)),""),"")</f>
        <v/>
      </c>
      <c r="J18" s="2">
        <f>IFERROR(IF(MONTH(C18)&amp;YEAR(C18)="52016",SUM(VLOOKUP(B18,'Остаточная тр-ть'!A:B,2,0)-VLOOKUP(B18,План!A:B,2,0)),""),"")</f>
        <v>3000</v>
      </c>
      <c r="K18" s="2" t="str">
        <f>IFERROR(IF(MONTH(C18)&amp;YEAR(C18)="62016",SUM(VLOOKUP(B18,'Остаточная тр-ть'!A:B,2,0)-VLOOKUP(B18,План!A:B,2,0)),""),"")</f>
        <v/>
      </c>
      <c r="L18" s="2" t="str">
        <f>IFERROR(IF(MONTH(C18)&amp;YEAR(C18)="72016",SUM(VLOOKUP(B18,'Остаточная тр-ть'!A:B,2,0)-VLOOKUP(B18,План!A:B,2,0)),""),"")</f>
        <v/>
      </c>
      <c r="M18" s="2" t="str">
        <f>IFERROR(IF(MONTH(C18)&amp;YEAR(C18)="82016",SUM(VLOOKUP(B18,'Остаточная тр-ть'!A:B,2,0)-VLOOKUP(B18,План!A:B,2,0)),""),"")</f>
        <v/>
      </c>
      <c r="N18" s="2" t="str">
        <f>IFERROR(IF(MONTH(C18)&amp;YEAR(C18)="92016",SUM(VLOOKUP(B18,'Остаточная тр-ть'!A:B,2,0)-VLOOKUP(B18,План!A:B,2,0)),""),"")</f>
        <v/>
      </c>
      <c r="O18" s="2" t="str">
        <f>IFERROR(IF(MONTH(C18)&amp;YEAR(C18)="102016",SUM(VLOOKUP(B18,'Остаточная тр-ть'!A:B,2,0)-VLOOKUP(B18,План!A:B,2,0)),""),"")</f>
        <v/>
      </c>
      <c r="P18" s="2" t="str">
        <f>IFERROR(IF(MONTH(C18)&amp;YEAR(C18)="112016",SUM(VLOOKUP(B18,'Остаточная тр-ть'!A:B,2,0)-VLOOKUP(B18,План!A:B,2,0)),""),"")</f>
        <v/>
      </c>
      <c r="Q18" s="2" t="str">
        <f>IFERROR(IF(MONTH(C18)&amp;YEAR(C18)="122016",SUM(VLOOKUP(B18,'Остаточная тр-ть'!A:B,2,0)-VLOOKUP(B18,План!A:B,2,0)),""),"")</f>
        <v/>
      </c>
      <c r="R18" s="2" t="str">
        <f>IFERROR(IF(MONTH(C18)&amp;YEAR(C18)="12017",SUM(VLOOKUP(B18,'Остаточная тр-ть'!A:B,2,0)-VLOOKUP(B18,План!A:B,2,0)),""),"")</f>
        <v/>
      </c>
      <c r="S18">
        <f t="shared" si="1"/>
        <v>3000</v>
      </c>
    </row>
    <row r="19" spans="1:28" hidden="1" x14ac:dyDescent="0.25">
      <c r="A19" s="26" t="s">
        <v>22</v>
      </c>
      <c r="B19" s="27"/>
      <c r="C19" s="3"/>
      <c r="D19" s="3"/>
      <c r="E19" s="4"/>
      <c r="F19" s="2">
        <f>SUM(F12:F18)</f>
        <v>0</v>
      </c>
      <c r="G19" s="2">
        <f t="shared" ref="G19:Q19" si="2">SUM(G12:G18)</f>
        <v>106.42201834862387</v>
      </c>
      <c r="H19" s="2">
        <f t="shared" si="2"/>
        <v>5970</v>
      </c>
      <c r="I19" s="2">
        <f t="shared" si="2"/>
        <v>3010.0917431192661</v>
      </c>
      <c r="J19" s="2">
        <f t="shared" si="2"/>
        <v>5980</v>
      </c>
      <c r="K19" s="2">
        <f t="shared" si="2"/>
        <v>110.09174311926606</v>
      </c>
      <c r="L19" s="2">
        <f t="shared" si="2"/>
        <v>0</v>
      </c>
      <c r="M19" s="2">
        <f t="shared" si="2"/>
        <v>113.76146788990826</v>
      </c>
      <c r="N19" s="2">
        <f t="shared" si="2"/>
        <v>0</v>
      </c>
      <c r="O19" s="2">
        <f t="shared" si="2"/>
        <v>113.76146788990826</v>
      </c>
      <c r="P19" s="2">
        <f t="shared" si="2"/>
        <v>0</v>
      </c>
      <c r="Q19" s="2">
        <f t="shared" si="2"/>
        <v>113.76146788990826</v>
      </c>
      <c r="R19" s="2"/>
      <c r="S19">
        <f t="shared" si="1"/>
        <v>15517.889908256881</v>
      </c>
    </row>
    <row r="20" spans="1:28" hidden="1" x14ac:dyDescent="0.25">
      <c r="A20" s="26" t="s">
        <v>0</v>
      </c>
      <c r="B20" s="27"/>
      <c r="C20" s="2"/>
      <c r="D20" s="2"/>
      <c r="E20" s="4"/>
      <c r="F20" s="2">
        <v>300</v>
      </c>
      <c r="G20" s="2">
        <v>300</v>
      </c>
      <c r="H20" s="2">
        <v>300</v>
      </c>
      <c r="I20" s="2">
        <v>300</v>
      </c>
      <c r="J20" s="2">
        <v>300</v>
      </c>
      <c r="K20" s="2">
        <v>300</v>
      </c>
      <c r="L20" s="2">
        <v>300</v>
      </c>
      <c r="M20" s="2">
        <v>300</v>
      </c>
      <c r="N20" s="2">
        <v>300</v>
      </c>
      <c r="O20" s="2">
        <v>300</v>
      </c>
      <c r="P20" s="2">
        <v>300</v>
      </c>
      <c r="Q20" s="2">
        <v>300</v>
      </c>
      <c r="R20" s="2"/>
    </row>
    <row r="21" spans="1:28" hidden="1" x14ac:dyDescent="0.25">
      <c r="A21" s="28" t="s">
        <v>23</v>
      </c>
      <c r="B21" s="28"/>
      <c r="C21" s="5"/>
      <c r="D21" s="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28" x14ac:dyDescent="0.25">
      <c r="A22" s="29" t="s">
        <v>27</v>
      </c>
      <c r="B22" s="29"/>
      <c r="C22" s="29"/>
      <c r="D22" s="29"/>
      <c r="E22" s="29"/>
      <c r="F22" s="12">
        <v>31</v>
      </c>
      <c r="G22" s="12">
        <v>29</v>
      </c>
      <c r="H22" s="12">
        <v>31</v>
      </c>
      <c r="I22" s="12">
        <v>30</v>
      </c>
      <c r="J22" s="12">
        <v>31</v>
      </c>
      <c r="K22" s="12">
        <v>30</v>
      </c>
      <c r="L22" s="12">
        <v>31</v>
      </c>
      <c r="M22" s="12">
        <v>31</v>
      </c>
      <c r="N22" s="12">
        <v>30</v>
      </c>
      <c r="O22" s="12">
        <v>31</v>
      </c>
      <c r="P22" s="12">
        <v>30</v>
      </c>
      <c r="Q22" s="12">
        <v>31</v>
      </c>
      <c r="R22" s="12">
        <v>30</v>
      </c>
    </row>
    <row r="24" spans="1:28" x14ac:dyDescent="0.25"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G32" s="10">
        <f>IF(MONTH($D$13)&amp;YEAR($D$13)="22016",IF(MONTH($C$13)&amp;YEAR($C$13)&gt;"22016",G22-SUM(DAY($D$13)-1),$E$13),IF(MONTH($D$13)&amp;YEAR($D$13)&gt;"22016",0,IF($E$13-SUM(F$32:$G32)&gt;G22,G22,$E$13-SUM(F$32:$G32))))</f>
        <v>0</v>
      </c>
      <c r="H32" s="10">
        <f>IF(MONTH($D$13)&amp;YEAR($D$13)="32016",IF(MONTH($C$13)&amp;YEAR($C$13)&gt;"32016",H22-SUM(DAY($D$13)-1),$E$13),IF(MONTH($D$13)&amp;YEAR($D$13)&gt;"32016",0,IF($E$13-SUM(G$32:$G32)&gt;H22,H22,$E$13-SUM(G$32:$G32))))</f>
        <v>224</v>
      </c>
      <c r="I32" s="10">
        <f>IF(MONTH($D$13)&amp;YEAR($D$13)="42016",IF(MONTH($C$13)&amp;YEAR($C$13)&gt;"42016",I22-SUM(DAY($D$13)-1),$E$13),IF(MONTH($D$13)&amp;YEAR($D$13)&gt;"42016",0,IF($E$13-SUM($G$32:H32)&gt;I22,I22,$E$13-SUM($G$32:H32))))</f>
        <v>0</v>
      </c>
      <c r="J32" s="10">
        <f>IF(MONTH($D$13)&amp;YEAR($D$13)="52016",IF(MONTH($C$13)&amp;YEAR($C$13)&gt;"52016",J22-SUM(DAY($D$13)-1),$E$13),IF(MONTH($D$13)&amp;YEAR($D$13)&gt;"52016",0,IF($E$13-SUM($G$32:I32)&gt;J22,J22,$E$13-SUM($G$32:I32))))</f>
        <v>0</v>
      </c>
      <c r="K32" s="10">
        <f>IF(MONTH($D$13)&amp;YEAR($D$13)="62016",IF(MONTH($C$13)&amp;YEAR($C$13)&gt;"62016",K22-SUM(DAY($D$13)-1),$E$13),IF(MONTH($D$13)&amp;YEAR($D$13)&gt;"62016",0,IF($E$13-SUM($G$32:J32)&gt;K22,K22,$E$13-SUM($G$32:J32))))</f>
        <v>0</v>
      </c>
      <c r="L32" s="10">
        <f>IF(MONTH($D$13)&amp;YEAR($D$13)="72016",IF(MONTH($C$13)&amp;YEAR($C$13)&gt;"72016",L22-SUM(DAY($D$13)-1),$E$13),IF(MONTH($D$13)&amp;YEAR($D$13)&gt;"72016",0,IF($E$13-SUM($G$32:K32)&gt;L22,L22,$E$13-SUM($G$32:K32))))</f>
        <v>0</v>
      </c>
      <c r="M32" s="10">
        <f>IF(MONTH($D$13)&amp;YEAR($D$13)="82016",IF(MONTH($C$13)&amp;YEAR($C$13)&gt;"82016",M22-SUM(DAY($D$13)-1),$E$13),IF(MONTH($D$13)&amp;YEAR($D$13)&gt;"82016",0,IF($E$13-SUM($G$32:L32)&gt;M22,M22,$E$13-SUM($G$32:L32))))</f>
        <v>0</v>
      </c>
      <c r="N32" s="10">
        <f>IF(MONTH($D$13)&amp;YEAR($D$13)="92016",IF(MONTH($C$13)&amp;YEAR($C$13)&gt;"92016",N22-SUM(DAY($D$13)-1),$E$13),IF(MONTH($D$13)&amp;YEAR($D$13)&gt;"92016",0,IF($E$13-SUM($G$32:M32)&gt;N22,N22,$E$13-SUM($G$32:M32))))</f>
        <v>0</v>
      </c>
      <c r="O32" s="10">
        <f>IF(MONTH($D$13)&amp;YEAR($D$13)="102016",IF(MONTH($C$13)&amp;YEAR($C$13)&gt;"102016",O22-SUM(DAY($D$13)-1),$E$13),IF(MONTH($D$13)&amp;YEAR($D$13)&gt;"102016",0,IF($E$13-SUM($G$32:N32)&gt;O22,O22,$E$13-SUM($G$32:N32))))</f>
        <v>0</v>
      </c>
      <c r="P32" s="10">
        <f>IF(MONTH($D$13)&amp;YEAR($D$13)="112016",IF(MONTH($C$13)&amp;YEAR($C$13)&gt;"112016",P22-SUM(DAY($D$13)-1),$E$13),IF(MONTH($D$13)&amp;YEAR($D$13)&gt;"112016",0,IF($E$13-SUM($G$32:O32)&gt;P22,P22,$E$13-SUM($G$32:O32))))</f>
        <v>0</v>
      </c>
      <c r="Q32" s="10">
        <f>IF(MONTH($D$13)&amp;YEAR($D$13)="122016",IF(MONTH($C$13)&amp;YEAR($C$13)&gt;"122016",Q22-SUM(DAY($D$13)-1),$E$13),IF(MONTH($D$13)&amp;YEAR($D$13)&gt;"122016",0,IF($E$13-SUM($G$32:P32)&gt;Q22,Q22,$E$13-SUM($G$32:P32))))</f>
        <v>0</v>
      </c>
      <c r="R32" s="10">
        <f>IF(MONTH($D$13)&amp;YEAR($D$13)="12017",IF(MONTH($C$13)&amp;YEAR($C$13)&gt;"12017",R22-SUM(DAY($D$13)-1),$E$13),IF(MONTH($D$13)&amp;YEAR($D$13)&gt;"12017",0,IF($E$13-SUM($G$32:Q32)&gt;R22,R22,$E$13-SUM($G$32:Q32))))</f>
        <v>0</v>
      </c>
      <c r="S32" s="10" t="b">
        <f>SUM(G32:R32)=E13</f>
        <v>1</v>
      </c>
      <c r="T32" s="7"/>
      <c r="U32" s="7"/>
      <c r="V32" s="7"/>
      <c r="W32" s="7"/>
      <c r="X32" s="7"/>
      <c r="Y32" s="7"/>
      <c r="Z32" s="7"/>
      <c r="AA32" s="7"/>
      <c r="AB32" s="7"/>
    </row>
    <row r="33" spans="9:28" x14ac:dyDescent="0.25">
      <c r="T33" s="7"/>
      <c r="U33" s="7"/>
      <c r="V33" s="7"/>
      <c r="W33" s="7"/>
      <c r="X33" s="7"/>
      <c r="Y33" s="7"/>
      <c r="Z33" s="7"/>
      <c r="AA33" s="7"/>
      <c r="AB33" s="7"/>
    </row>
    <row r="34" spans="9:28" x14ac:dyDescent="0.25"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9:28" x14ac:dyDescent="0.25">
      <c r="S35" s="7"/>
      <c r="T35" s="7"/>
      <c r="U35" s="7"/>
      <c r="V35" s="7"/>
      <c r="W35" s="7"/>
      <c r="X35" s="7"/>
      <c r="Y35" s="7"/>
      <c r="Z35" s="7"/>
      <c r="AA35" s="7"/>
      <c r="AB35" s="7"/>
    </row>
  </sheetData>
  <mergeCells count="4">
    <mergeCell ref="A19:B19"/>
    <mergeCell ref="A20:B20"/>
    <mergeCell ref="A21:B21"/>
    <mergeCell ref="A22:E22"/>
  </mergeCells>
  <conditionalFormatting sqref="S32">
    <cfRule type="cellIs" dxfId="1" priority="1" operator="notEqual">
      <formula>TRUE</formula>
    </cfRule>
    <cfRule type="cellIs" dxfId="0" priority="2" operator="equal">
      <formula>TRUE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"/>
  <sheetViews>
    <sheetView tabSelected="1" zoomScaleNormal="100" workbookViewId="0">
      <selection activeCell="G3" sqref="G3"/>
    </sheetView>
  </sheetViews>
  <sheetFormatPr defaultRowHeight="15" x14ac:dyDescent="0.25"/>
  <cols>
    <col min="2" max="4" width="10.140625" bestFit="1" customWidth="1"/>
    <col min="5" max="5" width="10" customWidth="1"/>
    <col min="6" max="6" width="11.28515625" customWidth="1"/>
    <col min="7" max="19" width="10.85546875" customWidth="1"/>
    <col min="23" max="23" width="10.140625" bestFit="1" customWidth="1"/>
  </cols>
  <sheetData>
    <row r="1" spans="1:23" x14ac:dyDescent="0.25">
      <c r="G1" s="25">
        <v>31</v>
      </c>
      <c r="H1" s="25">
        <v>28</v>
      </c>
      <c r="I1" s="25">
        <v>31</v>
      </c>
      <c r="J1" s="25">
        <v>30</v>
      </c>
      <c r="K1" s="25">
        <v>31</v>
      </c>
      <c r="L1" s="25">
        <v>30</v>
      </c>
      <c r="M1" s="25">
        <v>31</v>
      </c>
      <c r="N1" s="25">
        <v>31</v>
      </c>
      <c r="O1" s="25">
        <v>30</v>
      </c>
      <c r="P1" s="25">
        <v>31</v>
      </c>
      <c r="Q1" s="25">
        <v>30</v>
      </c>
      <c r="R1" s="25">
        <v>31</v>
      </c>
      <c r="S1" s="25">
        <v>30</v>
      </c>
      <c r="W1" s="1"/>
    </row>
    <row r="2" spans="1:23" ht="60" customHeight="1" x14ac:dyDescent="0.25">
      <c r="A2" s="23" t="s">
        <v>35</v>
      </c>
      <c r="B2" s="20" t="s">
        <v>30</v>
      </c>
      <c r="C2" s="21" t="s">
        <v>31</v>
      </c>
      <c r="D2" s="20" t="s">
        <v>30</v>
      </c>
      <c r="E2" s="21" t="s">
        <v>31</v>
      </c>
      <c r="F2" s="16" t="s">
        <v>29</v>
      </c>
      <c r="G2" s="22">
        <v>44197</v>
      </c>
      <c r="H2" s="22">
        <v>44228</v>
      </c>
      <c r="I2" s="22">
        <v>44256</v>
      </c>
      <c r="J2" s="22">
        <v>44287</v>
      </c>
      <c r="K2" s="22">
        <v>44317</v>
      </c>
      <c r="L2" s="22">
        <v>44348</v>
      </c>
      <c r="M2" s="22">
        <v>44378</v>
      </c>
      <c r="N2" s="22">
        <v>44409</v>
      </c>
      <c r="O2" s="22">
        <v>44440</v>
      </c>
      <c r="P2" s="22">
        <v>44470</v>
      </c>
      <c r="Q2" s="22">
        <v>44501</v>
      </c>
      <c r="R2" s="22">
        <v>44531</v>
      </c>
      <c r="S2" s="22">
        <v>44562</v>
      </c>
      <c r="W2" s="1"/>
    </row>
    <row r="3" spans="1:23" x14ac:dyDescent="0.25">
      <c r="A3" s="24" t="s">
        <v>32</v>
      </c>
      <c r="B3" s="3">
        <v>44180</v>
      </c>
      <c r="C3" s="3">
        <v>44211</v>
      </c>
      <c r="D3" s="3">
        <v>44242</v>
      </c>
      <c r="E3" s="3">
        <v>44270</v>
      </c>
      <c r="F3" s="3">
        <v>44301</v>
      </c>
      <c r="G3" s="24" cm="1">
        <f t="array" ref="G3">SUMPRODUCT(--TEXT((EOMONTH(G$2,0)-TEXT((EOMONTH(G$2,0)-IF(($C3:$E3=0)*($B3:$D3&gt;0),$F3,$C3:$E3)),"0;\0")+1)*($C$2:$E$2="Со склада")-(TEXT(($B3:$D3-G$2),"0;\0")+G$2)*($B$2:$D$2="На склад"),"0;\0"))</f>
        <v>15</v>
      </c>
      <c r="H3" s="24" cm="1">
        <f t="array" ref="H3">SUMPRODUCT(--TEXT((EOMONTH(H$2,0)-TEXT((EOMONTH(H$2,0)-IF(($C3:$E3=0)*($B3:$D3&gt;0),$F3,$C3:$E3)),"0;\0")+1)*($C$2:$E$2="Со склада")-(TEXT(($B3:$D3-H$2),"0;\0")+H$2)*($B$2:$D$2="На склад"),"0;\0"))</f>
        <v>14</v>
      </c>
      <c r="I3" s="24" cm="1">
        <f t="array" ref="I3">SUMPRODUCT(--TEXT((EOMONTH(I$2,0)-TEXT((EOMONTH(I$2,0)-IF(($C3:$E3=0)*($B3:$D3&gt;0),$F3,$C3:$E3)),"0;\0")+1)*($C$2:$E$2="Со склада")-(TEXT(($B3:$D3-I$2),"0;\0")+I$2)*($B$2:$D$2="На склад"),"0;\0"))</f>
        <v>15</v>
      </c>
      <c r="J3" s="24" cm="1">
        <f t="array" ref="J3">SUMPRODUCT(--TEXT((EOMONTH(J$2,0)-TEXT((EOMONTH(J$2,0)-IF(($C3:$E3=0)*($B3:$D3&gt;0),$F3,$C3:$E3)),"0;\0")+1)*($C$2:$E$2="Со склада")-(TEXT(($B3:$D3-J$2),"0;\0")+J$2)*($B$2:$D$2="На склад"),"0;\0"))</f>
        <v>0</v>
      </c>
      <c r="K3" s="24" cm="1">
        <f t="array" ref="K3">SUMPRODUCT(--TEXT((EOMONTH(K$2,0)-TEXT((EOMONTH(K$2,0)-IF(($C3:$E3=0)*($B3:$D3&gt;0),$F3,$C3:$E3)),"0;\0")+1)*($C$2:$E$2="Со склада")-(TEXT(($B3:$D3-K$2),"0;\0")+K$2)*($B$2:$D$2="На склад"),"0;\0"))</f>
        <v>0</v>
      </c>
      <c r="L3" s="24" cm="1">
        <f t="array" ref="L3">SUMPRODUCT(--TEXT((EOMONTH(L$2,0)-TEXT((EOMONTH(L$2,0)-IF(($C3:$E3=0)*($B3:$D3&gt;0),$F3,$C3:$E3)),"0;\0")+1)*($C$2:$E$2="Со склада")-(TEXT(($B3:$D3-L$2),"0;\0")+L$2)*($B$2:$D$2="На склад"),"0;\0"))</f>
        <v>0</v>
      </c>
      <c r="M3" s="24" cm="1">
        <f t="array" ref="M3">SUMPRODUCT(--TEXT((EOMONTH(M$2,0)-TEXT((EOMONTH(M$2,0)-IF(($C3:$E3=0)*($B3:$D3&gt;0),$F3,$C3:$E3)),"0;\0")+1)*($C$2:$E$2="Со склада")-(TEXT(($B3:$D3-M$2),"0;\0")+M$2)*($B$2:$D$2="На склад"),"0;\0"))</f>
        <v>0</v>
      </c>
      <c r="N3" s="24" cm="1">
        <f t="array" ref="N3">SUMPRODUCT(--TEXT((EOMONTH(N$2,0)-TEXT((EOMONTH(N$2,0)-IF(($C3:$E3=0)*($B3:$D3&gt;0),$F3,$C3:$E3)),"0;\0")+1)*($C$2:$E$2="Со склада")-(TEXT(($B3:$D3-N$2),"0;\0")+N$2)*($B$2:$D$2="На склад"),"0;\0"))</f>
        <v>0</v>
      </c>
      <c r="O3" s="24" cm="1">
        <f t="array" ref="O3">SUMPRODUCT(--TEXT((EOMONTH(O$2,0)-TEXT((EOMONTH(O$2,0)-IF(($C3:$E3=0)*($B3:$D3&gt;0),$F3,$C3:$E3)),"0;\0")+1)*($C$2:$E$2="Со склада")-(TEXT(($B3:$D3-O$2),"0;\0")+O$2)*($B$2:$D$2="На склад"),"0;\0"))</f>
        <v>0</v>
      </c>
      <c r="P3" s="24" cm="1">
        <f t="array" ref="P3">SUMPRODUCT(--TEXT((EOMONTH(P$2,0)-TEXT((EOMONTH(P$2,0)-IF(($C3:$E3=0)*($B3:$D3&gt;0),$F3,$C3:$E3)),"0;\0")+1)*($C$2:$E$2="Со склада")-(TEXT(($B3:$D3-P$2),"0;\0")+P$2)*($B$2:$D$2="На склад"),"0;\0"))</f>
        <v>0</v>
      </c>
      <c r="Q3" s="24" cm="1">
        <f t="array" ref="Q3">SUMPRODUCT(--TEXT((EOMONTH(Q$2,0)-TEXT((EOMONTH(Q$2,0)-IF(($C3:$E3=0)*($B3:$D3&gt;0),$F3,$C3:$E3)),"0;\0")+1)*($C$2:$E$2="Со склада")-(TEXT(($B3:$D3-Q$2),"0;\0")+Q$2)*($B$2:$D$2="На склад"),"0;\0"))</f>
        <v>0</v>
      </c>
      <c r="R3" s="24" cm="1">
        <f t="array" ref="R3">SUMPRODUCT(--TEXT((EOMONTH(R$2,0)-TEXT((EOMONTH(R$2,0)-IF(($C3:$E3=0)*($B3:$D3&gt;0),$F3,$C3:$E3)),"0;\0")+1)*($C$2:$E$2="Со склада")-(TEXT(($B3:$D3-R$2),"0;\0")+R$2)*($B$2:$D$2="На склад"),"0;\0"))</f>
        <v>0</v>
      </c>
      <c r="S3" s="24" cm="1">
        <f t="array" ref="S3">SUMPRODUCT(--TEXT((EOMONTH(S$2,0)-TEXT((EOMONTH(S$2,0)-IF(($C3:$E3=0)*($B3:$D3&gt;0),$F3,$C3:$E3)),"0;\0")+1)*($C$2:$E$2="Со склада")-(TEXT(($B3:$D3-S$2),"0;\0")+S$2)*($B$2:$D$2="На склад"),"0;\0"))</f>
        <v>0</v>
      </c>
    </row>
    <row r="4" spans="1:23" x14ac:dyDescent="0.25">
      <c r="A4" s="24" t="s">
        <v>33</v>
      </c>
      <c r="B4" s="3">
        <v>44175</v>
      </c>
      <c r="C4" s="3">
        <v>44206</v>
      </c>
      <c r="D4" s="3">
        <v>44237</v>
      </c>
      <c r="E4" s="3"/>
      <c r="F4" s="3">
        <v>44242</v>
      </c>
      <c r="G4" s="24" cm="1">
        <f t="array" ref="G4">SUMPRODUCT(--TEXT((EOMONTH(G$2,0)-TEXT((EOMONTH(G$2,0)-IF(($C4:$E4=0)*($B4:$D4&gt;0),$F4,$C4:$E4)),"0;\0")+1)*($C$2:$E$2="Со склада")-(TEXT(($B4:$D4-G$2),"0;\0")+G$2)*($B$2:$D$2="На склад"),"0;\0"))</f>
        <v>10</v>
      </c>
      <c r="H4" s="24" cm="1">
        <f t="array" ref="H4">SUMPRODUCT(--TEXT((EOMONTH(H$2,0)-TEXT((EOMONTH(H$2,0)-IF(($C4:$E4=0)*($B4:$D4&gt;0),$F4,$C4:$E4)),"0;\0")+1)*($C$2:$E$2="Со склада")-(TEXT(($B4:$D4-H$2),"0;\0")+H$2)*($B$2:$D$2="На склад"),"0;\0"))</f>
        <v>6</v>
      </c>
      <c r="I4" s="24" cm="1">
        <f t="array" ref="I4">SUMPRODUCT(--TEXT((EOMONTH(I$2,0)-TEXT((EOMONTH(I$2,0)-IF(($C4:$E4=0)*($B4:$D4&gt;0),$F4,$C4:$E4)),"0;\0")+1)*($C$2:$E$2="Со склада")-(TEXT(($B4:$D4-I$2),"0;\0")+I$2)*($B$2:$D$2="На склад"),"0;\0"))</f>
        <v>0</v>
      </c>
      <c r="J4" s="24" cm="1">
        <f t="array" ref="J4">SUMPRODUCT(--TEXT((EOMONTH(J$2,0)-TEXT((EOMONTH(J$2,0)-IF(($C4:$E4=0)*($B4:$D4&gt;0),$F4,$C4:$E4)),"0;\0")+1)*($C$2:$E$2="Со склада")-(TEXT(($B4:$D4-J$2),"0;\0")+J$2)*($B$2:$D$2="На склад"),"0;\0"))</f>
        <v>0</v>
      </c>
      <c r="K4" s="24" cm="1">
        <f t="array" ref="K4">SUMPRODUCT(--TEXT((EOMONTH(K$2,0)-TEXT((EOMONTH(K$2,0)-IF(($C4:$E4=0)*($B4:$D4&gt;0),$F4,$C4:$E4)),"0;\0")+1)*($C$2:$E$2="Со склада")-(TEXT(($B4:$D4-K$2),"0;\0")+K$2)*($B$2:$D$2="На склад"),"0;\0"))</f>
        <v>0</v>
      </c>
      <c r="L4" s="24" cm="1">
        <f t="array" ref="L4">SUMPRODUCT(--TEXT((EOMONTH(L$2,0)-TEXT((EOMONTH(L$2,0)-IF(($C4:$E4=0)*($B4:$D4&gt;0),$F4,$C4:$E4)),"0;\0")+1)*($C$2:$E$2="Со склада")-(TEXT(($B4:$D4-L$2),"0;\0")+L$2)*($B$2:$D$2="На склад"),"0;\0"))</f>
        <v>0</v>
      </c>
      <c r="M4" s="24" cm="1">
        <f t="array" ref="M4">SUMPRODUCT(--TEXT((EOMONTH(M$2,0)-TEXT((EOMONTH(M$2,0)-IF(($C4:$E4=0)*($B4:$D4&gt;0),$F4,$C4:$E4)),"0;\0")+1)*($C$2:$E$2="Со склада")-(TEXT(($B4:$D4-M$2),"0;\0")+M$2)*($B$2:$D$2="На склад"),"0;\0"))</f>
        <v>0</v>
      </c>
      <c r="N4" s="24" cm="1">
        <f t="array" ref="N4">SUMPRODUCT(--TEXT((EOMONTH(N$2,0)-TEXT((EOMONTH(N$2,0)-IF(($C4:$E4=0)*($B4:$D4&gt;0),$F4,$C4:$E4)),"0;\0")+1)*($C$2:$E$2="Со склада")-(TEXT(($B4:$D4-N$2),"0;\0")+N$2)*($B$2:$D$2="На склад"),"0;\0"))</f>
        <v>0</v>
      </c>
      <c r="O4" s="24" cm="1">
        <f t="array" ref="O4">SUMPRODUCT(--TEXT((EOMONTH(O$2,0)-TEXT((EOMONTH(O$2,0)-IF(($C4:$E4=0)*($B4:$D4&gt;0),$F4,$C4:$E4)),"0;\0")+1)*($C$2:$E$2="Со склада")-(TEXT(($B4:$D4-O$2),"0;\0")+O$2)*($B$2:$D$2="На склад"),"0;\0"))</f>
        <v>0</v>
      </c>
      <c r="P4" s="24" cm="1">
        <f t="array" ref="P4">SUMPRODUCT(--TEXT((EOMONTH(P$2,0)-TEXT((EOMONTH(P$2,0)-IF(($C4:$E4=0)*($B4:$D4&gt;0),$F4,$C4:$E4)),"0;\0")+1)*($C$2:$E$2="Со склада")-(TEXT(($B4:$D4-P$2),"0;\0")+P$2)*($B$2:$D$2="На склад"),"0;\0"))</f>
        <v>0</v>
      </c>
      <c r="Q4" s="24" cm="1">
        <f t="array" ref="Q4">SUMPRODUCT(--TEXT((EOMONTH(Q$2,0)-TEXT((EOMONTH(Q$2,0)-IF(($C4:$E4=0)*($B4:$D4&gt;0),$F4,$C4:$E4)),"0;\0")+1)*($C$2:$E$2="Со склада")-(TEXT(($B4:$D4-Q$2),"0;\0")+Q$2)*($B$2:$D$2="На склад"),"0;\0"))</f>
        <v>0</v>
      </c>
      <c r="R4" s="24" cm="1">
        <f t="array" ref="R4">SUMPRODUCT(--TEXT((EOMONTH(R$2,0)-TEXT((EOMONTH(R$2,0)-IF(($C4:$E4=0)*($B4:$D4&gt;0),$F4,$C4:$E4)),"0;\0")+1)*($C$2:$E$2="Со склада")-(TEXT(($B4:$D4-R$2),"0;\0")+R$2)*($B$2:$D$2="На склад"),"0;\0"))</f>
        <v>0</v>
      </c>
      <c r="S4" s="24" cm="1">
        <f t="array" ref="S4">SUMPRODUCT(--TEXT((EOMONTH(S$2,0)-TEXT((EOMONTH(S$2,0)-IF(($C4:$E4=0)*($B4:$D4&gt;0),$F4,$C4:$E4)),"0;\0")+1)*($C$2:$E$2="Со склада")-(TEXT(($B4:$D4-S$2),"0;\0")+S$2)*($B$2:$D$2="На склад"),"0;\0"))</f>
        <v>0</v>
      </c>
    </row>
    <row r="5" spans="1:23" x14ac:dyDescent="0.25">
      <c r="A5" s="24" t="s">
        <v>34</v>
      </c>
      <c r="B5" s="3">
        <v>44197</v>
      </c>
      <c r="C5" s="3">
        <v>44216</v>
      </c>
      <c r="D5" s="3">
        <v>44285</v>
      </c>
      <c r="E5" s="2"/>
      <c r="F5" s="3">
        <v>44331</v>
      </c>
      <c r="G5" s="24" cm="1">
        <f t="array" ref="G5">SUMPRODUCT(--TEXT((EOMONTH(G$2,0)-TEXT((EOMONTH(G$2,0)-IF(($C5:$E5=0)*($B5:$D5&gt;0),$F5,$C5:$E5)),"0;\0")+1)*($C$2:$E$2="Со склада")-(TEXT(($B5:$D5-G$2),"0;\0")+G$2)*($B$2:$D$2="На склад"),"0;\0"))</f>
        <v>20</v>
      </c>
      <c r="H5" s="24" cm="1">
        <f t="array" ref="H5">SUMPRODUCT(--TEXT((EOMONTH(H$2,0)-TEXT((EOMONTH(H$2,0)-IF(($C5:$E5=0)*($B5:$D5&gt;0),$F5,$C5:$E5)),"0;\0")+1)*($C$2:$E$2="Со склада")-(TEXT(($B5:$D5-H$2),"0;\0")+H$2)*($B$2:$D$2="На склад"),"0;\0"))</f>
        <v>0</v>
      </c>
      <c r="I5" s="24" cm="1">
        <f t="array" ref="I5">SUMPRODUCT(--TEXT((EOMONTH(I$2,0)-TEXT((EOMONTH(I$2,0)-IF(($C5:$E5=0)*($B5:$D5&gt;0),$F5,$C5:$E5)),"0;\0")+1)*($C$2:$E$2="Со склада")-(TEXT(($B5:$D5-I$2),"0;\0")+I$2)*($B$2:$D$2="На склад"),"0;\0"))</f>
        <v>2</v>
      </c>
      <c r="J5" s="24" cm="1">
        <f t="array" ref="J5">SUMPRODUCT(--TEXT((EOMONTH(J$2,0)-TEXT((EOMONTH(J$2,0)-IF(($C5:$E5=0)*($B5:$D5&gt;0),$F5,$C5:$E5)),"0;\0")+1)*($C$2:$E$2="Со склада")-(TEXT(($B5:$D5-J$2),"0;\0")+J$2)*($B$2:$D$2="На склад"),"0;\0"))</f>
        <v>30</v>
      </c>
      <c r="K5" s="24" cm="1">
        <f t="array" ref="K5">SUMPRODUCT(--TEXT((EOMONTH(K$2,0)-TEXT((EOMONTH(K$2,0)-IF(($C5:$E5=0)*($B5:$D5&gt;0),$F5,$C5:$E5)),"0;\0")+1)*($C$2:$E$2="Со склада")-(TEXT(($B5:$D5-K$2),"0;\0")+K$2)*($B$2:$D$2="На склад"),"0;\0"))</f>
        <v>15</v>
      </c>
      <c r="L5" s="24" cm="1">
        <f t="array" ref="L5">SUMPRODUCT(--TEXT((EOMONTH(L$2,0)-TEXT((EOMONTH(L$2,0)-IF(($C5:$E5=0)*($B5:$D5&gt;0),$F5,$C5:$E5)),"0;\0")+1)*($C$2:$E$2="Со склада")-(TEXT(($B5:$D5-L$2),"0;\0")+L$2)*($B$2:$D$2="На склад"),"0;\0"))</f>
        <v>0</v>
      </c>
      <c r="M5" s="24" cm="1">
        <f t="array" ref="M5">SUMPRODUCT(--TEXT((EOMONTH(M$2,0)-TEXT((EOMONTH(M$2,0)-IF(($C5:$E5=0)*($B5:$D5&gt;0),$F5,$C5:$E5)),"0;\0")+1)*($C$2:$E$2="Со склада")-(TEXT(($B5:$D5-M$2),"0;\0")+M$2)*($B$2:$D$2="На склад"),"0;\0"))</f>
        <v>0</v>
      </c>
      <c r="N5" s="24" cm="1">
        <f t="array" ref="N5">SUMPRODUCT(--TEXT((EOMONTH(N$2,0)-TEXT((EOMONTH(N$2,0)-IF(($C5:$E5=0)*($B5:$D5&gt;0),$F5,$C5:$E5)),"0;\0")+1)*($C$2:$E$2="Со склада")-(TEXT(($B5:$D5-N$2),"0;\0")+N$2)*($B$2:$D$2="На склад"),"0;\0"))</f>
        <v>0</v>
      </c>
      <c r="O5" s="24" cm="1">
        <f t="array" ref="O5">SUMPRODUCT(--TEXT((EOMONTH(O$2,0)-TEXT((EOMONTH(O$2,0)-IF(($C5:$E5=0)*($B5:$D5&gt;0),$F5,$C5:$E5)),"0;\0")+1)*($C$2:$E$2="Со склада")-(TEXT(($B5:$D5-O$2),"0;\0")+O$2)*($B$2:$D$2="На склад"),"0;\0"))</f>
        <v>0</v>
      </c>
      <c r="P5" s="24" cm="1">
        <f t="array" ref="P5">SUMPRODUCT(--TEXT((EOMONTH(P$2,0)-TEXT((EOMONTH(P$2,0)-IF(($C5:$E5=0)*($B5:$D5&gt;0),$F5,$C5:$E5)),"0;\0")+1)*($C$2:$E$2="Со склада")-(TEXT(($B5:$D5-P$2),"0;\0")+P$2)*($B$2:$D$2="На склад"),"0;\0"))</f>
        <v>0</v>
      </c>
      <c r="Q5" s="24" cm="1">
        <f t="array" ref="Q5">SUMPRODUCT(--TEXT((EOMONTH(Q$2,0)-TEXT((EOMONTH(Q$2,0)-IF(($C5:$E5=0)*($B5:$D5&gt;0),$F5,$C5:$E5)),"0;\0")+1)*($C$2:$E$2="Со склада")-(TEXT(($B5:$D5-Q$2),"0;\0")+Q$2)*($B$2:$D$2="На склад"),"0;\0"))</f>
        <v>0</v>
      </c>
      <c r="R5" s="24" cm="1">
        <f t="array" ref="R5">SUMPRODUCT(--TEXT((EOMONTH(R$2,0)-TEXT((EOMONTH(R$2,0)-IF(($C5:$E5=0)*($B5:$D5&gt;0),$F5,$C5:$E5)),"0;\0")+1)*($C$2:$E$2="Со склада")-(TEXT(($B5:$D5-R$2),"0;\0")+R$2)*($B$2:$D$2="На склад"),"0;\0"))</f>
        <v>0</v>
      </c>
      <c r="S5" s="24" cm="1">
        <f t="array" ref="S5">SUMPRODUCT(--TEXT((EOMONTH(S$2,0)-TEXT((EOMONTH(S$2,0)-IF(($C5:$E5=0)*($B5:$D5&gt;0),$F5,$C5:$E5)),"0;\0")+1)*($C$2:$E$2="Со склада")-(TEXT(($B5:$D5-S$2),"0;\0")+S$2)*($B$2:$D$2="На склад"),"0;\0"))</f>
        <v>0</v>
      </c>
    </row>
    <row r="9" spans="1:23" x14ac:dyDescent="0.25">
      <c r="F9" s="30"/>
      <c r="G9" s="30"/>
      <c r="H9" s="30"/>
    </row>
    <row r="11" spans="1:23" x14ac:dyDescent="0.25">
      <c r="F11" s="1"/>
      <c r="G11" s="1"/>
      <c r="H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B8"/>
  <sheetViews>
    <sheetView workbookViewId="0">
      <selection activeCell="B4" sqref="B4"/>
    </sheetView>
  </sheetViews>
  <sheetFormatPr defaultRowHeight="15" x14ac:dyDescent="0.25"/>
  <cols>
    <col min="1" max="1" width="11.7109375" bestFit="1" customWidth="1"/>
  </cols>
  <sheetData>
    <row r="1" spans="1:2" x14ac:dyDescent="0.25">
      <c r="B1" t="s">
        <v>7</v>
      </c>
    </row>
    <row r="2" spans="1:2" x14ac:dyDescent="0.25">
      <c r="A2" t="s">
        <v>2</v>
      </c>
      <c r="B2">
        <v>100</v>
      </c>
    </row>
    <row r="3" spans="1:2" x14ac:dyDescent="0.25">
      <c r="A3" t="s">
        <v>1</v>
      </c>
      <c r="B3">
        <v>66</v>
      </c>
    </row>
    <row r="4" spans="1:2" x14ac:dyDescent="0.25">
      <c r="A4" t="s">
        <v>17</v>
      </c>
      <c r="B4">
        <v>100</v>
      </c>
    </row>
    <row r="5" spans="1:2" x14ac:dyDescent="0.25">
      <c r="A5" t="s">
        <v>18</v>
      </c>
      <c r="B5">
        <v>20</v>
      </c>
    </row>
    <row r="6" spans="1:2" x14ac:dyDescent="0.25">
      <c r="A6" t="s">
        <v>19</v>
      </c>
      <c r="B6">
        <v>30</v>
      </c>
    </row>
    <row r="7" spans="1:2" x14ac:dyDescent="0.25">
      <c r="A7" s="2" t="s">
        <v>20</v>
      </c>
      <c r="B7">
        <v>0</v>
      </c>
    </row>
    <row r="8" spans="1:2" x14ac:dyDescent="0.25">
      <c r="A8" s="2" t="s">
        <v>21</v>
      </c>
      <c r="B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B7"/>
  <sheetViews>
    <sheetView workbookViewId="0">
      <selection activeCell="B4" sqref="B4"/>
    </sheetView>
  </sheetViews>
  <sheetFormatPr defaultRowHeight="15" x14ac:dyDescent="0.25"/>
  <cols>
    <col min="1" max="1" width="13.5703125" customWidth="1"/>
  </cols>
  <sheetData>
    <row r="1" spans="1:2" x14ac:dyDescent="0.25">
      <c r="A1" t="s">
        <v>2</v>
      </c>
      <c r="B1">
        <v>500</v>
      </c>
    </row>
    <row r="2" spans="1:2" x14ac:dyDescent="0.25">
      <c r="A2" t="s">
        <v>1</v>
      </c>
      <c r="B2">
        <v>2000</v>
      </c>
    </row>
    <row r="3" spans="1:2" x14ac:dyDescent="0.25">
      <c r="A3" t="s">
        <v>17</v>
      </c>
      <c r="B3">
        <v>3000</v>
      </c>
    </row>
    <row r="4" spans="1:2" x14ac:dyDescent="0.25">
      <c r="A4" t="s">
        <v>18</v>
      </c>
      <c r="B4">
        <v>3000</v>
      </c>
    </row>
    <row r="5" spans="1:2" x14ac:dyDescent="0.25">
      <c r="A5" t="s">
        <v>19</v>
      </c>
      <c r="B5">
        <v>3000</v>
      </c>
    </row>
    <row r="6" spans="1:2" x14ac:dyDescent="0.25">
      <c r="A6" t="s">
        <v>20</v>
      </c>
      <c r="B6">
        <v>3000</v>
      </c>
    </row>
    <row r="7" spans="1:2" x14ac:dyDescent="0.25">
      <c r="A7" t="s">
        <v>21</v>
      </c>
      <c r="B7">
        <v>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B9"/>
  <sheetViews>
    <sheetView workbookViewId="0">
      <selection activeCell="B4" sqref="B4"/>
    </sheetView>
  </sheetViews>
  <sheetFormatPr defaultRowHeight="15" x14ac:dyDescent="0.25"/>
  <cols>
    <col min="2" max="2" width="11.7109375" bestFit="1" customWidth="1"/>
  </cols>
  <sheetData>
    <row r="1" spans="1:2" x14ac:dyDescent="0.25">
      <c r="A1">
        <v>1</v>
      </c>
      <c r="B1" t="s">
        <v>2</v>
      </c>
    </row>
    <row r="2" spans="1:2" x14ac:dyDescent="0.25">
      <c r="A2">
        <v>2</v>
      </c>
      <c r="B2" t="s">
        <v>1</v>
      </c>
    </row>
    <row r="3" spans="1:2" x14ac:dyDescent="0.25">
      <c r="A3">
        <v>3</v>
      </c>
      <c r="B3" t="s">
        <v>17</v>
      </c>
    </row>
    <row r="4" spans="1:2" x14ac:dyDescent="0.25">
      <c r="A4">
        <v>4</v>
      </c>
      <c r="B4" t="s">
        <v>18</v>
      </c>
    </row>
    <row r="5" spans="1:2" x14ac:dyDescent="0.25">
      <c r="A5">
        <v>5</v>
      </c>
      <c r="B5" t="s">
        <v>19</v>
      </c>
    </row>
    <row r="6" spans="1:2" x14ac:dyDescent="0.25">
      <c r="A6">
        <v>6</v>
      </c>
      <c r="B6" t="s">
        <v>20</v>
      </c>
    </row>
    <row r="7" spans="1:2" x14ac:dyDescent="0.25">
      <c r="A7">
        <v>7</v>
      </c>
      <c r="B7" t="s">
        <v>21</v>
      </c>
    </row>
    <row r="8" spans="1:2" x14ac:dyDescent="0.25">
      <c r="A8">
        <v>8</v>
      </c>
    </row>
    <row r="9" spans="1:2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План</vt:lpstr>
      <vt:lpstr>Остаточная тр-ть</vt:lpstr>
      <vt:lpstr>План слачи на СГП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Дымченко Константин Георгиевич</dc:creator>
  <cp:lastModifiedBy>Elena</cp:lastModifiedBy>
  <dcterms:created xsi:type="dcterms:W3CDTF">2016-02-15T12:53:49Z</dcterms:created>
  <dcterms:modified xsi:type="dcterms:W3CDTF">2022-05-04T19:05:05Z</dcterms:modified>
</cp:coreProperties>
</file>