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loseva\Desktop\"/>
    </mc:Choice>
  </mc:AlternateContent>
  <bookViews>
    <workbookView xWindow="0" yWindow="0" windowWidth="18735" windowHeight="14685" activeTab="1"/>
  </bookViews>
  <sheets>
    <sheet name="Остатки по счетам" sheetId="1" r:id="rId1"/>
    <sheet name="Задолженность" sheetId="4" r:id="rId2"/>
    <sheet name="01.07.2022" sheetId="2" r:id="rId3"/>
    <sheet name="04.07.2022" sheetId="3" r:id="rId4"/>
  </sheets>
  <definedNames>
    <definedName name="_xlcn.Связаннаятаблица_Таблица11" hidden="1">Таблица1[]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" name="Таблица1" connection="Связанная таблица_Таблица1"/>
        </x15:modelTables>
      </x15:dataModel>
    </ext>
  </extLst>
</workbook>
</file>

<file path=xl/calcChain.xml><?xml version="1.0" encoding="utf-8"?>
<calcChain xmlns="http://schemas.openxmlformats.org/spreadsheetml/2006/main">
  <c r="A1" i="2" l="1"/>
  <c r="C3" i="4" l="1"/>
  <c r="N24" i="2" l="1"/>
  <c r="N23" i="3"/>
  <c r="O22" i="3"/>
  <c r="P22" i="3" s="1"/>
  <c r="O21" i="3"/>
  <c r="P21" i="3" s="1"/>
  <c r="O20" i="3"/>
  <c r="P20" i="3" s="1"/>
  <c r="O19" i="3"/>
  <c r="P19" i="3" s="1"/>
  <c r="O18" i="3"/>
  <c r="P18" i="3" s="1"/>
  <c r="Q6" i="3"/>
  <c r="P6" i="3"/>
  <c r="N6" i="3"/>
  <c r="O6" i="3" s="1"/>
  <c r="F6" i="3"/>
  <c r="N5" i="3"/>
  <c r="O5" i="3" s="1"/>
  <c r="I5" i="3"/>
  <c r="G5" i="3"/>
  <c r="H5" i="3" s="1"/>
  <c r="Q5" i="3" s="1"/>
  <c r="N4" i="3"/>
  <c r="O4" i="3" s="1"/>
  <c r="I4" i="3"/>
  <c r="G4" i="3"/>
  <c r="P4" i="3" s="1"/>
  <c r="N3" i="3"/>
  <c r="G3" i="3"/>
  <c r="P3" i="3" s="1"/>
  <c r="N2" i="3"/>
  <c r="G2" i="3"/>
  <c r="H2" i="3" s="1"/>
  <c r="N4" i="2"/>
  <c r="O4" i="2" s="1"/>
  <c r="M3" i="3" s="1"/>
  <c r="N5" i="2"/>
  <c r="O5" i="2" s="1"/>
  <c r="N6" i="2"/>
  <c r="O6" i="2" s="1"/>
  <c r="N7" i="2"/>
  <c r="O7" i="2" s="1"/>
  <c r="N3" i="2"/>
  <c r="O3" i="2" s="1"/>
  <c r="M2" i="3" s="1"/>
  <c r="I4" i="2"/>
  <c r="C5" i="4" s="1"/>
  <c r="I5" i="2"/>
  <c r="I6" i="2"/>
  <c r="P2" i="3" l="1"/>
  <c r="P7" i="3" s="1"/>
  <c r="L27" i="3" s="1"/>
  <c r="P5" i="3"/>
  <c r="M7" i="3"/>
  <c r="O3" i="3"/>
  <c r="F5" i="1" s="1"/>
  <c r="H3" i="3"/>
  <c r="Q3" i="3" s="1"/>
  <c r="O2" i="3"/>
  <c r="F4" i="1" s="1"/>
  <c r="N7" i="3"/>
  <c r="P23" i="3"/>
  <c r="Q2" i="3"/>
  <c r="H4" i="3"/>
  <c r="Q4" i="3" s="1"/>
  <c r="O23" i="3"/>
  <c r="G6" i="3"/>
  <c r="F7" i="2"/>
  <c r="M8" i="2"/>
  <c r="N8" i="2"/>
  <c r="O20" i="2"/>
  <c r="P20" i="2" s="1"/>
  <c r="O21" i="2"/>
  <c r="P21" i="2" s="1"/>
  <c r="O22" i="2"/>
  <c r="P22" i="2" s="1"/>
  <c r="O23" i="2"/>
  <c r="P23" i="2" s="1"/>
  <c r="D7" i="2"/>
  <c r="O19" i="2"/>
  <c r="Q7" i="3" l="1"/>
  <c r="P19" i="2"/>
  <c r="P24" i="2" s="1"/>
  <c r="O24" i="2"/>
  <c r="O7" i="3"/>
  <c r="H6" i="3"/>
  <c r="C5" i="1"/>
  <c r="B5" i="1"/>
  <c r="C4" i="1"/>
  <c r="G6" i="2"/>
  <c r="H6" i="2" s="1"/>
  <c r="G5" i="2"/>
  <c r="G4" i="2"/>
  <c r="I3" i="2"/>
  <c r="G3" i="2"/>
  <c r="C4" i="4" l="1"/>
  <c r="D3" i="3"/>
  <c r="I3" i="3" s="1"/>
  <c r="D2" i="3"/>
  <c r="G7" i="2"/>
  <c r="H3" i="2"/>
  <c r="I7" i="2"/>
  <c r="H4" i="2"/>
  <c r="H5" i="2"/>
  <c r="I2" i="3" l="1"/>
  <c r="I6" i="3" s="1"/>
  <c r="D6" i="3"/>
  <c r="H7" i="2"/>
  <c r="Q7" i="2"/>
  <c r="P6" i="2"/>
  <c r="Q6" i="2"/>
  <c r="Q5" i="2"/>
  <c r="P7" i="2"/>
  <c r="P4" i="2"/>
  <c r="Q4" i="2"/>
  <c r="P5" i="2"/>
  <c r="O8" i="2"/>
  <c r="D5" i="1"/>
  <c r="E5" i="1" s="1"/>
  <c r="D4" i="1"/>
  <c r="E4" i="1" s="1"/>
  <c r="Q3" i="2"/>
  <c r="P3" i="2"/>
  <c r="Q8" i="2" l="1"/>
  <c r="P8" i="2"/>
  <c r="L28" i="2" s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Связанная таблица_Таблица1" type="102" refreshedVersion="6" minRefreshableVersion="5">
    <extLst>
      <ext xmlns:x15="http://schemas.microsoft.com/office/spreadsheetml/2010/11/main" uri="{DE250136-89BD-433C-8126-D09CA5730AF9}">
        <x15:connection id="Таблица1">
          <x15:rangePr sourceName="_xlcn.Связаннаятаблица_Таблица11"/>
        </x15:connection>
      </ext>
    </extLst>
  </connection>
</connections>
</file>

<file path=xl/sharedStrings.xml><?xml version="1.0" encoding="utf-8"?>
<sst xmlns="http://schemas.openxmlformats.org/spreadsheetml/2006/main" count="117" uniqueCount="32">
  <si>
    <t>Компания</t>
  </si>
  <si>
    <t>номер счета</t>
  </si>
  <si>
    <t>остаток</t>
  </si>
  <si>
    <t>на начало дня</t>
  </si>
  <si>
    <t xml:space="preserve">на конец дня </t>
  </si>
  <si>
    <t>контрагент</t>
  </si>
  <si>
    <t>план</t>
  </si>
  <si>
    <t>факт с НДС</t>
  </si>
  <si>
    <t>факт НДС</t>
  </si>
  <si>
    <t>факт без НДС</t>
  </si>
  <si>
    <t>компания</t>
  </si>
  <si>
    <t>счет</t>
  </si>
  <si>
    <t>номер пп</t>
  </si>
  <si>
    <t>остаток на начало дня</t>
  </si>
  <si>
    <t>остаток на конец дня</t>
  </si>
  <si>
    <t>поступление</t>
  </si>
  <si>
    <t>сумма задолженности</t>
  </si>
  <si>
    <t>срок оплаты</t>
  </si>
  <si>
    <t>сумма с НДС</t>
  </si>
  <si>
    <t>НДС</t>
  </si>
  <si>
    <t>сумма без НДС</t>
  </si>
  <si>
    <t>поступление:</t>
  </si>
  <si>
    <t>Итог</t>
  </si>
  <si>
    <t>сумма без ндс</t>
  </si>
  <si>
    <t>НДС к выплате:</t>
  </si>
  <si>
    <t>Ромашка</t>
  </si>
  <si>
    <t>Колокольчик</t>
  </si>
  <si>
    <t>ромашка</t>
  </si>
  <si>
    <t>колокольчик</t>
  </si>
  <si>
    <t>остаток задолженности  на конец дня</t>
  </si>
  <si>
    <t>оплата просрочена</t>
  </si>
  <si>
    <t>последний день оплаты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</si>
</sst>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Font="1" applyBorder="1"/>
    <xf numFmtId="4" fontId="0" fillId="0" borderId="0" xfId="0" applyNumberFormat="1"/>
    <xf numFmtId="0" fontId="0" fillId="0" borderId="0" xfId="0" applyFont="1"/>
    <xf numFmtId="4" fontId="0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8" xfId="0" applyFont="1" applyBorder="1"/>
    <xf numFmtId="0" fontId="3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4" fillId="0" borderId="0" xfId="0" applyFont="1"/>
    <xf numFmtId="14" fontId="5" fillId="0" borderId="0" xfId="0" applyNumberFormat="1" applyFont="1"/>
    <xf numFmtId="0" fontId="0" fillId="3" borderId="0" xfId="0" applyFont="1" applyFill="1"/>
    <xf numFmtId="0" fontId="0" fillId="4" borderId="0" xfId="0" applyFill="1"/>
    <xf numFmtId="14" fontId="2" fillId="2" borderId="2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14" fontId="6" fillId="2" borderId="2" xfId="1" applyNumberFormat="1" applyFill="1" applyBorder="1" applyAlignment="1">
      <alignment horizontal="center"/>
    </xf>
    <xf numFmtId="14" fontId="6" fillId="2" borderId="3" xfId="1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60"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ont>
        <b val="0"/>
        <i val="0"/>
      </font>
      <fill>
        <patternFill>
          <bgColor theme="7" tint="0.79998168889431442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9" formatCode="dd/mm/yyyy"/>
    </dxf>
    <dxf>
      <numFmt numFmtId="0" formatCode="General"/>
    </dxf>
    <dxf>
      <alignment horizontal="center" vertical="bottom" textRotation="0" wrapText="0" indent="0" justifyLastLine="0" shrinkToFit="0" readingOrder="0"/>
    </dxf>
  </dxfs>
  <tableStyles count="1" defaultTableStyle="Стиль таблицы 1" defaultPivotStyle="PivotStyleLight16">
    <tableStyle name="Стиль таблицы 1" pivot="0" count="1">
      <tableStyleElement type="firstColumnStripe" size="2"/>
    </tableStyle>
  </tableStyles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theme" Target="theme/theme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openxmlformats.org/officeDocument/2006/relationships/calcChain" Target="calcChain.xml"/><Relationship Id="rId19" Type="http://schemas.openxmlformats.org/officeDocument/2006/relationships/customXml" Target="../customXml/item9.xml"/><Relationship Id="rId4" Type="http://schemas.openxmlformats.org/officeDocument/2006/relationships/worksheet" Target="worksheets/sheet4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/Relationships>
</file>

<file path=xl/tables/table1.xml><?xml version="1.0" encoding="utf-8"?>
<table xmlns="http://schemas.openxmlformats.org/spreadsheetml/2006/main" id="1" name="Таблица1" displayName="Таблица1" ref="A2:D6" totalsRowShown="0" headerRowDxfId="59">
  <autoFilter ref="A2:D6"/>
  <tableColumns count="4">
    <tableColumn id="1" name="компания"/>
    <tableColumn id="3" name="контрагент"/>
    <tableColumn id="4" name="сумма задолженности" dataDxfId="58">
      <calculatedColumnFormula>Т_01_07_2022[[#This Row],[остаток задолженности  на конец дня]]</calculatedColumnFormula>
    </tableColumn>
    <tableColumn id="5" name="срок оплаты" dataDxfId="57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2" name="Т_01_07_2022" displayName="Т_01_07_2022" ref="A2:I7" totalsRowCount="1">
  <autoFilter ref="A2:I6"/>
  <tableColumns count="9">
    <tableColumn id="1" name="компания" totalsRowLabel="Итог"/>
    <tableColumn id="2" name="счет"/>
    <tableColumn id="3" name="контрагент"/>
    <tableColumn id="4" name="план" totalsRowFunction="sum" dataDxfId="56" totalsRowDxfId="55"/>
    <tableColumn id="5" name="номер пп"/>
    <tableColumn id="6" name="факт с НДС" totalsRowFunction="sum" dataDxfId="54" totalsRowDxfId="53"/>
    <tableColumn id="7" name="факт НДС" totalsRowFunction="sum" dataDxfId="52" totalsRowDxfId="51">
      <calculatedColumnFormula>Т_01_07_2022[факт с НДС]/1.2*0.2</calculatedColumnFormula>
    </tableColumn>
    <tableColumn id="8" name="факт без НДС" totalsRowFunction="sum" dataDxfId="50" totalsRowDxfId="49">
      <calculatedColumnFormula>Т_01_07_2022[факт с НДС]-Т_01_07_2022[факт НДС]</calculatedColumnFormula>
    </tableColumn>
    <tableColumn id="9" name="остаток задолженности  на конец дня" totalsRowFunction="sum" dataDxfId="48" totalsRowDxfId="47">
      <calculatedColumnFormula>Т_01_07_2022[план]-Т_01_07_2022[факт с НДС]</calculatedColumnFormula>
    </tableColumn>
  </tableColumns>
  <tableStyleInfo name="TableStyleMedium9" showFirstColumn="0" showLastColumn="0" showRowStripes="0" showColumnStripes="0"/>
</table>
</file>

<file path=xl/tables/table3.xml><?xml version="1.0" encoding="utf-8"?>
<table xmlns="http://schemas.openxmlformats.org/spreadsheetml/2006/main" id="4" name="Таблица4" displayName="Таблица4" ref="K2:Q8" totalsRowCount="1">
  <autoFilter ref="K2:Q7"/>
  <tableColumns count="7">
    <tableColumn id="1" name="компания" totalsRowLabel="Итог"/>
    <tableColumn id="2" name="счет"/>
    <tableColumn id="3" name="остаток на начало дня" totalsRowFunction="sum" dataDxfId="46" totalsRowDxfId="45"/>
    <tableColumn id="6" name="поступление" totalsRowFunction="sum" dataDxfId="44" totalsRowDxfId="43">
      <calculatedColumnFormula>SUMIF(Таблица5[счет],L19,Таблица5[сумма с НДС])</calculatedColumnFormula>
    </tableColumn>
    <tableColumn id="4" name="остаток на конец дня" totalsRowFunction="sum" dataDxfId="42" totalsRowDxfId="41">
      <calculatedColumnFormula>Таблица4[[#This Row],[остаток на начало дня]]+Таблица4[[#This Row],[поступление]]-SUMIF(B:B,Т_01_07_2022[[#This Row],[счет]],F:F)</calculatedColumnFormula>
    </tableColumn>
    <tableColumn id="5" name="НДС" totalsRowFunction="sum" dataDxfId="40" totalsRowDxfId="39">
      <calculatedColumnFormula>SUMIF(B:B,Т_01_07_2022[[#This Row],[счет]],G:G)</calculatedColumnFormula>
    </tableColumn>
    <tableColumn id="7" name="сумма без ндс" totalsRowFunction="sum" dataDxfId="38" totalsRowDxfId="37">
      <calculatedColumnFormula>SUMIF(B:B,Т_01_07_2022[[#This Row],[счет]],H:H)</calculatedColumnFormula>
    </tableColumn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id="5" name="Таблица5" displayName="Таблица5" ref="K18:P24" totalsRowCount="1" headerRowDxfId="36">
  <autoFilter ref="K18:P23"/>
  <tableColumns count="6">
    <tableColumn id="1" name="компания" totalsRowLabel="Итог"/>
    <tableColumn id="2" name="счет"/>
    <tableColumn id="3" name="контрагент" dataDxfId="35"/>
    <tableColumn id="4" name="сумма с НДС" totalsRowFunction="sum" dataDxfId="34" totalsRowDxfId="33"/>
    <tableColumn id="5" name="НДС" totalsRowFunction="sum" dataDxfId="32" totalsRowDxfId="31">
      <calculatedColumnFormula>N19/120*20</calculatedColumnFormula>
    </tableColumn>
    <tableColumn id="6" name="сумма без НДС" totalsRowFunction="sum" totalsRowDxfId="30">
      <calculatedColumnFormula>N19-O19</calculatedColumnFormula>
    </tableColumn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id="3" name="Т_04_07_20224" displayName="Т_04_07_20224" ref="A1:I6" totalsRowCount="1">
  <autoFilter ref="A1:I5"/>
  <tableColumns count="9">
    <tableColumn id="1" name="компания" totalsRowLabel="Итог"/>
    <tableColumn id="2" name="счет"/>
    <tableColumn id="3" name="контрагент"/>
    <tableColumn id="4" name="план" totalsRowFunction="sum" dataDxfId="29" totalsRowDxfId="28"/>
    <tableColumn id="5" name="номер пп"/>
    <tableColumn id="6" name="факт с НДС" totalsRowFunction="sum" dataDxfId="27" totalsRowDxfId="26"/>
    <tableColumn id="7" name="факт НДС" totalsRowFunction="sum" dataDxfId="25" totalsRowDxfId="24">
      <calculatedColumnFormula>Т_04_07_20224[факт с НДС]/1.2*0.2</calculatedColumnFormula>
    </tableColumn>
    <tableColumn id="8" name="факт без НДС" totalsRowFunction="sum" dataDxfId="23" totalsRowDxfId="22">
      <calculatedColumnFormula>Т_04_07_20224[факт с НДС]-Т_04_07_20224[факт НДС]</calculatedColumnFormula>
    </tableColumn>
    <tableColumn id="9" name="остаток задолженности  на конец дня" totalsRowFunction="sum" dataDxfId="21" totalsRowDxfId="20">
      <calculatedColumnFormula>Т_04_07_20224[план]-Т_04_07_20224[факт с НДС]</calculatedColumnFormula>
    </tableColumn>
  </tableColumns>
  <tableStyleInfo name="TableStyleMedium9" showFirstColumn="0" showLastColumn="0" showRowStripes="0" showColumnStripes="0"/>
</table>
</file>

<file path=xl/tables/table6.xml><?xml version="1.0" encoding="utf-8"?>
<table xmlns="http://schemas.openxmlformats.org/spreadsheetml/2006/main" id="6" name="Таблица47" displayName="Таблица47" ref="K1:Q7" totalsRowCount="1">
  <autoFilter ref="K1:Q6"/>
  <tableColumns count="7">
    <tableColumn id="1" name="компания" totalsRowLabel="Итог"/>
    <tableColumn id="2" name="счет"/>
    <tableColumn id="3" name="остаток на начало дня" totalsRowFunction="sum" dataDxfId="19" totalsRowDxfId="18"/>
    <tableColumn id="6" name="поступление" totalsRowFunction="sum" dataDxfId="17" totalsRowDxfId="16">
      <calculatedColumnFormula>SUMIF(Таблица511[счет],L18,Таблица511[сумма с НДС])</calculatedColumnFormula>
    </tableColumn>
    <tableColumn id="4" name="остаток на конец дня" totalsRowFunction="sum" dataDxfId="15" totalsRowDxfId="14">
      <calculatedColumnFormula>Таблица47[[#This Row],[остаток на начало дня]]+Таблица47[[#This Row],[поступление]]-SUMIF(B:B,Т_04_07_20224[[#This Row],[счет]],F:F)</calculatedColumnFormula>
    </tableColumn>
    <tableColumn id="5" name="НДС" totalsRowFunction="sum" dataDxfId="13" totalsRowDxfId="12">
      <calculatedColumnFormula>SUMIF(B:B,Т_04_07_20224[[#This Row],[счет]],G:G)</calculatedColumnFormula>
    </tableColumn>
    <tableColumn id="7" name="сумма без ндс" totalsRowFunction="sum" dataDxfId="11" totalsRowDxfId="10">
      <calculatedColumnFormula>SUMIF(B:B,Т_04_07_20224[[#This Row],[счет]],H:H)</calculatedColumnFormula>
    </tableColumn>
  </tableColumns>
  <tableStyleInfo name="TableStyleMedium14" showFirstColumn="0" showLastColumn="0" showRowStripes="1" showColumnStripes="0"/>
</table>
</file>

<file path=xl/tables/table7.xml><?xml version="1.0" encoding="utf-8"?>
<table xmlns="http://schemas.openxmlformats.org/spreadsheetml/2006/main" id="10" name="Таблица511" displayName="Таблица511" ref="K17:P23" totalsRowCount="1" headerRowDxfId="9">
  <autoFilter ref="K17:P22"/>
  <tableColumns count="6">
    <tableColumn id="1" name="компания" totalsRowLabel="Итог"/>
    <tableColumn id="2" name="счет"/>
    <tableColumn id="3" name="контрагент" dataDxfId="8"/>
    <tableColumn id="4" name="сумма с НДС" totalsRowFunction="sum" dataDxfId="7" totalsRowDxfId="6"/>
    <tableColumn id="5" name="НДС" totalsRowFunction="sum" dataDxfId="5" totalsRowDxfId="4">
      <calculatedColumnFormula>N18/120*20</calculatedColumnFormula>
    </tableColumn>
    <tableColumn id="6" name="сумма без НДС" totalsRowFunction="sum" totalsRowDxfId="3">
      <calculatedColumnFormula>N18-O18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5A543C17-8BB4-4248-94BC-E36AC9B8E276}">
  <we:reference id="wa200003023" version="1.0.0.0" store="ru-RU" storeType="OMEX"/>
  <we:alternateReferences>
    <we:reference id="WA200003023" version="1.0.0.0" store="WA200003023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X30"/>
  <sheetViews>
    <sheetView showGridLines="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H34" sqref="H34"/>
    </sheetView>
  </sheetViews>
  <sheetFormatPr defaultRowHeight="15" x14ac:dyDescent="0.25"/>
  <cols>
    <col min="1" max="1" width="24.85546875" customWidth="1"/>
    <col min="2" max="2" width="24" customWidth="1"/>
    <col min="3" max="50" width="14.85546875" style="5" bestFit="1" customWidth="1"/>
  </cols>
  <sheetData>
    <row r="1" spans="1:50" ht="27" x14ac:dyDescent="0.35">
      <c r="A1" s="24" t="s">
        <v>0</v>
      </c>
      <c r="B1" s="24" t="s">
        <v>1</v>
      </c>
      <c r="C1" s="21" t="s">
        <v>2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3"/>
    </row>
    <row r="2" spans="1:50" x14ac:dyDescent="0.25">
      <c r="A2" s="25"/>
      <c r="B2" s="25"/>
      <c r="C2" s="19">
        <v>44743</v>
      </c>
      <c r="D2" s="20"/>
      <c r="E2" s="19">
        <v>44746</v>
      </c>
      <c r="F2" s="20"/>
      <c r="G2" s="17">
        <v>44747</v>
      </c>
      <c r="H2" s="18"/>
      <c r="I2" s="17">
        <v>44748</v>
      </c>
      <c r="J2" s="18"/>
      <c r="K2" s="17">
        <v>44749</v>
      </c>
      <c r="L2" s="18"/>
      <c r="M2" s="17">
        <v>44750</v>
      </c>
      <c r="N2" s="18"/>
      <c r="O2" s="17">
        <v>44753</v>
      </c>
      <c r="P2" s="18"/>
      <c r="Q2" s="17">
        <v>44754</v>
      </c>
      <c r="R2" s="18"/>
      <c r="S2" s="17">
        <v>44755</v>
      </c>
      <c r="T2" s="18"/>
      <c r="U2" s="17">
        <v>44756</v>
      </c>
      <c r="V2" s="18"/>
      <c r="W2" s="17">
        <v>44757</v>
      </c>
      <c r="X2" s="18"/>
      <c r="Y2" s="17">
        <v>44760</v>
      </c>
      <c r="Z2" s="18"/>
      <c r="AA2" s="17">
        <v>44761</v>
      </c>
      <c r="AB2" s="18"/>
      <c r="AC2" s="17">
        <v>44762</v>
      </c>
      <c r="AD2" s="18"/>
      <c r="AE2" s="17">
        <v>44763</v>
      </c>
      <c r="AF2" s="18"/>
      <c r="AG2" s="17">
        <v>44764</v>
      </c>
      <c r="AH2" s="18"/>
      <c r="AI2" s="17">
        <v>44767</v>
      </c>
      <c r="AJ2" s="18"/>
      <c r="AK2" s="17">
        <v>44768</v>
      </c>
      <c r="AL2" s="18"/>
      <c r="AM2" s="17">
        <v>44769</v>
      </c>
      <c r="AN2" s="18"/>
      <c r="AO2" s="17">
        <v>44770</v>
      </c>
      <c r="AP2" s="18"/>
      <c r="AQ2" s="17">
        <v>44771</v>
      </c>
      <c r="AR2" s="18"/>
      <c r="AS2" s="17">
        <v>44774</v>
      </c>
      <c r="AT2" s="18"/>
      <c r="AU2" s="17">
        <v>44775</v>
      </c>
      <c r="AV2" s="18"/>
      <c r="AW2" s="17">
        <v>44776</v>
      </c>
      <c r="AX2" s="18"/>
    </row>
    <row r="3" spans="1:50" x14ac:dyDescent="0.25">
      <c r="A3" s="26"/>
      <c r="B3" s="26"/>
      <c r="C3" s="7" t="s">
        <v>3</v>
      </c>
      <c r="D3" s="7" t="s">
        <v>4</v>
      </c>
      <c r="E3" s="7" t="s">
        <v>3</v>
      </c>
      <c r="F3" s="7" t="s">
        <v>4</v>
      </c>
      <c r="G3" s="7" t="s">
        <v>3</v>
      </c>
      <c r="H3" s="7" t="s">
        <v>4</v>
      </c>
      <c r="I3" s="7" t="s">
        <v>3</v>
      </c>
      <c r="J3" s="7" t="s">
        <v>4</v>
      </c>
      <c r="K3" s="7" t="s">
        <v>3</v>
      </c>
      <c r="L3" s="7" t="s">
        <v>4</v>
      </c>
      <c r="M3" s="7" t="s">
        <v>3</v>
      </c>
      <c r="N3" s="7" t="s">
        <v>4</v>
      </c>
      <c r="O3" s="7" t="s">
        <v>3</v>
      </c>
      <c r="P3" s="7" t="s">
        <v>4</v>
      </c>
      <c r="Q3" s="7" t="s">
        <v>3</v>
      </c>
      <c r="R3" s="7" t="s">
        <v>4</v>
      </c>
      <c r="S3" s="7" t="s">
        <v>3</v>
      </c>
      <c r="T3" s="7" t="s">
        <v>4</v>
      </c>
      <c r="U3" s="7" t="s">
        <v>3</v>
      </c>
      <c r="V3" s="7" t="s">
        <v>4</v>
      </c>
      <c r="W3" s="7" t="s">
        <v>3</v>
      </c>
      <c r="X3" s="7" t="s">
        <v>4</v>
      </c>
      <c r="Y3" s="7" t="s">
        <v>3</v>
      </c>
      <c r="Z3" s="7" t="s">
        <v>4</v>
      </c>
      <c r="AA3" s="7" t="s">
        <v>3</v>
      </c>
      <c r="AB3" s="7" t="s">
        <v>4</v>
      </c>
      <c r="AC3" s="7" t="s">
        <v>3</v>
      </c>
      <c r="AD3" s="7" t="s">
        <v>4</v>
      </c>
      <c r="AE3" s="7" t="s">
        <v>3</v>
      </c>
      <c r="AF3" s="7" t="s">
        <v>4</v>
      </c>
      <c r="AG3" s="7" t="s">
        <v>3</v>
      </c>
      <c r="AH3" s="7" t="s">
        <v>4</v>
      </c>
      <c r="AI3" s="7" t="s">
        <v>3</v>
      </c>
      <c r="AJ3" s="7" t="s">
        <v>4</v>
      </c>
      <c r="AK3" s="7" t="s">
        <v>3</v>
      </c>
      <c r="AL3" s="7" t="s">
        <v>4</v>
      </c>
      <c r="AM3" s="7" t="s">
        <v>3</v>
      </c>
      <c r="AN3" s="7" t="s">
        <v>4</v>
      </c>
      <c r="AO3" s="7" t="s">
        <v>3</v>
      </c>
      <c r="AP3" s="7" t="s">
        <v>4</v>
      </c>
      <c r="AQ3" s="7" t="s">
        <v>3</v>
      </c>
      <c r="AR3" s="7" t="s">
        <v>4</v>
      </c>
      <c r="AS3" s="7" t="s">
        <v>3</v>
      </c>
      <c r="AT3" s="7" t="s">
        <v>4</v>
      </c>
      <c r="AU3" s="7" t="s">
        <v>3</v>
      </c>
      <c r="AV3" s="7" t="s">
        <v>4</v>
      </c>
      <c r="AW3" s="7" t="s">
        <v>3</v>
      </c>
      <c r="AX3" s="7" t="s">
        <v>4</v>
      </c>
    </row>
    <row r="4" spans="1:50" x14ac:dyDescent="0.25">
      <c r="A4" s="27">
        <v>1</v>
      </c>
      <c r="B4" s="1">
        <v>35268</v>
      </c>
      <c r="C4" s="6">
        <f>'01.07.2022'!M3</f>
        <v>30</v>
      </c>
      <c r="D4" s="6">
        <f>'01.07.2022'!O3</f>
        <v>40</v>
      </c>
      <c r="E4" s="6">
        <f>D4</f>
        <v>40</v>
      </c>
      <c r="F4" s="6" t="e">
        <f>'04.07.2022'!O2</f>
        <v>#VALUE!</v>
      </c>
      <c r="G4" s="6"/>
      <c r="H4" s="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x14ac:dyDescent="0.25">
      <c r="A5" s="28"/>
      <c r="B5" s="1">
        <f>'01.07.2022'!L4</f>
        <v>4556982</v>
      </c>
      <c r="C5" s="6">
        <f>'01.07.2022'!M4</f>
        <v>100</v>
      </c>
      <c r="D5" s="6">
        <f>'01.07.2022'!O4</f>
        <v>90</v>
      </c>
      <c r="E5" s="6">
        <f>D5</f>
        <v>90</v>
      </c>
      <c r="F5" s="6">
        <f>'04.07.2022'!O3</f>
        <v>30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x14ac:dyDescent="0.25">
      <c r="A6" s="2">
        <v>2</v>
      </c>
      <c r="B6" s="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0" x14ac:dyDescent="0.25">
      <c r="A7" s="2">
        <v>3</v>
      </c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0" x14ac:dyDescent="0.25">
      <c r="A8" s="2">
        <v>4</v>
      </c>
      <c r="B8" s="1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0" ht="0.75" customHeight="1" x14ac:dyDescent="0.25"/>
    <row r="10" spans="1:50" hidden="1" x14ac:dyDescent="0.25"/>
    <row r="11" spans="1:50" hidden="1" x14ac:dyDescent="0.25"/>
    <row r="12" spans="1:50" hidden="1" x14ac:dyDescent="0.25"/>
    <row r="13" spans="1:50" hidden="1" x14ac:dyDescent="0.25"/>
    <row r="14" spans="1:50" hidden="1" x14ac:dyDescent="0.25"/>
    <row r="15" spans="1:50" hidden="1" x14ac:dyDescent="0.25"/>
    <row r="16" spans="1:50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30" ht="15.75" customHeight="1" x14ac:dyDescent="0.25"/>
  </sheetData>
  <sheetProtection formatCells="0" formatColumns="0" formatRows="0" insertColumns="0" insertRows="0" deleteColumns="0" deleteRows="0"/>
  <mergeCells count="28">
    <mergeCell ref="C1:AX1"/>
    <mergeCell ref="A1:A3"/>
    <mergeCell ref="B1:B3"/>
    <mergeCell ref="A4:A5"/>
    <mergeCell ref="AM2:AN2"/>
    <mergeCell ref="AO2:AP2"/>
    <mergeCell ref="AQ2:AR2"/>
    <mergeCell ref="AS2:AT2"/>
    <mergeCell ref="AU2:AV2"/>
    <mergeCell ref="AW2:AX2"/>
    <mergeCell ref="AA2:AB2"/>
    <mergeCell ref="AC2:AD2"/>
    <mergeCell ref="AE2:AF2"/>
    <mergeCell ref="AG2:AH2"/>
    <mergeCell ref="AI2:AJ2"/>
    <mergeCell ref="AK2:AL2"/>
    <mergeCell ref="Y2:Z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</mergeCells>
  <conditionalFormatting sqref="M5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hyperlinks>
    <hyperlink ref="C2:D2" location="'01.07.2022'!A1" display="'01.07.2022'!A1"/>
    <hyperlink ref="E2:F2" location="'04.07.2022'!A1" display="'04.07.2022'!A1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0F8A4FEE-7A6D-466D-BE47-761EB61A0CF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C4:AX4</xm:sqref>
        </x14:conditionalFormatting>
        <x14:conditionalFormatting xmlns:xm="http://schemas.microsoft.com/office/excel/2006/main">
          <x14:cfRule type="iconSet" priority="1" id="{D299F6CC-78D3-4840-9284-DC51DC9CA77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C5:F5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14"/>
  <sheetViews>
    <sheetView showGridLines="0" tabSelected="1" workbookViewId="0">
      <selection activeCell="C17" sqref="C17"/>
    </sheetView>
  </sheetViews>
  <sheetFormatPr defaultRowHeight="15" x14ac:dyDescent="0.25"/>
  <cols>
    <col min="1" max="1" width="18.7109375" customWidth="1"/>
    <col min="2" max="2" width="23" customWidth="1"/>
    <col min="3" max="3" width="24.5703125" customWidth="1"/>
    <col min="4" max="4" width="17.5703125" style="11" customWidth="1"/>
    <col min="7" max="7" width="23.42578125" bestFit="1" customWidth="1"/>
    <col min="8" max="8" width="15" customWidth="1"/>
  </cols>
  <sheetData>
    <row r="1" spans="1:8" x14ac:dyDescent="0.25">
      <c r="A1" s="11"/>
    </row>
    <row r="2" spans="1:8" s="10" customFormat="1" x14ac:dyDescent="0.25">
      <c r="A2" s="10" t="s">
        <v>10</v>
      </c>
      <c r="B2" s="10" t="s">
        <v>5</v>
      </c>
      <c r="C2" s="10" t="s">
        <v>16</v>
      </c>
      <c r="D2" s="12" t="s">
        <v>17</v>
      </c>
    </row>
    <row r="3" spans="1:8" x14ac:dyDescent="0.25">
      <c r="A3">
        <v>1</v>
      </c>
      <c r="B3" t="s">
        <v>25</v>
      </c>
      <c r="C3">
        <f>Т_01_07_2022[[#This Row],[остаток задолженности  на конец дня]]</f>
        <v>10</v>
      </c>
      <c r="D3" s="11">
        <v>44743</v>
      </c>
    </row>
    <row r="4" spans="1:8" ht="19.5" x14ac:dyDescent="0.35">
      <c r="A4">
        <v>2</v>
      </c>
      <c r="B4" t="s">
        <v>26</v>
      </c>
      <c r="C4">
        <f>Т_01_07_2022[[#This Row],[остаток задолженности  на конец дня]]</f>
        <v>40</v>
      </c>
      <c r="D4" s="11">
        <v>44774</v>
      </c>
      <c r="G4" s="13"/>
      <c r="H4" s="14"/>
    </row>
    <row r="5" spans="1:8" x14ac:dyDescent="0.25">
      <c r="A5">
        <v>3</v>
      </c>
      <c r="C5">
        <f>Т_01_07_2022[[#This Row],[остаток задолженности  на конец дня]]</f>
        <v>0</v>
      </c>
      <c r="D5" s="11">
        <v>44739</v>
      </c>
    </row>
    <row r="6" spans="1:8" x14ac:dyDescent="0.25">
      <c r="A6">
        <v>4</v>
      </c>
      <c r="D6" s="11">
        <v>44737</v>
      </c>
      <c r="F6" s="15"/>
      <c r="G6" t="s">
        <v>30</v>
      </c>
    </row>
    <row r="7" spans="1:8" x14ac:dyDescent="0.25">
      <c r="F7" s="16"/>
      <c r="G7" t="s">
        <v>31</v>
      </c>
    </row>
    <row r="14" spans="1:8" x14ac:dyDescent="0.25">
      <c r="H14" s="11"/>
    </row>
  </sheetData>
  <conditionalFormatting sqref="B3:D6">
    <cfRule type="expression" dxfId="2" priority="1">
      <formula>$D3=TODAY()</formula>
    </cfRule>
    <cfRule type="expression" dxfId="1" priority="3">
      <formula>$D3&lt;TODAY()</formula>
    </cfRule>
  </conditionalFormatting>
  <conditionalFormatting sqref="G10">
    <cfRule type="expression" dxfId="0" priority="2">
      <formula>$D3=TODAY()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Q28"/>
  <sheetViews>
    <sheetView showGridLines="0" zoomScale="91" zoomScaleNormal="91" workbookViewId="0">
      <selection activeCell="I11" sqref="I11"/>
    </sheetView>
  </sheetViews>
  <sheetFormatPr defaultRowHeight="15" x14ac:dyDescent="0.25"/>
  <cols>
    <col min="1" max="2" width="18.5703125" customWidth="1"/>
    <col min="3" max="3" width="18.28515625" customWidth="1"/>
    <col min="4" max="4" width="16" style="4" customWidth="1"/>
    <col min="5" max="5" width="12.140625" bestFit="1" customWidth="1"/>
    <col min="6" max="6" width="13.140625" style="4" bestFit="1" customWidth="1"/>
    <col min="7" max="7" width="15.28515625" style="4" customWidth="1"/>
    <col min="8" max="8" width="18.42578125" style="4" customWidth="1"/>
    <col min="9" max="9" width="38.7109375" style="4" bestFit="1" customWidth="1"/>
    <col min="10" max="11" width="15.7109375" customWidth="1"/>
    <col min="12" max="12" width="18.42578125" customWidth="1"/>
    <col min="13" max="14" width="23.140625" style="4" customWidth="1"/>
    <col min="15" max="15" width="22.28515625" style="4" customWidth="1"/>
    <col min="16" max="16" width="17" customWidth="1"/>
    <col min="17" max="17" width="16.7109375" bestFit="1" customWidth="1"/>
  </cols>
  <sheetData>
    <row r="1" spans="1:17" x14ac:dyDescent="0.25">
      <c r="A1" s="11">
        <f ca="1">TODAY()</f>
        <v>44759</v>
      </c>
    </row>
    <row r="2" spans="1:17" x14ac:dyDescent="0.25">
      <c r="A2" t="s">
        <v>10</v>
      </c>
      <c r="B2" t="s">
        <v>11</v>
      </c>
      <c r="C2" t="s">
        <v>5</v>
      </c>
      <c r="D2" s="4" t="s">
        <v>6</v>
      </c>
      <c r="E2" t="s">
        <v>12</v>
      </c>
      <c r="F2" s="4" t="s">
        <v>7</v>
      </c>
      <c r="G2" s="4" t="s">
        <v>8</v>
      </c>
      <c r="H2" s="4" t="s">
        <v>9</v>
      </c>
      <c r="I2" s="4" t="s">
        <v>29</v>
      </c>
      <c r="K2" t="s">
        <v>10</v>
      </c>
      <c r="L2" t="s">
        <v>11</v>
      </c>
      <c r="M2" s="4" t="s">
        <v>13</v>
      </c>
      <c r="N2" s="4" t="s">
        <v>15</v>
      </c>
      <c r="O2" s="4" t="s">
        <v>14</v>
      </c>
      <c r="P2" t="s">
        <v>19</v>
      </c>
      <c r="Q2" t="s">
        <v>23</v>
      </c>
    </row>
    <row r="3" spans="1:17" x14ac:dyDescent="0.25">
      <c r="A3">
        <v>1</v>
      </c>
      <c r="B3">
        <v>35268</v>
      </c>
      <c r="C3" t="s">
        <v>27</v>
      </c>
      <c r="D3" s="4">
        <v>15</v>
      </c>
      <c r="E3">
        <v>12</v>
      </c>
      <c r="F3" s="4">
        <v>5</v>
      </c>
      <c r="G3" s="4">
        <f>Т_01_07_2022[факт с НДС]/1.2*0.2</f>
        <v>0.83333333333333348</v>
      </c>
      <c r="H3" s="4">
        <f>Т_01_07_2022[факт с НДС]-Т_01_07_2022[факт НДС]</f>
        <v>4.1666666666666661</v>
      </c>
      <c r="I3" s="4">
        <f>Т_01_07_2022[план]-Т_01_07_2022[факт с НДС]</f>
        <v>10</v>
      </c>
      <c r="K3">
        <v>1</v>
      </c>
      <c r="L3">
        <v>35268</v>
      </c>
      <c r="M3" s="4">
        <v>30</v>
      </c>
      <c r="N3" s="4">
        <f>SUMIF(Таблица5[счет],L19,Таблица5[сумма с НДС])</f>
        <v>15</v>
      </c>
      <c r="O3" s="4">
        <f>Таблица4[[#This Row],[остаток на начало дня]]+Таблица4[[#This Row],[поступление]]-SUMIF(B:B,Т_01_07_2022[[#This Row],[счет]],F:F)</f>
        <v>40</v>
      </c>
      <c r="P3" s="4">
        <f>SUMIF(B:B,Т_01_07_2022[[#This Row],[счет]],G:G)</f>
        <v>0.83333333333333348</v>
      </c>
      <c r="Q3" s="4">
        <f>SUMIF(B:B,Т_01_07_2022[[#This Row],[счет]],H:H)</f>
        <v>4.1666666666666661</v>
      </c>
    </row>
    <row r="4" spans="1:17" x14ac:dyDescent="0.25">
      <c r="B4">
        <v>4556982</v>
      </c>
      <c r="C4" t="s">
        <v>28</v>
      </c>
      <c r="D4" s="4">
        <v>50</v>
      </c>
      <c r="E4">
        <v>13</v>
      </c>
      <c r="F4" s="4">
        <v>10</v>
      </c>
      <c r="G4" s="4">
        <f>Т_01_07_2022[факт с НДС]/1.2*0.2</f>
        <v>1.666666666666667</v>
      </c>
      <c r="H4" s="4">
        <f>Т_01_07_2022[факт с НДС]-Т_01_07_2022[факт НДС]</f>
        <v>8.3333333333333321</v>
      </c>
      <c r="I4" s="4">
        <f>Т_01_07_2022[план]-Т_01_07_2022[факт с НДС]</f>
        <v>40</v>
      </c>
      <c r="K4">
        <v>1</v>
      </c>
      <c r="L4">
        <v>4556982</v>
      </c>
      <c r="M4" s="4">
        <v>100</v>
      </c>
      <c r="N4" s="4">
        <f>SUMIF(Таблица5[счет],L20,Таблица5[сумма с НДС])</f>
        <v>0</v>
      </c>
      <c r="O4" s="4">
        <f>Таблица4[[#This Row],[остаток на начало дня]]+Таблица4[[#This Row],[поступление]]-SUMIF(B:B,Т_01_07_2022[[#This Row],[счет]],F:F)</f>
        <v>90</v>
      </c>
      <c r="P4" s="4">
        <f>SUMIF(B:B,Т_01_07_2022[[#This Row],[счет]],G:G)</f>
        <v>1.666666666666667</v>
      </c>
      <c r="Q4" s="4">
        <f>SUMIF(B:B,Т_01_07_2022[[#This Row],[счет]],H:H)</f>
        <v>8.3333333333333321</v>
      </c>
    </row>
    <row r="5" spans="1:17" x14ac:dyDescent="0.25">
      <c r="B5">
        <v>553877</v>
      </c>
      <c r="G5" s="4">
        <f>Т_01_07_2022[факт с НДС]/1.2*0.2</f>
        <v>0</v>
      </c>
      <c r="H5" s="4">
        <f>Т_01_07_2022[факт с НДС]-Т_01_07_2022[факт НДС]</f>
        <v>0</v>
      </c>
      <c r="I5" s="4">
        <f>Т_01_07_2022[план]-Т_01_07_2022[факт с НДС]</f>
        <v>0</v>
      </c>
      <c r="K5">
        <v>2</v>
      </c>
      <c r="N5" s="4">
        <f>SUMIF(Таблица5[счет],L21,Таблица5[сумма с НДС])</f>
        <v>0</v>
      </c>
      <c r="O5" s="4">
        <f>Таблица4[[#This Row],[остаток на начало дня]]+Таблица4[[#This Row],[поступление]]-SUMIF(B:B,Т_01_07_2022[[#This Row],[счет]],F:F)</f>
        <v>0</v>
      </c>
      <c r="P5" s="4">
        <f>SUMIF(B:B,Т_01_07_2022[[#This Row],[счет]],G:G)</f>
        <v>0</v>
      </c>
      <c r="Q5" s="4">
        <f>SUMIF(B:B,Т_01_07_2022[[#This Row],[счет]],H:H)</f>
        <v>0</v>
      </c>
    </row>
    <row r="6" spans="1:17" x14ac:dyDescent="0.25">
      <c r="B6">
        <v>356985</v>
      </c>
      <c r="G6" s="4">
        <f>Т_01_07_2022[факт с НДС]/1.2*0.2</f>
        <v>0</v>
      </c>
      <c r="H6" s="4">
        <f>Т_01_07_2022[факт с НДС]-Т_01_07_2022[факт НДС]</f>
        <v>0</v>
      </c>
      <c r="I6" s="4">
        <f>Т_01_07_2022[план]-Т_01_07_2022[факт с НДС]</f>
        <v>0</v>
      </c>
      <c r="K6">
        <v>3</v>
      </c>
      <c r="N6" s="4">
        <f>SUMIF(Таблица5[счет],L22,Таблица5[сумма с НДС])</f>
        <v>0</v>
      </c>
      <c r="O6" s="4">
        <f>Таблица4[[#This Row],[остаток на начало дня]]+Таблица4[[#This Row],[поступление]]-SUMIF(B:B,Т_01_07_2022[[#This Row],[счет]],F:F)</f>
        <v>0</v>
      </c>
      <c r="P6" s="4">
        <f>SUMIF(B:B,Т_01_07_2022[[#This Row],[счет]],G:G)</f>
        <v>0</v>
      </c>
      <c r="Q6" s="4">
        <f>SUMIF(B:B,Т_01_07_2022[[#This Row],[счет]],H:H)</f>
        <v>0</v>
      </c>
    </row>
    <row r="7" spans="1:17" x14ac:dyDescent="0.25">
      <c r="A7" t="s">
        <v>22</v>
      </c>
      <c r="D7" s="4">
        <f>SUBTOTAL(109,Т_01_07_2022[план])</f>
        <v>65</v>
      </c>
      <c r="F7" s="4">
        <f>SUBTOTAL(109,Т_01_07_2022[факт с НДС])</f>
        <v>15</v>
      </c>
      <c r="G7" s="4">
        <f>SUBTOTAL(109,Т_01_07_2022[факт НДС])</f>
        <v>2.5000000000000004</v>
      </c>
      <c r="H7" s="4">
        <f>SUBTOTAL(109,Т_01_07_2022[факт без НДС])</f>
        <v>12.499999999999998</v>
      </c>
      <c r="I7" s="4">
        <f>SUBTOTAL(109,Т_01_07_2022[остаток задолженности  на конец дня])</f>
        <v>50</v>
      </c>
      <c r="K7">
        <v>4</v>
      </c>
      <c r="N7" s="4">
        <f>SUMIF(Таблица5[счет],L23,Таблица5[сумма с НДС])</f>
        <v>0</v>
      </c>
      <c r="O7" s="4">
        <f>Таблица4[[#This Row],[остаток на начало дня]]+Таблица4[[#This Row],[поступление]]-SUMIF(B:B,Т_01_07_2022[[#This Row],[счет]],F:F)</f>
        <v>0</v>
      </c>
      <c r="P7" s="4">
        <f>SUMIF(B:B,Т_01_07_2022[[#This Row],[счет]],G:G)</f>
        <v>0</v>
      </c>
      <c r="Q7" s="4">
        <f>SUMIF(B:B,Т_01_07_2022[[#This Row],[счет]],H:H)</f>
        <v>0</v>
      </c>
    </row>
    <row r="8" spans="1:17" x14ac:dyDescent="0.25">
      <c r="K8" t="s">
        <v>22</v>
      </c>
      <c r="M8" s="4">
        <f>SUBTOTAL(109,Таблица4[остаток на начало дня])</f>
        <v>130</v>
      </c>
      <c r="N8" s="4">
        <f>SUBTOTAL(109,Таблица4[поступление])</f>
        <v>15</v>
      </c>
      <c r="O8" s="4">
        <f>SUBTOTAL(109,Таблица4[остаток на конец дня])</f>
        <v>130</v>
      </c>
      <c r="P8" s="4">
        <f>SUBTOTAL(109,Таблица4[НДС])</f>
        <v>2.5000000000000004</v>
      </c>
      <c r="Q8" s="4">
        <f>SUBTOTAL(109,Таблица4[сумма без ндс])</f>
        <v>12.499999999999998</v>
      </c>
    </row>
    <row r="16" spans="1:17" ht="15.75" x14ac:dyDescent="0.25">
      <c r="K16" s="9" t="s">
        <v>21</v>
      </c>
    </row>
    <row r="18" spans="11:16" x14ac:dyDescent="0.25">
      <c r="K18" t="s">
        <v>10</v>
      </c>
      <c r="L18" t="s">
        <v>11</v>
      </c>
      <c r="M18" t="s">
        <v>5</v>
      </c>
      <c r="N18" s="4" t="s">
        <v>18</v>
      </c>
      <c r="O18" s="4" t="s">
        <v>19</v>
      </c>
      <c r="P18" s="4" t="s">
        <v>20</v>
      </c>
    </row>
    <row r="19" spans="11:16" x14ac:dyDescent="0.25">
      <c r="K19">
        <v>1</v>
      </c>
      <c r="L19" s="8">
        <v>35268</v>
      </c>
      <c r="N19" s="4">
        <v>15</v>
      </c>
      <c r="O19" s="4">
        <f>N19/120*20</f>
        <v>2.5</v>
      </c>
      <c r="P19" s="4">
        <f>N19-O19</f>
        <v>12.5</v>
      </c>
    </row>
    <row r="20" spans="11:16" x14ac:dyDescent="0.25">
      <c r="K20">
        <v>1</v>
      </c>
      <c r="L20" s="8">
        <v>4556982</v>
      </c>
      <c r="O20" s="4">
        <f t="shared" ref="O20:O23" si="0">N20/120*20</f>
        <v>0</v>
      </c>
      <c r="P20" s="4">
        <f t="shared" ref="P20:P23" si="1">N20-O20</f>
        <v>0</v>
      </c>
    </row>
    <row r="21" spans="11:16" x14ac:dyDescent="0.25">
      <c r="K21">
        <v>2</v>
      </c>
      <c r="O21" s="4">
        <f t="shared" si="0"/>
        <v>0</v>
      </c>
      <c r="P21" s="4">
        <f t="shared" si="1"/>
        <v>0</v>
      </c>
    </row>
    <row r="22" spans="11:16" x14ac:dyDescent="0.25">
      <c r="K22">
        <v>3</v>
      </c>
      <c r="O22" s="4">
        <f t="shared" si="0"/>
        <v>0</v>
      </c>
      <c r="P22" s="4">
        <f t="shared" si="1"/>
        <v>0</v>
      </c>
    </row>
    <row r="23" spans="11:16" x14ac:dyDescent="0.25">
      <c r="K23">
        <v>4</v>
      </c>
      <c r="O23" s="4">
        <f t="shared" si="0"/>
        <v>0</v>
      </c>
      <c r="P23" s="4">
        <f t="shared" si="1"/>
        <v>0</v>
      </c>
    </row>
    <row r="24" spans="11:16" x14ac:dyDescent="0.25">
      <c r="K24" t="s">
        <v>22</v>
      </c>
      <c r="M24"/>
      <c r="N24" s="4">
        <f>SUBTOTAL(109,Таблица5[сумма с НДС])</f>
        <v>15</v>
      </c>
      <c r="O24" s="4">
        <f>SUBTOTAL(109,Таблица5[НДС])</f>
        <v>2.5</v>
      </c>
      <c r="P24" s="4">
        <f>SUBTOTAL(109,Таблица5[сумма без НДС])</f>
        <v>12.5</v>
      </c>
    </row>
    <row r="28" spans="11:16" x14ac:dyDescent="0.25">
      <c r="K28" t="s">
        <v>24</v>
      </c>
      <c r="L28" s="4">
        <f>Таблица4[[#Totals],[НДС]]-Таблица5[[#Totals],[НДС]]</f>
        <v>0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Q27"/>
  <sheetViews>
    <sheetView showGridLines="0" workbookViewId="0">
      <selection activeCell="F3" sqref="F3"/>
    </sheetView>
  </sheetViews>
  <sheetFormatPr defaultRowHeight="15" x14ac:dyDescent="0.25"/>
  <cols>
    <col min="1" max="2" width="18.5703125" customWidth="1"/>
    <col min="3" max="3" width="18.28515625" customWidth="1"/>
    <col min="4" max="4" width="16" style="4" customWidth="1"/>
    <col min="5" max="5" width="12.140625" bestFit="1" customWidth="1"/>
    <col min="6" max="6" width="13.140625" style="4" bestFit="1" customWidth="1"/>
    <col min="7" max="7" width="15.28515625" style="4" customWidth="1"/>
    <col min="8" max="8" width="18.42578125" style="4" customWidth="1"/>
    <col min="9" max="9" width="38.7109375" style="4" bestFit="1" customWidth="1"/>
    <col min="10" max="11" width="15.7109375" customWidth="1"/>
    <col min="12" max="12" width="18.42578125" customWidth="1"/>
    <col min="13" max="14" width="23.140625" style="4" customWidth="1"/>
    <col min="15" max="15" width="22.28515625" style="4" customWidth="1"/>
    <col min="16" max="16" width="17" customWidth="1"/>
    <col min="17" max="17" width="16.7109375" bestFit="1" customWidth="1"/>
  </cols>
  <sheetData>
    <row r="1" spans="1:17" x14ac:dyDescent="0.25">
      <c r="A1" t="s">
        <v>10</v>
      </c>
      <c r="B1" t="s">
        <v>11</v>
      </c>
      <c r="C1" t="s">
        <v>5</v>
      </c>
      <c r="D1" s="4" t="s">
        <v>6</v>
      </c>
      <c r="E1" t="s">
        <v>12</v>
      </c>
      <c r="F1" s="4" t="s">
        <v>7</v>
      </c>
      <c r="G1" s="4" t="s">
        <v>8</v>
      </c>
      <c r="H1" s="4" t="s">
        <v>9</v>
      </c>
      <c r="I1" s="4" t="s">
        <v>29</v>
      </c>
      <c r="K1" t="s">
        <v>10</v>
      </c>
      <c r="L1" t="s">
        <v>11</v>
      </c>
      <c r="M1" s="4" t="s">
        <v>13</v>
      </c>
      <c r="N1" s="4" t="s">
        <v>15</v>
      </c>
      <c r="O1" s="4" t="s">
        <v>14</v>
      </c>
      <c r="P1" t="s">
        <v>19</v>
      </c>
      <c r="Q1" t="s">
        <v>23</v>
      </c>
    </row>
    <row r="2" spans="1:17" x14ac:dyDescent="0.25">
      <c r="A2">
        <v>1</v>
      </c>
      <c r="B2">
        <v>35268</v>
      </c>
      <c r="C2" t="s">
        <v>27</v>
      </c>
      <c r="D2" s="4" t="e">
        <f>Т_01_07_2022[[#This Row],[остаток задолженности  на конец дня]]</f>
        <v>#VALUE!</v>
      </c>
      <c r="E2">
        <v>12</v>
      </c>
      <c r="F2" s="4">
        <v>5</v>
      </c>
      <c r="G2" s="4">
        <f>Т_04_07_20224[факт с НДС]/1.2*0.2</f>
        <v>0.83333333333333348</v>
      </c>
      <c r="H2" s="4">
        <f>Т_04_07_20224[факт с НДС]-Т_04_07_20224[факт НДС]</f>
        <v>4.1666666666666661</v>
      </c>
      <c r="I2" s="4" t="e">
        <f>Т_04_07_20224[план]-Т_04_07_20224[факт с НДС]</f>
        <v>#VALUE!</v>
      </c>
      <c r="K2">
        <v>1</v>
      </c>
      <c r="L2">
        <v>35268</v>
      </c>
      <c r="M2" s="4" t="e">
        <f>Таблица4[[#This Row],[остаток на конец дня]]</f>
        <v>#VALUE!</v>
      </c>
      <c r="N2" s="4">
        <f>SUMIF(Таблица511[счет],L18,Таблица511[сумма с НДС])</f>
        <v>15</v>
      </c>
      <c r="O2" s="4" t="e">
        <f>Таблица47[[#This Row],[остаток на начало дня]]+Таблица47[[#This Row],[поступление]]-SUMIF(B:B,Т_04_07_20224[[#This Row],[счет]],F:F)</f>
        <v>#VALUE!</v>
      </c>
      <c r="P2" s="4">
        <f>SUMIF(B:B,Т_04_07_20224[[#This Row],[счет]],G:G)</f>
        <v>0.83333333333333348</v>
      </c>
      <c r="Q2" s="4">
        <f>SUMIF(B:B,Т_04_07_20224[[#This Row],[счет]],H:H)</f>
        <v>4.1666666666666661</v>
      </c>
    </row>
    <row r="3" spans="1:17" x14ac:dyDescent="0.25">
      <c r="B3">
        <v>4556982</v>
      </c>
      <c r="C3" t="s">
        <v>28</v>
      </c>
      <c r="D3" s="4">
        <f>Т_01_07_2022[[#This Row],[остаток задолженности  на конец дня]]</f>
        <v>10</v>
      </c>
      <c r="E3">
        <v>13</v>
      </c>
      <c r="F3" s="4">
        <v>10</v>
      </c>
      <c r="G3" s="4">
        <f>Т_04_07_20224[факт с НДС]/1.2*0.2</f>
        <v>1.666666666666667</v>
      </c>
      <c r="H3" s="4">
        <f>Т_04_07_20224[факт с НДС]-Т_04_07_20224[факт НДС]</f>
        <v>8.3333333333333321</v>
      </c>
      <c r="I3" s="4">
        <f>Т_04_07_20224[план]-Т_04_07_20224[факт с НДС]</f>
        <v>0</v>
      </c>
      <c r="K3">
        <v>1</v>
      </c>
      <c r="L3">
        <v>4556982</v>
      </c>
      <c r="M3" s="4">
        <f>Таблица4[[#This Row],[остаток на конец дня]]</f>
        <v>40</v>
      </c>
      <c r="N3" s="4">
        <f>SUMIF(Таблица511[счет],L19,Таблица511[сумма с НДС])</f>
        <v>0</v>
      </c>
      <c r="O3" s="4">
        <f>Таблица47[[#This Row],[остаток на начало дня]]+Таблица47[[#This Row],[поступление]]-SUMIF(B:B,Т_04_07_20224[[#This Row],[счет]],F:F)</f>
        <v>30</v>
      </c>
      <c r="P3" s="4">
        <f>SUMIF(B:B,Т_04_07_20224[[#This Row],[счет]],G:G)</f>
        <v>1.666666666666667</v>
      </c>
      <c r="Q3" s="4">
        <f>SUMIF(B:B,Т_04_07_20224[[#This Row],[счет]],H:H)</f>
        <v>8.3333333333333321</v>
      </c>
    </row>
    <row r="4" spans="1:17" x14ac:dyDescent="0.25">
      <c r="B4">
        <v>553877</v>
      </c>
      <c r="G4" s="4">
        <f>Т_04_07_20224[факт с НДС]/1.2*0.2</f>
        <v>0</v>
      </c>
      <c r="H4" s="4">
        <f>Т_04_07_20224[факт с НДС]-Т_04_07_20224[факт НДС]</f>
        <v>0</v>
      </c>
      <c r="I4" s="4">
        <f>Т_04_07_20224[план]-Т_04_07_20224[факт с НДС]</f>
        <v>0</v>
      </c>
      <c r="K4">
        <v>2</v>
      </c>
      <c r="N4" s="4">
        <f>SUMIF(Таблица511[счет],L20,Таблица511[сумма с НДС])</f>
        <v>0</v>
      </c>
      <c r="O4" s="4">
        <f>Таблица47[[#This Row],[остаток на начало дня]]+Таблица47[[#This Row],[поступление]]-SUMIF(B:B,Т_04_07_20224[[#This Row],[счет]],F:F)</f>
        <v>0</v>
      </c>
      <c r="P4" s="4">
        <f>SUMIF(B:B,Т_04_07_20224[[#This Row],[счет]],G:G)</f>
        <v>0</v>
      </c>
      <c r="Q4" s="4">
        <f>SUMIF(B:B,Т_04_07_20224[[#This Row],[счет]],H:H)</f>
        <v>0</v>
      </c>
    </row>
    <row r="5" spans="1:17" x14ac:dyDescent="0.25">
      <c r="B5">
        <v>356985</v>
      </c>
      <c r="G5" s="4">
        <f>Т_04_07_20224[факт с НДС]/1.2*0.2</f>
        <v>0</v>
      </c>
      <c r="H5" s="4">
        <f>Т_04_07_20224[факт с НДС]-Т_04_07_20224[факт НДС]</f>
        <v>0</v>
      </c>
      <c r="I5" s="4">
        <f>Т_04_07_20224[план]-Т_04_07_20224[факт с НДС]</f>
        <v>0</v>
      </c>
      <c r="K5">
        <v>3</v>
      </c>
      <c r="N5" s="4">
        <f>SUMIF(Таблица511[счет],L21,Таблица511[сумма с НДС])</f>
        <v>0</v>
      </c>
      <c r="O5" s="4">
        <f>Таблица47[[#This Row],[остаток на начало дня]]+Таблица47[[#This Row],[поступление]]-SUMIF(B:B,Т_04_07_20224[[#This Row],[счет]],F:F)</f>
        <v>0</v>
      </c>
      <c r="P5" s="4">
        <f>SUMIF(B:B,Т_04_07_20224[[#This Row],[счет]],G:G)</f>
        <v>0</v>
      </c>
      <c r="Q5" s="4">
        <f>SUMIF(B:B,Т_04_07_20224[[#This Row],[счет]],H:H)</f>
        <v>0</v>
      </c>
    </row>
    <row r="6" spans="1:17" x14ac:dyDescent="0.25">
      <c r="A6" t="s">
        <v>22</v>
      </c>
      <c r="D6" s="4" t="e">
        <f>SUBTOTAL(109,Т_04_07_20224[план])</f>
        <v>#VALUE!</v>
      </c>
      <c r="F6" s="4">
        <f>SUBTOTAL(109,Т_04_07_20224[факт с НДС])</f>
        <v>15</v>
      </c>
      <c r="G6" s="4">
        <f>SUBTOTAL(109,Т_04_07_20224[факт НДС])</f>
        <v>2.5000000000000004</v>
      </c>
      <c r="H6" s="4">
        <f>SUBTOTAL(109,Т_04_07_20224[факт без НДС])</f>
        <v>12.499999999999998</v>
      </c>
      <c r="I6" s="4" t="e">
        <f>SUBTOTAL(109,Т_04_07_20224[остаток задолженности  на конец дня])</f>
        <v>#VALUE!</v>
      </c>
      <c r="K6">
        <v>4</v>
      </c>
      <c r="N6" s="4">
        <f>SUMIF(Таблица511[счет],L22,Таблица511[сумма с НДС])</f>
        <v>0</v>
      </c>
      <c r="O6" s="4">
        <f>Таблица47[[#This Row],[остаток на начало дня]]+Таблица47[[#This Row],[поступление]]-SUMIF(B:B,Т_04_07_20224[[#This Row],[счет]],F:F)</f>
        <v>0</v>
      </c>
      <c r="P6" s="4">
        <f>SUMIF(B:B,Т_04_07_20224[[#This Row],[счет]],G:G)</f>
        <v>0</v>
      </c>
      <c r="Q6" s="4">
        <f>SUMIF(B:B,Т_04_07_20224[[#This Row],[счет]],H:H)</f>
        <v>0</v>
      </c>
    </row>
    <row r="7" spans="1:17" x14ac:dyDescent="0.25">
      <c r="K7" t="s">
        <v>22</v>
      </c>
      <c r="M7" s="4" t="e">
        <f>SUBTOTAL(109,Таблица47[остаток на начало дня])</f>
        <v>#VALUE!</v>
      </c>
      <c r="N7" s="4">
        <f>SUBTOTAL(109,Таблица47[поступление])</f>
        <v>15</v>
      </c>
      <c r="O7" s="4" t="e">
        <f>SUBTOTAL(109,Таблица47[остаток на конец дня])</f>
        <v>#VALUE!</v>
      </c>
      <c r="P7" s="4">
        <f>SUBTOTAL(109,Таблица47[НДС])</f>
        <v>2.5000000000000004</v>
      </c>
      <c r="Q7" s="4">
        <f>SUBTOTAL(109,Таблица47[сумма без ндс])</f>
        <v>12.499999999999998</v>
      </c>
    </row>
    <row r="15" spans="1:17" ht="15.75" x14ac:dyDescent="0.25">
      <c r="K15" s="9" t="s">
        <v>21</v>
      </c>
    </row>
    <row r="17" spans="11:16" x14ac:dyDescent="0.25">
      <c r="K17" t="s">
        <v>10</v>
      </c>
      <c r="L17" t="s">
        <v>11</v>
      </c>
      <c r="M17" t="s">
        <v>5</v>
      </c>
      <c r="N17" s="4" t="s">
        <v>18</v>
      </c>
      <c r="O17" s="4" t="s">
        <v>19</v>
      </c>
      <c r="P17" s="4" t="s">
        <v>20</v>
      </c>
    </row>
    <row r="18" spans="11:16" x14ac:dyDescent="0.25">
      <c r="K18">
        <v>1</v>
      </c>
      <c r="L18" s="8">
        <v>35268</v>
      </c>
      <c r="N18" s="4">
        <v>15</v>
      </c>
      <c r="O18" s="4">
        <f>N18/120*20</f>
        <v>2.5</v>
      </c>
      <c r="P18" s="4">
        <f>N18-O18</f>
        <v>12.5</v>
      </c>
    </row>
    <row r="19" spans="11:16" x14ac:dyDescent="0.25">
      <c r="K19">
        <v>1</v>
      </c>
      <c r="L19" s="8">
        <v>4556982</v>
      </c>
      <c r="O19" s="4">
        <f t="shared" ref="O19:O22" si="0">N19/120*20</f>
        <v>0</v>
      </c>
      <c r="P19" s="4">
        <f t="shared" ref="P19:P22" si="1">N19-O19</f>
        <v>0</v>
      </c>
    </row>
    <row r="20" spans="11:16" x14ac:dyDescent="0.25">
      <c r="K20">
        <v>2</v>
      </c>
      <c r="O20" s="4">
        <f t="shared" si="0"/>
        <v>0</v>
      </c>
      <c r="P20" s="4">
        <f t="shared" si="1"/>
        <v>0</v>
      </c>
    </row>
    <row r="21" spans="11:16" x14ac:dyDescent="0.25">
      <c r="K21">
        <v>3</v>
      </c>
      <c r="O21" s="4">
        <f t="shared" si="0"/>
        <v>0</v>
      </c>
      <c r="P21" s="4">
        <f t="shared" si="1"/>
        <v>0</v>
      </c>
    </row>
    <row r="22" spans="11:16" x14ac:dyDescent="0.25">
      <c r="K22">
        <v>4</v>
      </c>
      <c r="O22" s="4">
        <f t="shared" si="0"/>
        <v>0</v>
      </c>
      <c r="P22" s="4">
        <f t="shared" si="1"/>
        <v>0</v>
      </c>
    </row>
    <row r="23" spans="11:16" x14ac:dyDescent="0.25">
      <c r="K23" t="s">
        <v>22</v>
      </c>
      <c r="M23"/>
      <c r="N23" s="4">
        <f>SUBTOTAL(109,Таблица511[сумма с НДС])</f>
        <v>15</v>
      </c>
      <c r="O23" s="4">
        <f>SUBTOTAL(109,Таблица511[НДС])</f>
        <v>2.5</v>
      </c>
      <c r="P23" s="4">
        <f>SUBTOTAL(109,Таблица511[сумма без НДС])</f>
        <v>12.5</v>
      </c>
    </row>
    <row r="27" spans="11:16" x14ac:dyDescent="0.25">
      <c r="K27" t="s">
        <v>24</v>
      </c>
      <c r="L27" s="4">
        <f>Таблица47[[#Totals],[НДС]]-Таблица511[[#Totals],[НДС]]</f>
        <v>0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 C o l u m n s \ :><?0=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 C o l u m n s \ :>=B@035=B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 C o l u m n s \ AC<<0  704>;65==>AB8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 C o l u m n s \ A@>:  >?;0BK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"01;8F0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 :><?0=8O< / s t r i n g > < / k e y > < v a l u e > < i n t > 9 9 < / i n t > < / v a l u e > < / i t e m > < i t e m > < k e y > < s t r i n g > :>=B@035=B< / s t r i n g > < / k e y > < v a l u e > < i n t > 1 0 7 < / i n t > < / v a l u e > < / i t e m > < i t e m > < k e y > < s t r i n g > AC<<0  704>;65==>AB8< / s t r i n g > < / k e y > < v a l u e > < i n t > 1 7 8 < / i n t > < / v a l u e > < / i t e m > < i t e m > < k e y > < s t r i n g > A@>:  >?;0BK< / s t r i n g > < / k e y > < v a l u e > < i n t > 1 1 5 < / i n t > < / v a l u e > < / i t e m > < / C o l u m n W i d t h s > < C o l u m n D i s p l a y I n d e x > < i t e m > < k e y > < s t r i n g > :><?0=8O< / s t r i n g > < / k e y > < v a l u e > < i n t > 0 < / i n t > < / v a l u e > < / i t e m > < i t e m > < k e y > < s t r i n g > :>=B@035=B< / s t r i n g > < / k e y > < v a l u e > < i n t > 1 < / i n t > < / v a l u e > < / i t e m > < i t e m > < k e y > < s t r i n g > AC<<0  704>;65==>AB8< / s t r i n g > < / k e y > < v a l u e > < i n t > 2 < / i n t > < / v a l u e > < / i t e m > < i t e m > < k e y > < s t r i n g > A@>:  >?;0BK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 2 0 2 2 - 0 7 - 1 7 T 1 2 : 4 8 : 0 8 . 7 6 1 3 1 7 + 0 3 : 0 0 < / L a s t P r o c e s s e d T i m e > < / D a t a M o d e l i n g S a n d b o x . S e r i a l i z e d S a n d b o x E r r o r C a c h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 "01;8F01 < / E x c e l T a b l e N a m e > < G e m i n i T a b l e I d > "01;8F01 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O r d e r " > < C u s t o m C o n t e n t > "01;8F01 < / C u s t o m C o n t e n t > < / G e m i n i > 
</file>

<file path=customXml/item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 1 1 7 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 C o l u m n s \ :><?0=8O< / K e y > < / D i a g r a m O b j e c t K e y > < D i a g r a m O b j e c t K e y > < K e y > C o l u m n s \ :>=B@035=B< / K e y > < / D i a g r a m O b j e c t K e y > < D i a g r a m O b j e c t K e y > < K e y > C o l u m n s \ AC<<0  704>;65==>AB8< / K e y > < / D i a g r a m O b j e c t K e y > < D i a g r a m O b j e c t K e y > < K e y > C o l u m n s \ A@>:  >?;0BK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 C o l u m n s \ :><?0=8O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 C o l u m n s \ :>=B@035=B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 C o l u m n s \ AC<<0  704>;65==>AB8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 C o l u m n s \ A@>:  >?;0BK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1 8 6 ] ] > < / C u s t o m C o n t e n t > < / G e m i n i > 
</file>

<file path=customXml/item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Props1.xml><?xml version="1.0" encoding="utf-8"?>
<ds:datastoreItem xmlns:ds="http://schemas.openxmlformats.org/officeDocument/2006/customXml" ds:itemID="{DF663E70-6C58-4A41-BBA1-D8693325345E}">
  <ds:schemaRefs/>
</ds:datastoreItem>
</file>

<file path=customXml/itemProps10.xml><?xml version="1.0" encoding="utf-8"?>
<ds:datastoreItem xmlns:ds="http://schemas.openxmlformats.org/officeDocument/2006/customXml" ds:itemID="{C23D0DBB-081A-471C-B0D7-F4A8A50E8DC0}">
  <ds:schemaRefs/>
</ds:datastoreItem>
</file>

<file path=customXml/itemProps11.xml><?xml version="1.0" encoding="utf-8"?>
<ds:datastoreItem xmlns:ds="http://schemas.openxmlformats.org/officeDocument/2006/customXml" ds:itemID="{C6F53ABA-0B99-4B45-88F4-8CE516855A76}">
  <ds:schemaRefs/>
</ds:datastoreItem>
</file>

<file path=customXml/itemProps12.xml><?xml version="1.0" encoding="utf-8"?>
<ds:datastoreItem xmlns:ds="http://schemas.openxmlformats.org/officeDocument/2006/customXml" ds:itemID="{9AA35A53-15CE-43E1-8E12-F6C2257B4B94}">
  <ds:schemaRefs/>
</ds:datastoreItem>
</file>

<file path=customXml/itemProps13.xml><?xml version="1.0" encoding="utf-8"?>
<ds:datastoreItem xmlns:ds="http://schemas.openxmlformats.org/officeDocument/2006/customXml" ds:itemID="{C2837B4C-542D-48D8-BCDE-BD2DCC05C58B}">
  <ds:schemaRefs/>
</ds:datastoreItem>
</file>

<file path=customXml/itemProps14.xml><?xml version="1.0" encoding="utf-8"?>
<ds:datastoreItem xmlns:ds="http://schemas.openxmlformats.org/officeDocument/2006/customXml" ds:itemID="{561CEE64-7B64-4543-AED6-78F3D77DC46B}">
  <ds:schemaRefs/>
</ds:datastoreItem>
</file>

<file path=customXml/itemProps15.xml><?xml version="1.0" encoding="utf-8"?>
<ds:datastoreItem xmlns:ds="http://schemas.openxmlformats.org/officeDocument/2006/customXml" ds:itemID="{70997A91-6C6E-4AD2-8A37-87F823F37928}">
  <ds:schemaRefs/>
</ds:datastoreItem>
</file>

<file path=customXml/itemProps16.xml><?xml version="1.0" encoding="utf-8"?>
<ds:datastoreItem xmlns:ds="http://schemas.openxmlformats.org/officeDocument/2006/customXml" ds:itemID="{BC5512EE-BB1D-4DF8-9CA7-87C83BCE172B}">
  <ds:schemaRefs/>
</ds:datastoreItem>
</file>

<file path=customXml/itemProps17.xml><?xml version="1.0" encoding="utf-8"?>
<ds:datastoreItem xmlns:ds="http://schemas.openxmlformats.org/officeDocument/2006/customXml" ds:itemID="{16078CC0-3346-4474-A22D-CAFEDB24175A}">
  <ds:schemaRefs/>
</ds:datastoreItem>
</file>

<file path=customXml/itemProps18.xml><?xml version="1.0" encoding="utf-8"?>
<ds:datastoreItem xmlns:ds="http://schemas.openxmlformats.org/officeDocument/2006/customXml" ds:itemID="{3EFE0D40-196F-4692-AA48-2747D2FABC2C}">
  <ds:schemaRefs/>
</ds:datastoreItem>
</file>

<file path=customXml/itemProps2.xml><?xml version="1.0" encoding="utf-8"?>
<ds:datastoreItem xmlns:ds="http://schemas.openxmlformats.org/officeDocument/2006/customXml" ds:itemID="{0981AA0B-C5DE-41DA-9356-AC1A8415675F}">
  <ds:schemaRefs/>
</ds:datastoreItem>
</file>

<file path=customXml/itemProps3.xml><?xml version="1.0" encoding="utf-8"?>
<ds:datastoreItem xmlns:ds="http://schemas.openxmlformats.org/officeDocument/2006/customXml" ds:itemID="{FC307776-0099-4B54-A122-D21DD1D806C1}">
  <ds:schemaRefs/>
</ds:datastoreItem>
</file>

<file path=customXml/itemProps4.xml><?xml version="1.0" encoding="utf-8"?>
<ds:datastoreItem xmlns:ds="http://schemas.openxmlformats.org/officeDocument/2006/customXml" ds:itemID="{D2BDE49C-17E8-41AD-B7BF-2502319443A4}">
  <ds:schemaRefs/>
</ds:datastoreItem>
</file>

<file path=customXml/itemProps5.xml><?xml version="1.0" encoding="utf-8"?>
<ds:datastoreItem xmlns:ds="http://schemas.openxmlformats.org/officeDocument/2006/customXml" ds:itemID="{70B23A67-6C9F-40D8-ABD9-17A57E5481BB}">
  <ds:schemaRefs/>
</ds:datastoreItem>
</file>

<file path=customXml/itemProps6.xml><?xml version="1.0" encoding="utf-8"?>
<ds:datastoreItem xmlns:ds="http://schemas.openxmlformats.org/officeDocument/2006/customXml" ds:itemID="{8A3B0570-D9E0-445C-83EF-4F25C0A0B2D3}">
  <ds:schemaRefs/>
</ds:datastoreItem>
</file>

<file path=customXml/itemProps7.xml><?xml version="1.0" encoding="utf-8"?>
<ds:datastoreItem xmlns:ds="http://schemas.openxmlformats.org/officeDocument/2006/customXml" ds:itemID="{7AEB0633-4E67-4FB3-80AD-5D3D4B34FEEC}">
  <ds:schemaRefs/>
</ds:datastoreItem>
</file>

<file path=customXml/itemProps8.xml><?xml version="1.0" encoding="utf-8"?>
<ds:datastoreItem xmlns:ds="http://schemas.openxmlformats.org/officeDocument/2006/customXml" ds:itemID="{1693B03D-6818-46F5-84BB-F9CC8E4BFD70}">
  <ds:schemaRefs/>
</ds:datastoreItem>
</file>

<file path=customXml/itemProps9.xml><?xml version="1.0" encoding="utf-8"?>
<ds:datastoreItem xmlns:ds="http://schemas.openxmlformats.org/officeDocument/2006/customXml" ds:itemID="{16E3117A-137B-42C1-AFDC-B5B79EF2E6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Остатки по счетам</vt:lpstr>
      <vt:lpstr>Задолженность</vt:lpstr>
      <vt:lpstr>01.07.2022</vt:lpstr>
      <vt:lpstr>04.07.2022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Лосева Анна</dc:creator>
  <cp:lastModifiedBy>Лосева Анна</cp:lastModifiedBy>
  <dcterms:created xsi:type="dcterms:W3CDTF">2022-06-23T20:38:22Z</dcterms:created>
  <dcterms:modified xsi:type="dcterms:W3CDTF">2022-07-17T13:02:07Z</dcterms:modified>
</cp:coreProperties>
</file>