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showInkAnnotation="0" updateLinks="never" defaultThemeVersion="124226"/>
  <xr:revisionPtr revIDLastSave="0" documentId="13_ncr:1_{20A493FB-BCD3-4A25-A8A7-158B210091F7}" xr6:coauthVersionLast="47" xr6:coauthVersionMax="47" xr10:uidLastSave="{00000000-0000-0000-0000-000000000000}"/>
  <bookViews>
    <workbookView xWindow="-120" yWindow="-120" windowWidth="29040" windowHeight="15840" tabRatio="843" activeTab="1" xr2:uid="{00000000-000D-0000-FFFF-FFFF00000000}"/>
  </bookViews>
  <sheets>
    <sheet name="DATA" sheetId="70" r:id="rId1"/>
    <sheet name="Ноябрь" sheetId="188" r:id="rId2"/>
  </sheets>
  <definedNames>
    <definedName name="_xlnm.Print_Area" localSheetId="1">Ноябрь!$A$2:$AU$10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88" l="1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U8" i="188"/>
  <c r="AT8" i="188"/>
  <c r="AS8" i="188"/>
  <c r="AR8" i="188"/>
  <c r="AQ8" i="188"/>
  <c r="AJ8" i="188"/>
  <c r="D8" i="188"/>
  <c r="C8" i="188"/>
  <c r="A8" i="188" s="1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U6" i="188"/>
  <c r="AT6" i="188"/>
  <c r="AS6" i="188"/>
  <c r="AR6" i="188"/>
  <c r="AQ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U4" i="188"/>
  <c r="AT4" i="188"/>
  <c r="AS4" i="188"/>
  <c r="AR4" i="188"/>
  <c r="AQ4" i="188"/>
  <c r="AJ4" i="188"/>
  <c r="D4" i="188"/>
  <c r="C4" i="188"/>
  <c r="A4" i="188" s="1"/>
  <c r="C2" i="188"/>
  <c r="E3" i="188" s="1"/>
  <c r="AR10" i="188"/>
  <c r="AJ10" i="188"/>
  <c r="AU10" i="188"/>
  <c r="AQ10" i="188"/>
  <c r="AT10" i="188"/>
  <c r="AS10" i="188"/>
  <c r="AM6" i="188" l="1"/>
  <c r="AK4" i="188"/>
  <c r="E2" i="188"/>
  <c r="AK8" i="188"/>
  <c r="AM8" i="188"/>
  <c r="F3" i="188"/>
  <c r="AK6" i="188"/>
  <c r="AM4" i="188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AM10" i="188"/>
  <c r="AK10" i="188"/>
  <c r="G3" i="188" l="1"/>
  <c r="F2" i="188"/>
  <c r="E9" i="70"/>
  <c r="H3" i="188" l="1"/>
  <c r="G2" i="188"/>
  <c r="I3" i="188" l="1"/>
  <c r="H2" i="188"/>
  <c r="J3" i="188" l="1"/>
  <c r="I2" i="188"/>
  <c r="K3" i="188" l="1"/>
  <c r="J2" i="188"/>
  <c r="L3" i="188" l="1"/>
  <c r="K2" i="188"/>
  <c r="M3" i="188" l="1"/>
  <c r="L2" i="188"/>
  <c r="N3" i="188" l="1"/>
  <c r="M2" i="188"/>
  <c r="O3" i="188" l="1"/>
  <c r="N2" i="188"/>
  <c r="P3" i="188" l="1"/>
  <c r="O2" i="188"/>
  <c r="Q3" i="188" l="1"/>
  <c r="P2" i="188"/>
  <c r="R3" i="188" l="1"/>
  <c r="Q2" i="188"/>
  <c r="S3" i="188" l="1"/>
  <c r="R2" i="188"/>
  <c r="T3" i="188" l="1"/>
  <c r="S2" i="188"/>
  <c r="U3" i="188" l="1"/>
  <c r="T2" i="188"/>
  <c r="V3" i="188" l="1"/>
  <c r="U2" i="188"/>
  <c r="W3" i="188" l="1"/>
  <c r="V2" i="188"/>
  <c r="X3" i="188" l="1"/>
  <c r="W2" i="188"/>
  <c r="Y3" i="188" l="1"/>
  <c r="X2" i="188"/>
  <c r="Z3" i="188" l="1"/>
  <c r="Y2" i="188"/>
  <c r="AA3" i="188" l="1"/>
  <c r="Z2" i="188"/>
  <c r="AB3" i="188" l="1"/>
  <c r="AA2" i="188"/>
  <c r="AC3" i="188" l="1"/>
  <c r="AB2" i="188"/>
  <c r="AD3" i="188" l="1"/>
  <c r="AC2" i="188"/>
  <c r="AE3" i="188" l="1"/>
  <c r="AD2" i="188"/>
  <c r="AF3" i="188" l="1"/>
  <c r="AE2" i="188"/>
  <c r="AG3" i="188" l="1"/>
  <c r="AG2" i="188" s="1"/>
  <c r="AF2" i="188"/>
  <c r="AI3" i="188"/>
  <c r="AH3" i="188"/>
  <c r="AH2" i="188" s="1"/>
  <c r="AI2" i="188" l="1"/>
  <c r="AP8" i="188" a="1"/>
  <c r="AP8" i="188" s="1"/>
  <c r="AL6" i="188" a="1"/>
  <c r="AL6" i="188" s="1"/>
  <c r="AP6" i="188" a="1"/>
  <c r="AP6" i="188" s="1"/>
  <c r="AP4" i="188" a="1"/>
  <c r="AP4" i="188" s="1"/>
  <c r="AL4" i="188" a="1"/>
  <c r="AL4" i="188" s="1"/>
  <c r="AL8" i="188" a="1"/>
  <c r="AL8" i="188" s="1"/>
  <c r="AP10" i="188"/>
  <c r="AL10" i="188"/>
  <c r="E8" i="70" l="1"/>
  <c r="E7" i="70"/>
  <c r="E6" i="70"/>
  <c r="E5" i="70"/>
  <c r="E4" i="70"/>
  <c r="E3" i="70"/>
  <c r="E2" i="70"/>
  <c r="AN4" i="188" l="1" a="1"/>
  <c r="AN4" i="188" s="1"/>
  <c r="AO4" i="188" s="1"/>
  <c r="AN8" i="188" a="1"/>
  <c r="AN8" i="188" s="1"/>
  <c r="D2" i="188"/>
  <c r="AN6" i="188" a="1"/>
  <c r="AN6" i="188" s="1"/>
  <c r="AO6" i="188" s="1"/>
  <c r="AN10" i="188"/>
  <c r="AO8" i="188" l="1"/>
  <c r="AO10" i="1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N4" authorId="0" shapeId="0" xr:uid="{A531E9F3-BA3A-4445-B14F-92E2A221C75E}">
      <text>
        <r>
          <rPr>
            <b/>
            <sz val="9"/>
            <color indexed="81"/>
            <rFont val="Tahoma"/>
            <charset val="1"/>
          </rPr>
          <t>Должно быть:
175-167=8
8-5(в праздники)=3
а тут 6 часов доплата.</t>
        </r>
      </text>
    </comment>
  </commentList>
</comments>
</file>

<file path=xl/sharedStrings.xml><?xml version="1.0" encoding="utf-8"?>
<sst xmlns="http://schemas.openxmlformats.org/spreadsheetml/2006/main" count="89" uniqueCount="48">
  <si>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</si>
  <si>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</si>
  <si>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</si>
  <si>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</si>
  <si>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</si>
  <si>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</si>
  <si>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</si>
  <si>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</si>
  <si>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</si>
  <si>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</si>
  <si>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</si>
  <si>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</si>
  <si>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</si>
  <si>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</si>
  <si>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</si>
  <si>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</si>
  <si>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</si>
  <si>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</si>
  <si>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</si>
  <si>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</si>
  <si>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</si>
  <si>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</si>
  <si>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</si>
  <si>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</si>
  <si>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</t>
  </si>
  <si>
    <t>оператор на фильтрах</t>
  </si>
  <si>
    <t>оператор диспетчерской службы</t>
  </si>
  <si>
    <t>Фирсова Т.Ю.</t>
  </si>
  <si>
    <t>Митрюхина Н.А.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</si>
  <si>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</si>
  <si>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</si>
  <si>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</si>
  <si>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</si>
  <si>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</si>
  <si>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</si>
  <si>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</si>
  <si>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</si>
  <si>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</si>
  <si>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о</t>
  </si>
  <si>
    <t>Праздничные
дни</t>
  </si>
  <si>
    <t>Название
праздника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</si>
  <si>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</si>
  <si>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</si>
  <si>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</si>
  <si>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</si>
  <si>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</si>
  <si>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 xml:space="preserve"> Доплата [часы]</t>
  </si>
  <si>
    <t>Выходные и праздники [часы]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</si>
</sst>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vertical="center" wrapText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168" fontId="0" fillId="0" borderId="14" xfId="0" applyNumberFormat="1" applyBorder="1"/>
    <xf numFmtId="168" fontId="0" fillId="0" borderId="14" xfId="0" applyNumberForma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8" xfId="0" applyBorder="1"/>
    <xf numFmtId="0" fontId="0" fillId="0" borderId="14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7" fontId="12" fillId="0" borderId="24" xfId="0" applyNumberFormat="1" applyFont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/>
    <xf numFmtId="0" fontId="2" fillId="10" borderId="13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/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0" fontId="0" fillId="0" borderId="4" xfId="0" applyBorder="1"/>
    <xf numFmtId="0" fontId="2" fillId="12" borderId="1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10" fillId="7" borderId="12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166" fontId="12" fillId="0" borderId="15" xfId="0" applyNumberFormat="1" applyFont="1" applyBorder="1" applyAlignment="1">
      <alignment horizontal="center" vertical="center"/>
    </xf>
    <xf numFmtId="0" fontId="11" fillId="5" borderId="26" xfId="0" applyFont="1" applyFill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horizontal="center" textRotation="90"/>
      <protection hidden="1"/>
    </xf>
    <xf numFmtId="0" fontId="11" fillId="0" borderId="31" xfId="0" applyFont="1" applyBorder="1" applyAlignment="1" applyProtection="1">
      <alignment horizontal="center" vertical="center"/>
      <protection locked="0"/>
    </xf>
    <xf numFmtId="167" fontId="12" fillId="0" borderId="38" xfId="0" applyNumberFormat="1" applyFont="1" applyBorder="1" applyAlignment="1" applyProtection="1">
      <alignment horizontal="center" vertical="center"/>
      <protection hidden="1"/>
    </xf>
    <xf numFmtId="167" fontId="12" fillId="0" borderId="39" xfId="0" applyNumberFormat="1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textRotation="90"/>
      <protection hidden="1"/>
    </xf>
    <xf numFmtId="0" fontId="12" fillId="0" borderId="38" xfId="0" applyFont="1" applyBorder="1" applyAlignment="1" applyProtection="1">
      <alignment horizontal="center" textRotation="90"/>
      <protection hidden="1"/>
    </xf>
    <xf numFmtId="0" fontId="2" fillId="0" borderId="38" xfId="0" applyFont="1" applyBorder="1" applyAlignment="1" applyProtection="1">
      <alignment horizontal="center" textRotation="90"/>
      <protection hidden="1"/>
    </xf>
    <xf numFmtId="0" fontId="12" fillId="0" borderId="39" xfId="0" applyFont="1" applyBorder="1" applyAlignment="1" applyProtection="1">
      <alignment horizontal="center" textRotation="90"/>
      <protection hidden="1"/>
    </xf>
    <xf numFmtId="0" fontId="12" fillId="0" borderId="40" xfId="0" applyFont="1" applyBorder="1" applyAlignment="1" applyProtection="1">
      <alignment horizontal="center" textRotation="90" wrapText="1"/>
      <protection hidden="1"/>
    </xf>
    <xf numFmtId="0" fontId="12" fillId="5" borderId="41" xfId="0" applyFont="1" applyFill="1" applyBorder="1" applyAlignment="1" applyProtection="1">
      <alignment horizontal="center" textRotation="90" wrapText="1"/>
      <protection hidden="1"/>
    </xf>
    <xf numFmtId="0" fontId="12" fillId="0" borderId="41" xfId="0" applyFont="1" applyBorder="1" applyAlignment="1" applyProtection="1">
      <alignment horizontal="center" textRotation="90"/>
      <protection hidden="1"/>
    </xf>
    <xf numFmtId="0" fontId="12" fillId="0" borderId="42" xfId="0" applyFont="1" applyBorder="1" applyAlignment="1" applyProtection="1">
      <alignment horizontal="center" textRotation="90"/>
      <protection hidden="1"/>
    </xf>
    <xf numFmtId="167" fontId="12" fillId="0" borderId="1" xfId="0" applyNumberFormat="1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167" fontId="12" fillId="0" borderId="9" xfId="0" applyNumberFormat="1" applyFont="1" applyBorder="1" applyAlignment="1" applyProtection="1">
      <alignment horizontal="center" vertical="center"/>
      <protection hidden="1"/>
    </xf>
    <xf numFmtId="167" fontId="12" fillId="0" borderId="23" xfId="0" applyNumberFormat="1" applyFont="1" applyBorder="1" applyAlignment="1" applyProtection="1">
      <alignment horizontal="center" vertical="center"/>
      <protection hidden="1"/>
    </xf>
    <xf numFmtId="167" fontId="12" fillId="0" borderId="11" xfId="0" applyNumberFormat="1" applyFont="1" applyBorder="1" applyAlignment="1" applyProtection="1">
      <alignment horizontal="center" vertical="center"/>
      <protection hidden="1"/>
    </xf>
    <xf numFmtId="167" fontId="12" fillId="0" borderId="13" xfId="0" applyNumberFormat="1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5" borderId="9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hidden="1"/>
    </xf>
    <xf numFmtId="167" fontId="12" fillId="0" borderId="22" xfId="0" applyNumberFormat="1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textRotation="90" wrapText="1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textRotation="90"/>
      <protection hidden="1"/>
    </xf>
    <xf numFmtId="0" fontId="12" fillId="0" borderId="20" xfId="0" applyFont="1" applyBorder="1" applyAlignment="1" applyProtection="1">
      <alignment horizontal="center" textRotation="90"/>
      <protection hidden="1"/>
    </xf>
    <xf numFmtId="167" fontId="12" fillId="0" borderId="35" xfId="0" applyNumberFormat="1" applyFont="1" applyBorder="1" applyAlignment="1" applyProtection="1">
      <alignment horizontal="center" vertical="center"/>
      <protection hidden="1"/>
    </xf>
    <xf numFmtId="167" fontId="12" fillId="5" borderId="36" xfId="0" applyNumberFormat="1" applyFont="1" applyFill="1" applyBorder="1" applyAlignment="1" applyProtection="1">
      <alignment horizontal="center" vertical="center"/>
      <protection hidden="1"/>
    </xf>
    <xf numFmtId="167" fontId="12" fillId="0" borderId="36" xfId="0" applyNumberFormat="1" applyFont="1" applyBorder="1" applyAlignment="1" applyProtection="1">
      <alignment horizontal="center" vertical="center"/>
      <protection hidden="1"/>
    </xf>
    <xf numFmtId="167" fontId="12" fillId="9" borderId="1" xfId="0" applyNumberFormat="1" applyFont="1" applyFill="1" applyBorder="1" applyAlignment="1" applyProtection="1">
      <alignment horizontal="center" vertical="center"/>
      <protection hidden="1"/>
    </xf>
    <xf numFmtId="167" fontId="12" fillId="9" borderId="36" xfId="0" applyNumberFormat="1" applyFont="1" applyFill="1" applyBorder="1" applyAlignment="1" applyProtection="1">
      <alignment horizontal="center" vertical="center"/>
      <protection hidden="1"/>
    </xf>
    <xf numFmtId="167" fontId="12" fillId="0" borderId="37" xfId="0" applyNumberFormat="1" applyFont="1" applyBorder="1" applyAlignment="1" applyProtection="1">
      <alignment horizontal="center" vertical="center"/>
      <protection hidden="1"/>
    </xf>
    <xf numFmtId="167" fontId="12" fillId="5" borderId="33" xfId="0" applyNumberFormat="1" applyFont="1" applyFill="1" applyBorder="1" applyAlignment="1" applyProtection="1">
      <alignment horizontal="center" vertical="center"/>
      <protection hidden="1"/>
    </xf>
    <xf numFmtId="167" fontId="12" fillId="0" borderId="33" xfId="0" applyNumberFormat="1" applyFont="1" applyBorder="1" applyAlignment="1" applyProtection="1">
      <alignment horizontal="center" vertical="center"/>
      <protection hidden="1"/>
    </xf>
    <xf numFmtId="167" fontId="12" fillId="0" borderId="32" xfId="0" applyNumberFormat="1" applyFont="1" applyBorder="1" applyAlignment="1" applyProtection="1">
      <alignment horizontal="center" vertical="center"/>
      <protection hidden="1"/>
    </xf>
    <xf numFmtId="167" fontId="12" fillId="0" borderId="34" xfId="0" applyNumberFormat="1" applyFont="1" applyBorder="1" applyAlignment="1" applyProtection="1">
      <alignment horizontal="center" vertical="center"/>
      <protection hidden="1"/>
    </xf>
    <xf numFmtId="167" fontId="12" fillId="9" borderId="33" xfId="0" applyNumberFormat="1" applyFont="1" applyFill="1" applyBorder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center" textRotation="90"/>
      <protection hidden="1"/>
    </xf>
    <xf numFmtId="0" fontId="12" fillId="0" borderId="30" xfId="0" applyFont="1" applyBorder="1" applyAlignment="1" applyProtection="1">
      <alignment horizontal="center" textRotation="90"/>
      <protection hidden="1"/>
    </xf>
    <xf numFmtId="167" fontId="12" fillId="9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left" vertical="center"/>
      <protection hidden="1"/>
    </xf>
    <xf numFmtId="0" fontId="11" fillId="2" borderId="33" xfId="0" applyFont="1" applyFill="1" applyBorder="1" applyAlignment="1" applyProtection="1">
      <alignment horizontal="left" vertical="center" wrapText="1"/>
      <protection hidden="1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167" fontId="12" fillId="8" borderId="33" xfId="0" applyNumberFormat="1" applyFont="1" applyFill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left" vertical="center"/>
      <protection hidden="1"/>
    </xf>
    <xf numFmtId="0" fontId="11" fillId="2" borderId="36" xfId="0" applyFont="1" applyFill="1" applyBorder="1" applyAlignment="1" applyProtection="1">
      <alignment horizontal="left" vertical="center" wrapText="1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46" xfId="0" applyFont="1" applyFill="1" applyBorder="1" applyAlignment="1" applyProtection="1">
      <alignment horizontal="center" vertical="center"/>
      <protection hidden="1"/>
    </xf>
    <xf numFmtId="167" fontId="12" fillId="8" borderId="36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4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  <color auto="1"/>
      </font>
      <numFmt numFmtId="174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5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6" formatCode=";;;&quot;О&quot;"/>
      <fill>
        <patternFill>
          <bgColor rgb="FFFFFF00"/>
        </patternFill>
      </fill>
    </dxf>
    <dxf>
      <font>
        <b/>
        <i val="0"/>
        <color auto="1"/>
      </font>
      <numFmt numFmtId="177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8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99FF"/>
      <color rgb="FFFF66FF"/>
      <color rgb="FFFFFF99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="106" zoomScaleNormal="106" workbookViewId="0">
      <selection activeCell="L26" sqref="L26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5.85546875" bestFit="1" customWidth="1"/>
    <col min="9" max="9" width="32.42578125" bestFit="1" customWidth="1"/>
  </cols>
  <sheetData>
    <row r="1" spans="1:9" ht="45.75" thickBot="1" x14ac:dyDescent="0.3">
      <c r="A1" s="15">
        <v>2022</v>
      </c>
      <c r="B1" s="25" t="s">
        <v>40</v>
      </c>
      <c r="C1" s="25" t="s">
        <v>39</v>
      </c>
      <c r="D1" s="26" t="s">
        <v>44</v>
      </c>
      <c r="E1" s="37" t="s">
        <v>20</v>
      </c>
      <c r="F1" s="38" t="s">
        <v>45</v>
      </c>
      <c r="G1" s="18" t="s">
        <v>12</v>
      </c>
      <c r="H1" s="18" t="s">
        <v>23</v>
      </c>
      <c r="I1" s="18" t="s">
        <v>14</v>
      </c>
    </row>
    <row r="2" spans="1:9" x14ac:dyDescent="0.25">
      <c r="B2" s="10" t="s">
        <v>16</v>
      </c>
      <c r="C2" s="12">
        <v>44562</v>
      </c>
      <c r="D2" s="12">
        <v>44625</v>
      </c>
      <c r="E2" s="12" t="str">
        <f>IF((WEEKDAY(C2)&gt;2)*(MONTH(C2)&lt;&gt;1),C2-1,"")</f>
        <v/>
      </c>
      <c r="F2" s="12"/>
      <c r="G2" s="16"/>
      <c r="H2" s="16"/>
      <c r="I2" s="16"/>
    </row>
    <row r="3" spans="1:9" x14ac:dyDescent="0.25">
      <c r="B3" s="10" t="s">
        <v>16</v>
      </c>
      <c r="C3" s="12">
        <v>44563</v>
      </c>
      <c r="D3" s="11"/>
      <c r="E3" s="12" t="str">
        <f t="shared" ref="E3:E30" si="0">IF((WEEKDAY(C3)&gt;2)*(MONTH(C3)&lt;&gt;1),C3-1,"")</f>
        <v/>
      </c>
      <c r="F3" s="12"/>
      <c r="G3" s="10"/>
      <c r="H3" s="10"/>
      <c r="I3" s="10"/>
    </row>
    <row r="4" spans="1:9" x14ac:dyDescent="0.25">
      <c r="B4" s="10" t="s">
        <v>16</v>
      </c>
      <c r="C4" s="12">
        <v>44564</v>
      </c>
      <c r="D4" s="11"/>
      <c r="E4" s="12" t="str">
        <f t="shared" si="0"/>
        <v/>
      </c>
      <c r="F4" s="12"/>
      <c r="G4" s="10"/>
      <c r="H4" s="10"/>
      <c r="I4" s="10"/>
    </row>
    <row r="5" spans="1:9" x14ac:dyDescent="0.25">
      <c r="B5" s="10" t="s">
        <v>16</v>
      </c>
      <c r="C5" s="12">
        <v>44565</v>
      </c>
      <c r="D5" s="11"/>
      <c r="E5" s="12" t="str">
        <f t="shared" si="0"/>
        <v/>
      </c>
      <c r="F5" s="12"/>
      <c r="G5" s="10"/>
      <c r="H5" s="10"/>
      <c r="I5" s="17"/>
    </row>
    <row r="6" spans="1:9" x14ac:dyDescent="0.25">
      <c r="B6" s="10" t="s">
        <v>16</v>
      </c>
      <c r="C6" s="12">
        <v>44566</v>
      </c>
      <c r="D6" s="11"/>
      <c r="E6" s="12" t="str">
        <f t="shared" si="0"/>
        <v/>
      </c>
      <c r="F6" s="12"/>
      <c r="G6" s="10"/>
      <c r="H6" s="10"/>
      <c r="I6" s="10"/>
    </row>
    <row r="7" spans="1:9" x14ac:dyDescent="0.25">
      <c r="B7" s="10" t="s">
        <v>16</v>
      </c>
      <c r="C7" s="12">
        <v>44567</v>
      </c>
      <c r="D7" s="11"/>
      <c r="E7" s="12" t="str">
        <f t="shared" si="0"/>
        <v/>
      </c>
      <c r="F7" s="12"/>
      <c r="G7" s="10"/>
      <c r="H7" s="10"/>
      <c r="I7" s="10"/>
    </row>
    <row r="8" spans="1:9" x14ac:dyDescent="0.25">
      <c r="B8" s="10" t="s">
        <v>16</v>
      </c>
      <c r="C8" s="12">
        <v>44568</v>
      </c>
      <c r="D8" s="11"/>
      <c r="E8" s="12" t="str">
        <f t="shared" si="0"/>
        <v/>
      </c>
      <c r="F8" s="12"/>
      <c r="G8" s="10"/>
      <c r="H8" s="10"/>
      <c r="I8" s="10"/>
    </row>
    <row r="9" spans="1:9" x14ac:dyDescent="0.25">
      <c r="B9" s="10" t="s">
        <v>16</v>
      </c>
      <c r="C9" s="12">
        <v>44569</v>
      </c>
      <c r="D9" s="11"/>
      <c r="E9" s="12" t="str">
        <f t="shared" si="0"/>
        <v/>
      </c>
      <c r="F9" s="12"/>
      <c r="G9" s="10"/>
      <c r="H9" s="10"/>
      <c r="I9" s="10"/>
    </row>
    <row r="10" spans="1:9" x14ac:dyDescent="0.25">
      <c r="B10" s="10"/>
      <c r="C10" s="12"/>
      <c r="D10" s="11"/>
      <c r="E10" s="12" t="str">
        <f t="shared" si="0"/>
        <v/>
      </c>
      <c r="F10" s="12"/>
      <c r="G10" s="10"/>
      <c r="H10" s="10"/>
      <c r="I10" s="10"/>
    </row>
    <row r="11" spans="1:9" x14ac:dyDescent="0.25">
      <c r="B11" s="10" t="s">
        <v>17</v>
      </c>
      <c r="C11" s="12">
        <v>44615</v>
      </c>
      <c r="D11" s="11"/>
      <c r="E11" s="12">
        <f t="shared" si="0"/>
        <v>44614</v>
      </c>
      <c r="F11" s="12"/>
      <c r="G11" s="10"/>
      <c r="H11" s="10"/>
      <c r="I11" s="10"/>
    </row>
    <row r="12" spans="1:9" x14ac:dyDescent="0.25">
      <c r="B12" s="10" t="s">
        <v>18</v>
      </c>
      <c r="C12" s="12"/>
      <c r="D12" s="11"/>
      <c r="E12" s="12" t="str">
        <f t="shared" si="0"/>
        <v/>
      </c>
      <c r="F12" s="12"/>
      <c r="G12" s="10"/>
      <c r="H12" s="10"/>
      <c r="I12" s="10"/>
    </row>
    <row r="13" spans="1:9" x14ac:dyDescent="0.25">
      <c r="B13" s="10" t="s">
        <v>18</v>
      </c>
      <c r="C13" s="12"/>
      <c r="D13" s="11"/>
      <c r="E13" s="12" t="str">
        <f t="shared" si="0"/>
        <v/>
      </c>
      <c r="F13" s="12"/>
      <c r="G13" s="10"/>
      <c r="H13" s="10"/>
      <c r="I13" s="10"/>
    </row>
    <row r="14" spans="1:9" x14ac:dyDescent="0.25">
      <c r="B14" s="10" t="s">
        <v>18</v>
      </c>
      <c r="C14" s="12">
        <v>44628</v>
      </c>
      <c r="D14" s="11"/>
      <c r="E14" s="12">
        <v>44625</v>
      </c>
      <c r="F14" s="12"/>
      <c r="G14" s="10"/>
      <c r="H14" s="10"/>
      <c r="I14" s="10"/>
    </row>
    <row r="15" spans="1:9" x14ac:dyDescent="0.25">
      <c r="B15" s="10" t="s">
        <v>22</v>
      </c>
      <c r="C15" s="12">
        <v>44682</v>
      </c>
      <c r="D15" s="11"/>
      <c r="E15" s="12" t="str">
        <f t="shared" si="0"/>
        <v/>
      </c>
      <c r="F15" s="12"/>
      <c r="G15" s="10"/>
      <c r="H15" s="10"/>
      <c r="I15" s="10"/>
    </row>
    <row r="16" spans="1:9" x14ac:dyDescent="0.25">
      <c r="B16" s="10" t="s">
        <v>22</v>
      </c>
      <c r="C16" s="12"/>
      <c r="D16" s="10"/>
      <c r="E16" s="12" t="str">
        <f t="shared" si="0"/>
        <v/>
      </c>
      <c r="F16" s="12"/>
      <c r="G16" s="10"/>
      <c r="H16" s="10"/>
      <c r="I16" s="10"/>
    </row>
    <row r="17" spans="2:9" x14ac:dyDescent="0.25">
      <c r="B17" s="10" t="s">
        <v>22</v>
      </c>
      <c r="C17" s="12"/>
      <c r="D17" s="10"/>
      <c r="E17" s="12" t="str">
        <f t="shared" si="0"/>
        <v/>
      </c>
      <c r="F17" s="12"/>
      <c r="G17" s="10"/>
      <c r="H17" s="10"/>
      <c r="I17" s="10"/>
    </row>
    <row r="18" spans="2:9" x14ac:dyDescent="0.25">
      <c r="B18" s="10" t="s">
        <v>22</v>
      </c>
      <c r="C18" s="12"/>
      <c r="D18" s="10"/>
      <c r="E18" s="12" t="str">
        <f t="shared" si="0"/>
        <v/>
      </c>
      <c r="F18" s="12"/>
      <c r="G18" s="10"/>
      <c r="H18" s="10"/>
      <c r="I18" s="10"/>
    </row>
    <row r="19" spans="2:9" x14ac:dyDescent="0.25">
      <c r="B19" s="10" t="s">
        <v>41</v>
      </c>
      <c r="C19" s="12"/>
      <c r="D19" s="10"/>
      <c r="E19" s="12" t="str">
        <f t="shared" si="0"/>
        <v/>
      </c>
      <c r="F19" s="12"/>
      <c r="G19" s="10">
        <v>260</v>
      </c>
      <c r="H19" s="10" t="s">
        <v>27</v>
      </c>
      <c r="I19" s="10" t="s">
        <v>26</v>
      </c>
    </row>
    <row r="20" spans="2:9" x14ac:dyDescent="0.25">
      <c r="B20" s="10" t="s">
        <v>41</v>
      </c>
      <c r="C20" s="12">
        <v>44690</v>
      </c>
      <c r="D20" s="10"/>
      <c r="E20" s="12" t="str">
        <f t="shared" si="0"/>
        <v/>
      </c>
      <c r="F20" s="12"/>
      <c r="G20" s="10">
        <v>262</v>
      </c>
      <c r="H20" s="10" t="s">
        <v>28</v>
      </c>
      <c r="I20" s="10" t="s">
        <v>25</v>
      </c>
    </row>
    <row r="21" spans="2:9" x14ac:dyDescent="0.25">
      <c r="B21" s="10" t="s">
        <v>41</v>
      </c>
      <c r="C21" s="12"/>
      <c r="D21" s="10"/>
      <c r="E21" s="12" t="str">
        <f t="shared" si="0"/>
        <v/>
      </c>
      <c r="F21" s="12"/>
      <c r="G21" s="10"/>
      <c r="H21" s="10"/>
      <c r="I21" s="10"/>
    </row>
    <row r="22" spans="2:9" x14ac:dyDescent="0.25">
      <c r="B22" s="10" t="s">
        <v>41</v>
      </c>
      <c r="C22" s="12"/>
      <c r="D22" s="10"/>
      <c r="E22" s="12" t="str">
        <f t="shared" si="0"/>
        <v/>
      </c>
      <c r="F22" s="12"/>
      <c r="G22" s="10"/>
      <c r="H22" s="10"/>
      <c r="I22" s="10"/>
    </row>
    <row r="23" spans="2:9" x14ac:dyDescent="0.25">
      <c r="B23" s="10" t="s">
        <v>43</v>
      </c>
      <c r="C23" s="12">
        <v>44724</v>
      </c>
      <c r="D23" s="10"/>
      <c r="E23" s="12" t="str">
        <f t="shared" si="0"/>
        <v/>
      </c>
      <c r="F23" s="12">
        <v>44725</v>
      </c>
      <c r="G23" s="10"/>
      <c r="H23" s="10"/>
      <c r="I23" s="10"/>
    </row>
    <row r="24" spans="2:9" x14ac:dyDescent="0.25">
      <c r="B24" s="10"/>
      <c r="C24" s="12"/>
      <c r="D24" s="10"/>
      <c r="E24" s="12" t="str">
        <f t="shared" si="0"/>
        <v/>
      </c>
      <c r="F24" s="12"/>
      <c r="G24" s="10"/>
      <c r="H24" s="10"/>
      <c r="I24" s="10"/>
    </row>
    <row r="25" spans="2:9" x14ac:dyDescent="0.25">
      <c r="B25" s="10"/>
      <c r="C25" s="12"/>
      <c r="D25" s="10"/>
      <c r="E25" s="12" t="str">
        <f t="shared" si="0"/>
        <v/>
      </c>
      <c r="F25" s="12"/>
      <c r="G25" s="10"/>
      <c r="H25" s="10"/>
      <c r="I25" s="10"/>
    </row>
    <row r="26" spans="2:9" x14ac:dyDescent="0.25">
      <c r="B26" s="10" t="s">
        <v>42</v>
      </c>
      <c r="C26" s="12">
        <v>44736</v>
      </c>
      <c r="D26" s="10"/>
      <c r="E26" s="12">
        <f t="shared" si="0"/>
        <v>44735</v>
      </c>
      <c r="F26" s="12"/>
      <c r="G26" s="10"/>
      <c r="H26" s="10"/>
      <c r="I26" s="10"/>
    </row>
    <row r="27" spans="2:9" x14ac:dyDescent="0.25">
      <c r="B27" s="10" t="s">
        <v>21</v>
      </c>
      <c r="C27" s="12">
        <v>44869</v>
      </c>
      <c r="D27" s="10"/>
      <c r="E27" s="12">
        <f t="shared" si="0"/>
        <v>44868</v>
      </c>
      <c r="F27" s="12"/>
      <c r="G27" s="10"/>
      <c r="H27" s="10"/>
      <c r="I27" s="10"/>
    </row>
    <row r="28" spans="2:9" x14ac:dyDescent="0.25">
      <c r="B28" s="10" t="s">
        <v>21</v>
      </c>
      <c r="C28" s="12"/>
      <c r="D28" s="10"/>
      <c r="E28" s="12" t="str">
        <f t="shared" si="0"/>
        <v/>
      </c>
      <c r="F28" s="12"/>
      <c r="G28" s="10"/>
      <c r="H28" s="10"/>
      <c r="I28" s="10"/>
    </row>
    <row r="29" spans="2:9" x14ac:dyDescent="0.25">
      <c r="B29" s="10" t="s">
        <v>21</v>
      </c>
      <c r="C29" s="12"/>
      <c r="D29" s="10"/>
      <c r="E29" s="12" t="str">
        <f t="shared" si="0"/>
        <v/>
      </c>
      <c r="F29" s="12"/>
      <c r="G29" s="10"/>
      <c r="H29" s="10"/>
      <c r="I29" s="10"/>
    </row>
    <row r="30" spans="2:9" x14ac:dyDescent="0.25">
      <c r="B30" s="10"/>
      <c r="C30" s="12"/>
      <c r="D30" s="10"/>
      <c r="E30" s="12" t="str">
        <f t="shared" si="0"/>
        <v/>
      </c>
      <c r="F30" s="12"/>
      <c r="G30" s="10"/>
      <c r="H30" s="10"/>
      <c r="I30" s="10"/>
    </row>
    <row r="31" spans="2:9" x14ac:dyDescent="0.25">
      <c r="G31" s="10"/>
      <c r="H31" s="10"/>
      <c r="I31" s="10"/>
    </row>
    <row r="32" spans="2:9" x14ac:dyDescent="0.25">
      <c r="G32" s="10"/>
      <c r="H32" s="10"/>
      <c r="I32" s="10"/>
    </row>
    <row r="33" spans="7:9" x14ac:dyDescent="0.25">
      <c r="G33" s="10"/>
      <c r="H33" s="10"/>
      <c r="I33" s="10"/>
    </row>
    <row r="34" spans="7:9" x14ac:dyDescent="0.25">
      <c r="G34" s="10"/>
      <c r="H34" s="10"/>
      <c r="I34" s="10"/>
    </row>
    <row r="35" spans="7:9" x14ac:dyDescent="0.25">
      <c r="G35" s="10"/>
      <c r="H35" s="10"/>
      <c r="I35" s="10"/>
    </row>
    <row r="36" spans="7:9" x14ac:dyDescent="0.25">
      <c r="G36" s="10"/>
      <c r="H36" s="10"/>
      <c r="I36" s="10"/>
    </row>
    <row r="37" spans="7:9" x14ac:dyDescent="0.25">
      <c r="G37" s="10"/>
      <c r="H37" s="10"/>
      <c r="I37" s="10"/>
    </row>
    <row r="38" spans="7:9" x14ac:dyDescent="0.25">
      <c r="G38" s="10"/>
      <c r="H38" s="10"/>
      <c r="I38" s="10"/>
    </row>
    <row r="39" spans="7:9" x14ac:dyDescent="0.25">
      <c r="G39" s="10"/>
      <c r="H39" s="10"/>
      <c r="I39" s="10"/>
    </row>
    <row r="40" spans="7:9" x14ac:dyDescent="0.25">
      <c r="G40" s="10"/>
      <c r="H40" s="10"/>
      <c r="I40" s="10"/>
    </row>
  </sheetData>
  <phoneticPr fontId="14" type="noConversion"/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CA93-8C1E-4BCB-8D2E-0AEDDC1ED811}">
  <sheetPr>
    <pageSetUpPr fitToPage="1"/>
  </sheetPr>
  <dimension ref="A1:AV24"/>
  <sheetViews>
    <sheetView tabSelected="1" zoomScale="80" zoomScaleNormal="80" workbookViewId="0">
      <pane xSplit="47" ySplit="3" topLeftCell="AV4" activePane="bottomRight" state="frozen"/>
      <selection pane="topRight" activeCell="AX1" sqref="AX1"/>
      <selection pane="bottomLeft" activeCell="A4" sqref="A4"/>
      <selection pane="bottomRight" activeCell="L20" sqref="L20"/>
    </sheetView>
  </sheetViews>
  <sheetFormatPr defaultRowHeight="15" x14ac:dyDescent="0.25"/>
  <cols>
    <col min="1" max="1" width="6.140625" customWidth="1"/>
    <col min="2" max="2" width="7.28515625" customWidth="1"/>
    <col min="3" max="3" width="26.7109375" customWidth="1"/>
    <col min="4" max="4" width="34.7109375" customWidth="1"/>
    <col min="5" max="34" width="5.28515625" customWidth="1"/>
    <col min="35" max="35" width="5.28515625" hidden="1" customWidth="1"/>
    <col min="36" max="40" width="8.28515625" customWidth="1"/>
    <col min="41" max="42" width="8.28515625" hidden="1" customWidth="1"/>
    <col min="43" max="47" width="8.28515625" customWidth="1"/>
  </cols>
  <sheetData>
    <row r="1" spans="1:48" s="1" customFormat="1" ht="32.25" customHeight="1" thickBot="1" x14ac:dyDescent="0.35">
      <c r="E1" s="22"/>
      <c r="F1" s="22"/>
      <c r="G1" s="22"/>
      <c r="H1" s="22"/>
      <c r="I1" s="22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8" s="1" customFormat="1" ht="27" customHeight="1" thickBot="1" x14ac:dyDescent="0.35">
      <c r="A2" s="77" t="s">
        <v>2</v>
      </c>
      <c r="B2" s="77" t="s">
        <v>12</v>
      </c>
      <c r="C2" s="24">
        <f ca="1">--("1."&amp;MID(CELL("имяфайла",A1),FIND("]",CELL("имяфайла",A1))+1,20)&amp;DATA!A1)</f>
        <v>44866</v>
      </c>
      <c r="D2" s="4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3">
        <f t="shared" ref="E2:AF2" ca="1" si="0">E3</f>
        <v>44866</v>
      </c>
      <c r="F2" s="13">
        <f t="shared" ca="1" si="0"/>
        <v>44867</v>
      </c>
      <c r="G2" s="13">
        <f t="shared" ca="1" si="0"/>
        <v>44868</v>
      </c>
      <c r="H2" s="13">
        <f t="shared" ca="1" si="0"/>
        <v>44869</v>
      </c>
      <c r="I2" s="13">
        <f t="shared" ca="1" si="0"/>
        <v>44870</v>
      </c>
      <c r="J2" s="13">
        <f t="shared" ca="1" si="0"/>
        <v>44871</v>
      </c>
      <c r="K2" s="13">
        <f t="shared" ca="1" si="0"/>
        <v>44872</v>
      </c>
      <c r="L2" s="13">
        <f t="shared" ca="1" si="0"/>
        <v>44873</v>
      </c>
      <c r="M2" s="13">
        <f t="shared" ca="1" si="0"/>
        <v>44874</v>
      </c>
      <c r="N2" s="13">
        <f t="shared" ca="1" si="0"/>
        <v>44875</v>
      </c>
      <c r="O2" s="13">
        <f t="shared" ca="1" si="0"/>
        <v>44876</v>
      </c>
      <c r="P2" s="13">
        <f t="shared" ca="1" si="0"/>
        <v>44877</v>
      </c>
      <c r="Q2" s="13">
        <f t="shared" ca="1" si="0"/>
        <v>44878</v>
      </c>
      <c r="R2" s="13">
        <f t="shared" ca="1" si="0"/>
        <v>44879</v>
      </c>
      <c r="S2" s="13">
        <f t="shared" ca="1" si="0"/>
        <v>44880</v>
      </c>
      <c r="T2" s="13">
        <f t="shared" ca="1" si="0"/>
        <v>44881</v>
      </c>
      <c r="U2" s="13">
        <f t="shared" ca="1" si="0"/>
        <v>44882</v>
      </c>
      <c r="V2" s="13">
        <f t="shared" ca="1" si="0"/>
        <v>44883</v>
      </c>
      <c r="W2" s="13">
        <f t="shared" ca="1" si="0"/>
        <v>44884</v>
      </c>
      <c r="X2" s="13">
        <f t="shared" ca="1" si="0"/>
        <v>44885</v>
      </c>
      <c r="Y2" s="13">
        <f t="shared" ca="1" si="0"/>
        <v>44886</v>
      </c>
      <c r="Z2" s="13">
        <f t="shared" ca="1" si="0"/>
        <v>44887</v>
      </c>
      <c r="AA2" s="13">
        <f t="shared" ca="1" si="0"/>
        <v>44888</v>
      </c>
      <c r="AB2" s="13">
        <f t="shared" ca="1" si="0"/>
        <v>44889</v>
      </c>
      <c r="AC2" s="13">
        <f t="shared" ca="1" si="0"/>
        <v>44890</v>
      </c>
      <c r="AD2" s="13">
        <f t="shared" ca="1" si="0"/>
        <v>44891</v>
      </c>
      <c r="AE2" s="13">
        <f t="shared" ca="1" si="0"/>
        <v>44892</v>
      </c>
      <c r="AF2" s="13">
        <f t="shared" ca="1" si="0"/>
        <v>44893</v>
      </c>
      <c r="AG2" s="13">
        <f ca="1">IF(AG3=0,"",AG3)</f>
        <v>44894</v>
      </c>
      <c r="AH2" s="13">
        <f ca="1">IF(AH3=0,"",AH3)</f>
        <v>44895</v>
      </c>
      <c r="AI2" s="13" t="str">
        <f ca="1">IF(AI3=0,"",AI3)</f>
        <v/>
      </c>
      <c r="AJ2" s="58" t="s">
        <v>13</v>
      </c>
      <c r="AK2" s="59"/>
      <c r="AL2" s="59"/>
      <c r="AM2" s="59"/>
      <c r="AN2" s="60"/>
      <c r="AO2" s="79"/>
      <c r="AP2" s="92" t="s">
        <v>47</v>
      </c>
      <c r="AQ2" s="75" t="s">
        <v>7</v>
      </c>
      <c r="AR2" s="75"/>
      <c r="AS2" s="75"/>
      <c r="AT2" s="75"/>
      <c r="AU2" s="75"/>
      <c r="AV2" s="21"/>
    </row>
    <row r="3" spans="1:48" s="5" customFormat="1" ht="201" customHeight="1" thickBot="1" x14ac:dyDescent="0.3">
      <c r="A3" s="77"/>
      <c r="B3" s="77"/>
      <c r="C3" s="23" t="s">
        <v>23</v>
      </c>
      <c r="D3" s="23" t="s">
        <v>8</v>
      </c>
      <c r="E3" s="14">
        <f ca="1">C2</f>
        <v>44866</v>
      </c>
      <c r="F3" s="14">
        <f t="shared" ref="F3:AF3" ca="1" si="1">E3+1</f>
        <v>44867</v>
      </c>
      <c r="G3" s="14">
        <f t="shared" ca="1" si="1"/>
        <v>44868</v>
      </c>
      <c r="H3" s="14">
        <f t="shared" ca="1" si="1"/>
        <v>44869</v>
      </c>
      <c r="I3" s="14">
        <f t="shared" ca="1" si="1"/>
        <v>44870</v>
      </c>
      <c r="J3" s="14">
        <f t="shared" ca="1" si="1"/>
        <v>44871</v>
      </c>
      <c r="K3" s="14">
        <f t="shared" ca="1" si="1"/>
        <v>44872</v>
      </c>
      <c r="L3" s="14">
        <f t="shared" ca="1" si="1"/>
        <v>44873</v>
      </c>
      <c r="M3" s="14">
        <f t="shared" ca="1" si="1"/>
        <v>44874</v>
      </c>
      <c r="N3" s="14">
        <f t="shared" ca="1" si="1"/>
        <v>44875</v>
      </c>
      <c r="O3" s="14">
        <f t="shared" ca="1" si="1"/>
        <v>44876</v>
      </c>
      <c r="P3" s="14">
        <f t="shared" ca="1" si="1"/>
        <v>44877</v>
      </c>
      <c r="Q3" s="14">
        <f t="shared" ca="1" si="1"/>
        <v>44878</v>
      </c>
      <c r="R3" s="14">
        <f t="shared" ca="1" si="1"/>
        <v>44879</v>
      </c>
      <c r="S3" s="14">
        <f t="shared" ca="1" si="1"/>
        <v>44880</v>
      </c>
      <c r="T3" s="14">
        <f t="shared" ca="1" si="1"/>
        <v>44881</v>
      </c>
      <c r="U3" s="14">
        <f t="shared" ca="1" si="1"/>
        <v>44882</v>
      </c>
      <c r="V3" s="14">
        <f t="shared" ca="1" si="1"/>
        <v>44883</v>
      </c>
      <c r="W3" s="14">
        <f t="shared" ca="1" si="1"/>
        <v>44884</v>
      </c>
      <c r="X3" s="14">
        <f t="shared" ca="1" si="1"/>
        <v>44885</v>
      </c>
      <c r="Y3" s="14">
        <f t="shared" ca="1" si="1"/>
        <v>44886</v>
      </c>
      <c r="Z3" s="14">
        <f t="shared" ca="1" si="1"/>
        <v>44887</v>
      </c>
      <c r="AA3" s="14">
        <f t="shared" ca="1" si="1"/>
        <v>44888</v>
      </c>
      <c r="AB3" s="14">
        <f t="shared" ca="1" si="1"/>
        <v>44889</v>
      </c>
      <c r="AC3" s="14">
        <f t="shared" ca="1" si="1"/>
        <v>44890</v>
      </c>
      <c r="AD3" s="14">
        <f t="shared" ca="1" si="1"/>
        <v>44891</v>
      </c>
      <c r="AE3" s="14">
        <f t="shared" ca="1" si="1"/>
        <v>44892</v>
      </c>
      <c r="AF3" s="14">
        <f t="shared" ca="1" si="1"/>
        <v>44893</v>
      </c>
      <c r="AG3" s="14">
        <f ca="1">IF(DAY($AF3+1)&gt;DAY(AF3),$AF3+1,0)</f>
        <v>44894</v>
      </c>
      <c r="AH3" s="14">
        <f ca="1">IF(DAY($AF3+2)&gt;DAY(AF3),$AF3+2,0)</f>
        <v>44895</v>
      </c>
      <c r="AI3" s="41">
        <f ca="1">IF(DAY($AF3+3)&gt;DAY(AF3),$AF3+3,0)</f>
        <v>0</v>
      </c>
      <c r="AJ3" s="53" t="s">
        <v>29</v>
      </c>
      <c r="AK3" s="54" t="s">
        <v>30</v>
      </c>
      <c r="AL3" s="55" t="s">
        <v>31</v>
      </c>
      <c r="AM3" s="56" t="s">
        <v>32</v>
      </c>
      <c r="AN3" s="45" t="s">
        <v>46</v>
      </c>
      <c r="AO3" s="80"/>
      <c r="AP3" s="93"/>
      <c r="AQ3" s="49" t="s">
        <v>33</v>
      </c>
      <c r="AR3" s="50" t="s">
        <v>34</v>
      </c>
      <c r="AS3" s="51" t="s">
        <v>35</v>
      </c>
      <c r="AT3" s="50" t="s">
        <v>36</v>
      </c>
      <c r="AU3" s="52" t="s">
        <v>37</v>
      </c>
    </row>
    <row r="4" spans="1:48" s="1" customFormat="1" ht="21" customHeight="1" x14ac:dyDescent="0.3">
      <c r="A4" s="95">
        <f>IF(C4="","",SUBTOTAL(103,$B$4:B4))</f>
        <v>1</v>
      </c>
      <c r="B4" s="96">
        <v>260</v>
      </c>
      <c r="C4" s="97" t="str">
        <f>IFERROR(VLOOKUP(B4,DATA!$G$2:$I$40,2,0),"")</f>
        <v>Фирсова Т.Ю.</v>
      </c>
      <c r="D4" s="98" t="str">
        <f>IFERROR(VLOOKUP(B4,DATA!$G$2:$I$40,3,0),"")</f>
        <v>оператор диспетчерской службы</v>
      </c>
      <c r="E4" s="99">
        <v>1</v>
      </c>
      <c r="F4" s="99" t="s">
        <v>24</v>
      </c>
      <c r="G4" s="99">
        <v>12</v>
      </c>
      <c r="H4" s="99">
        <v>3</v>
      </c>
      <c r="I4" s="99">
        <v>1</v>
      </c>
      <c r="J4" s="99" t="s">
        <v>24</v>
      </c>
      <c r="K4" s="99">
        <v>12</v>
      </c>
      <c r="L4" s="99">
        <v>3</v>
      </c>
      <c r="M4" s="99">
        <v>1</v>
      </c>
      <c r="N4" s="99" t="s">
        <v>24</v>
      </c>
      <c r="O4" s="99">
        <v>12</v>
      </c>
      <c r="P4" s="99">
        <v>3</v>
      </c>
      <c r="Q4" s="99">
        <v>1</v>
      </c>
      <c r="R4" s="99" t="s">
        <v>24</v>
      </c>
      <c r="S4" s="99">
        <v>12</v>
      </c>
      <c r="T4" s="99">
        <v>3</v>
      </c>
      <c r="U4" s="99">
        <v>1</v>
      </c>
      <c r="V4" s="99" t="s">
        <v>24</v>
      </c>
      <c r="W4" s="99">
        <v>12</v>
      </c>
      <c r="X4" s="99">
        <v>3</v>
      </c>
      <c r="Y4" s="99">
        <v>1</v>
      </c>
      <c r="Z4" s="99" t="s">
        <v>24</v>
      </c>
      <c r="AA4" s="99">
        <v>12</v>
      </c>
      <c r="AB4" s="99">
        <v>3</v>
      </c>
      <c r="AC4" s="99">
        <v>1</v>
      </c>
      <c r="AD4" s="99" t="s">
        <v>24</v>
      </c>
      <c r="AE4" s="99">
        <v>12</v>
      </c>
      <c r="AF4" s="99">
        <v>3</v>
      </c>
      <c r="AG4" s="99">
        <v>1</v>
      </c>
      <c r="AH4" s="99" t="s">
        <v>24</v>
      </c>
      <c r="AI4" s="100"/>
      <c r="AJ4" s="89">
        <f t="shared" ref="AJ4" si="2">COUNTIF($E4:$AI4,"&gt;0")</f>
        <v>22</v>
      </c>
      <c r="AK4" s="87">
        <f t="shared" ref="AK4" si="3">SUM(E5:AI5)</f>
        <v>62</v>
      </c>
      <c r="AL4" s="88">
        <f t="array" aca="1" ref="AL4" ca="1">SUM(IFERROR(((ISNUMBER(MATCH($E$3:$AI$3,DATA!$C$2:$C$98,))+ISNUMBER(MATCH($E$3:$AI$3,,)))&gt;0)*$E4:$AI5,))</f>
        <v>5</v>
      </c>
      <c r="AM4" s="88">
        <f>SUM(E4:AI5)</f>
        <v>175</v>
      </c>
      <c r="AN4" s="101">
        <f t="array" aca="1" ref="AN4" ca="1">AM4-SUMPRODUCT(IF(ISNA(MATCH(E4:AI4,$B$21:$B$24,))*(E4:AI4&lt;&gt;""),IF(((WEEKDAY(E$3:AI$3,2)&gt;5)+ISNUMBER(MATCH(E$3:AI$3,DATA!C$2:C$30,))+ISNUMBER(MATCH(E$3:AI$3,DATA!F$2:F$30,))&gt;0)-ISNUMBER(MATCH(E$3:AI$3,DATA!D$2:D$30,)),,1)))*8-SUMPRODUCT(--ISNUMBER(MATCH(E$3:AI$3,DATA!E$2:E$30,)))</f>
        <v>6</v>
      </c>
      <c r="AO4" s="91" t="e">
        <f ca="1">SUM(SUMIF(#REF!,"&gt;0"),SUMIF(#REF!,"&gt;0"),SUMIF(Ноябрь!AN4:AN5,"&gt;0"))</f>
        <v>#REF!</v>
      </c>
      <c r="AP4" s="90">
        <f t="array" aca="1" ref="AP4" ca="1">SUM(IFERROR((((WEEKDAY($E$3:$AI$3,2)&gt;5)+ISNUMBER(MATCH($E$3:$AI$3,DATA!$C$2:$C$98,))+ISNUMBER(MATCH($E$3:$AI$3,#REF!,))+ISNUMBER(MATCH($E$3:$AI$3,#REF!,))-(ISNUMBER(MATCH($E$3:$AI$3,#REF!,))+ISNUMBER(MATCH($E$3:$AI$3,#REF!,))))&gt;0)*$E4:$AI4,))</f>
        <v>35</v>
      </c>
      <c r="AQ4" s="89">
        <f t="shared" ref="AQ4" si="4">COUNTIF($E4:$AI4,"В")</f>
        <v>8</v>
      </c>
      <c r="AR4" s="88">
        <f t="shared" ref="AR4" si="5">COUNTIF($E4:$AI4,"О")</f>
        <v>0</v>
      </c>
      <c r="AS4" s="88">
        <f t="shared" ref="AS4" si="6">COUNTIF($E4:$AI4,"А")</f>
        <v>0</v>
      </c>
      <c r="AT4" s="88">
        <f t="shared" ref="AT4" si="7">COUNTIF($E4:$AI4,"У")</f>
        <v>0</v>
      </c>
      <c r="AU4" s="90">
        <f t="shared" ref="AU4" si="8">COUNTIF($E4:$AI4,"Б")</f>
        <v>0</v>
      </c>
    </row>
    <row r="5" spans="1:48" s="1" customFormat="1" ht="21.75" thickBot="1" x14ac:dyDescent="0.35">
      <c r="A5" s="102"/>
      <c r="B5" s="103"/>
      <c r="C5" s="104"/>
      <c r="D5" s="105"/>
      <c r="E5" s="106">
        <f>IFERROR(_xlfn.IFS(E4=15,2,E4=4,6,E4=3,2,E4=1,6),"")</f>
        <v>6</v>
      </c>
      <c r="F5" s="106" t="str">
        <f t="shared" ref="F5:AI5" si="9">IFERROR(_xlfn.IFS(F4=15,2,F4=4,6,F4=3,2,F4=1,6),"")</f>
        <v/>
      </c>
      <c r="G5" s="106" t="str">
        <f t="shared" si="9"/>
        <v/>
      </c>
      <c r="H5" s="106">
        <f t="shared" si="9"/>
        <v>2</v>
      </c>
      <c r="I5" s="106">
        <f t="shared" si="9"/>
        <v>6</v>
      </c>
      <c r="J5" s="106" t="str">
        <f t="shared" si="9"/>
        <v/>
      </c>
      <c r="K5" s="106" t="str">
        <f t="shared" si="9"/>
        <v/>
      </c>
      <c r="L5" s="106">
        <f t="shared" si="9"/>
        <v>2</v>
      </c>
      <c r="M5" s="106">
        <f t="shared" si="9"/>
        <v>6</v>
      </c>
      <c r="N5" s="106" t="str">
        <f t="shared" si="9"/>
        <v/>
      </c>
      <c r="O5" s="106" t="str">
        <f t="shared" si="9"/>
        <v/>
      </c>
      <c r="P5" s="106">
        <f t="shared" si="9"/>
        <v>2</v>
      </c>
      <c r="Q5" s="106">
        <f t="shared" si="9"/>
        <v>6</v>
      </c>
      <c r="R5" s="106" t="str">
        <f t="shared" si="9"/>
        <v/>
      </c>
      <c r="S5" s="106" t="str">
        <f t="shared" si="9"/>
        <v/>
      </c>
      <c r="T5" s="106">
        <f t="shared" si="9"/>
        <v>2</v>
      </c>
      <c r="U5" s="106">
        <f t="shared" si="9"/>
        <v>6</v>
      </c>
      <c r="V5" s="106" t="str">
        <f t="shared" si="9"/>
        <v/>
      </c>
      <c r="W5" s="106" t="str">
        <f t="shared" si="9"/>
        <v/>
      </c>
      <c r="X5" s="106">
        <f t="shared" si="9"/>
        <v>2</v>
      </c>
      <c r="Y5" s="106">
        <f t="shared" si="9"/>
        <v>6</v>
      </c>
      <c r="Z5" s="106" t="str">
        <f t="shared" si="9"/>
        <v/>
      </c>
      <c r="AA5" s="106" t="str">
        <f t="shared" si="9"/>
        <v/>
      </c>
      <c r="AB5" s="106">
        <f t="shared" si="9"/>
        <v>2</v>
      </c>
      <c r="AC5" s="106">
        <f t="shared" si="9"/>
        <v>6</v>
      </c>
      <c r="AD5" s="106" t="str">
        <f t="shared" si="9"/>
        <v/>
      </c>
      <c r="AE5" s="106" t="str">
        <f t="shared" si="9"/>
        <v/>
      </c>
      <c r="AF5" s="106">
        <f t="shared" si="9"/>
        <v>2</v>
      </c>
      <c r="AG5" s="106">
        <f t="shared" si="9"/>
        <v>6</v>
      </c>
      <c r="AH5" s="106" t="str">
        <f t="shared" si="9"/>
        <v/>
      </c>
      <c r="AI5" s="107" t="str">
        <f t="shared" si="9"/>
        <v/>
      </c>
      <c r="AJ5" s="81"/>
      <c r="AK5" s="82"/>
      <c r="AL5" s="83"/>
      <c r="AM5" s="83"/>
      <c r="AN5" s="108"/>
      <c r="AO5" s="85"/>
      <c r="AP5" s="86"/>
      <c r="AQ5" s="81"/>
      <c r="AR5" s="83"/>
      <c r="AS5" s="83"/>
      <c r="AT5" s="83"/>
      <c r="AU5" s="86"/>
    </row>
    <row r="6" spans="1:48" s="1" customFormat="1" ht="21" x14ac:dyDescent="0.3">
      <c r="A6" s="65">
        <f>IF(C6="","",SUBTOTAL(103,$B$4:B6))</f>
        <v>2</v>
      </c>
      <c r="B6" s="74">
        <v>262</v>
      </c>
      <c r="C6" s="68" t="str">
        <f>IFERROR(VLOOKUP(B6,DATA!$G$2:$I$40,2,0),"")</f>
        <v>Митрюхина Н.А.</v>
      </c>
      <c r="D6" s="70" t="str">
        <f>IFERROR(VLOOKUP(B6,DATA!$G$2:$I$40,3,0),"")</f>
        <v>оператор на фильтрах</v>
      </c>
      <c r="E6" s="8" t="s">
        <v>38</v>
      </c>
      <c r="F6" s="8" t="s">
        <v>38</v>
      </c>
      <c r="G6" s="8" t="s">
        <v>38</v>
      </c>
      <c r="H6" s="8" t="s">
        <v>24</v>
      </c>
      <c r="I6" s="8" t="s">
        <v>38</v>
      </c>
      <c r="J6" s="8" t="s">
        <v>38</v>
      </c>
      <c r="K6" s="8" t="s">
        <v>38</v>
      </c>
      <c r="L6" s="8" t="s">
        <v>38</v>
      </c>
      <c r="M6" s="8" t="s">
        <v>38</v>
      </c>
      <c r="N6" s="8" t="s">
        <v>38</v>
      </c>
      <c r="O6" s="8" t="s">
        <v>38</v>
      </c>
      <c r="P6" s="8" t="s">
        <v>38</v>
      </c>
      <c r="Q6" s="8" t="s">
        <v>38</v>
      </c>
      <c r="R6" s="8">
        <v>12</v>
      </c>
      <c r="S6" s="8">
        <v>3</v>
      </c>
      <c r="T6" s="8">
        <v>1</v>
      </c>
      <c r="U6" s="19" t="s">
        <v>24</v>
      </c>
      <c r="V6" s="19">
        <v>12</v>
      </c>
      <c r="W6" s="19">
        <v>3</v>
      </c>
      <c r="X6" s="19">
        <v>1</v>
      </c>
      <c r="Y6" s="19" t="s">
        <v>24</v>
      </c>
      <c r="Z6" s="19">
        <v>12</v>
      </c>
      <c r="AA6" s="19">
        <v>3</v>
      </c>
      <c r="AB6" s="19">
        <v>1</v>
      </c>
      <c r="AC6" s="19" t="s">
        <v>24</v>
      </c>
      <c r="AD6" s="19"/>
      <c r="AE6" s="19"/>
      <c r="AF6" s="19"/>
      <c r="AG6" s="19"/>
      <c r="AH6" s="19"/>
      <c r="AI6" s="43"/>
      <c r="AJ6" s="76">
        <f t="shared" ref="AJ6" si="10">COUNTIF($E6:$AI6,"&gt;0")</f>
        <v>9</v>
      </c>
      <c r="AK6" s="72">
        <f t="shared" ref="AK6" si="11">SUM(E7:AI7)</f>
        <v>24</v>
      </c>
      <c r="AL6" s="61">
        <f t="array" aca="1" ref="AL6" ca="1">SUM(IFERROR(((ISNUMBER(MATCH($E$3:$AI$3,DATA!$C$2:$C$98,))+ISNUMBER(MATCH($E$3:$AI$3,,)))&gt;0)*$E6:$AI7,))</f>
        <v>0</v>
      </c>
      <c r="AM6" s="61">
        <f>SUM(E6:AI7)</f>
        <v>72</v>
      </c>
      <c r="AN6" s="61">
        <f t="array" aca="1" ref="AN6" ca="1">AM6-SUMPRODUCT(IF(ISNA(MATCH(E6:AI6,$B$21:$B$24,))*(E6:AI6&lt;&gt;""),IF(((WEEKDAY(E$3:AI$3,2)&gt;5)+ISNUMBER(MATCH(E$3:AI$3,DATA!C$2:C$30,))+ISNUMBER(MATCH(E$3:AI$3,DATA!F$2:F$30,))&gt;0)-ISNUMBER(MATCH(E$3:AI$3,DATA!D$2:D$30,)),,1)))*8-SUMPRODUCT(--ISNUMBER(MATCH(E$3:AI$3,DATA!E$2:E$30,)))</f>
        <v>-9</v>
      </c>
      <c r="AO6" s="94" t="e">
        <f ca="1">SUM(SUMIF(#REF!,"&gt;0"),SUMIF(#REF!,"&gt;0"),SUMIF(Ноябрь!AN6:AN7,"&gt;0"))</f>
        <v>#REF!</v>
      </c>
      <c r="AP6" s="63">
        <f t="array" aca="1" ref="AP6" ca="1">SUM(IFERROR((((WEEKDAY($E$3:$AI$3,2)&gt;5)+ISNUMBER(MATCH($E$3:$AI$3,DATA!$C$2:$C$98,))+ISNUMBER(MATCH($E$3:$AI$3,#REF!,))+ISNUMBER(MATCH($E$3:$AI$3,#REF!,))-(ISNUMBER(MATCH($E$3:$AI$3,#REF!,))+ISNUMBER(MATCH($E$3:$AI$3,#REF!,))))&gt;0)*$E6:$AI6,))</f>
        <v>4</v>
      </c>
      <c r="AQ6" s="76">
        <f t="shared" ref="AQ6" si="12">COUNTIF($E6:$AI6,"В")</f>
        <v>4</v>
      </c>
      <c r="AR6" s="61">
        <f t="shared" ref="AR6" si="13">COUNTIF($E6:$AI6,"О")</f>
        <v>12</v>
      </c>
      <c r="AS6" s="61">
        <f t="shared" ref="AS6" si="14">COUNTIF($E6:$AI6,"А")</f>
        <v>0</v>
      </c>
      <c r="AT6" s="61">
        <f t="shared" ref="AT6" si="15">COUNTIF($E6:$AI6,"У")</f>
        <v>0</v>
      </c>
      <c r="AU6" s="63">
        <f t="shared" ref="AU6" si="16">COUNTIF($E6:$AI6,"Б")</f>
        <v>0</v>
      </c>
    </row>
    <row r="7" spans="1:48" s="1" customFormat="1" ht="21" x14ac:dyDescent="0.3">
      <c r="A7" s="66"/>
      <c r="B7" s="67"/>
      <c r="C7" s="69"/>
      <c r="D7" s="71"/>
      <c r="E7" s="20" t="str">
        <f>IFERROR(_xlfn.IFS(E6=15,2,E6=4,6,E6=3,2,E6=1,6),"")</f>
        <v/>
      </c>
      <c r="F7" s="20" t="str">
        <f t="shared" ref="F7:AI7" si="17">IFERROR(_xlfn.IFS(F6=15,2,F6=4,6,F6=3,2,F6=1,6),"")</f>
        <v/>
      </c>
      <c r="G7" s="20" t="str">
        <f t="shared" si="17"/>
        <v/>
      </c>
      <c r="H7" s="20" t="str">
        <f t="shared" si="17"/>
        <v/>
      </c>
      <c r="I7" s="20" t="str">
        <f t="shared" si="17"/>
        <v/>
      </c>
      <c r="J7" s="20" t="str">
        <f t="shared" si="17"/>
        <v/>
      </c>
      <c r="K7" s="20" t="str">
        <f t="shared" si="17"/>
        <v/>
      </c>
      <c r="L7" s="20" t="str">
        <f t="shared" si="17"/>
        <v/>
      </c>
      <c r="M7" s="20" t="str">
        <f t="shared" si="17"/>
        <v/>
      </c>
      <c r="N7" s="20" t="str">
        <f t="shared" si="17"/>
        <v/>
      </c>
      <c r="O7" s="20" t="str">
        <f t="shared" si="17"/>
        <v/>
      </c>
      <c r="P7" s="20" t="str">
        <f t="shared" si="17"/>
        <v/>
      </c>
      <c r="Q7" s="20" t="str">
        <f t="shared" si="17"/>
        <v/>
      </c>
      <c r="R7" s="20" t="str">
        <f t="shared" si="17"/>
        <v/>
      </c>
      <c r="S7" s="20">
        <f t="shared" si="17"/>
        <v>2</v>
      </c>
      <c r="T7" s="20">
        <f t="shared" si="17"/>
        <v>6</v>
      </c>
      <c r="U7" s="20" t="str">
        <f t="shared" si="17"/>
        <v/>
      </c>
      <c r="V7" s="20" t="str">
        <f t="shared" si="17"/>
        <v/>
      </c>
      <c r="W7" s="20">
        <f t="shared" si="17"/>
        <v>2</v>
      </c>
      <c r="X7" s="20">
        <f t="shared" si="17"/>
        <v>6</v>
      </c>
      <c r="Y7" s="20" t="str">
        <f t="shared" si="17"/>
        <v/>
      </c>
      <c r="Z7" s="20" t="str">
        <f t="shared" si="17"/>
        <v/>
      </c>
      <c r="AA7" s="20">
        <f t="shared" si="17"/>
        <v>2</v>
      </c>
      <c r="AB7" s="20">
        <f t="shared" si="17"/>
        <v>6</v>
      </c>
      <c r="AC7" s="20" t="str">
        <f t="shared" si="17"/>
        <v/>
      </c>
      <c r="AD7" s="20" t="str">
        <f t="shared" si="17"/>
        <v/>
      </c>
      <c r="AE7" s="20" t="str">
        <f t="shared" si="17"/>
        <v/>
      </c>
      <c r="AF7" s="20" t="str">
        <f t="shared" si="17"/>
        <v/>
      </c>
      <c r="AG7" s="20" t="str">
        <f t="shared" si="17"/>
        <v/>
      </c>
      <c r="AH7" s="20" t="str">
        <f t="shared" si="17"/>
        <v/>
      </c>
      <c r="AI7" s="42" t="str">
        <f t="shared" si="17"/>
        <v/>
      </c>
      <c r="AJ7" s="62"/>
      <c r="AK7" s="73"/>
      <c r="AL7" s="57"/>
      <c r="AM7" s="57"/>
      <c r="AN7" s="57"/>
      <c r="AO7" s="84"/>
      <c r="AP7" s="64"/>
      <c r="AQ7" s="62"/>
      <c r="AR7" s="57"/>
      <c r="AS7" s="57"/>
      <c r="AT7" s="57"/>
      <c r="AU7" s="64"/>
    </row>
    <row r="8" spans="1:48" ht="21" x14ac:dyDescent="0.25">
      <c r="A8" s="65" t="str">
        <f>IF(C8="","",SUBTOTAL(103,$B$4:B8))</f>
        <v/>
      </c>
      <c r="B8" s="74"/>
      <c r="C8" s="68" t="str">
        <f>IFERROR(VLOOKUP(B8,DATA!$G$2:$I$40,2,0),"")</f>
        <v/>
      </c>
      <c r="D8" s="70" t="str">
        <f>IFERROR(VLOOKUP(B8,DATA!$G$2:$I$40,3,0),"")</f>
        <v/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46"/>
      <c r="AE8" s="46"/>
      <c r="AF8" s="46"/>
      <c r="AG8" s="46"/>
      <c r="AH8" s="46"/>
      <c r="AI8" s="9"/>
      <c r="AJ8" s="62">
        <f t="shared" ref="AJ8" si="18">COUNTIF($E8:$AI8,"&gt;0")</f>
        <v>0</v>
      </c>
      <c r="AK8" s="73">
        <f t="shared" ref="AK8" si="19">SUM(E9:AI9)</f>
        <v>0</v>
      </c>
      <c r="AL8" s="57">
        <f t="array" aca="1" ref="AL8" ca="1">SUM(IFERROR(((ISNUMBER(MATCH($E$3:$AI$3,DATA!$C$2:$C$98,))+ISNUMBER(MATCH($E$3:$AI$3,,)))&gt;0)*$E8:$AI9,))</f>
        <v>0</v>
      </c>
      <c r="AM8" s="57">
        <f>SUM(E8:AI9)</f>
        <v>0</v>
      </c>
      <c r="AN8" s="57">
        <f t="array" aca="1" ref="AN8" ca="1">AM8-SUMPRODUCT(IF(ISNA(MATCH(E8:AI8,$B$21:$B$24,))*(E8:AI8&lt;&gt;""),IF(((WEEKDAY(E$3:AI$3,2)&gt;5)+ISNUMBER(MATCH(E$3:AI$3,DATA!C$2:C$30,))+ISNUMBER(MATCH(E$3:AI$3,DATA!F$2:F$30,))&gt;0)-ISNUMBER(MATCH(E$3:AI$3,DATA!D$2:D$30,)),,1)))*8-SUMPRODUCT(--ISNUMBER(MATCH(E$3:AI$3,DATA!E$2:E$30,)))</f>
        <v>-1</v>
      </c>
      <c r="AO8" s="84" t="e">
        <f ca="1">SUM(SUMIF(#REF!,"&gt;0"),SUMIF(#REF!,"&gt;0"),SUMIF(Ноябрь!AN8:AN9,"&gt;0"))</f>
        <v>#REF!</v>
      </c>
      <c r="AP8" s="64">
        <f t="array" aca="1" ref="AP8" ca="1">SUM(IFERROR((((WEEKDAY($E$3:$AI$3,2)&gt;5)+ISNUMBER(MATCH($E$3:$AI$3,DATA!$C$2:$C$98,))+ISNUMBER(MATCH($E$3:$AI$3,#REF!,))+ISNUMBER(MATCH($E$3:$AI$3,#REF!,))-(ISNUMBER(MATCH($E$3:$AI$3,#REF!,))+ISNUMBER(MATCH($E$3:$AI$3,#REF!,))))&gt;0)*$E8:$AI8,))</f>
        <v>0</v>
      </c>
      <c r="AQ8" s="62">
        <f t="shared" ref="AQ8" si="20">COUNTIF($E8:$AI8,"В")</f>
        <v>0</v>
      </c>
      <c r="AR8" s="57">
        <f t="shared" ref="AR8" si="21">COUNTIF($E8:$AI8,"О")</f>
        <v>0</v>
      </c>
      <c r="AS8" s="57">
        <f t="shared" ref="AS8" si="22">COUNTIF($E8:$AI8,"А")</f>
        <v>0</v>
      </c>
      <c r="AT8" s="57">
        <f t="shared" ref="AT8" si="23">COUNTIF($E8:$AI8,"У")</f>
        <v>0</v>
      </c>
      <c r="AU8" s="64">
        <f t="shared" ref="AU8" si="24">COUNTIF($E8:$AI8,"Б")</f>
        <v>0</v>
      </c>
    </row>
    <row r="9" spans="1:48" ht="21.75" thickBot="1" x14ac:dyDescent="0.3">
      <c r="A9" s="66"/>
      <c r="B9" s="67"/>
      <c r="C9" s="69"/>
      <c r="D9" s="71"/>
      <c r="E9" s="20" t="str">
        <f>IFERROR(_xlfn.IFS(E8=15,2,E8=4,6,E8=3,2,E8=1,6),"")</f>
        <v/>
      </c>
      <c r="F9" s="20" t="str">
        <f t="shared" ref="F9:AI9" si="25">IFERROR(_xlfn.IFS(F8=15,2,F8=4,6,F8=3,2,F8=1,6),"")</f>
        <v/>
      </c>
      <c r="G9" s="20" t="str">
        <f t="shared" si="25"/>
        <v/>
      </c>
      <c r="H9" s="20" t="str">
        <f t="shared" si="25"/>
        <v/>
      </c>
      <c r="I9" s="20" t="str">
        <f t="shared" si="25"/>
        <v/>
      </c>
      <c r="J9" s="20" t="str">
        <f t="shared" si="25"/>
        <v/>
      </c>
      <c r="K9" s="20" t="str">
        <f t="shared" si="25"/>
        <v/>
      </c>
      <c r="L9" s="20" t="str">
        <f t="shared" si="25"/>
        <v/>
      </c>
      <c r="M9" s="20" t="str">
        <f t="shared" si="25"/>
        <v/>
      </c>
      <c r="N9" s="20" t="str">
        <f t="shared" si="25"/>
        <v/>
      </c>
      <c r="O9" s="20" t="str">
        <f t="shared" si="25"/>
        <v/>
      </c>
      <c r="P9" s="20" t="str">
        <f t="shared" si="25"/>
        <v/>
      </c>
      <c r="Q9" s="20" t="str">
        <f t="shared" si="25"/>
        <v/>
      </c>
      <c r="R9" s="20" t="str">
        <f t="shared" si="25"/>
        <v/>
      </c>
      <c r="S9" s="20" t="str">
        <f t="shared" si="25"/>
        <v/>
      </c>
      <c r="T9" s="20" t="str">
        <f t="shared" si="25"/>
        <v/>
      </c>
      <c r="U9" s="20" t="str">
        <f t="shared" si="25"/>
        <v/>
      </c>
      <c r="V9" s="20" t="str">
        <f t="shared" si="25"/>
        <v/>
      </c>
      <c r="W9" s="20" t="str">
        <f t="shared" si="25"/>
        <v/>
      </c>
      <c r="X9" s="20" t="str">
        <f t="shared" si="25"/>
        <v/>
      </c>
      <c r="Y9" s="20" t="str">
        <f t="shared" si="25"/>
        <v/>
      </c>
      <c r="Z9" s="20" t="str">
        <f t="shared" si="25"/>
        <v/>
      </c>
      <c r="AA9" s="20" t="str">
        <f t="shared" si="25"/>
        <v/>
      </c>
      <c r="AB9" s="20" t="str">
        <f t="shared" si="25"/>
        <v/>
      </c>
      <c r="AC9" s="20" t="str">
        <f t="shared" si="25"/>
        <v/>
      </c>
      <c r="AD9" s="20" t="str">
        <f t="shared" si="25"/>
        <v/>
      </c>
      <c r="AE9" s="28" t="str">
        <f t="shared" si="25"/>
        <v/>
      </c>
      <c r="AF9" s="28" t="str">
        <f t="shared" si="25"/>
        <v/>
      </c>
      <c r="AG9" s="28" t="str">
        <f t="shared" si="25"/>
        <v/>
      </c>
      <c r="AH9" s="28" t="str">
        <f t="shared" si="25"/>
        <v/>
      </c>
      <c r="AI9" s="44" t="str">
        <f t="shared" si="25"/>
        <v/>
      </c>
      <c r="AJ9" s="81"/>
      <c r="AK9" s="82"/>
      <c r="AL9" s="83"/>
      <c r="AM9" s="83"/>
      <c r="AN9" s="83"/>
      <c r="AO9" s="85"/>
      <c r="AP9" s="86"/>
      <c r="AQ9" s="81"/>
      <c r="AR9" s="83"/>
      <c r="AS9" s="83"/>
      <c r="AT9" s="83"/>
      <c r="AU9" s="86"/>
    </row>
    <row r="10" spans="1:48" ht="21.75" thickBot="1" x14ac:dyDescent="0.3">
      <c r="AE10" s="78" t="s">
        <v>6</v>
      </c>
      <c r="AF10" s="78"/>
      <c r="AG10" s="78"/>
      <c r="AH10" s="78"/>
      <c r="AI10" s="78"/>
      <c r="AJ10" s="27">
        <f ca="1">SUMPRODUCT(--(SUBTOTAL(109,INDIRECT("aj"&amp;ROW(4:7))))*(AJ4:AJ7&gt;0))</f>
        <v>31</v>
      </c>
      <c r="AK10" s="47">
        <f ca="1">SUMPRODUCT(--(SUBTOTAL(109,INDIRECT("ak"&amp;ROW(4:7))))*(AK4:AK7&gt;0))</f>
        <v>86</v>
      </c>
      <c r="AL10" s="47">
        <f ca="1">SUMPRODUCT(--(SUBTOTAL(109,INDIRECT("al"&amp;ROW(4:7))))*(AL4:AL7&gt;0))</f>
        <v>5</v>
      </c>
      <c r="AM10" s="47">
        <f ca="1">SUMPRODUCT(--(SUBTOTAL(109,INDIRECT("am"&amp;ROW(4:7))))*(AM4:AM7&gt;0))</f>
        <v>247</v>
      </c>
      <c r="AN10" s="47">
        <f ca="1">SUMPRODUCT(--(SUBTOTAL(109,INDIRECT("an"&amp;ROW(4:7))))*(AN4:AN7&gt;0))</f>
        <v>6</v>
      </c>
      <c r="AO10" s="47" t="e">
        <f ca="1">SUMPRODUCT(--(SUBTOTAL(109,INDIRECT("ao"&amp;ROW(4:7))))*(AO4:AO7&gt;0))</f>
        <v>#REF!</v>
      </c>
      <c r="AP10" s="48">
        <f ca="1">SUMPRODUCT(--(SUBTOTAL(109,INDIRECT("ap"&amp;ROW(4:7))))*(AP4:AP7&gt;0))</f>
        <v>39</v>
      </c>
      <c r="AQ10" s="27">
        <f ca="1">SUMPRODUCT(--(SUBTOTAL(109,INDIRECT("aq"&amp;ROW(4:7))))*(AQ4:AQ7&gt;0))</f>
        <v>12</v>
      </c>
      <c r="AR10" s="47">
        <f ca="1">SUMPRODUCT(--(SUBTOTAL(109,INDIRECT("ar"&amp;ROW(4:7))))*(AR4:AR7&gt;0))</f>
        <v>12</v>
      </c>
      <c r="AS10" s="47">
        <f ca="1">SUMPRODUCT(--(SUBTOTAL(109,INDIRECT("as"&amp;ROW(4:7))))*(AS4:AS7&gt;0))</f>
        <v>0</v>
      </c>
      <c r="AT10" s="47">
        <f ca="1">SUMPRODUCT(--(SUBTOTAL(109,INDIRECT("at"&amp;ROW(4:7))))*(AT4:AT7&gt;0))</f>
        <v>0</v>
      </c>
      <c r="AU10" s="48">
        <f ca="1">SUMPRODUCT(--(SUBTOTAL(109,INDIRECT("au"&amp;ROW(4:7))))*(AU4:AU7&gt;0))</f>
        <v>0</v>
      </c>
    </row>
    <row r="20" spans="2:4" ht="18.75" x14ac:dyDescent="0.3">
      <c r="B20" s="39" t="s">
        <v>1</v>
      </c>
      <c r="C20" s="6" t="s">
        <v>3</v>
      </c>
      <c r="D20" s="29"/>
    </row>
    <row r="21" spans="2:4" ht="18.75" x14ac:dyDescent="0.3">
      <c r="B21" s="30" t="s">
        <v>10</v>
      </c>
      <c r="C21" s="6" t="s">
        <v>9</v>
      </c>
      <c r="D21" s="31"/>
    </row>
    <row r="22" spans="2:4" ht="18.75" x14ac:dyDescent="0.3">
      <c r="B22" s="32" t="s">
        <v>4</v>
      </c>
      <c r="C22" s="6" t="s">
        <v>0</v>
      </c>
      <c r="D22" s="29"/>
    </row>
    <row r="23" spans="2:4" ht="18.75" x14ac:dyDescent="0.25">
      <c r="B23" s="33" t="s">
        <v>11</v>
      </c>
      <c r="C23" s="6" t="s">
        <v>5</v>
      </c>
      <c r="D23" s="34"/>
    </row>
    <row r="24" spans="2:4" ht="18.75" x14ac:dyDescent="0.25">
      <c r="B24" s="35" t="s">
        <v>15</v>
      </c>
      <c r="C24" s="7" t="s">
        <v>19</v>
      </c>
      <c r="D24" s="36"/>
    </row>
  </sheetData>
  <sheetProtection selectLockedCells="1"/>
  <mergeCells count="55">
    <mergeCell ref="AE10:AI10"/>
    <mergeCell ref="AL8:AL9"/>
    <mergeCell ref="AM8:AM9"/>
    <mergeCell ref="AN8:AN9"/>
    <mergeCell ref="AO8:AO9"/>
    <mergeCell ref="AP8:AP9"/>
    <mergeCell ref="AQ8:AQ9"/>
    <mergeCell ref="A8:A9"/>
    <mergeCell ref="B8:B9"/>
    <mergeCell ref="C8:C9"/>
    <mergeCell ref="D8:D9"/>
    <mergeCell ref="AJ8:AJ9"/>
    <mergeCell ref="AK8:AK9"/>
    <mergeCell ref="AR8:AR9"/>
    <mergeCell ref="AS8:AS9"/>
    <mergeCell ref="AT8:AT9"/>
    <mergeCell ref="AU8:AU9"/>
    <mergeCell ref="AR6:AR7"/>
    <mergeCell ref="C6:C7"/>
    <mergeCell ref="D6:D7"/>
    <mergeCell ref="AJ6:AJ7"/>
    <mergeCell ref="AK6:AK7"/>
    <mergeCell ref="AS6:AS7"/>
    <mergeCell ref="AT6:AT7"/>
    <mergeCell ref="AU6:AU7"/>
    <mergeCell ref="AL6:AL7"/>
    <mergeCell ref="AM6:AM7"/>
    <mergeCell ref="AN6:AN7"/>
    <mergeCell ref="AO6:AO7"/>
    <mergeCell ref="AP6:AP7"/>
    <mergeCell ref="AQ6:AQ7"/>
    <mergeCell ref="A6:A7"/>
    <mergeCell ref="B6:B7"/>
    <mergeCell ref="A4:A5"/>
    <mergeCell ref="B4:B5"/>
    <mergeCell ref="C4:C5"/>
    <mergeCell ref="D4:D5"/>
    <mergeCell ref="AJ4:AJ5"/>
    <mergeCell ref="AK4:AK5"/>
    <mergeCell ref="AR4:AR5"/>
    <mergeCell ref="AS4:AS5"/>
    <mergeCell ref="AT4:AT5"/>
    <mergeCell ref="AU4:AU5"/>
    <mergeCell ref="AO4:AO5"/>
    <mergeCell ref="AP4:AP5"/>
    <mergeCell ref="AQ4:AQ5"/>
    <mergeCell ref="AL4:AL5"/>
    <mergeCell ref="AM4:AM5"/>
    <mergeCell ref="AN4:AN5"/>
    <mergeCell ref="A2:A3"/>
    <mergeCell ref="B2:B3"/>
    <mergeCell ref="AJ2:AN2"/>
    <mergeCell ref="AO2:AO3"/>
    <mergeCell ref="AP2:AP3"/>
    <mergeCell ref="AQ2:AU2"/>
  </mergeCells>
  <conditionalFormatting sqref="E2:AI9">
    <cfRule type="expression" dxfId="13" priority="14">
      <formula>(WEEKDAY(E$3,2)&gt;5)*(E$3&lt;&gt;0)</formula>
    </cfRule>
  </conditionalFormatting>
  <conditionalFormatting sqref="E3:AI9">
    <cfRule type="cellIs" dxfId="12" priority="1" operator="equal">
      <formula>"В"</formula>
    </cfRule>
  </conditionalFormatting>
  <conditionalFormatting sqref="E4:AI9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3" fitToWidth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77C3FE3-CA32-4CB0-B125-D81D1B74A4E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BCD37558-17A0-430E-8CA9-C8F3A39D58F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2B475C39-A360-47F3-844D-E6327A0566BD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CF03E46C-107D-4421-83E0-17132BB9F183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DF9216-3995-4843-801A-D4CDD2E468F8}">
          <x14:formula1>
            <xm:f>DATA!$G$2:$G$40</xm:f>
          </x14:formula1>
          <xm:sqref>B4:B9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Ноябрь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2022-11-23T13:01:00Z</dcterms:modified>
</cp:coreProperties>
</file>