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updateLinks="never" defaultThemeVersion="124226"/>
  <xr:revisionPtr revIDLastSave="0" documentId="13_ncr:1_{5119FA29-8AA9-4C30-BD8F-73AFECA16245}" xr6:coauthVersionLast="47" xr6:coauthVersionMax="47" xr10:uidLastSave="{00000000-0000-0000-0000-000000000000}"/>
  <bookViews>
    <workbookView xWindow="-120" yWindow="-120" windowWidth="19440" windowHeight="15000" tabRatio="843" activeTab="3" xr2:uid="{00000000-000D-0000-FFFF-FFFF00000000}"/>
  </bookViews>
  <sheets>
    <sheet name="DATA" sheetId="70" r:id="rId1"/>
    <sheet name="Март" sheetId="185" r:id="rId2"/>
    <sheet name="Май" sheetId="186" r:id="rId3"/>
    <sheet name="Июль" sheetId="188" r:id="rId4"/>
    <sheet name="ноябрь" sheetId="187" r:id="rId5"/>
  </sheets>
  <definedNames>
    <definedName name="_xlnm.Print_Area" localSheetId="3">Июль!$A$2:$AW$10</definedName>
    <definedName name="_xlnm.Print_Area" localSheetId="2">Май!$A$2:$AW$8</definedName>
    <definedName name="_xlnm.Print_Area" localSheetId="1">Март!$A$2:$AW$8</definedName>
    <definedName name="_xlnm.Print_Area" localSheetId="4">ноябрь!$A$2:$AW$8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88" l="1"/>
  <c r="AH9" i="188"/>
  <c r="AG9" i="188"/>
  <c r="AF9" i="188"/>
  <c r="AE9" i="188"/>
  <c r="AD9" i="188"/>
  <c r="AC9" i="188"/>
  <c r="AB9" i="188"/>
  <c r="AA9" i="188"/>
  <c r="Z9" i="188"/>
  <c r="Y9" i="188"/>
  <c r="X9" i="188"/>
  <c r="W9" i="188"/>
  <c r="V9" i="188"/>
  <c r="U9" i="188"/>
  <c r="T9" i="188"/>
  <c r="S9" i="188"/>
  <c r="R9" i="188"/>
  <c r="Q9" i="188"/>
  <c r="P9" i="188"/>
  <c r="O9" i="188"/>
  <c r="N9" i="188"/>
  <c r="M9" i="188"/>
  <c r="L9" i="188"/>
  <c r="K9" i="188"/>
  <c r="J9" i="188"/>
  <c r="I9" i="188"/>
  <c r="H9" i="188"/>
  <c r="G9" i="188"/>
  <c r="F9" i="188"/>
  <c r="E9" i="188"/>
  <c r="AW8" i="188"/>
  <c r="AV8" i="188"/>
  <c r="AU8" i="188"/>
  <c r="AT8" i="188"/>
  <c r="AS8" i="188"/>
  <c r="AJ8" i="188"/>
  <c r="D8" i="188"/>
  <c r="A8" i="188"/>
  <c r="AI7" i="188"/>
  <c r="AH7" i="188"/>
  <c r="AG7" i="188"/>
  <c r="AF7" i="188"/>
  <c r="AE7" i="188"/>
  <c r="AD7" i="188"/>
  <c r="AC7" i="188"/>
  <c r="AB7" i="188"/>
  <c r="AA7" i="188"/>
  <c r="Z7" i="188"/>
  <c r="Y7" i="188"/>
  <c r="X7" i="188"/>
  <c r="W7" i="188"/>
  <c r="V7" i="188"/>
  <c r="U7" i="188"/>
  <c r="T7" i="188"/>
  <c r="S7" i="188"/>
  <c r="R7" i="188"/>
  <c r="Q7" i="188"/>
  <c r="P7" i="188"/>
  <c r="O7" i="188"/>
  <c r="N7" i="188"/>
  <c r="M7" i="188"/>
  <c r="L7" i="188"/>
  <c r="K7" i="188"/>
  <c r="J7" i="188"/>
  <c r="I7" i="188"/>
  <c r="H7" i="188"/>
  <c r="G7" i="188"/>
  <c r="F7" i="188"/>
  <c r="E7" i="188"/>
  <c r="AW6" i="188"/>
  <c r="AV6" i="188"/>
  <c r="AU6" i="188"/>
  <c r="AT6" i="188"/>
  <c r="AS6" i="188"/>
  <c r="AJ6" i="188"/>
  <c r="D6" i="188"/>
  <c r="C6" i="188"/>
  <c r="A6" i="188" s="1"/>
  <c r="AI5" i="188"/>
  <c r="AH5" i="188"/>
  <c r="AG5" i="188"/>
  <c r="AF5" i="188"/>
  <c r="AE5" i="188"/>
  <c r="AD5" i="188"/>
  <c r="AC5" i="188"/>
  <c r="AB5" i="188"/>
  <c r="AA5" i="188"/>
  <c r="Z5" i="188"/>
  <c r="Y5" i="188"/>
  <c r="X5" i="188"/>
  <c r="W5" i="188"/>
  <c r="V5" i="188"/>
  <c r="U5" i="188"/>
  <c r="T5" i="188"/>
  <c r="S5" i="188"/>
  <c r="R5" i="188"/>
  <c r="Q5" i="188"/>
  <c r="P5" i="188"/>
  <c r="O5" i="188"/>
  <c r="N5" i="188"/>
  <c r="M5" i="188"/>
  <c r="L5" i="188"/>
  <c r="K5" i="188"/>
  <c r="J5" i="188"/>
  <c r="I5" i="188"/>
  <c r="H5" i="188"/>
  <c r="G5" i="188"/>
  <c r="F5" i="188"/>
  <c r="E5" i="188"/>
  <c r="AW4" i="188"/>
  <c r="AO4" i="188" s="1"/>
  <c r="AV4" i="188"/>
  <c r="AU4" i="188"/>
  <c r="AT4" i="188"/>
  <c r="AS4" i="188"/>
  <c r="AJ4" i="188"/>
  <c r="D4" i="188"/>
  <c r="C4" i="188"/>
  <c r="A4" i="188" s="1"/>
  <c r="C2" i="188"/>
  <c r="E3" i="70"/>
  <c r="E4" i="70"/>
  <c r="E5" i="70"/>
  <c r="E6" i="70"/>
  <c r="E7" i="70"/>
  <c r="E8" i="70"/>
  <c r="E9" i="70"/>
  <c r="E10" i="70"/>
  <c r="E11" i="70"/>
  <c r="E12" i="70"/>
  <c r="E13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2" i="70"/>
  <c r="AW6" i="187"/>
  <c r="AV6" i="187"/>
  <c r="AU6" i="187"/>
  <c r="AT6" i="187"/>
  <c r="AN6" i="187" s="1"/>
  <c r="AS6" i="187"/>
  <c r="AO6" i="187"/>
  <c r="AJ6" i="187"/>
  <c r="D6" i="187"/>
  <c r="C6" i="187"/>
  <c r="A6" i="187" s="1"/>
  <c r="AW4" i="187"/>
  <c r="AW8" i="187" s="1"/>
  <c r="AV4" i="187"/>
  <c r="AU4" i="187"/>
  <c r="AU8" i="187" s="1"/>
  <c r="AT4" i="187"/>
  <c r="AS4" i="187"/>
  <c r="AJ4" i="187"/>
  <c r="D4" i="187"/>
  <c r="C4" i="187"/>
  <c r="A4" i="187" s="1"/>
  <c r="C2" i="187"/>
  <c r="AH7" i="187"/>
  <c r="AD7" i="187"/>
  <c r="Z7" i="187"/>
  <c r="V7" i="187"/>
  <c r="R7" i="187"/>
  <c r="N7" i="187"/>
  <c r="J7" i="187"/>
  <c r="F7" i="187"/>
  <c r="AF5" i="187"/>
  <c r="AB5" i="187"/>
  <c r="X5" i="187"/>
  <c r="T5" i="187"/>
  <c r="P5" i="187"/>
  <c r="L5" i="187"/>
  <c r="H5" i="187"/>
  <c r="AG7" i="187"/>
  <c r="AC7" i="187"/>
  <c r="Y7" i="187"/>
  <c r="U7" i="187"/>
  <c r="Q7" i="187"/>
  <c r="M7" i="187"/>
  <c r="I7" i="187"/>
  <c r="E7" i="187"/>
  <c r="AI5" i="187"/>
  <c r="AE5" i="187"/>
  <c r="AA5" i="187"/>
  <c r="W5" i="187"/>
  <c r="S5" i="187"/>
  <c r="O5" i="187"/>
  <c r="K5" i="187"/>
  <c r="G5" i="187"/>
  <c r="Y5" i="187"/>
  <c r="M5" i="187"/>
  <c r="E5" i="187"/>
  <c r="AF7" i="187"/>
  <c r="AB7" i="187"/>
  <c r="X7" i="187"/>
  <c r="T7" i="187"/>
  <c r="P7" i="187"/>
  <c r="L7" i="187"/>
  <c r="H7" i="187"/>
  <c r="AH5" i="187"/>
  <c r="AD5" i="187"/>
  <c r="Z5" i="187"/>
  <c r="V5" i="187"/>
  <c r="R5" i="187"/>
  <c r="N5" i="187"/>
  <c r="J5" i="187"/>
  <c r="F5" i="187"/>
  <c r="AI7" i="187"/>
  <c r="AE7" i="187"/>
  <c r="AA7" i="187"/>
  <c r="W7" i="187"/>
  <c r="S7" i="187"/>
  <c r="O7" i="187"/>
  <c r="K7" i="187"/>
  <c r="G7" i="187"/>
  <c r="AG5" i="187"/>
  <c r="AC5" i="187"/>
  <c r="U5" i="187"/>
  <c r="Q5" i="187"/>
  <c r="I5" i="187"/>
  <c r="AJ8" i="187" l="1"/>
  <c r="AO4" i="187"/>
  <c r="AO8" i="187" s="1"/>
  <c r="AV8" i="187"/>
  <c r="AM8" i="188"/>
  <c r="AK8" i="188"/>
  <c r="AV10" i="188"/>
  <c r="AK4" i="188"/>
  <c r="AM6" i="188"/>
  <c r="AJ10" i="188"/>
  <c r="AU10" i="188"/>
  <c r="AS10" i="188"/>
  <c r="AW10" i="188"/>
  <c r="AT10" i="188"/>
  <c r="AK6" i="188"/>
  <c r="E3" i="188"/>
  <c r="AM4" i="188"/>
  <c r="AS8" i="187"/>
  <c r="AT8" i="187"/>
  <c r="AK4" i="187"/>
  <c r="AM4" i="187"/>
  <c r="AK6" i="187"/>
  <c r="AM6" i="187"/>
  <c r="E3" i="187"/>
  <c r="AN4" i="187"/>
  <c r="AW6" i="186"/>
  <c r="AO6" i="186" s="1"/>
  <c r="AV6" i="186"/>
  <c r="AU6" i="186"/>
  <c r="AT6" i="186"/>
  <c r="AN6" i="186" s="1"/>
  <c r="AS6" i="186"/>
  <c r="AJ6" i="186"/>
  <c r="D6" i="186"/>
  <c r="C6" i="186"/>
  <c r="A6" i="186" s="1"/>
  <c r="AW4" i="186"/>
  <c r="AW8" i="186" s="1"/>
  <c r="AV4" i="186"/>
  <c r="AV8" i="186" s="1"/>
  <c r="AU4" i="186"/>
  <c r="AU8" i="186" s="1"/>
  <c r="AT4" i="186"/>
  <c r="AN4" i="186" s="1"/>
  <c r="AS4" i="186"/>
  <c r="AJ4" i="186"/>
  <c r="AJ8" i="186" s="1"/>
  <c r="D4" i="186"/>
  <c r="C4" i="186"/>
  <c r="A4" i="186" s="1"/>
  <c r="C2" i="186"/>
  <c r="BB8" i="186" s="1"/>
  <c r="AW6" i="185"/>
  <c r="AO6" i="185" s="1"/>
  <c r="AV6" i="185"/>
  <c r="AU6" i="185"/>
  <c r="AT6" i="185"/>
  <c r="AN6" i="185" s="1"/>
  <c r="AS6" i="185"/>
  <c r="AJ6" i="185"/>
  <c r="D6" i="185"/>
  <c r="C6" i="185"/>
  <c r="A6" i="185" s="1"/>
  <c r="AW4" i="185"/>
  <c r="AW8" i="185" s="1"/>
  <c r="AV4" i="185"/>
  <c r="AU4" i="185"/>
  <c r="AT4" i="185"/>
  <c r="AN4" i="185" s="1"/>
  <c r="AS4" i="185"/>
  <c r="AJ4" i="185"/>
  <c r="AJ8" i="185" s="1"/>
  <c r="D4" i="185"/>
  <c r="C4" i="185"/>
  <c r="A4" i="185" s="1"/>
  <c r="C2" i="185"/>
  <c r="AI7" i="186"/>
  <c r="AE7" i="186"/>
  <c r="AA7" i="186"/>
  <c r="W7" i="186"/>
  <c r="S7" i="186"/>
  <c r="O7" i="186"/>
  <c r="K7" i="186"/>
  <c r="G7" i="186"/>
  <c r="AH5" i="186"/>
  <c r="AD5" i="186"/>
  <c r="Z5" i="186"/>
  <c r="V5" i="186"/>
  <c r="R5" i="186"/>
  <c r="N5" i="186"/>
  <c r="J5" i="186"/>
  <c r="F5" i="186"/>
  <c r="AH7" i="185"/>
  <c r="AD7" i="185"/>
  <c r="Z7" i="185"/>
  <c r="V7" i="185"/>
  <c r="R7" i="185"/>
  <c r="N7" i="185"/>
  <c r="J7" i="185"/>
  <c r="F7" i="185"/>
  <c r="AG5" i="185"/>
  <c r="AC5" i="185"/>
  <c r="Y5" i="185"/>
  <c r="U5" i="185"/>
  <c r="Q5" i="185"/>
  <c r="M5" i="185"/>
  <c r="I5" i="185"/>
  <c r="E5" i="185"/>
  <c r="AH7" i="186"/>
  <c r="AD7" i="186"/>
  <c r="Z7" i="186"/>
  <c r="V7" i="186"/>
  <c r="R7" i="186"/>
  <c r="N7" i="186"/>
  <c r="J7" i="186"/>
  <c r="F7" i="186"/>
  <c r="AG5" i="186"/>
  <c r="AC5" i="186"/>
  <c r="Y5" i="186"/>
  <c r="U5" i="186"/>
  <c r="Q5" i="186"/>
  <c r="M5" i="186"/>
  <c r="I5" i="186"/>
  <c r="E5" i="186"/>
  <c r="AG7" i="185"/>
  <c r="AC7" i="185"/>
  <c r="Y7" i="185"/>
  <c r="U7" i="185"/>
  <c r="Q7" i="185"/>
  <c r="M7" i="185"/>
  <c r="I7" i="185"/>
  <c r="E7" i="185"/>
  <c r="AF5" i="185"/>
  <c r="AB5" i="185"/>
  <c r="X5" i="185"/>
  <c r="T5" i="185"/>
  <c r="P5" i="185"/>
  <c r="L5" i="185"/>
  <c r="H5" i="185"/>
  <c r="AG7" i="186"/>
  <c r="AC7" i="186"/>
  <c r="Y7" i="186"/>
  <c r="U7" i="186"/>
  <c r="Q7" i="186"/>
  <c r="M7" i="186"/>
  <c r="I7" i="186"/>
  <c r="E7" i="186"/>
  <c r="AF5" i="186"/>
  <c r="AB5" i="186"/>
  <c r="X5" i="186"/>
  <c r="T5" i="186"/>
  <c r="P5" i="186"/>
  <c r="L5" i="186"/>
  <c r="H5" i="186"/>
  <c r="AF7" i="185"/>
  <c r="AB7" i="185"/>
  <c r="X7" i="185"/>
  <c r="T7" i="185"/>
  <c r="P7" i="185"/>
  <c r="L7" i="185"/>
  <c r="H7" i="185"/>
  <c r="AI5" i="185"/>
  <c r="AE5" i="185"/>
  <c r="AA5" i="185"/>
  <c r="W5" i="185"/>
  <c r="S5" i="185"/>
  <c r="O5" i="185"/>
  <c r="K5" i="185"/>
  <c r="G5" i="185"/>
  <c r="AF7" i="186"/>
  <c r="AB7" i="186"/>
  <c r="X7" i="186"/>
  <c r="T7" i="186"/>
  <c r="P7" i="186"/>
  <c r="L7" i="186"/>
  <c r="H7" i="186"/>
  <c r="AI5" i="186"/>
  <c r="AE5" i="186"/>
  <c r="AA5" i="186"/>
  <c r="W5" i="186"/>
  <c r="S5" i="186"/>
  <c r="O5" i="186"/>
  <c r="K5" i="186"/>
  <c r="G5" i="186"/>
  <c r="AI7" i="185"/>
  <c r="AE7" i="185"/>
  <c r="O7" i="185"/>
  <c r="AD5" i="185"/>
  <c r="N5" i="185"/>
  <c r="AA7" i="185"/>
  <c r="K7" i="185"/>
  <c r="Z5" i="185"/>
  <c r="J5" i="185"/>
  <c r="W7" i="185"/>
  <c r="G7" i="185"/>
  <c r="V5" i="185"/>
  <c r="F5" i="185"/>
  <c r="S7" i="185"/>
  <c r="AH5" i="185"/>
  <c r="R5" i="185"/>
  <c r="AS8" i="185" l="1"/>
  <c r="AS8" i="186"/>
  <c r="E2" i="188"/>
  <c r="AK10" i="188"/>
  <c r="F3" i="188"/>
  <c r="G3" i="188" s="1"/>
  <c r="AM10" i="188"/>
  <c r="AM4" i="185"/>
  <c r="AM4" i="186"/>
  <c r="AK6" i="186"/>
  <c r="AK6" i="185"/>
  <c r="F3" i="187"/>
  <c r="E2" i="187"/>
  <c r="AM8" i="187"/>
  <c r="AN8" i="187"/>
  <c r="AK8" i="187"/>
  <c r="BB9" i="185"/>
  <c r="AV8" i="185"/>
  <c r="AK4" i="186"/>
  <c r="AK8" i="186" s="1"/>
  <c r="AK4" i="185"/>
  <c r="AU8" i="185"/>
  <c r="AN8" i="186"/>
  <c r="AT8" i="186"/>
  <c r="AM6" i="186"/>
  <c r="AM8" i="186" s="1"/>
  <c r="E3" i="186"/>
  <c r="AO4" i="186"/>
  <c r="AO8" i="186" s="1"/>
  <c r="AN8" i="185"/>
  <c r="AT8" i="185"/>
  <c r="AM6" i="185"/>
  <c r="E3" i="185"/>
  <c r="AO4" i="185"/>
  <c r="AO8" i="185" s="1"/>
  <c r="F2" i="188" l="1"/>
  <c r="H3" i="188"/>
  <c r="G2" i="188"/>
  <c r="AM8" i="185"/>
  <c r="G3" i="187"/>
  <c r="F2" i="187"/>
  <c r="AK8" i="185"/>
  <c r="F3" i="186"/>
  <c r="E2" i="186"/>
  <c r="F3" i="185"/>
  <c r="E2" i="185"/>
  <c r="I3" i="188" l="1"/>
  <c r="H2" i="188"/>
  <c r="H3" i="187"/>
  <c r="G2" i="187"/>
  <c r="F2" i="186"/>
  <c r="G3" i="186"/>
  <c r="F2" i="185"/>
  <c r="G3" i="185"/>
  <c r="J3" i="188" l="1"/>
  <c r="I2" i="188"/>
  <c r="I3" i="187"/>
  <c r="H2" i="187"/>
  <c r="G2" i="186"/>
  <c r="H3" i="186"/>
  <c r="H3" i="185"/>
  <c r="G2" i="185"/>
  <c r="K3" i="188" l="1"/>
  <c r="J2" i="188"/>
  <c r="J3" i="187"/>
  <c r="I2" i="187"/>
  <c r="I3" i="186"/>
  <c r="H2" i="186"/>
  <c r="I3" i="185"/>
  <c r="H2" i="185"/>
  <c r="L3" i="188" l="1"/>
  <c r="K2" i="188"/>
  <c r="K3" i="187"/>
  <c r="J2" i="187"/>
  <c r="J3" i="186"/>
  <c r="I2" i="186"/>
  <c r="J3" i="185"/>
  <c r="I2" i="185"/>
  <c r="L2" i="188" l="1"/>
  <c r="M3" i="188"/>
  <c r="L3" i="187"/>
  <c r="K2" i="187"/>
  <c r="K3" i="186"/>
  <c r="J2" i="186"/>
  <c r="K3" i="185"/>
  <c r="J2" i="185"/>
  <c r="M2" i="188" l="1"/>
  <c r="N3" i="188"/>
  <c r="M3" i="187"/>
  <c r="L2" i="187"/>
  <c r="L3" i="186"/>
  <c r="K2" i="186"/>
  <c r="L3" i="185"/>
  <c r="K2" i="185"/>
  <c r="O3" i="188" l="1"/>
  <c r="N2" i="188"/>
  <c r="N3" i="187"/>
  <c r="M2" i="187"/>
  <c r="M3" i="186"/>
  <c r="L2" i="186"/>
  <c r="M3" i="185"/>
  <c r="L2" i="185"/>
  <c r="P3" i="188" l="1"/>
  <c r="O2" i="188"/>
  <c r="O3" i="187"/>
  <c r="N2" i="187"/>
  <c r="N3" i="186"/>
  <c r="M2" i="186"/>
  <c r="N3" i="185"/>
  <c r="M2" i="185"/>
  <c r="Q3" i="188" l="1"/>
  <c r="P2" i="188"/>
  <c r="P3" i="187"/>
  <c r="O2" i="187"/>
  <c r="N2" i="186"/>
  <c r="O3" i="186"/>
  <c r="O3" i="185"/>
  <c r="N2" i="185"/>
  <c r="R3" i="188" l="1"/>
  <c r="Q2" i="188"/>
  <c r="Q3" i="187"/>
  <c r="P2" i="187"/>
  <c r="O2" i="186"/>
  <c r="P3" i="186"/>
  <c r="P3" i="185"/>
  <c r="O2" i="185"/>
  <c r="S3" i="188" l="1"/>
  <c r="R2" i="188"/>
  <c r="R3" i="187"/>
  <c r="Q2" i="187"/>
  <c r="Q3" i="186"/>
  <c r="P2" i="186"/>
  <c r="Q3" i="185"/>
  <c r="P2" i="185"/>
  <c r="T3" i="188" l="1"/>
  <c r="S2" i="188"/>
  <c r="S3" i="187"/>
  <c r="R2" i="187"/>
  <c r="R3" i="186"/>
  <c r="Q2" i="186"/>
  <c r="R3" i="185"/>
  <c r="Q2" i="185"/>
  <c r="U3" i="188" l="1"/>
  <c r="T2" i="188"/>
  <c r="T3" i="187"/>
  <c r="S2" i="187"/>
  <c r="S3" i="186"/>
  <c r="R2" i="186"/>
  <c r="S3" i="185"/>
  <c r="R2" i="185"/>
  <c r="V3" i="188" l="1"/>
  <c r="U2" i="188"/>
  <c r="U3" i="187"/>
  <c r="T2" i="187"/>
  <c r="T3" i="186"/>
  <c r="S2" i="186"/>
  <c r="T3" i="185"/>
  <c r="S2" i="185"/>
  <c r="W3" i="188" l="1"/>
  <c r="V2" i="188"/>
  <c r="V3" i="187"/>
  <c r="U2" i="187"/>
  <c r="U3" i="186"/>
  <c r="T2" i="186"/>
  <c r="U3" i="185"/>
  <c r="T2" i="185"/>
  <c r="X3" i="188" l="1"/>
  <c r="W2" i="188"/>
  <c r="W3" i="187"/>
  <c r="V2" i="187"/>
  <c r="V3" i="186"/>
  <c r="U2" i="186"/>
  <c r="V3" i="185"/>
  <c r="U2" i="185"/>
  <c r="Y3" i="188" l="1"/>
  <c r="X2" i="188"/>
  <c r="X3" i="187"/>
  <c r="W2" i="187"/>
  <c r="V2" i="186"/>
  <c r="W3" i="186"/>
  <c r="V2" i="185"/>
  <c r="W3" i="185"/>
  <c r="Z3" i="188" l="1"/>
  <c r="Y2" i="188"/>
  <c r="Y3" i="187"/>
  <c r="X2" i="187"/>
  <c r="X3" i="186"/>
  <c r="W2" i="186"/>
  <c r="X3" i="185"/>
  <c r="W2" i="185"/>
  <c r="AA3" i="188" l="1"/>
  <c r="Z2" i="188"/>
  <c r="Z3" i="187"/>
  <c r="Y2" i="187"/>
  <c r="Y3" i="186"/>
  <c r="X2" i="186"/>
  <c r="Y3" i="185"/>
  <c r="X2" i="185"/>
  <c r="AB3" i="188" l="1"/>
  <c r="AA2" i="188"/>
  <c r="AA3" i="187"/>
  <c r="Z2" i="187"/>
  <c r="Z3" i="186"/>
  <c r="Y2" i="186"/>
  <c r="Z3" i="185"/>
  <c r="Y2" i="185"/>
  <c r="AC3" i="188" l="1"/>
  <c r="AB2" i="188"/>
  <c r="AB3" i="187"/>
  <c r="AA2" i="187"/>
  <c r="AA3" i="186"/>
  <c r="Z2" i="186"/>
  <c r="AA3" i="185"/>
  <c r="Z2" i="185"/>
  <c r="AD3" i="188" l="1"/>
  <c r="AC2" i="188"/>
  <c r="AC3" i="187"/>
  <c r="AB2" i="187"/>
  <c r="AA2" i="186"/>
  <c r="AB3" i="186"/>
  <c r="AB3" i="185"/>
  <c r="AA2" i="185"/>
  <c r="AE3" i="188" l="1"/>
  <c r="AD2" i="188"/>
  <c r="AD3" i="187"/>
  <c r="AC2" i="187"/>
  <c r="AC3" i="186"/>
  <c r="AB2" i="186"/>
  <c r="AC3" i="185"/>
  <c r="AB2" i="185"/>
  <c r="AF3" i="188" l="1"/>
  <c r="AE2" i="188"/>
  <c r="AE3" i="187"/>
  <c r="AD2" i="187"/>
  <c r="AD3" i="186"/>
  <c r="AC2" i="186"/>
  <c r="AD3" i="185"/>
  <c r="AC2" i="185"/>
  <c r="AG3" i="188" l="1"/>
  <c r="AG2" i="188" s="1"/>
  <c r="AI3" i="188"/>
  <c r="AH3" i="188"/>
  <c r="AH2" i="188" s="1"/>
  <c r="AF2" i="188"/>
  <c r="AF3" i="187"/>
  <c r="AE2" i="187"/>
  <c r="AD2" i="186"/>
  <c r="AE3" i="186"/>
  <c r="AE3" i="185"/>
  <c r="AD2" i="185"/>
  <c r="AL8" i="188" l="1" a="1"/>
  <c r="AL8" i="188" s="1"/>
  <c r="AR8" i="188" a="1"/>
  <c r="AR8" i="188" s="1"/>
  <c r="AI2" i="188"/>
  <c r="AR6" i="188" a="1"/>
  <c r="AR6" i="188" s="1"/>
  <c r="D2" i="188"/>
  <c r="AR4" i="188" a="1"/>
  <c r="AR4" i="188" s="1"/>
  <c r="AL4" i="188" a="1"/>
  <c r="AL4" i="188" s="1"/>
  <c r="D1" i="188"/>
  <c r="AL6" i="188" a="1"/>
  <c r="AL6" i="188" s="1"/>
  <c r="AI3" i="187"/>
  <c r="AG3" i="187"/>
  <c r="AG2" i="187" s="1"/>
  <c r="AF2" i="187"/>
  <c r="AH3" i="187"/>
  <c r="AH2" i="187" s="1"/>
  <c r="AF3" i="186"/>
  <c r="AE2" i="186"/>
  <c r="AF3" i="185"/>
  <c r="AE2" i="185"/>
  <c r="AO6" i="188" l="1"/>
  <c r="AN6" i="188"/>
  <c r="AP6" i="188"/>
  <c r="AO8" i="188"/>
  <c r="AP8" i="188"/>
  <c r="AP4" i="188"/>
  <c r="AN8" i="188"/>
  <c r="AN4" i="188"/>
  <c r="AR10" i="188"/>
  <c r="AL10" i="188"/>
  <c r="AI2" i="187"/>
  <c r="D2" i="187"/>
  <c r="D1" i="187"/>
  <c r="AL6" i="187" a="1"/>
  <c r="AL6" i="187" s="1"/>
  <c r="AR6" i="187" a="1"/>
  <c r="AR6" i="187" s="1"/>
  <c r="AL4" i="187" a="1"/>
  <c r="AL4" i="187" s="1"/>
  <c r="AR4" i="187" a="1"/>
  <c r="AR4" i="187" s="1"/>
  <c r="AH3" i="186"/>
  <c r="AH2" i="186" s="1"/>
  <c r="AG3" i="186"/>
  <c r="AG2" i="186" s="1"/>
  <c r="AF2" i="186"/>
  <c r="AI3" i="186"/>
  <c r="AH3" i="185"/>
  <c r="AH2" i="185" s="1"/>
  <c r="AG3" i="185"/>
  <c r="AG2" i="185" s="1"/>
  <c r="AF2" i="185"/>
  <c r="AI3" i="185"/>
  <c r="AN10" i="188" l="1"/>
  <c r="AO10" i="188"/>
  <c r="AP6" i="187"/>
  <c r="AQ6" i="187" s="1"/>
  <c r="AQ6" i="188"/>
  <c r="AP4" i="187"/>
  <c r="AQ8" i="188"/>
  <c r="AP10" i="188"/>
  <c r="AQ4" i="188"/>
  <c r="AQ10" i="188" s="1"/>
  <c r="AR8" i="187"/>
  <c r="D2" i="186"/>
  <c r="AL8" i="187"/>
  <c r="D2" i="185"/>
  <c r="BC4" i="186" a="1"/>
  <c r="BC4" i="186" s="1"/>
  <c r="BB8" i="185" a="1"/>
  <c r="BB8" i="185" s="1"/>
  <c r="BB10" i="185" a="1"/>
  <c r="BB10" i="185" s="1"/>
  <c r="BE4" i="185"/>
  <c r="AZ10" i="185"/>
  <c r="BA6" i="186"/>
  <c r="BB6" i="186"/>
  <c r="BC6" i="186"/>
  <c r="BE5" i="186"/>
  <c r="BA4" i="186"/>
  <c r="BB4" i="186"/>
  <c r="BD6" i="186"/>
  <c r="AI2" i="186"/>
  <c r="AL4" i="186" a="1"/>
  <c r="AL4" i="186" s="1"/>
  <c r="AL6" i="186" a="1"/>
  <c r="AL6" i="186" s="1"/>
  <c r="D1" i="186"/>
  <c r="BE4" i="186"/>
  <c r="AZ11" i="186"/>
  <c r="AZ6" i="186"/>
  <c r="AZ8" i="186"/>
  <c r="AZ5" i="186"/>
  <c r="AZ9" i="186"/>
  <c r="AZ10" i="186"/>
  <c r="AZ4" i="186"/>
  <c r="AR4" i="186" a="1"/>
  <c r="AR4" i="186" s="1"/>
  <c r="AR6" i="186" a="1"/>
  <c r="AR6" i="186" s="1"/>
  <c r="AZ11" i="185"/>
  <c r="AZ9" i="185"/>
  <c r="AZ8" i="185"/>
  <c r="AZ5" i="185"/>
  <c r="BC6" i="185"/>
  <c r="BB6" i="185"/>
  <c r="BE5" i="185"/>
  <c r="BC4" i="185"/>
  <c r="BA4" i="185"/>
  <c r="BD6" i="185"/>
  <c r="BA6" i="185"/>
  <c r="BB4" i="185"/>
  <c r="AI2" i="185"/>
  <c r="D1" i="185"/>
  <c r="AL4" i="185" a="1"/>
  <c r="AL4" i="185" s="1"/>
  <c r="AZ6" i="185"/>
  <c r="AZ4" i="185"/>
  <c r="AL6" i="185" a="1"/>
  <c r="AL6" i="185" s="1"/>
  <c r="AR6" i="185" a="1"/>
  <c r="AR6" i="185" s="1"/>
  <c r="AR4" i="185" a="1"/>
  <c r="AR4" i="185" s="1"/>
  <c r="AP8" i="187" l="1"/>
  <c r="AQ4" i="187"/>
  <c r="AQ8" i="187" s="1"/>
  <c r="BE6" i="186"/>
  <c r="AP6" i="186"/>
  <c r="AQ6" i="186" s="1"/>
  <c r="AR8" i="186"/>
  <c r="AL8" i="186"/>
  <c r="AP4" i="186"/>
  <c r="AR8" i="185"/>
  <c r="AP6" i="185"/>
  <c r="AQ6" i="185" s="1"/>
  <c r="BE6" i="185"/>
  <c r="AL8" i="185"/>
  <c r="AP4" i="185"/>
  <c r="AP8" i="186" l="1"/>
  <c r="AQ4" i="186"/>
  <c r="AQ8" i="186" s="1"/>
  <c r="AP8" i="185"/>
  <c r="AQ4" i="185"/>
  <c r="AQ8" i="18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P6" authorId="0" shapeId="0" xr:uid="{18622638-BFE3-4EEA-A966-E0AE1A9F0DE2}">
      <text>
        <r>
          <rPr>
            <b/>
            <sz val="9"/>
            <color indexed="81"/>
            <rFont val="Tahoma"/>
            <charset val="1"/>
          </rPr>
          <t>Должно быть — 4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<sst xmlns="http://schemas.openxmlformats.org/spreadsheetml/2006/main" count="199" uniqueCount="61">
  <si>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</si>
  <si>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</si>
  <si>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</si>
  <si>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</si>
  <si>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</si>
  <si>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</si>
  <si>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</si>
  <si>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</si>
  <si>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</si>
  <si>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</si>
  <si>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</si>
  <si>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</si>
  <si>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</si>
  <si>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Выходные и праздничные часы</t>
  </si>
  <si>
    <t>Отработано</t>
  </si>
  <si>
    <t>Профессия/разряд</t>
  </si>
  <si>
    <t>А</t>
  </si>
  <si>
    <t>Новый год</t>
  </si>
  <si>
    <t>День защитника отечества</t>
  </si>
  <si>
    <t>8 марта</t>
  </si>
  <si>
    <t>Отпуск с разрешения администрации</t>
  </si>
  <si>
    <t>Короткие раб. Дни</t>
  </si>
  <si>
    <t>День народного единства</t>
  </si>
  <si>
    <t>Майские</t>
  </si>
  <si>
    <t>Фамилия И.О.</t>
  </si>
  <si>
    <t>Владимирова В.П.</t>
  </si>
  <si>
    <t>оператор на фильтрах</t>
  </si>
  <si>
    <t>Головина Н.П.</t>
  </si>
  <si>
    <t>оператор диспетчерской службы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</si>
  <si>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</si>
  <si>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</si>
  <si>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</si>
  <si>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</si>
  <si>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</si>
  <si>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</si>
  <si>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</si>
  <si>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</si>
  <si>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</si>
  <si>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Праздничные
дни</t>
  </si>
  <si>
    <t>Название
праздника</t>
  </si>
  <si>
    <t>Доплата</t>
  </si>
  <si>
    <t xml:space="preserve"> БОЛЬНИЧНЫЙ [часы]</t>
  </si>
  <si>
    <t xml:space="preserve"> ОТПУСК [часы]</t>
  </si>
  <si>
    <t xml:space="preserve"> Доплата  [часы]</t>
  </si>
  <si>
    <t xml:space="preserve"> Доплата за I квартал  [часы]</t>
  </si>
  <si>
    <t>9 мая</t>
  </si>
  <si>
    <t>День ЧР</t>
  </si>
  <si>
    <t>День россии</t>
  </si>
  <si>
    <t>Рабочий день в выходной день</t>
  </si>
  <si>
    <t>Выходной день среди недели (не праздничный)</t>
  </si>
  <si>
    <t>Рабочих часов в месяце</t>
  </si>
  <si>
    <t>К-во предпраздничных часов в будни</t>
  </si>
  <si>
    <t>К-во часов/дней в месяце</t>
  </si>
  <si>
    <t>Рабочий день в выходной</t>
  </si>
  <si>
    <t>К-во праздничных часов в будни</t>
  </si>
  <si>
    <t>Проверка</t>
  </si>
  <si>
    <t>Выходной день в будни</t>
  </si>
  <si>
    <t>в</t>
  </si>
  <si>
    <t>б</t>
  </si>
  <si>
    <t xml:space="preserve"> БОЛЬНИЧНЫЙ /
 ОТПУСК [часы]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</si>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</sst>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mmmm\ yyyy;@"/>
    <numFmt numFmtId="165" formatCode="ddd"/>
    <numFmt numFmtId="166" formatCode="d;;"/>
    <numFmt numFmtId="167" formatCode="0;;;@"/>
    <numFmt numFmtId="168" formatCode="dd/mm/yyyy\ \(ddd\)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0" fontId="7" fillId="0" borderId="9" xfId="0" applyFont="1" applyFill="1" applyBorder="1" applyAlignment="1" applyProtection="1">
      <alignment horizontal="left" vertical="center"/>
      <protection hidden="1"/>
    </xf>
    <xf numFmtId="0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168" fontId="0" fillId="0" borderId="18" xfId="0" applyNumberFormat="1" applyBorder="1"/>
    <xf numFmtId="168" fontId="0" fillId="0" borderId="18" xfId="0" applyNumberFormat="1" applyBorder="1" applyAlignment="1">
      <alignment horizontal="center" vertical="center"/>
    </xf>
    <xf numFmtId="168" fontId="0" fillId="0" borderId="18" xfId="0" applyNumberForma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18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textRotation="90" wrapText="1"/>
      <protection hidden="1"/>
    </xf>
    <xf numFmtId="0" fontId="12" fillId="0" borderId="4" xfId="0" applyFont="1" applyFill="1" applyBorder="1" applyAlignment="1" applyProtection="1">
      <alignment horizontal="center" textRotation="90"/>
      <protection hidden="1"/>
    </xf>
    <xf numFmtId="0" fontId="2" fillId="0" borderId="4" xfId="0" applyFont="1" applyFill="1" applyBorder="1" applyAlignment="1" applyProtection="1">
      <alignment horizontal="center" textRotation="90"/>
      <protection hidden="1"/>
    </xf>
    <xf numFmtId="0" fontId="12" fillId="5" borderId="4" xfId="0" applyFont="1" applyFill="1" applyBorder="1" applyAlignment="1" applyProtection="1">
      <alignment horizontal="center" textRotation="90" wrapText="1"/>
      <protection hidden="1"/>
    </xf>
    <xf numFmtId="0" fontId="11" fillId="5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164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6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vertical="center" wrapText="1"/>
      <protection hidden="1"/>
    </xf>
    <xf numFmtId="0" fontId="0" fillId="0" borderId="0" xfId="0" applyNumberFormat="1" applyFill="1"/>
    <xf numFmtId="0" fontId="12" fillId="0" borderId="19" xfId="0" applyFont="1" applyFill="1" applyBorder="1" applyAlignment="1" applyProtection="1">
      <alignment horizontal="center" textRotation="90"/>
      <protection hidden="1"/>
    </xf>
    <xf numFmtId="0" fontId="2" fillId="0" borderId="21" xfId="0" applyFont="1" applyFill="1" applyBorder="1" applyAlignment="1" applyProtection="1">
      <alignment horizontal="center" textRotation="90"/>
      <protection hidden="1"/>
    </xf>
    <xf numFmtId="167" fontId="12" fillId="0" borderId="4" xfId="0" applyNumberFormat="1" applyFont="1" applyFill="1" applyBorder="1" applyAlignment="1" applyProtection="1">
      <alignment horizontal="center" vertical="center"/>
      <protection hidden="1"/>
    </xf>
    <xf numFmtId="167" fontId="12" fillId="9" borderId="21" xfId="0" applyNumberFormat="1" applyFont="1" applyFill="1" applyBorder="1" applyAlignment="1" applyProtection="1">
      <alignment horizontal="center" vertical="center"/>
      <protection hidden="1"/>
    </xf>
    <xf numFmtId="0" fontId="12" fillId="9" borderId="21" xfId="0" applyFont="1" applyFill="1" applyBorder="1" applyAlignment="1" applyProtection="1">
      <alignment horizontal="center" textRotation="90"/>
      <protection hidden="1"/>
    </xf>
    <xf numFmtId="0" fontId="1" fillId="0" borderId="5" xfId="0" applyFont="1" applyFill="1" applyBorder="1"/>
    <xf numFmtId="0" fontId="2" fillId="11" borderId="16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/>
    <xf numFmtId="0" fontId="2" fillId="8" borderId="16" xfId="0" applyFont="1" applyFill="1" applyBorder="1" applyAlignment="1" applyProtection="1">
      <alignment horizontal="center" vertical="center"/>
      <protection hidden="1"/>
    </xf>
    <xf numFmtId="0" fontId="2" fillId="12" borderId="16" xfId="0" applyFont="1" applyFill="1" applyBorder="1" applyAlignment="1" applyProtection="1">
      <alignment horizontal="center" vertical="center"/>
      <protection hidden="1"/>
    </xf>
    <xf numFmtId="0" fontId="0" fillId="0" borderId="6" xfId="0" applyFill="1" applyBorder="1"/>
    <xf numFmtId="0" fontId="2" fillId="13" borderId="16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Protection="1">
      <protection hidden="1"/>
    </xf>
    <xf numFmtId="0" fontId="10" fillId="7" borderId="15" xfId="0" applyFont="1" applyFill="1" applyBorder="1" applyAlignment="1">
      <alignment horizontal="center" vertical="center" wrapText="1"/>
    </xf>
    <xf numFmtId="0" fontId="15" fillId="1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/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/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3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27" xfId="0" applyNumberFormat="1" applyFont="1" applyFill="1" applyBorder="1" applyAlignment="1" applyProtection="1">
      <alignment horizontal="center" vertical="center"/>
      <protection hidden="1"/>
    </xf>
    <xf numFmtId="0" fontId="11" fillId="5" borderId="32" xfId="0" applyNumberFormat="1" applyFont="1" applyFill="1" applyBorder="1" applyAlignment="1" applyProtection="1">
      <alignment horizontal="center" vertical="center"/>
      <protection hidden="1"/>
    </xf>
    <xf numFmtId="0" fontId="12" fillId="0" borderId="19" xfId="0" applyFont="1" applyFill="1" applyBorder="1" applyAlignment="1" applyProtection="1">
      <alignment vertical="center" wrapText="1"/>
      <protection hidden="1"/>
    </xf>
    <xf numFmtId="0" fontId="12" fillId="0" borderId="2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vertical="center" wrapText="1"/>
      <protection hidden="1"/>
    </xf>
    <xf numFmtId="167" fontId="12" fillId="0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6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9" borderId="7" xfId="0" applyNumberFormat="1" applyFont="1" applyFill="1" applyBorder="1" applyAlignment="1" applyProtection="1">
      <alignment horizontal="center" vertical="center"/>
      <protection hidden="1"/>
    </xf>
    <xf numFmtId="167" fontId="12" fillId="0" borderId="6" xfId="0" applyNumberFormat="1" applyFont="1" applyFill="1" applyBorder="1" applyAlignment="1" applyProtection="1">
      <alignment horizontal="center" vertical="center"/>
      <protection hidden="1"/>
    </xf>
    <xf numFmtId="167" fontId="12" fillId="0" borderId="5" xfId="0" applyNumberFormat="1" applyFont="1" applyFill="1" applyBorder="1" applyAlignment="1" applyProtection="1">
      <alignment horizontal="center" vertical="center"/>
      <protection hidden="1"/>
    </xf>
    <xf numFmtId="167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11" fillId="10" borderId="12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hidden="1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1" fillId="10" borderId="12" xfId="0" applyFont="1" applyFill="1" applyBorder="1" applyAlignment="1" applyProtection="1">
      <alignment horizontal="left" vertical="center"/>
      <protection hidden="1"/>
    </xf>
    <xf numFmtId="0" fontId="11" fillId="10" borderId="1" xfId="0" applyFont="1" applyFill="1" applyBorder="1" applyAlignment="1" applyProtection="1">
      <alignment horizontal="left" vertical="center"/>
      <protection hidden="1"/>
    </xf>
    <xf numFmtId="0" fontId="11" fillId="10" borderId="12" xfId="0" applyFont="1" applyFill="1" applyBorder="1" applyAlignment="1" applyProtection="1">
      <alignment horizontal="left" vertical="center" wrapText="1"/>
      <protection hidden="1"/>
    </xf>
    <xf numFmtId="0" fontId="11" fillId="10" borderId="1" xfId="0" applyFont="1" applyFill="1" applyBorder="1" applyAlignment="1" applyProtection="1">
      <alignment horizontal="left" vertical="center" wrapText="1"/>
      <protection hidden="1"/>
    </xf>
    <xf numFmtId="167" fontId="12" fillId="5" borderId="12" xfId="0" applyNumberFormat="1" applyFont="1" applyFill="1" applyBorder="1" applyAlignment="1" applyProtection="1">
      <alignment horizontal="center" vertical="center"/>
      <protection hidden="1"/>
    </xf>
    <xf numFmtId="167" fontId="12" fillId="5" borderId="1" xfId="0" applyNumberFormat="1" applyFont="1" applyFill="1" applyBorder="1" applyAlignment="1" applyProtection="1">
      <alignment horizontal="center" vertical="center"/>
      <protection hidden="1"/>
    </xf>
    <xf numFmtId="167" fontId="12" fillId="0" borderId="15" xfId="0" applyNumberFormat="1" applyFont="1" applyFill="1" applyBorder="1" applyAlignment="1" applyProtection="1">
      <alignment horizontal="center" vertical="center"/>
      <protection hidden="1"/>
    </xf>
    <xf numFmtId="167" fontId="12" fillId="0" borderId="12" xfId="0" applyNumberFormat="1" applyFont="1" applyFill="1" applyBorder="1" applyAlignment="1" applyProtection="1">
      <alignment horizontal="center" vertical="center"/>
      <protection hidden="1"/>
    </xf>
    <xf numFmtId="167" fontId="12" fillId="0" borderId="2" xfId="0" applyNumberFormat="1" applyFont="1" applyFill="1" applyBorder="1" applyAlignment="1" applyProtection="1">
      <alignment horizontal="center" vertical="center"/>
      <protection hidden="1"/>
    </xf>
    <xf numFmtId="167" fontId="12" fillId="0" borderId="3" xfId="0" applyNumberFormat="1" applyFont="1" applyFill="1" applyBorder="1" applyAlignment="1" applyProtection="1">
      <alignment horizontal="center" vertical="center"/>
      <protection hidden="1"/>
    </xf>
    <xf numFmtId="167" fontId="12" fillId="0" borderId="23" xfId="0" applyNumberFormat="1" applyFont="1" applyFill="1" applyBorder="1" applyAlignment="1" applyProtection="1">
      <alignment horizontal="center" vertical="center"/>
      <protection hidden="1"/>
    </xf>
    <xf numFmtId="167" fontId="12" fillId="0" borderId="25" xfId="0" applyNumberFormat="1" applyFont="1" applyFill="1" applyBorder="1" applyAlignment="1" applyProtection="1">
      <alignment horizontal="center" vertical="center"/>
      <protection hidden="1"/>
    </xf>
    <xf numFmtId="167" fontId="12" fillId="9" borderId="17" xfId="0" applyNumberFormat="1" applyFont="1" applyFill="1" applyBorder="1" applyAlignment="1" applyProtection="1">
      <alignment horizontal="center" vertical="center"/>
      <protection hidden="1"/>
    </xf>
    <xf numFmtId="167" fontId="12" fillId="9" borderId="24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12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167" fontId="12" fillId="0" borderId="26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0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35" xfId="0" applyFont="1" applyFill="1" applyBorder="1" applyAlignment="1" applyProtection="1">
      <alignment horizontal="center" textRotation="90"/>
      <protection hidden="1"/>
    </xf>
    <xf numFmtId="0" fontId="12" fillId="0" borderId="36" xfId="0" applyFont="1" applyFill="1" applyBorder="1" applyAlignment="1" applyProtection="1">
      <alignment horizontal="center" textRotation="90"/>
      <protection hidden="1"/>
    </xf>
    <xf numFmtId="167" fontId="12" fillId="0" borderId="28" xfId="0" applyNumberFormat="1" applyFont="1" applyFill="1" applyBorder="1" applyAlignment="1" applyProtection="1">
      <alignment horizontal="center" vertical="center"/>
      <protection hidden="1"/>
    </xf>
    <xf numFmtId="167" fontId="12" fillId="0" borderId="29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167" fontId="12" fillId="5" borderId="15" xfId="0" applyNumberFormat="1" applyFont="1" applyFill="1" applyBorder="1" applyAlignment="1" applyProtection="1">
      <alignment horizontal="center" vertical="center"/>
      <protection hidden="1"/>
    </xf>
    <xf numFmtId="167" fontId="12" fillId="0" borderId="30" xfId="0" applyNumberFormat="1" applyFont="1" applyFill="1" applyBorder="1" applyAlignment="1" applyProtection="1">
      <alignment horizontal="center" vertical="center"/>
      <protection hidden="1"/>
    </xf>
    <xf numFmtId="167" fontId="12" fillId="0" borderId="33" xfId="0" applyNumberFormat="1" applyFont="1" applyFill="1" applyBorder="1" applyAlignment="1" applyProtection="1">
      <alignment horizontal="center" vertical="center"/>
      <protection hidden="1"/>
    </xf>
    <xf numFmtId="167" fontId="12" fillId="0" borderId="34" xfId="0" applyNumberFormat="1" applyFont="1" applyFill="1" applyBorder="1" applyAlignment="1" applyProtection="1">
      <alignment horizontal="center" vertical="center"/>
      <protection hidden="1"/>
    </xf>
    <xf numFmtId="167" fontId="12" fillId="0" borderId="31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56"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Н&quot;"/>
    </dxf>
    <dxf>
      <font>
        <b/>
        <i val="0"/>
      </font>
      <numFmt numFmtId="171" formatCode=";;;&quot;К&quot;"/>
    </dxf>
    <dxf>
      <font>
        <b/>
        <i val="0"/>
      </font>
      <numFmt numFmtId="172" formatCode=";;;&quot;В/В&quot;"/>
    </dxf>
    <dxf>
      <font>
        <b/>
        <i val="0"/>
        <color auto="1"/>
      </font>
      <numFmt numFmtId="173" formatCode=";;;&quot;А&quot;"/>
      <fill>
        <patternFill>
          <bgColor theme="6" tint="0.59996337778862885"/>
        </patternFill>
      </fill>
    </dxf>
    <dxf>
      <font>
        <b/>
        <i val="0"/>
        <color auto="1"/>
      </font>
      <numFmt numFmtId="174" formatCode=";;;&quot;Б&quot;"/>
      <fill>
        <patternFill>
          <fgColor auto="1"/>
          <bgColor rgb="FFFF99FF"/>
        </patternFill>
      </fill>
    </dxf>
    <dxf>
      <font>
        <b/>
        <i val="0"/>
        <color auto="1"/>
      </font>
      <numFmt numFmtId="175" formatCode=";;;&quot;О&quot;"/>
      <fill>
        <patternFill>
          <bgColor rgb="FFFFFF00"/>
        </patternFill>
      </fill>
    </dxf>
    <dxf>
      <font>
        <b/>
        <i val="0"/>
        <color auto="1"/>
      </font>
      <numFmt numFmtId="176" formatCode=";;;&quot;У&quot;"/>
      <fill>
        <patternFill patternType="solid">
          <bgColor theme="8" tint="0.79998168889431442"/>
        </patternFill>
      </fill>
    </dxf>
    <dxf>
      <font>
        <b/>
        <i val="0"/>
        <color rgb="FFFF0000"/>
      </font>
      <numFmt numFmtId="177" formatCode=";;;&quot;В&quot;"/>
      <fill>
        <patternFill patternType="solid">
          <fgColor auto="1"/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  <color rgb="FFFF99FF"/>
      <color rgb="FFFF66FF"/>
      <color rgb="FFFF8080"/>
      <color rgb="FF99FF99"/>
      <color rgb="FF99FF66"/>
      <color rgb="FFCCFF99"/>
      <color rgb="FF66FF99"/>
      <color rgb="FF00FF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zoomScale="106" zoomScaleNormal="106" workbookViewId="0">
      <selection activeCell="E15" sqref="E15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5" width="19.28515625" bestFit="1" customWidth="1"/>
    <col min="6" max="6" width="19.7109375" customWidth="1"/>
    <col min="7" max="7" width="8.140625" customWidth="1"/>
    <col min="8" max="8" width="18" bestFit="1" customWidth="1"/>
    <col min="9" max="9" width="32.42578125" bestFit="1" customWidth="1"/>
  </cols>
  <sheetData>
    <row r="1" spans="1:9" ht="45.75" thickBot="1" x14ac:dyDescent="0.3">
      <c r="A1" s="21">
        <v>2022</v>
      </c>
      <c r="B1" s="33" t="s">
        <v>39</v>
      </c>
      <c r="C1" s="33" t="s">
        <v>38</v>
      </c>
      <c r="D1" s="34" t="s">
        <v>48</v>
      </c>
      <c r="E1" s="50" t="s">
        <v>21</v>
      </c>
      <c r="F1" s="51" t="s">
        <v>49</v>
      </c>
      <c r="G1" s="24" t="s">
        <v>12</v>
      </c>
      <c r="H1" s="24" t="s">
        <v>24</v>
      </c>
      <c r="I1" s="24" t="s">
        <v>15</v>
      </c>
    </row>
    <row r="2" spans="1:9" x14ac:dyDescent="0.25">
      <c r="B2" s="15" t="s">
        <v>17</v>
      </c>
      <c r="C2" s="17">
        <v>44562</v>
      </c>
      <c r="D2" s="17"/>
      <c r="E2" s="18" t="str">
        <f>IF((WEEKDAY(C2)&gt;2)*(MONTH(C2)&lt;&gt;1),C2-1,"")</f>
        <v/>
      </c>
      <c r="F2" s="18"/>
      <c r="G2" s="22">
        <v>6</v>
      </c>
      <c r="H2" s="22" t="s">
        <v>25</v>
      </c>
      <c r="I2" s="22" t="s">
        <v>26</v>
      </c>
    </row>
    <row r="3" spans="1:9" x14ac:dyDescent="0.25">
      <c r="B3" s="15" t="s">
        <v>17</v>
      </c>
      <c r="C3" s="17">
        <v>44563</v>
      </c>
      <c r="D3" s="16"/>
      <c r="E3" s="18" t="str">
        <f t="shared" ref="E3:E30" si="0">IF((WEEKDAY(C3)&gt;2)*(MONTH(C3)&lt;&gt;1),C3-1,"")</f>
        <v/>
      </c>
      <c r="F3" s="18"/>
      <c r="G3" s="15">
        <v>8</v>
      </c>
      <c r="H3" s="15" t="s">
        <v>27</v>
      </c>
      <c r="I3" s="15" t="s">
        <v>28</v>
      </c>
    </row>
    <row r="4" spans="1:9" x14ac:dyDescent="0.25">
      <c r="B4" s="15" t="s">
        <v>17</v>
      </c>
      <c r="C4" s="17">
        <v>44564</v>
      </c>
      <c r="D4" s="16"/>
      <c r="E4" s="18" t="str">
        <f t="shared" si="0"/>
        <v/>
      </c>
      <c r="F4" s="18"/>
      <c r="G4" s="15"/>
      <c r="H4" s="15"/>
      <c r="I4" s="15"/>
    </row>
    <row r="5" spans="1:9" x14ac:dyDescent="0.25">
      <c r="B5" s="15" t="s">
        <v>17</v>
      </c>
      <c r="C5" s="17">
        <v>44565</v>
      </c>
      <c r="D5" s="16"/>
      <c r="E5" s="18" t="str">
        <f t="shared" si="0"/>
        <v/>
      </c>
      <c r="F5" s="18"/>
      <c r="G5" s="15"/>
      <c r="H5" s="15"/>
      <c r="I5" s="23"/>
    </row>
    <row r="6" spans="1:9" x14ac:dyDescent="0.25">
      <c r="B6" s="15" t="s">
        <v>17</v>
      </c>
      <c r="C6" s="17">
        <v>44566</v>
      </c>
      <c r="D6" s="16"/>
      <c r="E6" s="18" t="str">
        <f t="shared" si="0"/>
        <v/>
      </c>
      <c r="F6" s="18"/>
      <c r="G6" s="15"/>
      <c r="H6" s="15"/>
      <c r="I6" s="15"/>
    </row>
    <row r="7" spans="1:9" x14ac:dyDescent="0.25">
      <c r="B7" s="15" t="s">
        <v>17</v>
      </c>
      <c r="C7" s="17">
        <v>44567</v>
      </c>
      <c r="D7" s="16"/>
      <c r="E7" s="18" t="str">
        <f t="shared" si="0"/>
        <v/>
      </c>
      <c r="F7" s="18"/>
      <c r="G7" s="15"/>
      <c r="H7" s="15"/>
      <c r="I7" s="15"/>
    </row>
    <row r="8" spans="1:9" x14ac:dyDescent="0.25">
      <c r="B8" s="15" t="s">
        <v>17</v>
      </c>
      <c r="C8" s="17">
        <v>44568</v>
      </c>
      <c r="D8" s="16"/>
      <c r="E8" s="18" t="str">
        <f t="shared" si="0"/>
        <v/>
      </c>
      <c r="F8" s="18"/>
      <c r="G8" s="15"/>
      <c r="H8" s="15"/>
      <c r="I8" s="15"/>
    </row>
    <row r="9" spans="1:9" x14ac:dyDescent="0.25">
      <c r="B9" s="15" t="s">
        <v>17</v>
      </c>
      <c r="C9" s="17">
        <v>44569</v>
      </c>
      <c r="D9" s="16"/>
      <c r="E9" s="18" t="str">
        <f t="shared" si="0"/>
        <v/>
      </c>
      <c r="F9" s="18"/>
      <c r="G9" s="15"/>
      <c r="H9" s="15"/>
      <c r="I9" s="15"/>
    </row>
    <row r="10" spans="1:9" x14ac:dyDescent="0.25">
      <c r="B10" s="15"/>
      <c r="C10" s="17"/>
      <c r="D10" s="16"/>
      <c r="E10" s="18" t="str">
        <f t="shared" si="0"/>
        <v/>
      </c>
      <c r="F10" s="18"/>
      <c r="G10" s="15"/>
      <c r="H10" s="15"/>
      <c r="I10" s="15"/>
    </row>
    <row r="11" spans="1:9" x14ac:dyDescent="0.25">
      <c r="B11" s="15" t="s">
        <v>18</v>
      </c>
      <c r="C11" s="17">
        <v>44615</v>
      </c>
      <c r="D11" s="16"/>
      <c r="E11" s="18">
        <f t="shared" si="0"/>
        <v>44614</v>
      </c>
      <c r="F11" s="18"/>
      <c r="G11" s="15"/>
      <c r="H11" s="15"/>
      <c r="I11" s="15"/>
    </row>
    <row r="12" spans="1:9" x14ac:dyDescent="0.25">
      <c r="B12" s="15"/>
      <c r="C12" s="17"/>
      <c r="D12" s="16"/>
      <c r="E12" s="18" t="str">
        <f t="shared" si="0"/>
        <v/>
      </c>
      <c r="F12" s="18"/>
      <c r="G12" s="15"/>
      <c r="H12" s="15"/>
      <c r="I12" s="15"/>
    </row>
    <row r="13" spans="1:9" x14ac:dyDescent="0.25">
      <c r="B13" s="15" t="s">
        <v>19</v>
      </c>
      <c r="C13" s="17">
        <v>44627</v>
      </c>
      <c r="D13" s="16">
        <v>44625</v>
      </c>
      <c r="E13" s="18" t="str">
        <f t="shared" si="0"/>
        <v/>
      </c>
      <c r="F13" s="18"/>
      <c r="G13" s="15"/>
      <c r="H13" s="15"/>
      <c r="I13" s="15"/>
    </row>
    <row r="14" spans="1:9" x14ac:dyDescent="0.25">
      <c r="B14" s="15" t="s">
        <v>19</v>
      </c>
      <c r="C14" s="17">
        <v>44628</v>
      </c>
      <c r="D14" s="16"/>
      <c r="E14" s="18">
        <v>44625</v>
      </c>
      <c r="F14" s="18"/>
      <c r="G14" s="15"/>
      <c r="H14" s="15"/>
      <c r="I14" s="15"/>
    </row>
    <row r="15" spans="1:9" x14ac:dyDescent="0.25">
      <c r="B15" s="15" t="s">
        <v>23</v>
      </c>
      <c r="C15" s="17">
        <v>44682</v>
      </c>
      <c r="D15" s="16"/>
      <c r="E15" s="18" t="str">
        <f t="shared" si="0"/>
        <v/>
      </c>
      <c r="F15" s="18">
        <v>44683</v>
      </c>
      <c r="G15" s="15"/>
      <c r="H15" s="15"/>
      <c r="I15" s="15"/>
    </row>
    <row r="16" spans="1:9" x14ac:dyDescent="0.25">
      <c r="B16" s="15" t="s">
        <v>23</v>
      </c>
      <c r="C16" s="17">
        <v>44690</v>
      </c>
      <c r="D16" s="15"/>
      <c r="E16" s="18" t="str">
        <f t="shared" si="0"/>
        <v/>
      </c>
      <c r="F16" s="18">
        <v>44684</v>
      </c>
      <c r="G16" s="15"/>
      <c r="H16" s="15"/>
      <c r="I16" s="15"/>
    </row>
    <row r="17" spans="2:9" x14ac:dyDescent="0.25">
      <c r="B17" s="15" t="s">
        <v>23</v>
      </c>
      <c r="C17" s="17"/>
      <c r="D17" s="15"/>
      <c r="E17" s="18" t="str">
        <f t="shared" si="0"/>
        <v/>
      </c>
      <c r="F17" s="18"/>
      <c r="G17" s="15"/>
      <c r="H17" s="15"/>
      <c r="I17" s="15"/>
    </row>
    <row r="18" spans="2:9" x14ac:dyDescent="0.25">
      <c r="B18" s="15" t="s">
        <v>23</v>
      </c>
      <c r="C18" s="17"/>
      <c r="D18" s="15"/>
      <c r="E18" s="18" t="str">
        <f t="shared" si="0"/>
        <v/>
      </c>
      <c r="F18" s="18">
        <v>44691</v>
      </c>
      <c r="G18" s="15"/>
      <c r="H18" s="15"/>
      <c r="I18" s="15"/>
    </row>
    <row r="19" spans="2:9" x14ac:dyDescent="0.25">
      <c r="B19" s="15" t="s">
        <v>45</v>
      </c>
      <c r="C19" s="17"/>
      <c r="D19" s="15"/>
      <c r="E19" s="18" t="str">
        <f t="shared" si="0"/>
        <v/>
      </c>
      <c r="F19" s="18"/>
      <c r="G19" s="15"/>
      <c r="H19" s="15"/>
      <c r="I19" s="15"/>
    </row>
    <row r="20" spans="2:9" x14ac:dyDescent="0.25">
      <c r="B20" s="15" t="s">
        <v>45</v>
      </c>
      <c r="C20" s="17"/>
      <c r="D20" s="15"/>
      <c r="E20" s="18" t="str">
        <f t="shared" si="0"/>
        <v/>
      </c>
      <c r="F20" s="18"/>
      <c r="G20" s="15"/>
      <c r="H20" s="15"/>
      <c r="I20" s="15"/>
    </row>
    <row r="21" spans="2:9" x14ac:dyDescent="0.25">
      <c r="B21" s="15" t="s">
        <v>45</v>
      </c>
      <c r="C21" s="17"/>
      <c r="D21" s="15"/>
      <c r="E21" s="18" t="str">
        <f t="shared" si="0"/>
        <v/>
      </c>
      <c r="F21" s="18"/>
      <c r="G21" s="15"/>
      <c r="H21" s="15"/>
      <c r="I21" s="15"/>
    </row>
    <row r="22" spans="2:9" x14ac:dyDescent="0.25">
      <c r="B22" s="15" t="s">
        <v>45</v>
      </c>
      <c r="C22" s="17"/>
      <c r="D22" s="15"/>
      <c r="E22" s="18" t="str">
        <f t="shared" si="0"/>
        <v/>
      </c>
      <c r="F22" s="18"/>
      <c r="G22" s="15"/>
      <c r="H22" s="15"/>
      <c r="I22" s="15"/>
    </row>
    <row r="23" spans="2:9" x14ac:dyDescent="0.25">
      <c r="B23" s="15" t="s">
        <v>47</v>
      </c>
      <c r="C23" s="17">
        <v>44724</v>
      </c>
      <c r="D23" s="17"/>
      <c r="E23" s="18" t="str">
        <f t="shared" si="0"/>
        <v/>
      </c>
      <c r="F23" s="18">
        <v>44725</v>
      </c>
      <c r="G23" s="15"/>
      <c r="H23" s="15"/>
      <c r="I23" s="15"/>
    </row>
    <row r="24" spans="2:9" x14ac:dyDescent="0.25">
      <c r="B24" s="15" t="s">
        <v>55</v>
      </c>
      <c r="C24" s="17"/>
      <c r="D24" s="17"/>
      <c r="E24" s="18" t="str">
        <f t="shared" si="0"/>
        <v/>
      </c>
      <c r="F24" s="18"/>
      <c r="G24" s="15"/>
      <c r="H24" s="15"/>
      <c r="I24" s="15"/>
    </row>
    <row r="25" spans="2:9" x14ac:dyDescent="0.25">
      <c r="B25" s="15"/>
      <c r="C25" s="17"/>
      <c r="D25" s="15"/>
      <c r="E25" s="18" t="str">
        <f t="shared" si="0"/>
        <v/>
      </c>
      <c r="F25" s="18"/>
      <c r="G25" s="15"/>
      <c r="H25" s="15"/>
      <c r="I25" s="15"/>
    </row>
    <row r="26" spans="2:9" x14ac:dyDescent="0.25">
      <c r="B26" s="15" t="s">
        <v>46</v>
      </c>
      <c r="C26" s="17">
        <v>44736</v>
      </c>
      <c r="D26" s="15"/>
      <c r="E26" s="18">
        <f t="shared" si="0"/>
        <v>44735</v>
      </c>
      <c r="F26" s="18"/>
      <c r="G26" s="15"/>
      <c r="H26" s="15"/>
      <c r="I26" s="15"/>
    </row>
    <row r="27" spans="2:9" x14ac:dyDescent="0.25">
      <c r="B27" s="15" t="s">
        <v>22</v>
      </c>
      <c r="C27" s="17">
        <v>44869</v>
      </c>
      <c r="D27" s="15"/>
      <c r="E27" s="18">
        <f t="shared" si="0"/>
        <v>44868</v>
      </c>
      <c r="F27" s="18"/>
      <c r="G27" s="15"/>
      <c r="H27" s="15"/>
      <c r="I27" s="15"/>
    </row>
    <row r="28" spans="2:9" x14ac:dyDescent="0.25">
      <c r="B28" s="15" t="s">
        <v>22</v>
      </c>
      <c r="C28" s="17"/>
      <c r="D28" s="15"/>
      <c r="E28" s="18" t="str">
        <f t="shared" si="0"/>
        <v/>
      </c>
      <c r="F28" s="18"/>
      <c r="G28" s="15"/>
      <c r="H28" s="15"/>
      <c r="I28" s="15"/>
    </row>
    <row r="29" spans="2:9" x14ac:dyDescent="0.25">
      <c r="B29" s="15" t="s">
        <v>22</v>
      </c>
      <c r="C29" s="17"/>
      <c r="D29" s="15"/>
      <c r="E29" s="18" t="str">
        <f t="shared" si="0"/>
        <v/>
      </c>
      <c r="F29" s="18"/>
      <c r="G29" s="15"/>
      <c r="H29" s="15"/>
      <c r="I29" s="15"/>
    </row>
    <row r="30" spans="2:9" x14ac:dyDescent="0.25">
      <c r="B30" s="15"/>
      <c r="C30" s="17"/>
      <c r="D30" s="15"/>
      <c r="E30" s="18" t="str">
        <f t="shared" si="0"/>
        <v/>
      </c>
      <c r="F30" s="18"/>
      <c r="G30" s="15"/>
      <c r="H30" s="15"/>
      <c r="I30" s="15"/>
    </row>
  </sheetData>
  <phoneticPr fontId="14" type="noConversion"/>
  <dataValidations count="1">
    <dataValidation type="list" allowBlank="1" showInputMessage="1" showErrorMessage="1" sqref="A1" xr:uid="{00000000-0002-0000-0000-000000000000}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4"/>
  <sheetViews>
    <sheetView topLeftCell="B1" zoomScale="60" zoomScaleNormal="60" workbookViewId="0">
      <selection activeCell="D2" sqref="D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28.5703125" style="8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84" s="5" customFormat="1" ht="32.25" customHeight="1" thickBot="1" x14ac:dyDescent="0.35">
      <c r="A1" s="1"/>
      <c r="B1" s="1"/>
      <c r="C1" s="5">
        <v>175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84" s="6" customFormat="1" ht="27" customHeight="1" thickBot="1" x14ac:dyDescent="0.35">
      <c r="A2" s="107" t="s">
        <v>2</v>
      </c>
      <c r="B2" s="107" t="s">
        <v>12</v>
      </c>
      <c r="C2" s="32">
        <f ca="1">--("1."&amp;MID(CELL("имяфайла",A1),FIND("]",CELL("имяфайла",A1))+1,20)&amp;DATA!A1)</f>
        <v>44621</v>
      </c>
      <c r="D2" s="66">
        <f ca="1">(COUNT(E3:AI3)-SUMPRODUCT(((WEEKDAY(E3:AI3,2)&gt;5)+ISNUMBER(MATCH(E3:AI3,DATA!C2:C30,))+ISNUMBER(MATCH(E3:AI3,DATA!F2:F30,))&gt;0)-ISNUMBER(MATCH(E3:AI3,DATA!D2:D30,))))*8-SUMPRODUCT(--ISNUMBER(MATCH(E3:AI3,DATA!E2:E30,)))</f>
        <v>175</v>
      </c>
      <c r="E2" s="19">
        <f t="shared" ref="E2:AF2" ca="1" si="0">E3</f>
        <v>44621</v>
      </c>
      <c r="F2" s="19">
        <f t="shared" ca="1" si="0"/>
        <v>44622</v>
      </c>
      <c r="G2" s="19">
        <f t="shared" ca="1" si="0"/>
        <v>44623</v>
      </c>
      <c r="H2" s="19">
        <f t="shared" ca="1" si="0"/>
        <v>44624</v>
      </c>
      <c r="I2" s="19">
        <f t="shared" ca="1" si="0"/>
        <v>44625</v>
      </c>
      <c r="J2" s="19">
        <f t="shared" ca="1" si="0"/>
        <v>44626</v>
      </c>
      <c r="K2" s="19">
        <f t="shared" ca="1" si="0"/>
        <v>44627</v>
      </c>
      <c r="L2" s="19">
        <f t="shared" ca="1" si="0"/>
        <v>44628</v>
      </c>
      <c r="M2" s="19">
        <f t="shared" ca="1" si="0"/>
        <v>44629</v>
      </c>
      <c r="N2" s="19">
        <f t="shared" ca="1" si="0"/>
        <v>44630</v>
      </c>
      <c r="O2" s="19">
        <f t="shared" ca="1" si="0"/>
        <v>44631</v>
      </c>
      <c r="P2" s="19">
        <f t="shared" ca="1" si="0"/>
        <v>44632</v>
      </c>
      <c r="Q2" s="19">
        <f t="shared" ca="1" si="0"/>
        <v>44633</v>
      </c>
      <c r="R2" s="19">
        <f t="shared" ca="1" si="0"/>
        <v>44634</v>
      </c>
      <c r="S2" s="19">
        <f t="shared" ca="1" si="0"/>
        <v>44635</v>
      </c>
      <c r="T2" s="19">
        <f t="shared" ca="1" si="0"/>
        <v>44636</v>
      </c>
      <c r="U2" s="19">
        <f t="shared" ca="1" si="0"/>
        <v>44637</v>
      </c>
      <c r="V2" s="19">
        <f t="shared" ca="1" si="0"/>
        <v>44638</v>
      </c>
      <c r="W2" s="19">
        <f t="shared" ca="1" si="0"/>
        <v>44639</v>
      </c>
      <c r="X2" s="19">
        <f t="shared" ca="1" si="0"/>
        <v>44640</v>
      </c>
      <c r="Y2" s="19">
        <f t="shared" ca="1" si="0"/>
        <v>44641</v>
      </c>
      <c r="Z2" s="19">
        <f t="shared" ca="1" si="0"/>
        <v>44642</v>
      </c>
      <c r="AA2" s="19">
        <f t="shared" ca="1" si="0"/>
        <v>44643</v>
      </c>
      <c r="AB2" s="19">
        <f t="shared" ca="1" si="0"/>
        <v>44644</v>
      </c>
      <c r="AC2" s="19">
        <f t="shared" ca="1" si="0"/>
        <v>44645</v>
      </c>
      <c r="AD2" s="19">
        <f t="shared" ca="1" si="0"/>
        <v>44646</v>
      </c>
      <c r="AE2" s="19">
        <f t="shared" ca="1" si="0"/>
        <v>44647</v>
      </c>
      <c r="AF2" s="19">
        <f t="shared" ca="1" si="0"/>
        <v>44648</v>
      </c>
      <c r="AG2" s="19">
        <f ca="1">IF(AG3=0,"",AG3)</f>
        <v>44649</v>
      </c>
      <c r="AH2" s="19">
        <f ca="1">IF(AH3=0,"",AH3)</f>
        <v>44650</v>
      </c>
      <c r="AI2" s="19">
        <f ca="1">IF(AI3=0,"",AI3)</f>
        <v>44651</v>
      </c>
      <c r="AJ2" s="108" t="s">
        <v>14</v>
      </c>
      <c r="AK2" s="109"/>
      <c r="AL2" s="109"/>
      <c r="AM2" s="110"/>
      <c r="AN2" s="108" t="s">
        <v>40</v>
      </c>
      <c r="AO2" s="109"/>
      <c r="AP2" s="109"/>
      <c r="AQ2" s="110"/>
      <c r="AR2" s="35"/>
      <c r="AS2" s="97" t="s">
        <v>7</v>
      </c>
      <c r="AT2" s="97"/>
      <c r="AU2" s="97"/>
      <c r="AV2" s="97"/>
      <c r="AW2" s="97"/>
      <c r="AX2" s="30"/>
    </row>
    <row r="3" spans="1:84" s="7" customFormat="1" ht="201" customHeight="1" thickBot="1" x14ac:dyDescent="0.3">
      <c r="A3" s="107"/>
      <c r="B3" s="107"/>
      <c r="C3" s="59" t="s">
        <v>24</v>
      </c>
      <c r="D3" s="59" t="s">
        <v>8</v>
      </c>
      <c r="E3" s="20">
        <f ca="1">C2</f>
        <v>44621</v>
      </c>
      <c r="F3" s="20">
        <f t="shared" ref="F3:AF3" ca="1" si="1">E3+1</f>
        <v>44622</v>
      </c>
      <c r="G3" s="20">
        <f t="shared" ca="1" si="1"/>
        <v>44623</v>
      </c>
      <c r="H3" s="20">
        <f t="shared" ca="1" si="1"/>
        <v>44624</v>
      </c>
      <c r="I3" s="20">
        <f t="shared" ca="1" si="1"/>
        <v>44625</v>
      </c>
      <c r="J3" s="20">
        <f t="shared" ca="1" si="1"/>
        <v>44626</v>
      </c>
      <c r="K3" s="20">
        <f t="shared" ca="1" si="1"/>
        <v>44627</v>
      </c>
      <c r="L3" s="20">
        <f t="shared" ca="1" si="1"/>
        <v>44628</v>
      </c>
      <c r="M3" s="20">
        <f t="shared" ca="1" si="1"/>
        <v>44629</v>
      </c>
      <c r="N3" s="20">
        <f t="shared" ca="1" si="1"/>
        <v>44630</v>
      </c>
      <c r="O3" s="20">
        <f t="shared" ca="1" si="1"/>
        <v>44631</v>
      </c>
      <c r="P3" s="20">
        <f t="shared" ca="1" si="1"/>
        <v>44632</v>
      </c>
      <c r="Q3" s="20">
        <f t="shared" ca="1" si="1"/>
        <v>44633</v>
      </c>
      <c r="R3" s="20">
        <f t="shared" ca="1" si="1"/>
        <v>44634</v>
      </c>
      <c r="S3" s="20">
        <f t="shared" ca="1" si="1"/>
        <v>44635</v>
      </c>
      <c r="T3" s="20">
        <f t="shared" ca="1" si="1"/>
        <v>44636</v>
      </c>
      <c r="U3" s="20">
        <f t="shared" ca="1" si="1"/>
        <v>44637</v>
      </c>
      <c r="V3" s="20">
        <f t="shared" ca="1" si="1"/>
        <v>44638</v>
      </c>
      <c r="W3" s="20">
        <f t="shared" ca="1" si="1"/>
        <v>44639</v>
      </c>
      <c r="X3" s="20">
        <f t="shared" ca="1" si="1"/>
        <v>44640</v>
      </c>
      <c r="Y3" s="20">
        <f t="shared" ca="1" si="1"/>
        <v>44641</v>
      </c>
      <c r="Z3" s="20">
        <f t="shared" ca="1" si="1"/>
        <v>44642</v>
      </c>
      <c r="AA3" s="20">
        <f t="shared" ca="1" si="1"/>
        <v>44643</v>
      </c>
      <c r="AB3" s="20">
        <f t="shared" ca="1" si="1"/>
        <v>44644</v>
      </c>
      <c r="AC3" s="20">
        <f t="shared" ca="1" si="1"/>
        <v>44645</v>
      </c>
      <c r="AD3" s="20">
        <f t="shared" ca="1" si="1"/>
        <v>44646</v>
      </c>
      <c r="AE3" s="20">
        <f t="shared" ca="1" si="1"/>
        <v>44647</v>
      </c>
      <c r="AF3" s="20">
        <f t="shared" ca="1" si="1"/>
        <v>44648</v>
      </c>
      <c r="AG3" s="20">
        <f ca="1">IF(DAY($AF3+1)&gt;DAY(AF3),$AF3+1,0)</f>
        <v>44649</v>
      </c>
      <c r="AH3" s="20">
        <f ca="1">IF(DAY($AF3+2)&gt;DAY(AF3),$AF3+2,0)</f>
        <v>44650</v>
      </c>
      <c r="AI3" s="20">
        <f ca="1">IF(DAY($AF3+3)&gt;DAY(AF3),$AF3+3,0)</f>
        <v>44651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84" s="6" customFormat="1" ht="21" x14ac:dyDescent="0.3">
      <c r="A4" s="98">
        <f>IF(C4="","",SUBTOTAL(103,$B$4:B4))</f>
        <v>1</v>
      </c>
      <c r="B4" s="100">
        <v>6</v>
      </c>
      <c r="C4" s="102" t="str">
        <f>IFERROR(VLOOKUP(B4,DATA!$G$2:$I$29,2,0),"")</f>
        <v>Владимирова В.П.</v>
      </c>
      <c r="D4" s="104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06">
        <f>COUNTIF($E4:$AI4,"&gt;0")</f>
        <v>0</v>
      </c>
      <c r="AK4" s="87">
        <f>SUM(E5:AI5)</f>
        <v>0</v>
      </c>
      <c r="AL4" s="89">
        <f t="array" aca="1" ref="AL4" ca="1">SUM(IFERROR(((ISNUMBER(MATCH($E$3:$AI$3,DATA!$C$2:$C$30,))+ISNUMBER(MATCH($E$3:$AI$3,,)))&gt;0)*$E4:$AI5,))</f>
        <v>0</v>
      </c>
      <c r="AM4" s="91">
        <f>SUM(E4:AI5)</f>
        <v>0</v>
      </c>
      <c r="AN4" s="93" t="str">
        <f>IF(AT4&gt;0,AM4-($D$2-SUMPRODUCT((E4:AI4={"О"})*((WEEKDAY(E$3:AI$3,2)&lt;6)-(WEEKDAY(COUNTIF(DATA!C$2:C$30,E$3:AI$3)*E$3:AI$3,2)&lt;6)+COUNTIF(DATA!D$2:D$30,E$3:AI$3)))*8)-AL4,"")</f>
        <v/>
      </c>
      <c r="AO4" s="90" t="str">
        <f>IF(AW4&gt;0,AM4-($D$2-SUMPRODUCT((E4:AI4={"Б"})*((WEEKDAY(E$3:AI$3,2)&lt;6)-(WEEKDAY(COUNTIF(DATA!C$2:C$30,E$3:AI$3)*E$3:AI$3,2)&lt;6)+COUNTIF(DATA!D$2:D$30,E$3:AI$3)))*8)-AL4,"")</f>
        <v/>
      </c>
      <c r="AP4" s="73">
        <f ca="1">IF(COUNTIF(E4:AI4,"О")&gt;0,0,AM4-AL4-(SUMPRODUCT(--(MONTH(DATA!$F$2:$F$30)=MONTH($C$2)))*8)-($D$2-NETWORKDAYS($C$2,$C$2+COUNTBLANK(E4:AI4)-1,DATA!$C$2:$C$30)*8))</f>
        <v>-7</v>
      </c>
      <c r="AQ4" s="95" t="e">
        <f ca="1">SUM(SUMIF(#REF!,"&gt;0"),SUMIF(#REF!,"&gt;0"),SUMIF(Март!AN4:AP5,"&gt;0"))</f>
        <v>#REF!</v>
      </c>
      <c r="AR4" s="77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90">
        <f>COUNTIF($E4:$AI4,"В")</f>
        <v>0</v>
      </c>
      <c r="AT4" s="90">
        <f>COUNTIF($E4:$AI4,"О")</f>
        <v>0</v>
      </c>
      <c r="AU4" s="90">
        <f>COUNTIF($E4:$AI4,"А")</f>
        <v>0</v>
      </c>
      <c r="AV4" s="90">
        <f>COUNTIF($E4:$AI4,"У")</f>
        <v>0</v>
      </c>
      <c r="AW4" s="79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24</v>
      </c>
      <c r="BB4" s="55">
        <f ca="1">SUMPRODUCT((WEEKDAY(COUNTIF(DATA!F$2:F$30,E$3:AI$3)*E$3:AI$3,2)&lt;6)-COUNTIF(DATA!C$2:C$30,E$3:AI$3))*8</f>
        <v>-16</v>
      </c>
      <c r="BC4" s="6">
        <f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(NETWORKDAYS(C2,(C2+COUNTIF(E3:AI3,"&gt;0")-1),DATA!C2:C30)-SUMPRODUCT((WEEKDAY(COUNTIF(DATA!C$2:C$30,E$3:AI$3)*E$3:AI$3,2)&lt;6)+COUNTIF(DATA!D$2:D$30,E$3:AI$3)))*8+SUMPRODUCT(((WEEKDAY(COUNTIF(DATA!E$13:E$14,E$3:AI$3)*E$3:AI$3,2)&lt;6)*7))</f>
        <v>144</v>
      </c>
    </row>
    <row r="5" spans="1:84" s="6" customFormat="1" ht="21" x14ac:dyDescent="0.3">
      <c r="A5" s="99"/>
      <c r="B5" s="101"/>
      <c r="C5" s="103"/>
      <c r="D5" s="105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90"/>
      <c r="AK5" s="88"/>
      <c r="AL5" s="90"/>
      <c r="AM5" s="92"/>
      <c r="AN5" s="94"/>
      <c r="AO5" s="72"/>
      <c r="AP5" s="73"/>
      <c r="AQ5" s="96"/>
      <c r="AR5" s="78"/>
      <c r="AS5" s="72"/>
      <c r="AT5" s="72"/>
      <c r="AU5" s="72"/>
      <c r="AV5" s="72"/>
      <c r="AW5" s="73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24</v>
      </c>
    </row>
    <row r="6" spans="1:84" s="6" customFormat="1" ht="21" customHeight="1" x14ac:dyDescent="0.3">
      <c r="A6" s="80">
        <f>IF(C6="","",SUBTOTAL(103,$B$4:B6))</f>
        <v>2</v>
      </c>
      <c r="B6" s="82">
        <v>8</v>
      </c>
      <c r="C6" s="83" t="str">
        <f>IFERROR(VLOOKUP(B6,DATA!$G$2:$I$29,2,0),"")</f>
        <v>Головина Н.П.</v>
      </c>
      <c r="D6" s="85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72">
        <f>COUNTIF($E6:$AI6,"&gt;0")</f>
        <v>0</v>
      </c>
      <c r="AK6" s="87">
        <f t="shared" ref="AK6" si="3">SUM(E7:AI7)</f>
        <v>0</v>
      </c>
      <c r="AL6" s="89">
        <f t="array" aca="1" ref="AL6" ca="1">SUM(IFERROR(((ISNUMBER(MATCH($E$3:$AI$3,DATA!$C$2:$C$30,))+ISNUMBER(MATCH($E$3:$AI$3,,)))&gt;0)*$E6:$AI7,))</f>
        <v>0</v>
      </c>
      <c r="AM6" s="91">
        <f>SUM(E6:AI7)</f>
        <v>0</v>
      </c>
      <c r="AN6" s="93" t="str">
        <f>IF(AT6&gt;0,AM6-($D$2-SUMPRODUCT((E6:AI6={"О"})*((WEEKDAY(E$3:AI$3,2)&lt;6)-(WEEKDAY(COUNTIF(DATA!C$2:C$30,E$3:AI$3)*E$3:AI$3,2)&lt;6)+COUNTIF(DATA!D$2:D$30,E$3:AI$3)))*8)-AL6,"")</f>
        <v/>
      </c>
      <c r="AO6" s="72" t="str">
        <f>IF(AW6&gt;0,AM6-($D$2-SUMPRODUCT((E6:AI6={"Б"})*((WEEKDAY(E$3:AI$3,2)&lt;6)-(WEEKDAY(COUNTIF(DATA!C$2:C$30,E$3:AI$3)*E$3:AI$3,2)&lt;6)+COUNTIF(DATA!D$2:D$30,E$3:AI$3)))*8)-AL6,"")</f>
        <v/>
      </c>
      <c r="AP6" s="73">
        <f ca="1">IF(COUNTIF(E6:AI6,"О")&gt;0,0,AM6-AL6-(SUMPRODUCT(--(MONTH(DATA!$F$2:$F$30)=MONTH($C$2)))*8)-($D$2-NETWORKDAYS($C$2,$C$2+COUNTBLANK(E6:AI6)-1,DATA!$C$2:$C$30)*8))</f>
        <v>-7</v>
      </c>
      <c r="AQ6" s="76" t="e">
        <f ca="1">SUM(SUMIF(#REF!,"&gt;0"),SUMIF(#REF!,"&gt;0"),SUMIF(Март!AN6:AP7,"&gt;0"))</f>
        <v>#REF!</v>
      </c>
      <c r="AR6" s="77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72">
        <f>COUNTIF($E6:$AI6,"В")</f>
        <v>0</v>
      </c>
      <c r="AT6" s="72">
        <f>COUNTIF($E6:$AI6,"О")</f>
        <v>0</v>
      </c>
      <c r="AU6" s="72">
        <f>COUNTIF($E6:$AI6,"А")</f>
        <v>0</v>
      </c>
      <c r="AV6" s="72">
        <f>COUNTIF($E6:$AI6,"У")</f>
        <v>0</v>
      </c>
      <c r="AW6" s="73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0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152</v>
      </c>
    </row>
    <row r="7" spans="1:84" s="6" customFormat="1" ht="21.75" thickBot="1" x14ac:dyDescent="0.35">
      <c r="A7" s="81"/>
      <c r="B7" s="82"/>
      <c r="C7" s="84"/>
      <c r="D7" s="86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72"/>
      <c r="AK7" s="88"/>
      <c r="AL7" s="90"/>
      <c r="AM7" s="92"/>
      <c r="AN7" s="94"/>
      <c r="AO7" s="72"/>
      <c r="AP7" s="73"/>
      <c r="AQ7" s="76"/>
      <c r="AR7" s="78"/>
      <c r="AS7" s="72"/>
      <c r="AT7" s="72"/>
      <c r="AU7" s="72"/>
      <c r="AV7" s="72"/>
      <c r="AW7" s="73"/>
    </row>
    <row r="8" spans="1:84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4" t="s">
        <v>6</v>
      </c>
      <c r="AF8" s="74"/>
      <c r="AG8" s="74"/>
      <c r="AH8" s="74"/>
      <c r="AI8" s="75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36" cm="1">
        <f t="array" aca="1" ref="BB8:CF8" ca="1">(NETWORKDAYS(C2,(C2+COUNTIF(E3:AI3,"&gt;0")-1),DATA!C2:C30)*8)+(COUNTIF(DATA!E$2:E$30,E$3:AI$3)*7)</f>
        <v>168</v>
      </c>
      <c r="BC8" s="8">
        <f ca="1"/>
        <v>168</v>
      </c>
      <c r="BD8" s="8">
        <f ca="1"/>
        <v>168</v>
      </c>
      <c r="BE8" s="8">
        <f ca="1"/>
        <v>168</v>
      </c>
      <c r="BF8" s="8">
        <f ca="1"/>
        <v>175</v>
      </c>
      <c r="BG8" s="8">
        <f ca="1"/>
        <v>168</v>
      </c>
      <c r="BH8" s="8">
        <f ca="1"/>
        <v>168</v>
      </c>
      <c r="BI8" s="8">
        <f ca="1"/>
        <v>168</v>
      </c>
      <c r="BJ8" s="8">
        <f ca="1"/>
        <v>168</v>
      </c>
      <c r="BK8" s="8">
        <f ca="1"/>
        <v>168</v>
      </c>
      <c r="BL8" s="8">
        <f ca="1"/>
        <v>168</v>
      </c>
      <c r="BM8" s="8">
        <f ca="1"/>
        <v>168</v>
      </c>
      <c r="BN8" s="8">
        <f ca="1"/>
        <v>168</v>
      </c>
      <c r="BO8" s="8">
        <f ca="1"/>
        <v>168</v>
      </c>
      <c r="BP8" s="8">
        <f ca="1"/>
        <v>168</v>
      </c>
      <c r="BQ8" s="8">
        <f ca="1"/>
        <v>168</v>
      </c>
      <c r="BR8" s="8">
        <f ca="1"/>
        <v>168</v>
      </c>
      <c r="BS8" s="8">
        <f ca="1"/>
        <v>168</v>
      </c>
      <c r="BT8" s="8">
        <f ca="1"/>
        <v>168</v>
      </c>
      <c r="BU8" s="8">
        <f ca="1"/>
        <v>168</v>
      </c>
      <c r="BV8" s="8">
        <f ca="1"/>
        <v>168</v>
      </c>
      <c r="BW8" s="8">
        <f ca="1"/>
        <v>168</v>
      </c>
      <c r="BX8" s="8">
        <f ca="1"/>
        <v>168</v>
      </c>
      <c r="BY8" s="8">
        <f ca="1"/>
        <v>168</v>
      </c>
      <c r="BZ8" s="8">
        <f ca="1"/>
        <v>168</v>
      </c>
      <c r="CA8" s="8">
        <f ca="1"/>
        <v>168</v>
      </c>
      <c r="CB8" s="8">
        <f ca="1"/>
        <v>168</v>
      </c>
      <c r="CC8" s="8">
        <f ca="1"/>
        <v>168</v>
      </c>
      <c r="CD8" s="8">
        <f ca="1"/>
        <v>168</v>
      </c>
      <c r="CE8" s="8">
        <f ca="1"/>
        <v>168</v>
      </c>
      <c r="CF8" s="8">
        <f ca="1"/>
        <v>168</v>
      </c>
    </row>
    <row r="9" spans="1:84" x14ac:dyDescent="0.25">
      <c r="AZ9" s="8">
        <f ca="1">NETWORKDAYS(C2,(C2+COUNTIF(E3:AI3,"&gt;0")-1),DATA!D2:D30)</f>
        <v>23</v>
      </c>
      <c r="BB9" s="36">
        <f ca="1">NETWORKDAYS(C2,EOMONTH(C2,0),DATA!C2:C30)*8</f>
        <v>168</v>
      </c>
    </row>
    <row r="10" spans="1:84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23</v>
      </c>
      <c r="BB10" s="36" cm="1">
        <f t="array" aca="1" ref="BB10" ca="1">SUMPRODUCT(((WEEKDAY(COUNTIF(DATA!E$2:E$30,E$3:AI$3)*E$3:AI$3,2)&lt;6)*7))</f>
        <v>0</v>
      </c>
    </row>
    <row r="11" spans="1:84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23</v>
      </c>
    </row>
    <row r="12" spans="1:84" ht="18.75" x14ac:dyDescent="0.3">
      <c r="B12" s="45" t="s">
        <v>4</v>
      </c>
      <c r="C12" s="10" t="s">
        <v>0</v>
      </c>
      <c r="D12" s="42"/>
    </row>
    <row r="13" spans="1:84" ht="18.75" x14ac:dyDescent="0.25">
      <c r="B13" s="46" t="s">
        <v>11</v>
      </c>
      <c r="C13" s="10" t="s">
        <v>5</v>
      </c>
      <c r="D13" s="47"/>
    </row>
    <row r="14" spans="1:84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</mergeCells>
  <conditionalFormatting sqref="E2:AI7">
    <cfRule type="expression" dxfId="55" priority="14">
      <formula>(WEEKDAY(E$3,2)&gt;5)*(E$3&lt;&gt;0)</formula>
    </cfRule>
  </conditionalFormatting>
  <conditionalFormatting sqref="E3:AI7">
    <cfRule type="cellIs" dxfId="54" priority="1" operator="equal">
      <formula>"В"</formula>
    </cfRule>
  </conditionalFormatting>
  <conditionalFormatting sqref="E4:AI7">
    <cfRule type="cellIs" dxfId="53" priority="2" operator="equal">
      <formula>"У"</formula>
    </cfRule>
    <cfRule type="cellIs" dxfId="52" priority="3" operator="equal">
      <formula>"О"</formula>
    </cfRule>
    <cfRule type="cellIs" dxfId="51" priority="4" operator="equal">
      <formula>"Б"</formula>
    </cfRule>
    <cfRule type="cellIs" dxfId="50" priority="5" operator="equal">
      <formula>"А"</formula>
    </cfRule>
    <cfRule type="cellIs" dxfId="49" priority="6" operator="equal">
      <formula>"ВВ"</formula>
    </cfRule>
    <cfRule type="cellIs" dxfId="48" priority="7" operator="equal">
      <formula>"К"</formula>
    </cfRule>
    <cfRule type="cellIs" dxfId="47" priority="8" operator="equal">
      <formula>"Н"</formula>
    </cfRule>
    <cfRule type="cellIs" dxfId="46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E64EC38-F2C0-4449-877E-F58B35910F7C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09B78459-5C1A-4BA0-A725-AF2047E88242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EB06ED48-E12A-4028-848F-21C88D567F3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69FC514-E3E7-4F7C-94F4-6B1EC1D38536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14"/>
  <sheetViews>
    <sheetView zoomScale="60" zoomScaleNormal="60" workbookViewId="0">
      <selection activeCell="E6" sqref="E6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52" width="14.140625" style="8" bestFit="1" customWidth="1"/>
    <col min="53" max="53" width="9.140625" style="8"/>
    <col min="54" max="54" width="11.7109375" style="8" bestFit="1" customWidth="1"/>
    <col min="55" max="55" width="14.140625" style="8" bestFit="1" customWidth="1"/>
    <col min="56" max="56" width="14.140625" style="8" customWidth="1"/>
    <col min="57" max="57" width="16.140625" style="8" bestFit="1" customWidth="1"/>
    <col min="58" max="16384" width="9.140625" style="8"/>
  </cols>
  <sheetData>
    <row r="1" spans="1:61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61" s="6" customFormat="1" ht="27" customHeight="1" thickBot="1" x14ac:dyDescent="0.35">
      <c r="A2" s="107" t="s">
        <v>2</v>
      </c>
      <c r="B2" s="107" t="s">
        <v>12</v>
      </c>
      <c r="C2" s="32">
        <f ca="1">--("1."&amp;MID(CELL("имяфайла",A1),FIND("]",CELL("имяфайла",A1))+1,20)&amp;DATA!A1)</f>
        <v>44682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144</v>
      </c>
      <c r="E2" s="19">
        <f t="shared" ref="E2:AF2" ca="1" si="0">E3</f>
        <v>44682</v>
      </c>
      <c r="F2" s="19">
        <f t="shared" ca="1" si="0"/>
        <v>44683</v>
      </c>
      <c r="G2" s="19">
        <f t="shared" ca="1" si="0"/>
        <v>44684</v>
      </c>
      <c r="H2" s="19">
        <f t="shared" ca="1" si="0"/>
        <v>44685</v>
      </c>
      <c r="I2" s="19">
        <f t="shared" ca="1" si="0"/>
        <v>44686</v>
      </c>
      <c r="J2" s="19">
        <f t="shared" ca="1" si="0"/>
        <v>44687</v>
      </c>
      <c r="K2" s="19">
        <f t="shared" ca="1" si="0"/>
        <v>44688</v>
      </c>
      <c r="L2" s="19">
        <f t="shared" ca="1" si="0"/>
        <v>44689</v>
      </c>
      <c r="M2" s="19">
        <f t="shared" ca="1" si="0"/>
        <v>44690</v>
      </c>
      <c r="N2" s="19">
        <f t="shared" ca="1" si="0"/>
        <v>44691</v>
      </c>
      <c r="O2" s="19">
        <f t="shared" ca="1" si="0"/>
        <v>44692</v>
      </c>
      <c r="P2" s="19">
        <f t="shared" ca="1" si="0"/>
        <v>44693</v>
      </c>
      <c r="Q2" s="19">
        <f t="shared" ca="1" si="0"/>
        <v>44694</v>
      </c>
      <c r="R2" s="19">
        <f t="shared" ca="1" si="0"/>
        <v>44695</v>
      </c>
      <c r="S2" s="19">
        <f t="shared" ca="1" si="0"/>
        <v>44696</v>
      </c>
      <c r="T2" s="19">
        <f t="shared" ca="1" si="0"/>
        <v>44697</v>
      </c>
      <c r="U2" s="19">
        <f t="shared" ca="1" si="0"/>
        <v>44698</v>
      </c>
      <c r="V2" s="19">
        <f t="shared" ca="1" si="0"/>
        <v>44699</v>
      </c>
      <c r="W2" s="19">
        <f t="shared" ca="1" si="0"/>
        <v>44700</v>
      </c>
      <c r="X2" s="19">
        <f t="shared" ca="1" si="0"/>
        <v>44701</v>
      </c>
      <c r="Y2" s="19">
        <f t="shared" ca="1" si="0"/>
        <v>44702</v>
      </c>
      <c r="Z2" s="19">
        <f t="shared" ca="1" si="0"/>
        <v>44703</v>
      </c>
      <c r="AA2" s="19">
        <f t="shared" ca="1" si="0"/>
        <v>44704</v>
      </c>
      <c r="AB2" s="19">
        <f t="shared" ca="1" si="0"/>
        <v>44705</v>
      </c>
      <c r="AC2" s="19">
        <f t="shared" ca="1" si="0"/>
        <v>44706</v>
      </c>
      <c r="AD2" s="19">
        <f t="shared" ca="1" si="0"/>
        <v>44707</v>
      </c>
      <c r="AE2" s="19">
        <f t="shared" ca="1" si="0"/>
        <v>44708</v>
      </c>
      <c r="AF2" s="19">
        <f t="shared" ca="1" si="0"/>
        <v>44709</v>
      </c>
      <c r="AG2" s="19">
        <f ca="1">IF(AG3=0,"",AG3)</f>
        <v>44710</v>
      </c>
      <c r="AH2" s="19">
        <f ca="1">IF(AH3=0,"",AH3)</f>
        <v>44711</v>
      </c>
      <c r="AI2" s="19">
        <f ca="1">IF(AI3=0,"",AI3)</f>
        <v>44712</v>
      </c>
      <c r="AJ2" s="108" t="s">
        <v>14</v>
      </c>
      <c r="AK2" s="109"/>
      <c r="AL2" s="109"/>
      <c r="AM2" s="110"/>
      <c r="AN2" s="108" t="s">
        <v>40</v>
      </c>
      <c r="AO2" s="109"/>
      <c r="AP2" s="109"/>
      <c r="AQ2" s="110"/>
      <c r="AR2" s="35"/>
      <c r="AS2" s="97" t="s">
        <v>7</v>
      </c>
      <c r="AT2" s="97"/>
      <c r="AU2" s="97"/>
      <c r="AV2" s="97"/>
      <c r="AW2" s="97"/>
      <c r="AX2" s="30"/>
    </row>
    <row r="3" spans="1:61" s="7" customFormat="1" ht="201" customHeight="1" thickBot="1" x14ac:dyDescent="0.3">
      <c r="A3" s="107"/>
      <c r="B3" s="107"/>
      <c r="C3" s="59" t="s">
        <v>24</v>
      </c>
      <c r="D3" s="59" t="s">
        <v>8</v>
      </c>
      <c r="E3" s="20">
        <f ca="1">C2</f>
        <v>44682</v>
      </c>
      <c r="F3" s="20">
        <f t="shared" ref="F3:AF3" ca="1" si="1">E3+1</f>
        <v>44683</v>
      </c>
      <c r="G3" s="20">
        <f t="shared" ca="1" si="1"/>
        <v>44684</v>
      </c>
      <c r="H3" s="20">
        <f t="shared" ca="1" si="1"/>
        <v>44685</v>
      </c>
      <c r="I3" s="20">
        <f t="shared" ca="1" si="1"/>
        <v>44686</v>
      </c>
      <c r="J3" s="20">
        <f t="shared" ca="1" si="1"/>
        <v>44687</v>
      </c>
      <c r="K3" s="20">
        <f t="shared" ca="1" si="1"/>
        <v>44688</v>
      </c>
      <c r="L3" s="20">
        <f t="shared" ca="1" si="1"/>
        <v>44689</v>
      </c>
      <c r="M3" s="20">
        <f t="shared" ca="1" si="1"/>
        <v>44690</v>
      </c>
      <c r="N3" s="20">
        <f t="shared" ca="1" si="1"/>
        <v>44691</v>
      </c>
      <c r="O3" s="20">
        <f t="shared" ca="1" si="1"/>
        <v>44692</v>
      </c>
      <c r="P3" s="20">
        <f t="shared" ca="1" si="1"/>
        <v>44693</v>
      </c>
      <c r="Q3" s="20">
        <f t="shared" ca="1" si="1"/>
        <v>44694</v>
      </c>
      <c r="R3" s="20">
        <f t="shared" ca="1" si="1"/>
        <v>44695</v>
      </c>
      <c r="S3" s="20">
        <f t="shared" ca="1" si="1"/>
        <v>44696</v>
      </c>
      <c r="T3" s="20">
        <f t="shared" ca="1" si="1"/>
        <v>44697</v>
      </c>
      <c r="U3" s="20">
        <f t="shared" ca="1" si="1"/>
        <v>44698</v>
      </c>
      <c r="V3" s="20">
        <f t="shared" ca="1" si="1"/>
        <v>44699</v>
      </c>
      <c r="W3" s="20">
        <f t="shared" ca="1" si="1"/>
        <v>44700</v>
      </c>
      <c r="X3" s="20">
        <f t="shared" ca="1" si="1"/>
        <v>44701</v>
      </c>
      <c r="Y3" s="20">
        <f t="shared" ca="1" si="1"/>
        <v>44702</v>
      </c>
      <c r="Z3" s="20">
        <f t="shared" ca="1" si="1"/>
        <v>44703</v>
      </c>
      <c r="AA3" s="20">
        <f t="shared" ca="1" si="1"/>
        <v>44704</v>
      </c>
      <c r="AB3" s="20">
        <f t="shared" ca="1" si="1"/>
        <v>44705</v>
      </c>
      <c r="AC3" s="20">
        <f t="shared" ca="1" si="1"/>
        <v>44706</v>
      </c>
      <c r="AD3" s="20">
        <f t="shared" ca="1" si="1"/>
        <v>44707</v>
      </c>
      <c r="AE3" s="20">
        <f t="shared" ca="1" si="1"/>
        <v>44708</v>
      </c>
      <c r="AF3" s="20">
        <f t="shared" ca="1" si="1"/>
        <v>44709</v>
      </c>
      <c r="AG3" s="20">
        <f ca="1">IF(DAY($AF3+1)&gt;DAY(AF3),$AF3+1,0)</f>
        <v>44710</v>
      </c>
      <c r="AH3" s="20">
        <f ca="1">IF(DAY($AF3+2)&gt;DAY(AF3),$AF3+2,0)</f>
        <v>44711</v>
      </c>
      <c r="AI3" s="20">
        <f ca="1">IF(DAY($AF3+3)&gt;DAY(AF3),$AF3+3,0)</f>
        <v>44712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 t="s">
        <v>52</v>
      </c>
      <c r="BA3" s="54" t="s">
        <v>54</v>
      </c>
      <c r="BB3" s="54" t="s">
        <v>56</v>
      </c>
      <c r="BC3" s="54" t="s">
        <v>51</v>
      </c>
      <c r="BD3" s="54" t="s">
        <v>53</v>
      </c>
      <c r="BE3" s="54" t="s">
        <v>50</v>
      </c>
      <c r="BF3" s="54"/>
      <c r="BH3" s="54"/>
      <c r="BI3" s="54"/>
    </row>
    <row r="4" spans="1:61" s="6" customFormat="1" ht="21" x14ac:dyDescent="0.3">
      <c r="A4" s="98">
        <f>IF(C4="","",SUBTOTAL(103,$B$4:B4))</f>
        <v>1</v>
      </c>
      <c r="B4" s="100">
        <v>6</v>
      </c>
      <c r="C4" s="102" t="str">
        <f>IFERROR(VLOOKUP(B4,DATA!$G$2:$I$29,2,0),"")</f>
        <v>Владимирова В.П.</v>
      </c>
      <c r="D4" s="104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06">
        <f>COUNTIF($E4:$AI4,"&gt;0")</f>
        <v>0</v>
      </c>
      <c r="AK4" s="87">
        <f>SUM(E5:AI5)</f>
        <v>0</v>
      </c>
      <c r="AL4" s="89">
        <f t="array" aca="1" ref="AL4" ca="1">SUM(IFERROR(((ISNUMBER(MATCH($E$3:$AI$3,DATA!$C$2:$C$30,))+ISNUMBER(MATCH($E$3:$AI$3,,)))&gt;0)*$E4:$AI5,))</f>
        <v>0</v>
      </c>
      <c r="AM4" s="91">
        <f>SUM(E4:AI5)</f>
        <v>0</v>
      </c>
      <c r="AN4" s="93" t="str">
        <f>IF(AT4&gt;0,AM4-($D$2-SUMPRODUCT((E4:AI4={"О"})*((WEEKDAY(E$3:AI$3,2)&lt;6)-(WEEKDAY(COUNTIF(DATA!C$2:C$30,E$3:AI$3)*E$3:AI$3,2)&lt;6)+COUNTIF(DATA!D$2:D$30,E$3:AI$3)))*8)-AL4,"")</f>
        <v/>
      </c>
      <c r="AO4" s="90" t="str">
        <f>IF(AW4&gt;0,AM4-($D$2-SUMPRODUCT((E4:AI4={"Б"})*((WEEKDAY(E$3:AI$3,2)&lt;6)-(WEEKDAY(COUNTIF(DATA!C$2:C$30,E$3:AI$3)*E$3:AI$3,2)&lt;6)+COUNTIF(DATA!D$2:D$30,E$3:AI$3)))*8)-AL4,"")</f>
        <v/>
      </c>
      <c r="AP4" s="73">
        <f ca="1">IF(COUNTIF(E4:AI4,"О")&gt;0,0,AM4-AL4-(SUMPRODUCT(--(MONTH(DATA!$F$2:$F$30)=MONTH($C$2)))*8)-($D$2-NETWORKDAYS($C$2,$C$2+COUNTBLANK(E4:AI4)-1,DATA!$C$2:$C$30)*8))</f>
        <v>0</v>
      </c>
      <c r="AQ4" s="95" t="e">
        <f ca="1">SUM(SUMIF(#REF!,"&gt;0"),SUMIF(#REF!,"&gt;0"),SUMIF(Май!AN4:AP5,"&gt;0"))</f>
        <v>#REF!</v>
      </c>
      <c r="AR4" s="77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90">
        <f>COUNTIF($E4:$AI4,"В")</f>
        <v>0</v>
      </c>
      <c r="AT4" s="90">
        <f>COUNTIF($E4:$AI4,"О")</f>
        <v>0</v>
      </c>
      <c r="AU4" s="90">
        <f>COUNTIF($E4:$AI4,"А")</f>
        <v>0</v>
      </c>
      <c r="AV4" s="90">
        <f>COUNTIF($E4:$AI4,"У")</f>
        <v>0</v>
      </c>
      <c r="AW4" s="79">
        <f>COUNTIF($E4:$AI4,"Б")</f>
        <v>0</v>
      </c>
      <c r="AZ4" s="7">
        <f ca="1">COUNTIF(E3:AI3,"&gt;0")</f>
        <v>31</v>
      </c>
      <c r="BA4" s="6">
        <f ca="1">SUMPRODUCT((WEEKDAY(COUNTIF(DATA!C$2:C$30,E$3:AI$3)*E$3:AI$3,2)&lt;6)+COUNTIF(DATA!D$2:D$30,E$3:AI$3))*8</f>
        <v>8</v>
      </c>
      <c r="BB4" s="55">
        <f ca="1">SUMPRODUCT((WEEKDAY(COUNTIF(DATA!F$2:F$30,E$3:AI$3)*E$3:AI$3,2)&lt;6)-COUNTIF(DATA!C$2:C$30,E$3:AI$3))*8</f>
        <v>8</v>
      </c>
      <c r="BC4" s="6" cm="1">
        <f t="array" aca="1" ref="BC4" ca="1">SUMPRODUCT(((WEEKDAY(COUNTIF(DATA!E$2:E$30,E$3:AI$3)*E$3:AI$3,2)&lt;6)*7))</f>
        <v>0</v>
      </c>
      <c r="BE4" s="55">
        <f ca="1">(NETWORKDAYS(C2,(C2+COUNTIF(E3:AI3,"&gt;0")-1),DATA!C2:C30)-SUMPRODUCT((WEEKDAY(COUNTIF(DATA!C$2:C$30,E$3:AI$3)*E$3:AI$3,2)&lt;6)+COUNTIF(DATA!D$2:D$30,E$3:AI$3)))*8+SUMPRODUCT(((WEEKDAY(COUNTIF(DATA!E$2:E$30,E$3:AI$3)*E$3:AI$3,2)&lt;6)*7))</f>
        <v>160</v>
      </c>
    </row>
    <row r="5" spans="1:61" s="6" customFormat="1" ht="21" x14ac:dyDescent="0.3">
      <c r="A5" s="99"/>
      <c r="B5" s="101"/>
      <c r="C5" s="103"/>
      <c r="D5" s="105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90"/>
      <c r="AK5" s="88"/>
      <c r="AL5" s="90"/>
      <c r="AM5" s="92"/>
      <c r="AN5" s="94"/>
      <c r="AO5" s="72"/>
      <c r="AP5" s="73"/>
      <c r="AQ5" s="96"/>
      <c r="AR5" s="78"/>
      <c r="AS5" s="72"/>
      <c r="AT5" s="72"/>
      <c r="AU5" s="72"/>
      <c r="AV5" s="72"/>
      <c r="AW5" s="73"/>
      <c r="AZ5" s="56" t="str">
        <f ca="1">NETWORKDAYS(C2,(C2+COUNTIF(E3:AI3,"&gt;0")-1),DATA!C2:C30)&amp;"/"&amp;NETWORKDAYS(C2,(C2+COUNTIF(E3:AI3,"&gt;0")-1),DATA!C2:C30)*8</f>
        <v>21/168</v>
      </c>
      <c r="BE5" s="6">
        <f ca="1">SUMPRODUCT((WEEKDAY(COUNTIF(DATA!C$2:C$30,E$3:AI$3)*E$3:AI$3,2)&lt;6)+COUNTIF(DATA!E$2:E$30,E$3:AI$3))*8+SUMPRODUCT(((WEEKDAY(COUNTIF(DATA!E$2:E$30,E$3:AI$3)*E$3:AI$3,2)&lt;6)*7))</f>
        <v>8</v>
      </c>
    </row>
    <row r="6" spans="1:61" s="6" customFormat="1" ht="21" customHeight="1" x14ac:dyDescent="0.3">
      <c r="A6" s="80">
        <f>IF(C6="","",SUBTOTAL(103,$B$4:B6))</f>
        <v>2</v>
      </c>
      <c r="B6" s="82">
        <v>8</v>
      </c>
      <c r="C6" s="83" t="str">
        <f>IFERROR(VLOOKUP(B6,DATA!$G$2:$I$29,2,0),"")</f>
        <v>Головина Н.П.</v>
      </c>
      <c r="D6" s="85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72">
        <f>COUNTIF($E6:$AI6,"&gt;0")</f>
        <v>0</v>
      </c>
      <c r="AK6" s="87">
        <f t="shared" ref="AK6" si="3">SUM(E7:AI7)</f>
        <v>0</v>
      </c>
      <c r="AL6" s="89">
        <f t="array" aca="1" ref="AL6" ca="1">SUM(IFERROR(((ISNUMBER(MATCH($E$3:$AI$3,DATA!$C$2:$C$30,))+ISNUMBER(MATCH($E$3:$AI$3,,)))&gt;0)*$E6:$AI7,))</f>
        <v>0</v>
      </c>
      <c r="AM6" s="91">
        <f>SUM(E6:AI7)</f>
        <v>0</v>
      </c>
      <c r="AN6" s="93" t="str">
        <f>IF(AT6&gt;0,AM6-($D$2-SUMPRODUCT((E6:AI6={"О"})*((WEEKDAY(E$3:AI$3,2)&lt;6)-(WEEKDAY(COUNTIF(DATA!C$2:C$30,E$3:AI$3)*E$3:AI$3,2)&lt;6)+COUNTIF(DATA!D$2:D$30,E$3:AI$3)))*8)-AL6,"")</f>
        <v/>
      </c>
      <c r="AO6" s="72" t="str">
        <f>IF(AW6&gt;0,AM6-($D$2-SUMPRODUCT((E6:AI6={"Б"})*((WEEKDAY(E$3:AI$3,2)&lt;6)-(WEEKDAY(COUNTIF(DATA!C$2:C$30,E$3:AI$3)*E$3:AI$3,2)&lt;6)+COUNTIF(DATA!D$2:D$30,E$3:AI$3)))*8)-AL6,"")</f>
        <v/>
      </c>
      <c r="AP6" s="73">
        <f ca="1">IF(COUNTIF(E6:AI6,"О")&gt;0,0,AM6-AL6-(SUMPRODUCT(--(MONTH(DATA!$F$2:$F$30)=MONTH($C$2)))*8)-($D$2-NETWORKDAYS($C$2,$C$2+COUNTBLANK(E6:AI6)-1,DATA!$C$2:$C$30)*8))</f>
        <v>0</v>
      </c>
      <c r="AQ6" s="76" t="e">
        <f ca="1">SUM(SUMIF(#REF!,"&gt;0"),SUMIF(#REF!,"&gt;0"),SUMIF(Май!AN6:AP7,"&gt;0"))</f>
        <v>#REF!</v>
      </c>
      <c r="AR6" s="77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72">
        <f>COUNTIF($E6:$AI6,"В")</f>
        <v>0</v>
      </c>
      <c r="AT6" s="72">
        <f>COUNTIF($E6:$AI6,"О")</f>
        <v>0</v>
      </c>
      <c r="AU6" s="72">
        <f>COUNTIF($E6:$AI6,"А")</f>
        <v>0</v>
      </c>
      <c r="AV6" s="72">
        <f>COUNTIF($E6:$AI6,"У")</f>
        <v>0</v>
      </c>
      <c r="AW6" s="73">
        <f>COUNTIF($E6:$AI6,"Б")</f>
        <v>0</v>
      </c>
      <c r="AZ6" s="55">
        <f ca="1">NETWORKDAYS(C2,(C2+COUNTIF(E3:AI3,"&gt;0")-1),DATA!C2:C30)*8</f>
        <v>168</v>
      </c>
      <c r="BA6" s="6">
        <f ca="1">SUMPRODUCT((WEEKDAY(COUNTIF(DATA!C$2:C$30,E$3:AI$3)*E$3:AI$3)&lt;6)*8)</f>
        <v>16</v>
      </c>
      <c r="BB6" s="6">
        <f ca="1">SUMPRODUCT((WEEKDAY(COUNTIF(DATA!F$2:F$30,E$3:AI$3)*E$3:AI$3)&lt;6)*8)</f>
        <v>24</v>
      </c>
      <c r="BC6" s="6">
        <f ca="1">SUMPRODUCT((WEEKDAY(COUNTIF(DATA!E$2:E$30,E$3:AI$3)*E$3:AI$3)&lt;6)*7)</f>
        <v>0</v>
      </c>
      <c r="BD6" s="6">
        <f ca="1">SUMPRODUCT((WEEKDAY(COUNTIF(DATA!D$2:D$30,E$3:AI$3)*E$3:AI$3)&lt;6)*8)</f>
        <v>0</v>
      </c>
      <c r="BE6" s="6">
        <f ca="1">AZ6-(BA6+BB6-BC6-BD6)</f>
        <v>128</v>
      </c>
    </row>
    <row r="7" spans="1:61" s="6" customFormat="1" ht="21.75" thickBot="1" x14ac:dyDescent="0.35">
      <c r="A7" s="81"/>
      <c r="B7" s="82"/>
      <c r="C7" s="84"/>
      <c r="D7" s="86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72"/>
      <c r="AK7" s="88"/>
      <c r="AL7" s="90"/>
      <c r="AM7" s="92"/>
      <c r="AN7" s="94"/>
      <c r="AO7" s="72"/>
      <c r="AP7" s="73"/>
      <c r="AQ7" s="76"/>
      <c r="AR7" s="78"/>
      <c r="AS7" s="72"/>
      <c r="AT7" s="72"/>
      <c r="AU7" s="72"/>
      <c r="AV7" s="72"/>
      <c r="AW7" s="73"/>
    </row>
    <row r="8" spans="1:61" ht="21.75" thickBot="1" x14ac:dyDescent="0.35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4" t="s">
        <v>6</v>
      </c>
      <c r="AF8" s="74"/>
      <c r="AG8" s="74"/>
      <c r="AH8" s="74"/>
      <c r="AI8" s="75"/>
      <c r="AJ8" s="57">
        <f t="shared" ref="AJ8:AW8" si="5">SUMIF(AJ4:AJ7,"&gt;0")</f>
        <v>0</v>
      </c>
      <c r="AK8" s="57">
        <f t="shared" si="5"/>
        <v>0</v>
      </c>
      <c r="AL8" s="57">
        <f t="shared" ca="1" si="5"/>
        <v>0</v>
      </c>
      <c r="AM8" s="58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0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  <c r="AZ8" s="61">
        <f ca="1">NETWORKDAYS(C2,(C2+COUNTIF(E3:AI3,"&gt;0")-1),DATA!C2:C30)</f>
        <v>21</v>
      </c>
      <c r="BB8" s="8">
        <f ca="1">DAY(EOMONTH(C2,0))</f>
        <v>31</v>
      </c>
    </row>
    <row r="9" spans="1:61" x14ac:dyDescent="0.25">
      <c r="AZ9" s="8">
        <f ca="1">NETWORKDAYS(C2,(C2+COUNTIF(E3:AI3,"&gt;0")-1),DATA!D2:D30)</f>
        <v>22</v>
      </c>
    </row>
    <row r="10" spans="1:61" ht="18.75" x14ac:dyDescent="0.3">
      <c r="B10" s="52" t="s">
        <v>1</v>
      </c>
      <c r="C10" s="10" t="s">
        <v>3</v>
      </c>
      <c r="D10" s="42"/>
      <c r="AZ10" s="8">
        <f ca="1">NETWORKDAYS(C2,(C2+COUNTIF(E3:AI3,"&gt;0")-1),DATA!F2:F30)</f>
        <v>19</v>
      </c>
    </row>
    <row r="11" spans="1:61" ht="18.75" x14ac:dyDescent="0.3">
      <c r="B11" s="43" t="s">
        <v>10</v>
      </c>
      <c r="C11" s="10" t="s">
        <v>9</v>
      </c>
      <c r="D11" s="44"/>
      <c r="AZ11" s="8">
        <f ca="1">NETWORKDAYS(C2,(C2+COUNTIF(E3:AI3,"&gt;0")-1),DATA!F2:F30)</f>
        <v>19</v>
      </c>
    </row>
    <row r="12" spans="1:61" ht="18.75" x14ac:dyDescent="0.3">
      <c r="B12" s="45" t="s">
        <v>4</v>
      </c>
      <c r="C12" s="10" t="s">
        <v>0</v>
      </c>
      <c r="D12" s="42"/>
    </row>
    <row r="13" spans="1:61" ht="18.75" x14ac:dyDescent="0.25">
      <c r="B13" s="46" t="s">
        <v>11</v>
      </c>
      <c r="C13" s="10" t="s">
        <v>5</v>
      </c>
      <c r="D13" s="47"/>
    </row>
    <row r="14" spans="1:61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</mergeCells>
  <conditionalFormatting sqref="E2:AI7">
    <cfRule type="expression" dxfId="41" priority="14">
      <formula>(WEEKDAY(E$3,2)&gt;5)*(E$3&lt;&gt;0)</formula>
    </cfRule>
  </conditionalFormatting>
  <conditionalFormatting sqref="E3:AI7">
    <cfRule type="cellIs" dxfId="40" priority="1" operator="equal">
      <formula>"В"</formula>
    </cfRule>
  </conditionalFormatting>
  <conditionalFormatting sqref="E4:AI7">
    <cfRule type="cellIs" dxfId="39" priority="2" operator="equal">
      <formula>"У"</formula>
    </cfRule>
    <cfRule type="cellIs" dxfId="38" priority="3" operator="equal">
      <formula>"О"</formula>
    </cfRule>
    <cfRule type="cellIs" dxfId="37" priority="4" operator="equal">
      <formula>"Б"</formula>
    </cfRule>
    <cfRule type="cellIs" dxfId="36" priority="5" operator="equal">
      <formula>"А"</formula>
    </cfRule>
    <cfRule type="cellIs" dxfId="35" priority="6" operator="equal">
      <formula>"ВВ"</formula>
    </cfRule>
    <cfRule type="cellIs" dxfId="34" priority="7" operator="equal">
      <formula>"К"</formula>
    </cfRule>
    <cfRule type="cellIs" dxfId="33" priority="8" operator="equal">
      <formula>"Н"</formula>
    </cfRule>
    <cfRule type="cellIs" dxfId="32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B155ECE-4243-48A5-AFFE-314A49A3BF1F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523743B-8BFB-4AF5-886E-832C4AB190D5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72FD71F1-2104-44B0-B332-44330899F35E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8922FEDD-D33B-4B72-9316-85059C19EA0D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DATA!$G$2:$G$29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C056-88F9-4500-A0E1-D88B4C813D27}">
  <sheetPr>
    <pageSetUpPr fitToPage="1"/>
  </sheetPr>
  <dimension ref="A1:AX16"/>
  <sheetViews>
    <sheetView tabSelected="1" topLeftCell="D1" zoomScale="60" zoomScaleNormal="60" workbookViewId="0">
      <selection activeCell="AP6" sqref="AP6:AP7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39" width="8.28515625" style="8" customWidth="1"/>
    <col min="40" max="41" width="8.28515625" style="8" hidden="1" customWidth="1"/>
    <col min="42" max="42" width="8.28515625" style="8" customWidth="1"/>
    <col min="43" max="44" width="8.28515625" style="8" hidden="1" customWidth="1"/>
    <col min="45" max="49" width="8.28515625" style="8" customWidth="1"/>
    <col min="50" max="16384" width="9.140625" style="8"/>
  </cols>
  <sheetData>
    <row r="1" spans="1:50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0" s="6" customFormat="1" ht="27" customHeight="1" thickBot="1" x14ac:dyDescent="0.35">
      <c r="A2" s="107" t="s">
        <v>2</v>
      </c>
      <c r="B2" s="107" t="s">
        <v>12</v>
      </c>
      <c r="C2" s="32">
        <f ca="1">--("1."&amp;MID(CELL("имяфайла",A1),FIND("]",CELL("имяфайла",A1))+1,20)&amp;DATA!A1)</f>
        <v>44743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168</v>
      </c>
      <c r="E2" s="19">
        <f t="shared" ref="E2:AF2" ca="1" si="0">E3</f>
        <v>44743</v>
      </c>
      <c r="F2" s="19">
        <f t="shared" ca="1" si="0"/>
        <v>44744</v>
      </c>
      <c r="G2" s="19">
        <f t="shared" ca="1" si="0"/>
        <v>44745</v>
      </c>
      <c r="H2" s="19">
        <f t="shared" ca="1" si="0"/>
        <v>44746</v>
      </c>
      <c r="I2" s="19">
        <f t="shared" ca="1" si="0"/>
        <v>44747</v>
      </c>
      <c r="J2" s="19">
        <f t="shared" ca="1" si="0"/>
        <v>44748</v>
      </c>
      <c r="K2" s="19">
        <f t="shared" ca="1" si="0"/>
        <v>44749</v>
      </c>
      <c r="L2" s="19">
        <f t="shared" ca="1" si="0"/>
        <v>44750</v>
      </c>
      <c r="M2" s="19">
        <f t="shared" ca="1" si="0"/>
        <v>44751</v>
      </c>
      <c r="N2" s="19">
        <f t="shared" ca="1" si="0"/>
        <v>44752</v>
      </c>
      <c r="O2" s="19">
        <f t="shared" ca="1" si="0"/>
        <v>44753</v>
      </c>
      <c r="P2" s="19">
        <f t="shared" ca="1" si="0"/>
        <v>44754</v>
      </c>
      <c r="Q2" s="19">
        <f t="shared" ca="1" si="0"/>
        <v>44755</v>
      </c>
      <c r="R2" s="19">
        <f t="shared" ca="1" si="0"/>
        <v>44756</v>
      </c>
      <c r="S2" s="19">
        <f t="shared" ca="1" si="0"/>
        <v>44757</v>
      </c>
      <c r="T2" s="19">
        <f t="shared" ca="1" si="0"/>
        <v>44758</v>
      </c>
      <c r="U2" s="19">
        <f t="shared" ca="1" si="0"/>
        <v>44759</v>
      </c>
      <c r="V2" s="19">
        <f t="shared" ca="1" si="0"/>
        <v>44760</v>
      </c>
      <c r="W2" s="19">
        <f t="shared" ca="1" si="0"/>
        <v>44761</v>
      </c>
      <c r="X2" s="19">
        <f t="shared" ca="1" si="0"/>
        <v>44762</v>
      </c>
      <c r="Y2" s="19">
        <f t="shared" ca="1" si="0"/>
        <v>44763</v>
      </c>
      <c r="Z2" s="19">
        <f t="shared" ca="1" si="0"/>
        <v>44764</v>
      </c>
      <c r="AA2" s="19">
        <f t="shared" ca="1" si="0"/>
        <v>44765</v>
      </c>
      <c r="AB2" s="19">
        <f t="shared" ca="1" si="0"/>
        <v>44766</v>
      </c>
      <c r="AC2" s="19">
        <f t="shared" ca="1" si="0"/>
        <v>44767</v>
      </c>
      <c r="AD2" s="19">
        <f t="shared" ca="1" si="0"/>
        <v>44768</v>
      </c>
      <c r="AE2" s="19">
        <f t="shared" ca="1" si="0"/>
        <v>44769</v>
      </c>
      <c r="AF2" s="19">
        <f t="shared" ca="1" si="0"/>
        <v>44770</v>
      </c>
      <c r="AG2" s="19">
        <f ca="1">IF(AG3=0,"",AG3)</f>
        <v>44771</v>
      </c>
      <c r="AH2" s="19">
        <f ca="1">IF(AH3=0,"",AH3)</f>
        <v>44772</v>
      </c>
      <c r="AI2" s="19">
        <f ca="1">IF(AI3=0,"",AI3)</f>
        <v>44773</v>
      </c>
      <c r="AJ2" s="108" t="s">
        <v>14</v>
      </c>
      <c r="AK2" s="109"/>
      <c r="AL2" s="109"/>
      <c r="AM2" s="110"/>
      <c r="AN2" s="69"/>
      <c r="AO2" s="70"/>
      <c r="AP2" s="111" t="s">
        <v>43</v>
      </c>
      <c r="AQ2" s="71"/>
      <c r="AR2" s="35"/>
      <c r="AS2" s="97" t="s">
        <v>7</v>
      </c>
      <c r="AT2" s="97"/>
      <c r="AU2" s="97"/>
      <c r="AV2" s="97"/>
      <c r="AW2" s="97"/>
      <c r="AX2" s="30"/>
    </row>
    <row r="3" spans="1:50" s="7" customFormat="1" ht="201" customHeight="1" thickBot="1" x14ac:dyDescent="0.3">
      <c r="A3" s="107"/>
      <c r="B3" s="107"/>
      <c r="C3" s="65" t="s">
        <v>24</v>
      </c>
      <c r="D3" s="65" t="s">
        <v>8</v>
      </c>
      <c r="E3" s="20">
        <f ca="1">C2</f>
        <v>44743</v>
      </c>
      <c r="F3" s="20">
        <f t="shared" ref="F3:AF3" ca="1" si="1">E3+1</f>
        <v>44744</v>
      </c>
      <c r="G3" s="20">
        <f t="shared" ca="1" si="1"/>
        <v>44745</v>
      </c>
      <c r="H3" s="20">
        <f t="shared" ca="1" si="1"/>
        <v>44746</v>
      </c>
      <c r="I3" s="20">
        <f t="shared" ca="1" si="1"/>
        <v>44747</v>
      </c>
      <c r="J3" s="20">
        <f t="shared" ca="1" si="1"/>
        <v>44748</v>
      </c>
      <c r="K3" s="20">
        <f t="shared" ca="1" si="1"/>
        <v>44749</v>
      </c>
      <c r="L3" s="20">
        <f t="shared" ca="1" si="1"/>
        <v>44750</v>
      </c>
      <c r="M3" s="20">
        <f t="shared" ca="1" si="1"/>
        <v>44751</v>
      </c>
      <c r="N3" s="20">
        <f t="shared" ca="1" si="1"/>
        <v>44752</v>
      </c>
      <c r="O3" s="20">
        <f t="shared" ca="1" si="1"/>
        <v>44753</v>
      </c>
      <c r="P3" s="20">
        <f t="shared" ca="1" si="1"/>
        <v>44754</v>
      </c>
      <c r="Q3" s="20">
        <f t="shared" ca="1" si="1"/>
        <v>44755</v>
      </c>
      <c r="R3" s="20">
        <f t="shared" ca="1" si="1"/>
        <v>44756</v>
      </c>
      <c r="S3" s="20">
        <f t="shared" ca="1" si="1"/>
        <v>44757</v>
      </c>
      <c r="T3" s="20">
        <f t="shared" ca="1" si="1"/>
        <v>44758</v>
      </c>
      <c r="U3" s="20">
        <f t="shared" ca="1" si="1"/>
        <v>44759</v>
      </c>
      <c r="V3" s="20">
        <f t="shared" ca="1" si="1"/>
        <v>44760</v>
      </c>
      <c r="W3" s="20">
        <f t="shared" ca="1" si="1"/>
        <v>44761</v>
      </c>
      <c r="X3" s="20">
        <f t="shared" ca="1" si="1"/>
        <v>44762</v>
      </c>
      <c r="Y3" s="20">
        <f t="shared" ca="1" si="1"/>
        <v>44763</v>
      </c>
      <c r="Z3" s="20">
        <f t="shared" ca="1" si="1"/>
        <v>44764</v>
      </c>
      <c r="AA3" s="20">
        <f t="shared" ca="1" si="1"/>
        <v>44765</v>
      </c>
      <c r="AB3" s="20">
        <f t="shared" ca="1" si="1"/>
        <v>44766</v>
      </c>
      <c r="AC3" s="20">
        <f t="shared" ca="1" si="1"/>
        <v>44767</v>
      </c>
      <c r="AD3" s="20">
        <f t="shared" ca="1" si="1"/>
        <v>44768</v>
      </c>
      <c r="AE3" s="20">
        <f t="shared" ca="1" si="1"/>
        <v>44769</v>
      </c>
      <c r="AF3" s="20">
        <f t="shared" ca="1" si="1"/>
        <v>44770</v>
      </c>
      <c r="AG3" s="20">
        <f ca="1">IF(DAY($AF3+1)&gt;DAY(AF3),$AF3+1,0)</f>
        <v>44771</v>
      </c>
      <c r="AH3" s="20">
        <f ca="1">IF(DAY($AF3+2)&gt;DAY(AF3),$AF3+2,0)</f>
        <v>44772</v>
      </c>
      <c r="AI3" s="20">
        <f ca="1">IF(DAY($AF3+3)&gt;DAY(AF3),$AF3+3,0)</f>
        <v>44773</v>
      </c>
      <c r="AJ3" s="25" t="s">
        <v>29</v>
      </c>
      <c r="AK3" s="28" t="s">
        <v>30</v>
      </c>
      <c r="AL3" s="26" t="s">
        <v>31</v>
      </c>
      <c r="AM3" s="26" t="s">
        <v>32</v>
      </c>
      <c r="AN3" s="26" t="s">
        <v>42</v>
      </c>
      <c r="AO3" s="25" t="s">
        <v>59</v>
      </c>
      <c r="AP3" s="112"/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</row>
    <row r="4" spans="1:50" s="6" customFormat="1" ht="21" x14ac:dyDescent="0.3">
      <c r="A4" s="98">
        <f>IF(C4="","",SUBTOTAL(103,$B$4:B4))</f>
        <v>1</v>
      </c>
      <c r="B4" s="100">
        <v>6</v>
      </c>
      <c r="C4" s="102" t="str">
        <f>IFERROR(VLOOKUP(B4,DATA!$G$2:$I$29,2,0),"")</f>
        <v>Владимирова В.П.</v>
      </c>
      <c r="D4" s="104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>
        <v>8</v>
      </c>
      <c r="Z4" s="13">
        <v>8</v>
      </c>
      <c r="AA4" s="13" t="s">
        <v>57</v>
      </c>
      <c r="AB4" s="13" t="s">
        <v>57</v>
      </c>
      <c r="AC4" s="13">
        <v>8</v>
      </c>
      <c r="AD4" s="13">
        <v>8</v>
      </c>
      <c r="AE4" s="13">
        <v>8</v>
      </c>
      <c r="AF4" s="13">
        <v>8</v>
      </c>
      <c r="AG4" s="13">
        <v>8</v>
      </c>
      <c r="AH4" s="13">
        <v>15</v>
      </c>
      <c r="AI4" s="14">
        <v>1</v>
      </c>
      <c r="AJ4" s="106">
        <f>COUNTIF($E4:$AI4,"&gt;0")</f>
        <v>9</v>
      </c>
      <c r="AK4" s="87">
        <f>SUM(E5:AI5)</f>
        <v>6</v>
      </c>
      <c r="AL4" s="89">
        <f t="array" aca="1" ref="AL4" ca="1">SUM(IFERROR(((ISNUMBER(MATCH($E$3:$AI$3,DATA!$C$2:$C$30,))+ISNUMBER(MATCH($E$3:$AI$3,,)))&gt;0)*$E4:$AI5,))</f>
        <v>0</v>
      </c>
      <c r="AM4" s="91">
        <f>SUM(E4:AI5)</f>
        <v>78</v>
      </c>
      <c r="AN4" s="93" t="str">
        <f>IF(AT4&gt;0,AM4-($D$2-SUMPRODUCT((E4:AI4={"О"})*((WEEKDAY(E$3:AI$3,2)&lt;6)-(WEEKDAY(COUNTIF(DATA!C$2:C$30,E$3:AI$3)*E$3:AI$3,2)&lt;6)+COUNTIF(DATA!D$2:D$30,E$3:AI$3)))*8)-AL4,"")</f>
        <v/>
      </c>
      <c r="AO4" s="92" t="str">
        <f>IF(AW4+AT4&gt;0,AM4-($D$2-SUMPRODUCT((E4:AI4={"Б";"О"})*((WEEKDAY(E$3:AI$3,2)&lt;6)-(WEEKDAY(COUNTIF(DATA!C$2:C$30,E$3:AI$3)*E$3:AI$3,2)&lt;6)+COUNTIF(DATA!D$2:D$30,E$3:AI$3)))*8)-AL4,"")</f>
        <v/>
      </c>
      <c r="AP4" s="113">
        <f ca="1">IF(AT4+AW4=0,IF(COUNTIF(E4:AI4,"О")&gt;0,0,AM4-AL4-(SUMPRODUCT(--(MONTH(DATA!$F$2:$F$30)=MONTH($C$2)))*8)-($D$2-(NETWORKDAYS($C$2,$C$2+COUNTBLANK(E4:AI4),DATA!$C$2:$C$30)-1)*8)),IF(AW4+AT4&gt;0,AM4-($D$2-SUMPRODUCT((E4:AI4={"Б";"О"})*((WEEKDAY(E$3:AI$3,2)&lt;6)-(WEEKDAY(COUNTIF(DATA!C$2:C$30,E$3:AI$3)*E$3:AI$3,2)&lt;6)+COUNTIF(DATA!D$2:D$30,E$3:AI$3)))*8)-AL4,""))</f>
        <v>22</v>
      </c>
      <c r="AQ4" s="95" t="e">
        <f ca="1">SUM(SUMIF(#REF!,"&gt;0"),SUMIF(#REF!,"&gt;0"),SUMIF(Июль!AN4:AP5,"&gt;0"))</f>
        <v>#REF!</v>
      </c>
      <c r="AR4" s="77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16</v>
      </c>
      <c r="AS4" s="90">
        <f>COUNTIF($E4:$AI4,"В")</f>
        <v>2</v>
      </c>
      <c r="AT4" s="90">
        <f>COUNTIF($E4:$AI4,"О")</f>
        <v>0</v>
      </c>
      <c r="AU4" s="90">
        <f>COUNTIF($E4:$AI4,"А")</f>
        <v>0</v>
      </c>
      <c r="AV4" s="90">
        <f>COUNTIF($E4:$AI4,"У")</f>
        <v>0</v>
      </c>
      <c r="AW4" s="79">
        <f>COUNTIF($E4:$AI4,"Б")</f>
        <v>0</v>
      </c>
    </row>
    <row r="5" spans="1:50" s="6" customFormat="1" ht="21" x14ac:dyDescent="0.3">
      <c r="A5" s="99"/>
      <c r="B5" s="101"/>
      <c r="C5" s="103"/>
      <c r="D5" s="105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>
        <f t="shared" si="2"/>
        <v>6</v>
      </c>
      <c r="AJ5" s="90"/>
      <c r="AK5" s="88"/>
      <c r="AL5" s="90"/>
      <c r="AM5" s="92"/>
      <c r="AN5" s="94"/>
      <c r="AO5" s="92"/>
      <c r="AP5" s="114"/>
      <c r="AQ5" s="96"/>
      <c r="AR5" s="78"/>
      <c r="AS5" s="72"/>
      <c r="AT5" s="72"/>
      <c r="AU5" s="72"/>
      <c r="AV5" s="72"/>
      <c r="AW5" s="73"/>
    </row>
    <row r="6" spans="1:50" s="6" customFormat="1" ht="21" customHeight="1" x14ac:dyDescent="0.3">
      <c r="A6" s="80">
        <f>IF(C6="","",SUBTOTAL(103,$B$4:B6))</f>
        <v>2</v>
      </c>
      <c r="B6" s="82">
        <v>8</v>
      </c>
      <c r="C6" s="83" t="str">
        <f>IFERROR(VLOOKUP(B6,DATA!$G$2:$I$29,2,0),"")</f>
        <v>Головина Н.П.</v>
      </c>
      <c r="D6" s="85" t="str">
        <f>IFERROR(VLOOKUP(B6,DATA!$G$2:$I$29,3,0),"")</f>
        <v>оператор диспетчерской службы</v>
      </c>
      <c r="E6" s="13">
        <v>12</v>
      </c>
      <c r="F6" s="13" t="s">
        <v>58</v>
      </c>
      <c r="G6" s="13" t="s">
        <v>60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72">
        <f>COUNTIF($E6:$AI6,"&gt;0")</f>
        <v>1</v>
      </c>
      <c r="AK6" s="87">
        <f t="shared" ref="AK6" si="3">SUM(E7:AI7)</f>
        <v>0</v>
      </c>
      <c r="AL6" s="89">
        <f t="array" aca="1" ref="AL6" ca="1">SUM(IFERROR(((ISNUMBER(MATCH($E$3:$AI$3,DATA!$C$2:$C$30,))+ISNUMBER(MATCH($E$3:$AI$3,,)))&gt;0)*$E6:$AI7,))</f>
        <v>0</v>
      </c>
      <c r="AM6" s="91">
        <f>SUM(E6:AI7)</f>
        <v>12</v>
      </c>
      <c r="AN6" s="93">
        <f ca="1">IF(AT6&gt;0,AM6-($D$2-SUMPRODUCT((E6:AI6={"О"})*((WEEKDAY(E$3:AI$3,2)&lt;6)-(WEEKDAY(COUNTIF(DATA!C$2:C$30,E$3:AI$3)*E$3:AI$3,2)&lt;6)+COUNTIF(DATA!D$2:D$30,E$3:AI$3)))*8)-AL6,"")</f>
        <v>-156</v>
      </c>
      <c r="AO6" s="92">
        <f ca="1">IF(AW6+AT6&gt;0,AM6-($D$2-SUMPRODUCT((E6:AI6={"Б";"О"})*((WEEKDAY(E$3:AI$3,2)&lt;6)-(WEEKDAY(COUNTIF(DATA!C$2:C$30,E$3:AI$3)*E$3:AI$3,2)&lt;6)+COUNTIF(DATA!D$2:D$30,E$3:AI$3)))*8)-AL6,"")</f>
        <v>-156</v>
      </c>
      <c r="AP6" s="117">
        <f ca="1">IF(AT6+AW6=0,IF(COUNTIF(E6:AI6,"О")&gt;0,0,AM6-AL6-(SUMPRODUCT(--(MONTH(DATA!$F$2:$F$30)=MONTH($C$2)))*8)-($D$2-(NETWORKDAYS($C$2,$C$2+COUNTBLANK(E6:AI6),DATA!$C$2:$C$30)-1)*8)),IF(AW6+AT6&gt;0,AM6-($D$2-SUMPRODUCT((E6:AI6={"Б";"О"})*((WEEKDAY(E$3:AI$3,2)&lt;6)-(WEEKDAY(COUNTIF(DATA!C$2:C$30,E$3:AI$3)*E$3:AI$3,2)&lt;6)+COUNTIF(DATA!D$2:D$30,E$3:AI$3)))*8)-AL6,""))</f>
        <v>-156</v>
      </c>
      <c r="AQ6" s="76" t="e">
        <f ca="1">SUM(SUMIF(#REF!,"&gt;0"),SUMIF(#REF!,"&gt;0"),SUMIF(Июль!AN6:AP7,"&gt;0"))</f>
        <v>#REF!</v>
      </c>
      <c r="AR6" s="77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72">
        <f>COUNTIF($E6:$AI6,"В")</f>
        <v>0</v>
      </c>
      <c r="AT6" s="72">
        <f>COUNTIF($E6:$AI6,"О")</f>
        <v>1</v>
      </c>
      <c r="AU6" s="72">
        <f>COUNTIF($E6:$AI6,"А")</f>
        <v>0</v>
      </c>
      <c r="AV6" s="72">
        <f>COUNTIF($E6:$AI6,"У")</f>
        <v>0</v>
      </c>
      <c r="AW6" s="73">
        <f>COUNTIF($E6:$AI6,"Б")</f>
        <v>1</v>
      </c>
    </row>
    <row r="7" spans="1:50" s="6" customFormat="1" ht="21" x14ac:dyDescent="0.3">
      <c r="A7" s="81"/>
      <c r="B7" s="82"/>
      <c r="C7" s="84"/>
      <c r="D7" s="86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72"/>
      <c r="AK7" s="88"/>
      <c r="AL7" s="90"/>
      <c r="AM7" s="92"/>
      <c r="AN7" s="94"/>
      <c r="AO7" s="92"/>
      <c r="AP7" s="117"/>
      <c r="AQ7" s="76"/>
      <c r="AR7" s="78"/>
      <c r="AS7" s="72"/>
      <c r="AT7" s="72"/>
      <c r="AU7" s="72"/>
      <c r="AV7" s="72"/>
      <c r="AW7" s="73"/>
    </row>
    <row r="8" spans="1:50" s="6" customFormat="1" ht="21" customHeight="1" x14ac:dyDescent="0.3">
      <c r="A8" s="80" t="str">
        <f>IF(C8="","",SUBTOTAL(103,$B$4:B8))</f>
        <v/>
      </c>
      <c r="B8" s="82">
        <v>8</v>
      </c>
      <c r="C8" s="83"/>
      <c r="D8" s="85" t="str">
        <f>IFERROR(VLOOKUP(B8,DATA!$G$2:$I$29,3,0),"")</f>
        <v>оператор диспетчерской службы</v>
      </c>
      <c r="E8" s="13">
        <v>12</v>
      </c>
      <c r="F8" s="13">
        <v>3</v>
      </c>
      <c r="G8" s="13">
        <v>1</v>
      </c>
      <c r="H8" s="13" t="s">
        <v>57</v>
      </c>
      <c r="I8" s="13">
        <v>12</v>
      </c>
      <c r="J8" s="13">
        <v>3</v>
      </c>
      <c r="K8" s="13">
        <v>1</v>
      </c>
      <c r="L8" s="13" t="s">
        <v>57</v>
      </c>
      <c r="M8" s="13">
        <v>12</v>
      </c>
      <c r="N8" s="13">
        <v>3</v>
      </c>
      <c r="O8" s="13">
        <v>1</v>
      </c>
      <c r="P8" s="13" t="s">
        <v>57</v>
      </c>
      <c r="Q8" s="13">
        <v>12</v>
      </c>
      <c r="R8" s="13">
        <v>3</v>
      </c>
      <c r="S8" s="13">
        <v>1</v>
      </c>
      <c r="T8" s="13" t="s">
        <v>57</v>
      </c>
      <c r="U8" s="13" t="s">
        <v>4</v>
      </c>
      <c r="V8" s="13" t="s">
        <v>4</v>
      </c>
      <c r="W8" s="13" t="s">
        <v>4</v>
      </c>
      <c r="X8" s="13" t="s">
        <v>4</v>
      </c>
      <c r="Y8" s="13" t="s">
        <v>4</v>
      </c>
      <c r="Z8" s="13" t="s">
        <v>4</v>
      </c>
      <c r="AA8" s="13" t="s">
        <v>4</v>
      </c>
      <c r="AB8" s="13" t="s">
        <v>4</v>
      </c>
      <c r="AC8" s="13" t="s">
        <v>4</v>
      </c>
      <c r="AD8" s="13" t="s">
        <v>58</v>
      </c>
      <c r="AE8" s="13" t="s">
        <v>58</v>
      </c>
      <c r="AF8" s="13" t="s">
        <v>58</v>
      </c>
      <c r="AG8" s="13" t="s">
        <v>58</v>
      </c>
      <c r="AH8" s="13" t="s">
        <v>58</v>
      </c>
      <c r="AI8" s="14" t="s">
        <v>58</v>
      </c>
      <c r="AJ8" s="72">
        <f>COUNTIF($E8:$AI8,"&gt;0")</f>
        <v>12</v>
      </c>
      <c r="AK8" s="87">
        <f t="shared" ref="AK8" si="5">SUM(E9:AI9)</f>
        <v>32</v>
      </c>
      <c r="AL8" s="89">
        <f t="array" aca="1" ref="AL8" ca="1">SUM(IFERROR(((ISNUMBER(MATCH($E$3:$AI$3,DATA!$C$2:$C$30,))+ISNUMBER(MATCH($E$3:$AI$3,,)))&gt;0)*$E8:$AI9,))</f>
        <v>0</v>
      </c>
      <c r="AM8" s="91">
        <f>SUM(E8:AI9)</f>
        <v>96</v>
      </c>
      <c r="AN8" s="93">
        <f ca="1">IF(AT8&gt;0,AM8-($D$2-SUMPRODUCT((E8:AI8={"О";"Б"})*((WEEKDAY(E$3:AI$3,2)&lt;6)-(WEEKDAY(COUNTIF(DATA!C$2:C$30,E$3:AI$3)*E$3:AI$3,2)&lt;6)+COUNTIF(DATA!D$2:D$30,E$3:AI$3)))*8)-AL8,"")</f>
        <v>8</v>
      </c>
      <c r="AO8" s="92">
        <f ca="1">IF(AW8+AT8&gt;0,AM8-($D$2-SUMPRODUCT((E8:AI8={"Б";"О"})*((WEEKDAY(E$3:AI$3,2)&lt;6)-(WEEKDAY(COUNTIF(DATA!C$2:C$30,E$3:AI$3)*E$3:AI$3,2)&lt;6)+COUNTIF(DATA!D$2:D$30,E$3:AI$3)))*8)-AL8,"")</f>
        <v>8</v>
      </c>
      <c r="AP8" s="117">
        <f ca="1">IF(AT8+AW8=0,IF(COUNTIF(E8:AI8,"О")&gt;0,0,AM8-AL8-(SUMPRODUCT(--(MONTH(DATA!$F$2:$F$30)=MONTH($C$2)))*8)-($D$2-(NETWORKDAYS($C$2,$C$2+COUNTBLANK(E8:AI8),DATA!$C$2:$C$30)-1)*8)),IF(AW8+AT8&gt;0,AM8-($D$2-SUMPRODUCT((E8:AI8={"Б";"О"})*((WEEKDAY(E$3:AI$3,2)&lt;6)-(WEEKDAY(COUNTIF(DATA!C$2:C$30,E$3:AI$3)*E$3:AI$3,2)&lt;6)+COUNTIF(DATA!D$2:D$30,E$3:AI$3)))*8)-AL8,""))</f>
        <v>8</v>
      </c>
      <c r="AQ8" s="76" t="e">
        <f ca="1">SUM(SUMIF(#REF!,"&gt;0"),SUMIF(#REF!,"&gt;0"),SUMIF(Июль!AN8:AP9,"&gt;0"))</f>
        <v>#REF!</v>
      </c>
      <c r="AR8" s="77">
        <f t="array" aca="1" ref="AR8" ca="1">SUM(IFERROR((((WEEKDAY($E$3:$AI$3,2)&gt;5)+ISNUMBER(MATCH($E$3:$AI$3,DATA!$C$2:$C$98,))+ISNUMBER(MATCH($E$3:$AI$3,#REF!,))+ISNUMBER(MATCH($E$3:$AI$3,#REF!,))-(ISNUMBER(MATCH($E$3:$AI$3,#REF!,))+ISNUMBER(MATCH($E$3:$AI$3,#REF!,))))&gt;0)*$E8:$AI8,))</f>
        <v>19</v>
      </c>
      <c r="AS8" s="72">
        <f>COUNTIF($E8:$AI8,"В")</f>
        <v>4</v>
      </c>
      <c r="AT8" s="72">
        <f>COUNTIF($E8:$AI8,"О")</f>
        <v>9</v>
      </c>
      <c r="AU8" s="72">
        <f>COUNTIF($E8:$AI8,"А")</f>
        <v>0</v>
      </c>
      <c r="AV8" s="72">
        <f>COUNTIF($E8:$AI8,"У")</f>
        <v>0</v>
      </c>
      <c r="AW8" s="73">
        <f>COUNTIF($E8:$AI8,"Б")</f>
        <v>6</v>
      </c>
    </row>
    <row r="9" spans="1:50" s="6" customFormat="1" ht="21.75" thickBot="1" x14ac:dyDescent="0.35">
      <c r="A9" s="81"/>
      <c r="B9" s="82"/>
      <c r="C9" s="84"/>
      <c r="D9" s="86"/>
      <c r="E9" s="29" t="str">
        <f t="shared" ref="E9:AI9" si="6">IFERROR(_xlfn.IFS(E8=15,2,E8=4,6,E8=3,2,E8=1,6),"")</f>
        <v/>
      </c>
      <c r="F9" s="29">
        <f t="shared" si="6"/>
        <v>2</v>
      </c>
      <c r="G9" s="29">
        <f t="shared" si="6"/>
        <v>6</v>
      </c>
      <c r="H9" s="29" t="str">
        <f t="shared" si="6"/>
        <v/>
      </c>
      <c r="I9" s="29" t="str">
        <f t="shared" si="6"/>
        <v/>
      </c>
      <c r="J9" s="29">
        <f t="shared" si="6"/>
        <v>2</v>
      </c>
      <c r="K9" s="29">
        <f t="shared" si="6"/>
        <v>6</v>
      </c>
      <c r="L9" s="29" t="str">
        <f t="shared" si="6"/>
        <v/>
      </c>
      <c r="M9" s="29" t="str">
        <f t="shared" si="6"/>
        <v/>
      </c>
      <c r="N9" s="29">
        <f t="shared" si="6"/>
        <v>2</v>
      </c>
      <c r="O9" s="29">
        <f t="shared" si="6"/>
        <v>6</v>
      </c>
      <c r="P9" s="29" t="str">
        <f t="shared" si="6"/>
        <v/>
      </c>
      <c r="Q9" s="29" t="str">
        <f t="shared" si="6"/>
        <v/>
      </c>
      <c r="R9" s="29">
        <f t="shared" si="6"/>
        <v>2</v>
      </c>
      <c r="S9" s="29">
        <f t="shared" si="6"/>
        <v>6</v>
      </c>
      <c r="T9" s="29" t="str">
        <f t="shared" si="6"/>
        <v/>
      </c>
      <c r="U9" s="29" t="str">
        <f t="shared" si="6"/>
        <v/>
      </c>
      <c r="V9" s="29" t="str">
        <f t="shared" si="6"/>
        <v/>
      </c>
      <c r="W9" s="29" t="str">
        <f t="shared" si="6"/>
        <v/>
      </c>
      <c r="X9" s="29" t="str">
        <f t="shared" si="6"/>
        <v/>
      </c>
      <c r="Y9" s="29" t="str">
        <f t="shared" si="6"/>
        <v/>
      </c>
      <c r="Z9" s="29" t="str">
        <f t="shared" si="6"/>
        <v/>
      </c>
      <c r="AA9" s="29" t="str">
        <f t="shared" si="6"/>
        <v/>
      </c>
      <c r="AB9" s="29" t="str">
        <f t="shared" si="6"/>
        <v/>
      </c>
      <c r="AC9" s="29" t="str">
        <f t="shared" si="6"/>
        <v/>
      </c>
      <c r="AD9" s="29" t="str">
        <f t="shared" si="6"/>
        <v/>
      </c>
      <c r="AE9" s="68" t="str">
        <f t="shared" si="6"/>
        <v/>
      </c>
      <c r="AF9" s="68" t="str">
        <f t="shared" si="6"/>
        <v/>
      </c>
      <c r="AG9" s="68" t="str">
        <f t="shared" si="6"/>
        <v/>
      </c>
      <c r="AH9" s="68" t="str">
        <f t="shared" si="6"/>
        <v/>
      </c>
      <c r="AI9" s="68" t="str">
        <f t="shared" si="6"/>
        <v/>
      </c>
      <c r="AJ9" s="89"/>
      <c r="AK9" s="116"/>
      <c r="AL9" s="118"/>
      <c r="AM9" s="119"/>
      <c r="AN9" s="94"/>
      <c r="AO9" s="92"/>
      <c r="AP9" s="120"/>
      <c r="AQ9" s="76"/>
      <c r="AR9" s="78"/>
      <c r="AS9" s="72"/>
      <c r="AT9" s="72"/>
      <c r="AU9" s="72"/>
      <c r="AV9" s="72"/>
      <c r="AW9" s="73"/>
    </row>
    <row r="10" spans="1:50" ht="21.75" thickBot="1" x14ac:dyDescent="0.3">
      <c r="A10" s="9"/>
      <c r="E10" s="11"/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15" t="s">
        <v>6</v>
      </c>
      <c r="AF10" s="115"/>
      <c r="AG10" s="115"/>
      <c r="AH10" s="115"/>
      <c r="AI10" s="115"/>
      <c r="AJ10" s="39">
        <f t="shared" ref="AJ10:AW10" si="7">SUMIF(AJ4:AJ7,"&gt;0")</f>
        <v>10</v>
      </c>
      <c r="AK10" s="39">
        <f t="shared" si="7"/>
        <v>6</v>
      </c>
      <c r="AL10" s="39">
        <f t="shared" ca="1" si="7"/>
        <v>0</v>
      </c>
      <c r="AM10" s="39">
        <f t="shared" si="7"/>
        <v>90</v>
      </c>
      <c r="AN10" s="39">
        <f t="shared" ca="1" si="7"/>
        <v>0</v>
      </c>
      <c r="AO10" s="39">
        <f t="shared" ca="1" si="7"/>
        <v>0</v>
      </c>
      <c r="AP10" s="67">
        <f t="shared" ca="1" si="7"/>
        <v>22</v>
      </c>
      <c r="AQ10" s="40">
        <f t="shared" ca="1" si="7"/>
        <v>0</v>
      </c>
      <c r="AR10" s="39">
        <f t="shared" ca="1" si="7"/>
        <v>16</v>
      </c>
      <c r="AS10" s="39">
        <f t="shared" si="7"/>
        <v>2</v>
      </c>
      <c r="AT10" s="39">
        <f t="shared" si="7"/>
        <v>1</v>
      </c>
      <c r="AU10" s="39">
        <f t="shared" si="7"/>
        <v>0</v>
      </c>
      <c r="AV10" s="39">
        <f t="shared" si="7"/>
        <v>0</v>
      </c>
      <c r="AW10" s="39">
        <f t="shared" si="7"/>
        <v>1</v>
      </c>
    </row>
    <row r="12" spans="1:50" ht="18.75" x14ac:dyDescent="0.3">
      <c r="B12" s="52" t="s">
        <v>1</v>
      </c>
      <c r="C12" s="10" t="s">
        <v>3</v>
      </c>
      <c r="D12" s="42"/>
    </row>
    <row r="13" spans="1:50" ht="18.75" x14ac:dyDescent="0.3">
      <c r="B13" s="43" t="s">
        <v>10</v>
      </c>
      <c r="C13" s="10" t="s">
        <v>9</v>
      </c>
      <c r="D13" s="44"/>
    </row>
    <row r="14" spans="1:50" ht="18.75" x14ac:dyDescent="0.3">
      <c r="B14" s="45" t="s">
        <v>4</v>
      </c>
      <c r="C14" s="10" t="s">
        <v>0</v>
      </c>
      <c r="D14" s="42"/>
    </row>
    <row r="15" spans="1:50" ht="18.75" x14ac:dyDescent="0.25">
      <c r="B15" s="46" t="s">
        <v>11</v>
      </c>
      <c r="C15" s="10" t="s">
        <v>5</v>
      </c>
      <c r="D15" s="47"/>
    </row>
    <row r="16" spans="1:50" ht="18.75" x14ac:dyDescent="0.25">
      <c r="B16" s="48" t="s">
        <v>16</v>
      </c>
      <c r="C16" s="12" t="s">
        <v>20</v>
      </c>
      <c r="D16" s="49"/>
    </row>
  </sheetData>
  <sheetProtection selectLockedCells="1"/>
  <mergeCells count="60">
    <mergeCell ref="AW8:AW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U6:AU7"/>
    <mergeCell ref="AV6:AV7"/>
    <mergeCell ref="AW6:AW7"/>
    <mergeCell ref="AE10:AI10"/>
    <mergeCell ref="A8:A9"/>
    <mergeCell ref="B8:B9"/>
    <mergeCell ref="C8:C9"/>
    <mergeCell ref="D8:D9"/>
    <mergeCell ref="AJ8:AJ9"/>
    <mergeCell ref="AK8:AK9"/>
    <mergeCell ref="AO6:AO7"/>
    <mergeCell ref="AP6:AP7"/>
    <mergeCell ref="AQ6:AQ7"/>
    <mergeCell ref="AR6:AR7"/>
    <mergeCell ref="AS6:AS7"/>
    <mergeCell ref="AT6:AT7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S2:AW2"/>
    <mergeCell ref="A4:A5"/>
    <mergeCell ref="B4:B5"/>
    <mergeCell ref="C4:C5"/>
    <mergeCell ref="D4:D5"/>
    <mergeCell ref="AJ4:AJ5"/>
    <mergeCell ref="AP2:AP3"/>
    <mergeCell ref="AP4:AP5"/>
    <mergeCell ref="A2:A3"/>
    <mergeCell ref="B2:B3"/>
    <mergeCell ref="AJ2:AM2"/>
    <mergeCell ref="AK4:AK5"/>
    <mergeCell ref="AL4:AL5"/>
    <mergeCell ref="AM4:AM5"/>
    <mergeCell ref="AN4:AN5"/>
    <mergeCell ref="AO4:AO5"/>
  </mergeCells>
  <conditionalFormatting sqref="E2:AI9">
    <cfRule type="expression" dxfId="27" priority="14">
      <formula>(WEEKDAY(E$3,2)&gt;5)*(E$3&lt;&gt;0)</formula>
    </cfRule>
  </conditionalFormatting>
  <conditionalFormatting sqref="E3:AI9">
    <cfRule type="cellIs" dxfId="26" priority="1" operator="equal">
      <formula>"В"</formula>
    </cfRule>
  </conditionalFormatting>
  <conditionalFormatting sqref="E4:AI9">
    <cfRule type="cellIs" dxfId="25" priority="2" operator="equal">
      <formula>"У"</formula>
    </cfRule>
    <cfRule type="cellIs" dxfId="24" priority="3" operator="equal">
      <formula>"О"</formula>
    </cfRule>
    <cfRule type="cellIs" dxfId="23" priority="4" operator="equal">
      <formula>"Б"</formula>
    </cfRule>
    <cfRule type="cellIs" dxfId="22" priority="5" operator="equal">
      <formula>"А"</formula>
    </cfRule>
    <cfRule type="cellIs" dxfId="21" priority="6" operator="equal">
      <formula>"ВВ"</formula>
    </cfRule>
    <cfRule type="cellIs" dxfId="20" priority="7" operator="equal">
      <formula>"К"</formula>
    </cfRule>
    <cfRule type="cellIs" dxfId="19" priority="8" operator="equal">
      <formula>"Н"</formula>
    </cfRule>
    <cfRule type="cellIs" dxfId="18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28C1D24-0297-4214-8BD6-7084F4BDAF3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63DF2D57-C3D4-49C1-A301-B5266EB18EFE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553B933A-2A98-418A-9E94-172A1BA65CF2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F9EE12FC-5D35-453A-8649-D8032F11F152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FD7DA9-0F9D-46B9-8E4A-257AC55ACEED}">
          <x14:formula1>
            <xm:f>DATA!$G$2:$G$29</xm:f>
          </x14:formula1>
          <xm:sqref>B4:B9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14"/>
  <sheetViews>
    <sheetView zoomScale="60" zoomScaleNormal="60" workbookViewId="0">
      <selection activeCell="AZ22" sqref="AZ22"/>
    </sheetView>
  </sheetViews>
  <sheetFormatPr defaultRowHeight="15" x14ac:dyDescent="0.25"/>
  <cols>
    <col min="1" max="1" width="6.140625" style="8" customWidth="1"/>
    <col min="2" max="2" width="7.28515625" style="8" customWidth="1"/>
    <col min="3" max="3" width="26.7109375" style="8" customWidth="1"/>
    <col min="4" max="4" width="34.7109375" style="8" customWidth="1"/>
    <col min="5" max="35" width="5.28515625" style="8" customWidth="1"/>
    <col min="36" max="42" width="8.28515625" style="8" customWidth="1"/>
    <col min="43" max="44" width="8.28515625" style="8" hidden="1" customWidth="1"/>
    <col min="45" max="49" width="8.28515625" style="8" customWidth="1"/>
    <col min="50" max="50" width="9.140625" style="8"/>
    <col min="51" max="51" width="9.5703125" style="8" bestFit="1" customWidth="1"/>
    <col min="52" max="16384" width="9.140625" style="8"/>
  </cols>
  <sheetData>
    <row r="1" spans="1:55" s="5" customFormat="1" ht="32.25" customHeight="1" thickBot="1" x14ac:dyDescent="0.35">
      <c r="A1" s="1"/>
      <c r="B1" s="1"/>
      <c r="C1" s="5">
        <v>144</v>
      </c>
      <c r="D1" s="53">
        <f ca="1">NETWORKDAYS(C2,(C2+COUNTIF(E3:AI3,"&gt;0")-1),DATA!C2:C30)</f>
        <v>21</v>
      </c>
      <c r="E1" s="31"/>
      <c r="F1" s="31"/>
      <c r="G1" s="31"/>
      <c r="H1" s="31"/>
      <c r="I1" s="31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55" s="6" customFormat="1" ht="27" customHeight="1" thickBot="1" x14ac:dyDescent="0.35">
      <c r="A2" s="107" t="s">
        <v>2</v>
      </c>
      <c r="B2" s="107" t="s">
        <v>12</v>
      </c>
      <c r="C2" s="32">
        <f ca="1">--("1."&amp;MID(CELL("имяфайла",A1),FIND("]",CELL("имяфайла",A1))+1,20)&amp;DATA!A1)</f>
        <v>44866</v>
      </c>
      <c r="D2" s="60">
        <f ca="1">(COUNT(E3:AI3)-SUMPRODUCT(((WEEKDAY(E3:AI3,2)&gt;5)+ISNUMBER(MATCH(E3:AI3,DATA!C2:C30,))+ISNUMBER(MATCH(E3:AI3,DATA!F2:F30,))&gt;0)-ISNUMBER(MATCH(E3:AI3,DATA!D2:D30,))))*8-SUMPRODUCT(--ISNUMBER(MATCH(E3:AI3,DATA!E2:E30,)))</f>
        <v>167</v>
      </c>
      <c r="E2" s="19">
        <f t="shared" ref="E2:AF2" ca="1" si="0">E3</f>
        <v>44866</v>
      </c>
      <c r="F2" s="19">
        <f t="shared" ca="1" si="0"/>
        <v>44867</v>
      </c>
      <c r="G2" s="19">
        <f t="shared" ca="1" si="0"/>
        <v>44868</v>
      </c>
      <c r="H2" s="19">
        <f t="shared" ca="1" si="0"/>
        <v>44869</v>
      </c>
      <c r="I2" s="19">
        <f t="shared" ca="1" si="0"/>
        <v>44870</v>
      </c>
      <c r="J2" s="19">
        <f t="shared" ca="1" si="0"/>
        <v>44871</v>
      </c>
      <c r="K2" s="19">
        <f t="shared" ca="1" si="0"/>
        <v>44872</v>
      </c>
      <c r="L2" s="19">
        <f t="shared" ca="1" si="0"/>
        <v>44873</v>
      </c>
      <c r="M2" s="19">
        <f t="shared" ca="1" si="0"/>
        <v>44874</v>
      </c>
      <c r="N2" s="19">
        <f t="shared" ca="1" si="0"/>
        <v>44875</v>
      </c>
      <c r="O2" s="19">
        <f t="shared" ca="1" si="0"/>
        <v>44876</v>
      </c>
      <c r="P2" s="19">
        <f t="shared" ca="1" si="0"/>
        <v>44877</v>
      </c>
      <c r="Q2" s="19">
        <f t="shared" ca="1" si="0"/>
        <v>44878</v>
      </c>
      <c r="R2" s="19">
        <f t="shared" ca="1" si="0"/>
        <v>44879</v>
      </c>
      <c r="S2" s="19">
        <f t="shared" ca="1" si="0"/>
        <v>44880</v>
      </c>
      <c r="T2" s="19">
        <f t="shared" ca="1" si="0"/>
        <v>44881</v>
      </c>
      <c r="U2" s="19">
        <f t="shared" ca="1" si="0"/>
        <v>44882</v>
      </c>
      <c r="V2" s="19">
        <f t="shared" ca="1" si="0"/>
        <v>44883</v>
      </c>
      <c r="W2" s="19">
        <f t="shared" ca="1" si="0"/>
        <v>44884</v>
      </c>
      <c r="X2" s="19">
        <f t="shared" ca="1" si="0"/>
        <v>44885</v>
      </c>
      <c r="Y2" s="19">
        <f t="shared" ca="1" si="0"/>
        <v>44886</v>
      </c>
      <c r="Z2" s="19">
        <f t="shared" ca="1" si="0"/>
        <v>44887</v>
      </c>
      <c r="AA2" s="19">
        <f t="shared" ca="1" si="0"/>
        <v>44888</v>
      </c>
      <c r="AB2" s="19">
        <f t="shared" ca="1" si="0"/>
        <v>44889</v>
      </c>
      <c r="AC2" s="19">
        <f t="shared" ca="1" si="0"/>
        <v>44890</v>
      </c>
      <c r="AD2" s="19">
        <f t="shared" ca="1" si="0"/>
        <v>44891</v>
      </c>
      <c r="AE2" s="19">
        <f t="shared" ca="1" si="0"/>
        <v>44892</v>
      </c>
      <c r="AF2" s="19">
        <f t="shared" ca="1" si="0"/>
        <v>44893</v>
      </c>
      <c r="AG2" s="19">
        <f ca="1">IF(AG3=0,"",AG3)</f>
        <v>44894</v>
      </c>
      <c r="AH2" s="19">
        <f ca="1">IF(AH3=0,"",AH3)</f>
        <v>44895</v>
      </c>
      <c r="AI2" s="19" t="str">
        <f ca="1">IF(AI3=0,"",AI3)</f>
        <v/>
      </c>
      <c r="AJ2" s="108" t="s">
        <v>14</v>
      </c>
      <c r="AK2" s="109"/>
      <c r="AL2" s="109"/>
      <c r="AM2" s="110"/>
      <c r="AN2" s="108" t="s">
        <v>40</v>
      </c>
      <c r="AO2" s="109"/>
      <c r="AP2" s="109"/>
      <c r="AQ2" s="110"/>
      <c r="AR2" s="35"/>
      <c r="AS2" s="97" t="s">
        <v>7</v>
      </c>
      <c r="AT2" s="97"/>
      <c r="AU2" s="97"/>
      <c r="AV2" s="97"/>
      <c r="AW2" s="97"/>
      <c r="AX2" s="30"/>
    </row>
    <row r="3" spans="1:55" s="7" customFormat="1" ht="201" customHeight="1" thickBot="1" x14ac:dyDescent="0.3">
      <c r="A3" s="107"/>
      <c r="B3" s="107"/>
      <c r="C3" s="64" t="s">
        <v>24</v>
      </c>
      <c r="D3" s="64" t="s">
        <v>8</v>
      </c>
      <c r="E3" s="20">
        <f ca="1">C2</f>
        <v>44866</v>
      </c>
      <c r="F3" s="20">
        <f t="shared" ref="F3:AF3" ca="1" si="1">E3+1</f>
        <v>44867</v>
      </c>
      <c r="G3" s="20">
        <f t="shared" ca="1" si="1"/>
        <v>44868</v>
      </c>
      <c r="H3" s="20">
        <f t="shared" ca="1" si="1"/>
        <v>44869</v>
      </c>
      <c r="I3" s="20">
        <f t="shared" ca="1" si="1"/>
        <v>44870</v>
      </c>
      <c r="J3" s="20">
        <f t="shared" ca="1" si="1"/>
        <v>44871</v>
      </c>
      <c r="K3" s="20">
        <f t="shared" ca="1" si="1"/>
        <v>44872</v>
      </c>
      <c r="L3" s="20">
        <f t="shared" ca="1" si="1"/>
        <v>44873</v>
      </c>
      <c r="M3" s="20">
        <f t="shared" ca="1" si="1"/>
        <v>44874</v>
      </c>
      <c r="N3" s="20">
        <f t="shared" ca="1" si="1"/>
        <v>44875</v>
      </c>
      <c r="O3" s="20">
        <f t="shared" ca="1" si="1"/>
        <v>44876</v>
      </c>
      <c r="P3" s="20">
        <f t="shared" ca="1" si="1"/>
        <v>44877</v>
      </c>
      <c r="Q3" s="20">
        <f t="shared" ca="1" si="1"/>
        <v>44878</v>
      </c>
      <c r="R3" s="20">
        <f t="shared" ca="1" si="1"/>
        <v>44879</v>
      </c>
      <c r="S3" s="20">
        <f t="shared" ca="1" si="1"/>
        <v>44880</v>
      </c>
      <c r="T3" s="20">
        <f t="shared" ca="1" si="1"/>
        <v>44881</v>
      </c>
      <c r="U3" s="20">
        <f t="shared" ca="1" si="1"/>
        <v>44882</v>
      </c>
      <c r="V3" s="20">
        <f t="shared" ca="1" si="1"/>
        <v>44883</v>
      </c>
      <c r="W3" s="20">
        <f t="shared" ca="1" si="1"/>
        <v>44884</v>
      </c>
      <c r="X3" s="20">
        <f t="shared" ca="1" si="1"/>
        <v>44885</v>
      </c>
      <c r="Y3" s="20">
        <f t="shared" ca="1" si="1"/>
        <v>44886</v>
      </c>
      <c r="Z3" s="20">
        <f t="shared" ca="1" si="1"/>
        <v>44887</v>
      </c>
      <c r="AA3" s="20">
        <f t="shared" ca="1" si="1"/>
        <v>44888</v>
      </c>
      <c r="AB3" s="20">
        <f t="shared" ca="1" si="1"/>
        <v>44889</v>
      </c>
      <c r="AC3" s="20">
        <f t="shared" ca="1" si="1"/>
        <v>44890</v>
      </c>
      <c r="AD3" s="20">
        <f t="shared" ca="1" si="1"/>
        <v>44891</v>
      </c>
      <c r="AE3" s="20">
        <f t="shared" ca="1" si="1"/>
        <v>44892</v>
      </c>
      <c r="AF3" s="20">
        <f t="shared" ca="1" si="1"/>
        <v>44893</v>
      </c>
      <c r="AG3" s="20">
        <f ca="1">IF(DAY($AF3+1)&gt;DAY(AF3),$AF3+1,0)</f>
        <v>44894</v>
      </c>
      <c r="AH3" s="20">
        <f ca="1">IF(DAY($AF3+2)&gt;DAY(AF3),$AF3+2,0)</f>
        <v>44895</v>
      </c>
      <c r="AI3" s="20">
        <f ca="1">IF(DAY($AF3+3)&gt;DAY(AF3),$AF3+3,0)</f>
        <v>0</v>
      </c>
      <c r="AJ3" s="25" t="s">
        <v>29</v>
      </c>
      <c r="AK3" s="28" t="s">
        <v>30</v>
      </c>
      <c r="AL3" s="26" t="s">
        <v>31</v>
      </c>
      <c r="AM3" s="37" t="s">
        <v>32</v>
      </c>
      <c r="AN3" s="26" t="s">
        <v>42</v>
      </c>
      <c r="AO3" s="26" t="s">
        <v>41</v>
      </c>
      <c r="AP3" s="26" t="s">
        <v>43</v>
      </c>
      <c r="AQ3" s="41" t="s">
        <v>44</v>
      </c>
      <c r="AR3" s="38" t="s">
        <v>13</v>
      </c>
      <c r="AS3" s="26" t="s">
        <v>33</v>
      </c>
      <c r="AT3" s="26" t="s">
        <v>34</v>
      </c>
      <c r="AU3" s="27" t="s">
        <v>35</v>
      </c>
      <c r="AV3" s="26" t="s">
        <v>36</v>
      </c>
      <c r="AW3" s="26" t="s">
        <v>37</v>
      </c>
      <c r="AZ3" s="54"/>
      <c r="BB3" s="54"/>
      <c r="BC3" s="54"/>
    </row>
    <row r="4" spans="1:55" s="6" customFormat="1" ht="21" x14ac:dyDescent="0.3">
      <c r="A4" s="98">
        <f>IF(C4="","",SUBTOTAL(103,$B$4:B4))</f>
        <v>1</v>
      </c>
      <c r="B4" s="100">
        <v>6</v>
      </c>
      <c r="C4" s="102" t="str">
        <f>IFERROR(VLOOKUP(B4,DATA!$G$2:$I$29,2,0),"")</f>
        <v>Владимирова В.П.</v>
      </c>
      <c r="D4" s="104" t="str">
        <f>IFERROR(VLOOKUP(B4,DATA!$G$2:$I$29,3,0),"")</f>
        <v>оператор на фильтрах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06">
        <f>COUNTIF($E4:$AI4,"&gt;0")</f>
        <v>0</v>
      </c>
      <c r="AK4" s="87">
        <f>SUM(E5:AI5)</f>
        <v>0</v>
      </c>
      <c r="AL4" s="89">
        <f t="array" aca="1" ref="AL4" ca="1">SUM(IFERROR(((ISNUMBER(MATCH($E$3:$AI$3,DATA!$C$2:$C$30,))+ISNUMBER(MATCH($E$3:$AI$3,,)))&gt;0)*$E4:$AI5,))</f>
        <v>0</v>
      </c>
      <c r="AM4" s="91">
        <f>SUM(E4:AI5)</f>
        <v>0</v>
      </c>
      <c r="AN4" s="93" t="str">
        <f>IF(AT4&gt;0,AM4-($D$2-SUMPRODUCT((E4:AI4={"О"})*((WEEKDAY(E$3:AI$3,2)&lt;6)-(WEEKDAY(COUNTIF(DATA!C$2:C$30,E$3:AI$3)*E$3:AI$3,2)&lt;6)+COUNTIF(DATA!D$2:D$30,E$3:AI$3)))*8)-AL4,"")</f>
        <v/>
      </c>
      <c r="AO4" s="90" t="str">
        <f>IF(AW4&gt;0,AM4-($D$2-SUMPRODUCT((E4:AI4={"Б"})*((WEEKDAY(E$3:AI$3,2)&lt;6)-(WEEKDAY(COUNTIF(DATA!C$2:C$30,E$3:AI$3)*E$3:AI$3,2)&lt;6)+COUNTIF(DATA!D$2:D$30,E$3:AI$3)))*8)-AL4,"")</f>
        <v/>
      </c>
      <c r="AP4" s="73">
        <f ca="1">IF(COUNTIF(E4:AI4,"О")&gt;0,0,AM4-AL4-(SUMPRODUCT(--(MONTH(DATA!$F$2:$F$30)=MONTH($C$2)))*8)-($D$2-NETWORKDAYS($C$2,$C$2+COUNTBLANK(E4:AI4)-1,DATA!$C$2:$C$30)*8))</f>
        <v>9</v>
      </c>
      <c r="AQ4" s="95" t="e">
        <f ca="1">SUM(SUMIF(#REF!,"&gt;0"),SUMIF(#REF!,"&gt;0"),SUMIF(ноябрь!AN4:AP5,"&gt;0"))</f>
        <v>#REF!</v>
      </c>
      <c r="AR4" s="77">
        <f t="array" aca="1" ref="AR4" ca="1">SUM(IFERROR((((WEEKDAY($E$3:$AI$3,2)&gt;5)+ISNUMBER(MATCH($E$3:$AI$3,DATA!$C$2:$C$98,))+ISNUMBER(MATCH($E$3:$AI$3,#REF!,))+ISNUMBER(MATCH($E$3:$AI$3,#REF!,))-(ISNUMBER(MATCH($E$3:$AI$3,#REF!,))+ISNUMBER(MATCH($E$3:$AI$3,#REF!,))))&gt;0)*$E4:$AI4,))</f>
        <v>0</v>
      </c>
      <c r="AS4" s="90">
        <f>COUNTIF($E4:$AI4,"В")</f>
        <v>0</v>
      </c>
      <c r="AT4" s="90">
        <f>COUNTIF($E4:$AI4,"О")</f>
        <v>0</v>
      </c>
      <c r="AU4" s="90">
        <f>COUNTIF($E4:$AI4,"А")</f>
        <v>0</v>
      </c>
      <c r="AV4" s="90">
        <f>COUNTIF($E4:$AI4,"У")</f>
        <v>0</v>
      </c>
      <c r="AW4" s="79">
        <f>COUNTIF($E4:$AI4,"Б")</f>
        <v>0</v>
      </c>
    </row>
    <row r="5" spans="1:55" s="6" customFormat="1" ht="21" x14ac:dyDescent="0.3">
      <c r="A5" s="99"/>
      <c r="B5" s="101"/>
      <c r="C5" s="103"/>
      <c r="D5" s="105"/>
      <c r="E5" s="29" t="str">
        <f>IFERROR(_xlfn.IFS(E4=3,2,E4=1,6),"")</f>
        <v/>
      </c>
      <c r="F5" s="29" t="str">
        <f t="shared" ref="F5:AI5" si="2">IFERROR(_xlfn.IFS(F4=3,2,F4=1,6),"")</f>
        <v/>
      </c>
      <c r="G5" s="29" t="str">
        <f t="shared" si="2"/>
        <v/>
      </c>
      <c r="H5" s="29" t="str">
        <f t="shared" si="2"/>
        <v/>
      </c>
      <c r="I5" s="29" t="str">
        <f t="shared" si="2"/>
        <v/>
      </c>
      <c r="J5" s="29" t="str">
        <f t="shared" si="2"/>
        <v/>
      </c>
      <c r="K5" s="29" t="str">
        <f t="shared" si="2"/>
        <v/>
      </c>
      <c r="L5" s="29" t="str">
        <f t="shared" si="2"/>
        <v/>
      </c>
      <c r="M5" s="29" t="str">
        <f t="shared" si="2"/>
        <v/>
      </c>
      <c r="N5" s="29" t="str">
        <f t="shared" si="2"/>
        <v/>
      </c>
      <c r="O5" s="29" t="str">
        <f t="shared" si="2"/>
        <v/>
      </c>
      <c r="P5" s="29" t="str">
        <f t="shared" si="2"/>
        <v/>
      </c>
      <c r="Q5" s="29" t="str">
        <f t="shared" si="2"/>
        <v/>
      </c>
      <c r="R5" s="29" t="str">
        <f t="shared" si="2"/>
        <v/>
      </c>
      <c r="S5" s="29" t="str">
        <f t="shared" si="2"/>
        <v/>
      </c>
      <c r="T5" s="29" t="str">
        <f t="shared" si="2"/>
        <v/>
      </c>
      <c r="U5" s="29" t="str">
        <f t="shared" si="2"/>
        <v/>
      </c>
      <c r="V5" s="29" t="str">
        <f t="shared" si="2"/>
        <v/>
      </c>
      <c r="W5" s="29" t="str">
        <f t="shared" si="2"/>
        <v/>
      </c>
      <c r="X5" s="29" t="str">
        <f t="shared" si="2"/>
        <v/>
      </c>
      <c r="Y5" s="29" t="str">
        <f t="shared" si="2"/>
        <v/>
      </c>
      <c r="Z5" s="29" t="str">
        <f t="shared" si="2"/>
        <v/>
      </c>
      <c r="AA5" s="29" t="str">
        <f t="shared" si="2"/>
        <v/>
      </c>
      <c r="AB5" s="29" t="str">
        <f t="shared" si="2"/>
        <v/>
      </c>
      <c r="AC5" s="29" t="str">
        <f t="shared" si="2"/>
        <v/>
      </c>
      <c r="AD5" s="29" t="str">
        <f t="shared" si="2"/>
        <v/>
      </c>
      <c r="AE5" s="29" t="str">
        <f t="shared" si="2"/>
        <v/>
      </c>
      <c r="AF5" s="29" t="str">
        <f t="shared" si="2"/>
        <v/>
      </c>
      <c r="AG5" s="29" t="str">
        <f t="shared" si="2"/>
        <v/>
      </c>
      <c r="AH5" s="29" t="str">
        <f t="shared" si="2"/>
        <v/>
      </c>
      <c r="AI5" s="29" t="str">
        <f t="shared" si="2"/>
        <v/>
      </c>
      <c r="AJ5" s="90"/>
      <c r="AK5" s="88"/>
      <c r="AL5" s="90"/>
      <c r="AM5" s="92"/>
      <c r="AN5" s="94"/>
      <c r="AO5" s="72"/>
      <c r="AP5" s="73"/>
      <c r="AQ5" s="96"/>
      <c r="AR5" s="78"/>
      <c r="AS5" s="72"/>
      <c r="AT5" s="72"/>
      <c r="AU5" s="72"/>
      <c r="AV5" s="72"/>
      <c r="AW5" s="73"/>
    </row>
    <row r="6" spans="1:55" s="6" customFormat="1" ht="21" customHeight="1" x14ac:dyDescent="0.3">
      <c r="A6" s="80">
        <f>IF(C6="","",SUBTOTAL(103,$B$4:B6))</f>
        <v>2</v>
      </c>
      <c r="B6" s="82">
        <v>8</v>
      </c>
      <c r="C6" s="83" t="str">
        <f>IFERROR(VLOOKUP(B6,DATA!$G$2:$I$29,2,0),"")</f>
        <v>Головина Н.П.</v>
      </c>
      <c r="D6" s="85" t="str">
        <f>IFERROR(VLOOKUP(B6,DATA!$G$2:$I$29,3,0),"")</f>
        <v>оператор диспетчерской службы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4"/>
      <c r="AJ6" s="72">
        <f>COUNTIF($E6:$AI6,"&gt;0")</f>
        <v>0</v>
      </c>
      <c r="AK6" s="87">
        <f t="shared" ref="AK6" si="3">SUM(E7:AI7)</f>
        <v>0</v>
      </c>
      <c r="AL6" s="89">
        <f t="array" aca="1" ref="AL6" ca="1">SUM(IFERROR(((ISNUMBER(MATCH($E$3:$AI$3,DATA!$C$2:$C$30,))+ISNUMBER(MATCH($E$3:$AI$3,,)))&gt;0)*$E6:$AI7,))</f>
        <v>0</v>
      </c>
      <c r="AM6" s="91">
        <f>SUM(E6:AI7)</f>
        <v>0</v>
      </c>
      <c r="AN6" s="93" t="str">
        <f>IF(AT6&gt;0,AM6-($D$2-SUMPRODUCT((E6:AI6={"О"})*((WEEKDAY(E$3:AI$3,2)&lt;6)-(WEEKDAY(COUNTIF(DATA!C$2:C$30,E$3:AI$3)*E$3:AI$3,2)&lt;6)+COUNTIF(DATA!D$2:D$30,E$3:AI$3)))*8)-AL6,"")</f>
        <v/>
      </c>
      <c r="AO6" s="72" t="str">
        <f>IF(AW6&gt;0,AM6-($D$2-SUMPRODUCT((E6:AI6={"Б"})*((WEEKDAY(E$3:AI$3,2)&lt;6)-(WEEKDAY(COUNTIF(DATA!C$2:C$30,E$3:AI$3)*E$3:AI$3,2)&lt;6)+COUNTIF(DATA!D$2:D$30,E$3:AI$3)))*8)-AL6,"")</f>
        <v/>
      </c>
      <c r="AP6" s="73">
        <f ca="1">IF(COUNTIF(E6:AI6,"О")&gt;0,0,AM6-AL6-(SUMPRODUCT(--(MONTH(DATA!$F$2:$F$30)=MONTH($C$2)))*8)-($D$2-NETWORKDAYS($C$2,$C$2+COUNTBLANK(E6:AI6)-1,DATA!$C$2:$C$30)*8))</f>
        <v>9</v>
      </c>
      <c r="AQ6" s="76" t="e">
        <f ca="1">SUM(SUMIF(#REF!,"&gt;0"),SUMIF(#REF!,"&gt;0"),SUMIF(ноябрь!AN6:AP7,"&gt;0"))</f>
        <v>#REF!</v>
      </c>
      <c r="AR6" s="77">
        <f t="array" aca="1" ref="AR6" ca="1">SUM(IFERROR((((WEEKDAY($E$3:$AI$3,2)&gt;5)+ISNUMBER(MATCH($E$3:$AI$3,DATA!$C$2:$C$98,))+ISNUMBER(MATCH($E$3:$AI$3,#REF!,))+ISNUMBER(MATCH($E$3:$AI$3,#REF!,))-(ISNUMBER(MATCH($E$3:$AI$3,#REF!,))+ISNUMBER(MATCH($E$3:$AI$3,#REF!,))))&gt;0)*$E6:$AI6,))</f>
        <v>0</v>
      </c>
      <c r="AS6" s="72">
        <f>COUNTIF($E6:$AI6,"В")</f>
        <v>0</v>
      </c>
      <c r="AT6" s="72">
        <f>COUNTIF($E6:$AI6,"О")</f>
        <v>0</v>
      </c>
      <c r="AU6" s="72">
        <f>COUNTIF($E6:$AI6,"А")</f>
        <v>0</v>
      </c>
      <c r="AV6" s="72">
        <f>COUNTIF($E6:$AI6,"У")</f>
        <v>0</v>
      </c>
      <c r="AW6" s="73">
        <f>COUNTIF($E6:$AI6,"Б")</f>
        <v>0</v>
      </c>
    </row>
    <row r="7" spans="1:55" s="6" customFormat="1" ht="21.75" thickBot="1" x14ac:dyDescent="0.35">
      <c r="A7" s="81"/>
      <c r="B7" s="82"/>
      <c r="C7" s="84"/>
      <c r="D7" s="86"/>
      <c r="E7" s="29" t="str">
        <f t="shared" ref="E7:AI7" si="4">IFERROR(_xlfn.IFS(E6=15,2,E6=4,6,E6=3,2,E6=1,6),"")</f>
        <v/>
      </c>
      <c r="F7" s="29" t="str">
        <f t="shared" si="4"/>
        <v/>
      </c>
      <c r="G7" s="29" t="str">
        <f t="shared" si="4"/>
        <v/>
      </c>
      <c r="H7" s="29" t="str">
        <f t="shared" si="4"/>
        <v/>
      </c>
      <c r="I7" s="29" t="str">
        <f t="shared" si="4"/>
        <v/>
      </c>
      <c r="J7" s="29" t="str">
        <f t="shared" si="4"/>
        <v/>
      </c>
      <c r="K7" s="29" t="str">
        <f t="shared" si="4"/>
        <v/>
      </c>
      <c r="L7" s="29" t="str">
        <f t="shared" si="4"/>
        <v/>
      </c>
      <c r="M7" s="29" t="str">
        <f t="shared" si="4"/>
        <v/>
      </c>
      <c r="N7" s="29" t="str">
        <f t="shared" si="4"/>
        <v/>
      </c>
      <c r="O7" s="29" t="str">
        <f t="shared" si="4"/>
        <v/>
      </c>
      <c r="P7" s="29" t="str">
        <f t="shared" si="4"/>
        <v/>
      </c>
      <c r="Q7" s="29" t="str">
        <f t="shared" si="4"/>
        <v/>
      </c>
      <c r="R7" s="29" t="str">
        <f t="shared" si="4"/>
        <v/>
      </c>
      <c r="S7" s="29" t="str">
        <f t="shared" si="4"/>
        <v/>
      </c>
      <c r="T7" s="29" t="str">
        <f t="shared" si="4"/>
        <v/>
      </c>
      <c r="U7" s="29" t="str">
        <f t="shared" si="4"/>
        <v/>
      </c>
      <c r="V7" s="29" t="str">
        <f t="shared" si="4"/>
        <v/>
      </c>
      <c r="W7" s="29" t="str">
        <f t="shared" si="4"/>
        <v/>
      </c>
      <c r="X7" s="29" t="str">
        <f t="shared" si="4"/>
        <v/>
      </c>
      <c r="Y7" s="29" t="str">
        <f t="shared" si="4"/>
        <v/>
      </c>
      <c r="Z7" s="29" t="str">
        <f t="shared" si="4"/>
        <v/>
      </c>
      <c r="AA7" s="29" t="str">
        <f t="shared" si="4"/>
        <v/>
      </c>
      <c r="AB7" s="29" t="str">
        <f t="shared" si="4"/>
        <v/>
      </c>
      <c r="AC7" s="29" t="str">
        <f t="shared" si="4"/>
        <v/>
      </c>
      <c r="AD7" s="29" t="str">
        <f t="shared" si="4"/>
        <v/>
      </c>
      <c r="AE7" s="29" t="str">
        <f t="shared" si="4"/>
        <v/>
      </c>
      <c r="AF7" s="29" t="str">
        <f t="shared" si="4"/>
        <v/>
      </c>
      <c r="AG7" s="29" t="str">
        <f t="shared" si="4"/>
        <v/>
      </c>
      <c r="AH7" s="29" t="str">
        <f t="shared" si="4"/>
        <v/>
      </c>
      <c r="AI7" s="29" t="str">
        <f t="shared" si="4"/>
        <v/>
      </c>
      <c r="AJ7" s="72"/>
      <c r="AK7" s="88"/>
      <c r="AL7" s="90"/>
      <c r="AM7" s="92"/>
      <c r="AN7" s="94"/>
      <c r="AO7" s="72"/>
      <c r="AP7" s="73"/>
      <c r="AQ7" s="76"/>
      <c r="AR7" s="78"/>
      <c r="AS7" s="72"/>
      <c r="AT7" s="72"/>
      <c r="AU7" s="72"/>
      <c r="AV7" s="72"/>
      <c r="AW7" s="73"/>
    </row>
    <row r="8" spans="1:55" ht="21.75" thickBot="1" x14ac:dyDescent="0.3">
      <c r="A8" s="9"/>
      <c r="E8" s="11"/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74" t="s">
        <v>6</v>
      </c>
      <c r="AF8" s="74"/>
      <c r="AG8" s="74"/>
      <c r="AH8" s="74"/>
      <c r="AI8" s="75"/>
      <c r="AJ8" s="62">
        <f t="shared" ref="AJ8:AW8" si="5">SUMIF(AJ4:AJ7,"&gt;0")</f>
        <v>0</v>
      </c>
      <c r="AK8" s="62">
        <f t="shared" si="5"/>
        <v>0</v>
      </c>
      <c r="AL8" s="62">
        <f t="shared" ca="1" si="5"/>
        <v>0</v>
      </c>
      <c r="AM8" s="63">
        <f t="shared" si="5"/>
        <v>0</v>
      </c>
      <c r="AN8" s="39">
        <f t="shared" si="5"/>
        <v>0</v>
      </c>
      <c r="AO8" s="39">
        <f t="shared" si="5"/>
        <v>0</v>
      </c>
      <c r="AP8" s="39">
        <f t="shared" ca="1" si="5"/>
        <v>18</v>
      </c>
      <c r="AQ8" s="40">
        <f t="shared" ca="1" si="5"/>
        <v>0</v>
      </c>
      <c r="AR8" s="39">
        <f t="shared" ca="1" si="5"/>
        <v>0</v>
      </c>
      <c r="AS8" s="39">
        <f t="shared" si="5"/>
        <v>0</v>
      </c>
      <c r="AT8" s="39">
        <f t="shared" si="5"/>
        <v>0</v>
      </c>
      <c r="AU8" s="39">
        <f t="shared" si="5"/>
        <v>0</v>
      </c>
      <c r="AV8" s="39">
        <f t="shared" si="5"/>
        <v>0</v>
      </c>
      <c r="AW8" s="39">
        <f t="shared" si="5"/>
        <v>0</v>
      </c>
    </row>
    <row r="10" spans="1:55" ht="18.75" x14ac:dyDescent="0.3">
      <c r="B10" s="52" t="s">
        <v>1</v>
      </c>
      <c r="C10" s="10" t="s">
        <v>3</v>
      </c>
      <c r="D10" s="42"/>
    </row>
    <row r="11" spans="1:55" ht="18.75" x14ac:dyDescent="0.3">
      <c r="B11" s="43" t="s">
        <v>10</v>
      </c>
      <c r="C11" s="10" t="s">
        <v>9</v>
      </c>
      <c r="D11" s="44"/>
    </row>
    <row r="12" spans="1:55" ht="18.75" x14ac:dyDescent="0.3">
      <c r="B12" s="45" t="s">
        <v>4</v>
      </c>
      <c r="C12" s="10" t="s">
        <v>0</v>
      </c>
      <c r="D12" s="42"/>
    </row>
    <row r="13" spans="1:55" ht="18.75" x14ac:dyDescent="0.25">
      <c r="B13" s="46" t="s">
        <v>11</v>
      </c>
      <c r="C13" s="10" t="s">
        <v>5</v>
      </c>
      <c r="D13" s="47"/>
    </row>
    <row r="14" spans="1:55" ht="18.75" x14ac:dyDescent="0.25">
      <c r="B14" s="48" t="s">
        <v>16</v>
      </c>
      <c r="C14" s="12" t="s">
        <v>20</v>
      </c>
      <c r="D14" s="49"/>
    </row>
  </sheetData>
  <sheetProtection selectLockedCells="1"/>
  <mergeCells count="42">
    <mergeCell ref="AS2:AW2"/>
    <mergeCell ref="A4:A5"/>
    <mergeCell ref="B4:B5"/>
    <mergeCell ref="C4:C5"/>
    <mergeCell ref="D4:D5"/>
    <mergeCell ref="AJ4:AJ5"/>
    <mergeCell ref="AP4:AP5"/>
    <mergeCell ref="A2:A3"/>
    <mergeCell ref="B2:B3"/>
    <mergeCell ref="AJ2:AM2"/>
    <mergeCell ref="AN2:AQ2"/>
    <mergeCell ref="AK4:AK5"/>
    <mergeCell ref="AL4:AL5"/>
    <mergeCell ref="AM4:AM5"/>
    <mergeCell ref="AN4:AN5"/>
    <mergeCell ref="AO4:AO5"/>
    <mergeCell ref="AW4:AW5"/>
    <mergeCell ref="A6:A7"/>
    <mergeCell ref="B6:B7"/>
    <mergeCell ref="C6:C7"/>
    <mergeCell ref="D6:D7"/>
    <mergeCell ref="AJ6:AJ7"/>
    <mergeCell ref="AK6:AK7"/>
    <mergeCell ref="AL6:AL7"/>
    <mergeCell ref="AM6:AM7"/>
    <mergeCell ref="AN6:AN7"/>
    <mergeCell ref="AQ4:AQ5"/>
    <mergeCell ref="AR4:AR5"/>
    <mergeCell ref="AS4:AS5"/>
    <mergeCell ref="AT4:AT5"/>
    <mergeCell ref="AU4:AU5"/>
    <mergeCell ref="AV4:AV5"/>
    <mergeCell ref="AU6:AU7"/>
    <mergeCell ref="AV6:AV7"/>
    <mergeCell ref="AW6:AW7"/>
    <mergeCell ref="AE8:AI8"/>
    <mergeCell ref="AO6:AO7"/>
    <mergeCell ref="AP6:AP7"/>
    <mergeCell ref="AQ6:AQ7"/>
    <mergeCell ref="AR6:AR7"/>
    <mergeCell ref="AS6:AS7"/>
    <mergeCell ref="AT6:AT7"/>
  </mergeCells>
  <conditionalFormatting sqref="E2:AI7">
    <cfRule type="expression" dxfId="13" priority="14">
      <formula>(WEEKDAY(E$3,2)&gt;5)*(E$3&lt;&gt;0)</formula>
    </cfRule>
  </conditionalFormatting>
  <conditionalFormatting sqref="E3:AI7">
    <cfRule type="cellIs" dxfId="12" priority="1" operator="equal">
      <formula>"В"</formula>
    </cfRule>
  </conditionalFormatting>
  <conditionalFormatting sqref="E4:AI7">
    <cfRule type="cellIs" dxfId="11" priority="2" operator="equal">
      <formula>"У"</formula>
    </cfRule>
    <cfRule type="cellIs" dxfId="10" priority="3" operator="equal">
      <formula>"О"</formula>
    </cfRule>
    <cfRule type="cellIs" dxfId="9" priority="4" operator="equal">
      <formula>"Б"</formula>
    </cfRule>
    <cfRule type="cellIs" dxfId="8" priority="5" operator="equal">
      <formula>"А"</formula>
    </cfRule>
    <cfRule type="cellIs" dxfId="7" priority="6" operator="equal">
      <formula>"ВВ"</formula>
    </cfRule>
    <cfRule type="cellIs" dxfId="6" priority="7" operator="equal">
      <formula>"К"</formula>
    </cfRule>
    <cfRule type="cellIs" dxfId="5" priority="8" operator="equal">
      <formula>"Н"</formula>
    </cfRule>
    <cfRule type="cellIs" dxfId="4" priority="9" operator="equal">
      <formula>"ОГ"</formula>
    </cfRule>
  </conditionalFormatting>
  <pageMargins left="0.23622047244094491" right="0.23622047244094491" top="0.74803149606299213" bottom="0.19685039370078741" header="0.31496062992125984" footer="0.31496062992125984"/>
  <pageSetup paperSize="9" scale="4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103DFF7-7645-4D59-8864-9DBE94006204}">
            <xm:f>OR(E$2=DATA!$F$2:$F$30)</xm:f>
            <x14:dxf>
              <font>
                <b val="0"/>
                <i val="0"/>
              </font>
              <fill>
                <patternFill>
                  <bgColor theme="9" tint="0.59996337778862885"/>
                </patternFill>
              </fill>
            </x14:dxf>
          </x14:cfRule>
          <x14:cfRule type="expression" priority="11" id="{A23D009F-C3C9-4B84-B7CA-1F9CEFE23B6F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14:cfRule type="expression" priority="12" id="{9B07EE77-7AA4-4106-8199-A8738D5FAAE7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13" id="{23609FF0-4837-49F7-9BEF-DA0328958129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E2:AI7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DATA!$G$2:$G$29</xm:f>
          </x14:formula1>
          <xm:sqref>B4:B7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DATA</vt:lpstr>
      <vt:lpstr>Март</vt:lpstr>
      <vt:lpstr>Май</vt:lpstr>
      <vt:lpstr>Июль</vt:lpstr>
      <vt:lpstr>ноябрь</vt:lpstr>
      <vt:lpstr>Июль!Область_печати</vt:lpstr>
      <vt:lpstr>Май!Область_печати</vt:lpstr>
      <vt:lpstr>Март!Область_печати</vt:lpstr>
      <vt:lpstr>ноябрь!Область_печати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2022-07-30T07:35:16Z</dcterms:modified>
</cp:coreProperties>
</file>