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995" windowHeight="8190" activeTab="3"/>
  </bookViews>
  <sheets>
    <sheet name="1" sheetId="1" r:id="rId1"/>
    <sheet name="АРХИВ21_22" sheetId="2" r:id="rId2"/>
    <sheet name="БАЗА ДАННЫХ" sheetId="3" r:id="rId3"/>
    <sheet name="РАСЧЕТ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UNTIFS" hidden="1">#NAME?</definedName>
    <definedName name="_xlfn.IFERROR" hidden="1">#NAME?</definedName>
    <definedName name="logo" localSheetId="0">INDEX('1'!$A$1:$A$3,MATCH('[1]РАСЧЕТ'!$L$1,'1'!$B$1:$B$3,0))</definedName>
    <definedName name="logo" localSheetId="1">INDEX('[1]1'!$A$1:$A$3,MATCH('[1]РАСЧЕТ'!$L$1,'[1]1'!$B$1:$B$3,0))</definedName>
    <definedName name="logo" localSheetId="2">INDEX('[1]1'!$A$1:$A$3,MATCH('[1]РАСЧЕТ'!$L$1,'[1]1'!$B$1:$B$3,0))</definedName>
    <definedName name="logo">INDEX('[1]1'!$A$1:$A$3,MATCH('РАСЧЕТ'!$L$1,'[1]1'!$B$1:$B$3,0))</definedName>
    <definedName name="Sch">INDEX('1'!$A$1:$A$3,MATCH('РАСЧЕТ'!$L$1,'1'!$B$1:$B$3,0))</definedName>
    <definedName name="Schetchik">'1'!$A$1:$A$5</definedName>
    <definedName name="Адреса">'[1]БАЗА ДАННЫХ'!$B$5:$B$370</definedName>
    <definedName name="Адресааа">'БАЗА ДАННЫХ'!$B$5:$B$9</definedName>
    <definedName name="Архив">'[1]БАЗА ДАННЫХ'!$CB$6:$CB$285</definedName>
    <definedName name="База">'[1]БАЗА ДАННЫХ'!$BP$6:$BP$55</definedName>
    <definedName name="Выбор">'[1]АКТ_ЕГОРА'!$C$47</definedName>
    <definedName name="ВыборИнспектора">'[1]АКТ'!$C$23</definedName>
    <definedName name="Инспектор">'[1]АКТ'!$G$41:$G$42</definedName>
    <definedName name="Картинка">INDEX(#REF!,MATCH(#REF!,'[2]1'!$B$1:$B$3,0))</definedName>
    <definedName name="Котельная">'[1]БАЗА ДАННЫХ'!$BX$6:$BX$28</definedName>
    <definedName name="Место">'[1]АКТ_ЕГОРА'!$P$53:$P$54</definedName>
    <definedName name="Месяцы">'[1]БАЗА ДАННЫХ'!$BN$6:$BN$21</definedName>
    <definedName name="Месяцы_2">'[1]БАЗА ДАННЫХ'!$BN$6:$BN$21</definedName>
    <definedName name="_xlnm.Print_Area" localSheetId="2">'БАЗА ДАННЫХ'!$CC$1:$CH$4</definedName>
    <definedName name="_xlnm.Print_Area" localSheetId="3">'РАСЧЕТ'!$C$64:$P$76</definedName>
    <definedName name="Обслуж.">'[1]БАЗА ДАННЫХ'!$BV$6:$BV$10</definedName>
    <definedName name="Персон._№">'[1]БАЗА ДАННЫХ'!$A$6:$A$87</definedName>
    <definedName name="ПУСТО">'[1]БАЗА ДАННЫХ'!$BZ$6:$BZ$7</definedName>
    <definedName name="Роспись" localSheetId="0">OFFSET('[1]АКТ_ЕГОРА'!$Q$53,MATCH('[1]АКТ_ЕГОРА'!$C$47,Место,0)-1,0,1,1)</definedName>
    <definedName name="Роспись" localSheetId="1">OFFSET('[1]АКТ_ЕГОРА'!$Q$53,MATCH('[1]АКТ_ЕГОРА'!$C$47,Место,0)-1,0,1,1)</definedName>
    <definedName name="Роспись" localSheetId="2">OFFSET('[1]АКТ_ЕГОРА'!$Q$53,MATCH('[1]АКТ_ЕГОРА'!$C$47,Место,0)-1,0,1,1)</definedName>
    <definedName name="Роспись">OFFSET('[1]АКТ_ЕГОРА'!$Q$53,MATCH('[1]АКТ_ЕГОРА'!$C$47,Место,0)-1,0,1,1)</definedName>
    <definedName name="Роспись2" localSheetId="0">OFFSET('[1]АКТ_ЕГОРА'!$R$53,MATCH(Выбор,Место,0)-1,0,1,1)</definedName>
    <definedName name="Роспись2" localSheetId="1">OFFSET('[1]АКТ_ЕГОРА'!$R$53,MATCH(Выбор,Место,0)-1,0,1,1)</definedName>
    <definedName name="Роспись2" localSheetId="2">OFFSET('[1]АКТ_ЕГОРА'!$R$53,MATCH(Выбор,Место,0)-1,0,1,1)</definedName>
    <definedName name="Роспись2">OFFSET('[1]АКТ_ЕГОРА'!$R$53,MATCH(Выбор,Место,0)-1,0,1,1)</definedName>
    <definedName name="Роспись3" localSheetId="0">OFFSET('[1]АКТ'!$H$41,MATCH(ВыборИнспектора,Инспектор,0)-1,0,1,1)</definedName>
    <definedName name="Роспись3" localSheetId="1">OFFSET('[1]АКТ'!$H$41,MATCH(ВыборИнспектора,Инспектор,0)-1,0,1,1)</definedName>
    <definedName name="Роспись3" localSheetId="2">OFFSET('[1]АКТ'!$H$41,MATCH(ВыборИнспектора,Инспектор,0)-1,0,1,1)</definedName>
    <definedName name="Роспись3">OFFSET('[1]АКТ'!$H$41,MATCH(ВыборИнспектора,Инспектор,0)-1,0,1,1)</definedName>
    <definedName name="Роспись4">OFFSET('[1]АКТ22'!$H$55,MATCH('[1]АКТ22'!$C$48,'[1]АКТ22'!$G$55:$G$56,0)-1,0,1,1)</definedName>
    <definedName name="ТИП">'[1]БАЗА ДАННЫХ'!$BS$6:$BS$53</definedName>
  </definedNames>
  <calcPr fullCalcOnLoad="1"/>
</workbook>
</file>

<file path=xl/comments2.xml><?xml version="1.0" encoding="utf-8"?>
<comments xmlns="http://schemas.openxmlformats.org/spreadsheetml/2006/main">
  <authors>
    <author>Виктор</author>
    <author>User</author>
  </authors>
  <commentList>
    <comment ref="AK1" authorId="0">
      <text>
        <r>
          <rPr>
            <b/>
            <sz val="8"/>
            <rFont val="Tahoma"/>
            <family val="2"/>
          </rPr>
          <t>Виктор: формула для коэффициента</t>
        </r>
        <r>
          <rPr>
            <sz val="8"/>
            <rFont val="Tahoma"/>
            <family val="2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Время по Горького 3В</t>
        </r>
      </text>
    </comment>
    <comment ref="E3" authorId="1">
      <text>
        <r>
          <rPr>
            <b/>
            <sz val="8"/>
            <rFont val="Tahoma"/>
            <family val="2"/>
          </rPr>
          <t>User:От фонаря</t>
        </r>
        <r>
          <rPr>
            <sz val="8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От фонаря</t>
        </r>
      </text>
    </comment>
    <comment ref="G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От фонаря</t>
        </r>
      </text>
    </comment>
    <comment ref="H3" authorId="1">
      <text>
        <r>
          <rPr>
            <b/>
            <sz val="8"/>
            <rFont val="Tahoma"/>
            <family val="2"/>
          </rPr>
          <t>User: Время по Гагарина 32</t>
        </r>
        <r>
          <rPr>
            <sz val="8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От фонаря</t>
        </r>
      </text>
    </comment>
    <comment ref="J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От фонаря</t>
        </r>
      </text>
    </comment>
    <comment ref="L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Сморжевского1</t>
        </r>
      </text>
    </comment>
    <comment ref="M3" authorId="1">
      <text>
        <r>
          <rPr>
            <b/>
            <sz val="8"/>
            <rFont val="Tahoma"/>
            <family val="2"/>
          </rPr>
          <t>User:По всесоюзной 3/3</t>
        </r>
        <r>
          <rPr>
            <sz val="8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rFont val="Tahoma"/>
            <family val="2"/>
          </rPr>
          <t>User:От фонаря</t>
        </r>
        <r>
          <rPr>
            <sz val="8"/>
            <rFont val="Tahoma"/>
            <family val="2"/>
          </rPr>
          <t xml:space="preserve">
</t>
        </r>
      </text>
    </comment>
    <comment ref="O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От фонаря</t>
        </r>
      </text>
    </comment>
    <comment ref="AD7" authorId="0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30 - номер столбца</t>
        </r>
      </text>
    </comment>
    <comment ref="AK7" authorId="0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Отношение площади к тарифу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Виктор</author>
    <author>SONYA</author>
  </authors>
  <commentList>
    <comment ref="I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ВВОД ТРЕХ ПОСЛЕДНИХ ЦИФР НОМЕРА ТЕЛЕФОНА</t>
        </r>
      </text>
    </comment>
    <comment ref="BB1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Значение выделенной ячейки  - работа макроса</t>
        </r>
      </text>
    </comment>
    <comment ref="CE1" authorId="1">
      <text>
        <r>
          <rPr>
            <b/>
            <sz val="8"/>
            <rFont val="Tahoma"/>
            <family val="2"/>
          </rPr>
          <t>Виктор: Считается по фамилии инспектора</t>
        </r>
        <r>
          <rPr>
            <sz val="8"/>
            <rFont val="Tahoma"/>
            <family val="2"/>
          </rPr>
          <t xml:space="preserve">
Чтобы корректно считалось, то если счетчика нет - убрать фамилию инспектора</t>
        </r>
      </text>
    </comment>
    <comment ref="M5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Было Согласно ТУ№51 от 26.09.2016 стало после звонка Собченко 25.12.19 0,24359 на -13
</t>
        </r>
      </text>
    </comment>
    <comment ref="M6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Из первичного акта</t>
        </r>
      </text>
    </comment>
    <comment ref="M7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ТУ №272 от(неразборчиво2019)
-13</t>
        </r>
      </text>
    </comment>
    <comment ref="P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 акте ввода октябрь2023</t>
        </r>
      </text>
    </comment>
    <comment ref="BN7" authorId="2">
      <text>
        <r>
          <rPr>
            <b/>
            <sz val="8"/>
            <rFont val="Tahoma"/>
            <family val="2"/>
          </rPr>
          <t>SONYA:</t>
        </r>
        <r>
          <rPr>
            <sz val="8"/>
            <rFont val="Tahoma"/>
            <family val="2"/>
          </rPr>
          <t xml:space="preserve">
Используются в формулах как свойства</t>
        </r>
      </text>
    </comment>
    <comment ref="N9" authorId="2">
      <text>
        <r>
          <rPr>
            <b/>
            <sz val="8"/>
            <rFont val="Tahoma"/>
            <family val="2"/>
          </rPr>
          <t xml:space="preserve">Из акта приемки, по расчету не соответствует (1,64 )
</t>
        </r>
      </text>
    </comment>
    <comment ref="T40" authorId="2">
      <text>
        <r>
          <rPr>
            <b/>
            <sz val="8"/>
            <rFont val="Tahoma"/>
            <family val="2"/>
          </rPr>
          <t>SONYA:</t>
        </r>
        <r>
          <rPr>
            <sz val="8"/>
            <rFont val="Tahoma"/>
            <family val="2"/>
          </rPr>
          <t xml:space="preserve">
В свидетельстве номера соответствуют Горького 23</t>
        </r>
      </text>
    </comment>
    <comment ref="H41" authorId="2">
      <text>
        <r>
          <rPr>
            <b/>
            <sz val="8"/>
            <rFont val="Tahoma"/>
            <family val="2"/>
          </rPr>
          <t>SONYA:</t>
        </r>
        <r>
          <rPr>
            <sz val="8"/>
            <rFont val="Tahoma"/>
            <family val="2"/>
          </rPr>
          <t xml:space="preserve">
Иван Иванович</t>
        </r>
      </text>
    </comment>
    <comment ref="W48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В старом свидетельстве диапазон расходов 0,6-30</t>
        </r>
      </text>
    </comment>
    <comment ref="I53" authorId="2">
      <text>
        <r>
          <rPr>
            <sz val="8"/>
            <rFont val="Tahoma"/>
            <family val="2"/>
          </rPr>
          <t>Нина Дмитриевна</t>
        </r>
      </text>
    </comment>
  </commentList>
</comments>
</file>

<file path=xl/comments4.xml><?xml version="1.0" encoding="utf-8"?>
<comments xmlns="http://schemas.openxmlformats.org/spreadsheetml/2006/main">
  <authors>
    <author>Администратор</author>
    <author>Виктор</author>
    <author>Александр</author>
    <author>SONYA</author>
    <author>User</author>
  </authors>
  <commentList>
    <comment ref="BP2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№ Строки, начиная с которой вставляются данные из Расчета в АРХИВ переменная (X)</t>
        </r>
      </text>
    </comment>
    <comment ref="BQ2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Ручной ввод количества перезаписываемых строк</t>
        </r>
      </text>
    </comment>
    <comment ref="BP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Количество записей в АРХИВЕ по персональному номеру</t>
        </r>
      </text>
    </comment>
    <comment ref="BQ3" authorId="2">
      <text>
        <r>
          <rPr>
            <b/>
            <sz val="8"/>
            <rFont val="Tahoma"/>
            <family val="2"/>
          </rPr>
          <t>Александр: Название Рабочего листа для записи в АРХИВ
ЕСЛИ(B1&gt;300;"АРХИВ_М";"АРХИВ")-была такая формула для чужих счетчиков</t>
        </r>
        <r>
          <rPr>
            <sz val="8"/>
            <rFont val="Tahoma"/>
            <family val="2"/>
          </rPr>
          <t xml:space="preserve">
</t>
        </r>
      </text>
    </comment>
    <comment ref="BP4" authorId="0">
      <text>
        <r>
          <rPr>
            <b/>
            <sz val="8"/>
            <rFont val="Tahoma"/>
            <family val="2"/>
          </rPr>
          <t>Администратор:
Кол-во записываемых строк в АРХИВ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Разность между кол-вом записей в РАСЧЕТЕ и кол-вом записей в АРХИВЕ переменная(Y), с учетом записей "ВСЕ?"</t>
        </r>
      </text>
    </comment>
    <comment ref="BP5" authorId="3">
      <text>
        <r>
          <rPr>
            <b/>
            <sz val="8"/>
            <rFont val="Tahoma"/>
            <family val="2"/>
          </rPr>
          <t>SONYA:</t>
        </r>
        <r>
          <rPr>
            <sz val="8"/>
            <rFont val="Tahoma"/>
            <family val="2"/>
          </rPr>
          <t xml:space="preserve">
Используется в макросе подсказка по времени
Номер последней заполненной строки
</t>
        </r>
      </text>
    </comment>
    <comment ref="AW33" authorId="4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расчет в декабре,то сколько Гкал досчитано до 31 декабря</t>
        </r>
      </text>
    </comment>
    <comment ref="Q81" authorId="1">
      <text>
        <r>
          <rPr>
            <b/>
            <sz val="8"/>
            <rFont val="Tahoma"/>
            <family val="2"/>
          </rPr>
          <t>Виктор:</t>
        </r>
        <r>
          <rPr>
            <sz val="8"/>
            <rFont val="Tahoma"/>
            <family val="2"/>
          </rPr>
          <t xml:space="preserve">
Время простоя котельной+время нормальной работы счетчика
</t>
        </r>
      </text>
    </comment>
    <comment ref="AL81" authorId="3">
      <text>
        <r>
          <rPr>
            <b/>
            <sz val="8"/>
            <rFont val="Tahoma"/>
            <family val="2"/>
          </rPr>
          <t>SONYA:</t>
        </r>
        <r>
          <rPr>
            <sz val="8"/>
            <rFont val="Tahoma"/>
            <family val="2"/>
          </rPr>
          <t xml:space="preserve">
Используется в Макросе поиска средней температуры
</t>
        </r>
      </text>
    </comment>
  </commentList>
</comments>
</file>

<file path=xl/sharedStrings.xml><?xml version="1.0" encoding="utf-8"?>
<sst xmlns="http://schemas.openxmlformats.org/spreadsheetml/2006/main" count="608" uniqueCount="295">
  <si>
    <t>Пл.2-й группы</t>
  </si>
  <si>
    <t>Сут. расход</t>
  </si>
  <si>
    <t>Расч. расход</t>
  </si>
  <si>
    <t>Нагрузка</t>
  </si>
  <si>
    <t>1 группа</t>
  </si>
  <si>
    <t>Дни сезона</t>
  </si>
  <si>
    <t>Площадь</t>
  </si>
  <si>
    <t>Темп. в помещении</t>
  </si>
  <si>
    <t>Наружная расч.темп.</t>
  </si>
  <si>
    <t>НЕТ</t>
  </si>
  <si>
    <t>Время для среднемесячной температуры</t>
  </si>
  <si>
    <t>Формулы для макросов</t>
  </si>
  <si>
    <t>2 группа</t>
  </si>
  <si>
    <t>Дата</t>
  </si>
  <si>
    <t>наружная</t>
  </si>
  <si>
    <t>Проверка</t>
  </si>
  <si>
    <t>Сезон -</t>
  </si>
  <si>
    <t>По нагрузке</t>
  </si>
  <si>
    <t>С учетом потерь</t>
  </si>
  <si>
    <t>3 группа</t>
  </si>
  <si>
    <t>пуск21</t>
  </si>
  <si>
    <t>ошибки</t>
  </si>
  <si>
    <t>апрель22</t>
  </si>
  <si>
    <t>Часы</t>
  </si>
  <si>
    <t>Факт.</t>
  </si>
  <si>
    <t xml:space="preserve">Время </t>
  </si>
  <si>
    <t xml:space="preserve">Останов </t>
  </si>
  <si>
    <t>Простой по</t>
  </si>
  <si>
    <t>Неиспр.</t>
  </si>
  <si>
    <t>"Минус"</t>
  </si>
  <si>
    <t xml:space="preserve">Энергия </t>
  </si>
  <si>
    <t xml:space="preserve">Разность </t>
  </si>
  <si>
    <t>Потребленная</t>
  </si>
  <si>
    <t xml:space="preserve"> Расход вычислитель</t>
  </si>
  <si>
    <t xml:space="preserve">    Расход водомер</t>
  </si>
  <si>
    <t>Разность</t>
  </si>
  <si>
    <t>Расход вычислитель</t>
  </si>
  <si>
    <t xml:space="preserve">  Расход водомер</t>
  </si>
  <si>
    <t>"Утечка"</t>
  </si>
  <si>
    <t>%</t>
  </si>
  <si>
    <t>Учитывать время простоя в расчете</t>
  </si>
  <si>
    <t>Расчетное</t>
  </si>
  <si>
    <t>Коэфф.</t>
  </si>
  <si>
    <t>Расход</t>
  </si>
  <si>
    <t>Расч.</t>
  </si>
  <si>
    <t>Второй объект</t>
  </si>
  <si>
    <t>tº</t>
  </si>
  <si>
    <t>Расчет за</t>
  </si>
  <si>
    <t>время</t>
  </si>
  <si>
    <t>по счет</t>
  </si>
  <si>
    <t>котельной</t>
  </si>
  <si>
    <t>времени</t>
  </si>
  <si>
    <t>"часы"</t>
  </si>
  <si>
    <t>единиц</t>
  </si>
  <si>
    <t>Гкал</t>
  </si>
  <si>
    <t>энергия</t>
  </si>
  <si>
    <t>Подача</t>
  </si>
  <si>
    <t>Выч./ Вод.</t>
  </si>
  <si>
    <t>Обраткка</t>
  </si>
  <si>
    <t>Обратка</t>
  </si>
  <si>
    <t>Под./Обр.</t>
  </si>
  <si>
    <t>Утечки</t>
  </si>
  <si>
    <t>Ср.расход</t>
  </si>
  <si>
    <t>Погрешность</t>
  </si>
  <si>
    <t>Тариф М²</t>
  </si>
  <si>
    <t>Тариф,Гкал.</t>
  </si>
  <si>
    <t>дельта Т</t>
  </si>
  <si>
    <t>октябрь21</t>
  </si>
  <si>
    <t>Подбираемый коэффициент</t>
  </si>
  <si>
    <t>ноябрь21</t>
  </si>
  <si>
    <t>декабрь21</t>
  </si>
  <si>
    <t>Год.21</t>
  </si>
  <si>
    <t>январь22</t>
  </si>
  <si>
    <t>февраль22</t>
  </si>
  <si>
    <t>март22</t>
  </si>
  <si>
    <t>Время</t>
  </si>
  <si>
    <t>Единицы</t>
  </si>
  <si>
    <t>Энергия</t>
  </si>
  <si>
    <t>Примечание</t>
  </si>
  <si>
    <t>№</t>
  </si>
  <si>
    <t>простоя</t>
  </si>
  <si>
    <t>22</t>
  </si>
  <si>
    <t>25</t>
  </si>
  <si>
    <t>27</t>
  </si>
  <si>
    <t>29</t>
  </si>
  <si>
    <t>Коэффициенты</t>
  </si>
  <si>
    <t>Скрыт резерв42</t>
  </si>
  <si>
    <t>По нормативу</t>
  </si>
  <si>
    <t>По среднему</t>
  </si>
  <si>
    <t>Кол-во счетчиков</t>
  </si>
  <si>
    <t>Всего</t>
  </si>
  <si>
    <t>Дома</t>
  </si>
  <si>
    <t xml:space="preserve">                           Тепловычислитель</t>
  </si>
  <si>
    <t xml:space="preserve">                       Расходомер</t>
  </si>
  <si>
    <t xml:space="preserve">                     Термосопротивления</t>
  </si>
  <si>
    <t>1KFS A</t>
  </si>
  <si>
    <t>1KFS B</t>
  </si>
  <si>
    <t>1KTS A</t>
  </si>
  <si>
    <t>1KTS B</t>
  </si>
  <si>
    <t>Тепловыч.</t>
  </si>
  <si>
    <t>Водомер-подача</t>
  </si>
  <si>
    <t>Водомер-обратка</t>
  </si>
  <si>
    <t>ТС подача</t>
  </si>
  <si>
    <t>ТС обратка</t>
  </si>
  <si>
    <t>Расч. темп.</t>
  </si>
  <si>
    <t>Счет</t>
  </si>
  <si>
    <t>Группа</t>
  </si>
  <si>
    <t>Обслуж.</t>
  </si>
  <si>
    <t>Дата изменений,</t>
  </si>
  <si>
    <t>Регистрационный</t>
  </si>
  <si>
    <t>Персон. №</t>
  </si>
  <si>
    <t xml:space="preserve"> Адрес</t>
  </si>
  <si>
    <t>№ кв.</t>
  </si>
  <si>
    <t>Код</t>
  </si>
  <si>
    <t>Ф.И.О.</t>
  </si>
  <si>
    <t>Имя</t>
  </si>
  <si>
    <t>Резерв</t>
  </si>
  <si>
    <t>Телефон</t>
  </si>
  <si>
    <t>Мобильный</t>
  </si>
  <si>
    <t>Общедомовые нужды</t>
  </si>
  <si>
    <t>Площадь 2й гр.</t>
  </si>
  <si>
    <t>Расход95-70</t>
  </si>
  <si>
    <t>Расход110-70</t>
  </si>
  <si>
    <t>Дата след. поверки</t>
  </si>
  <si>
    <t>Межпов. интервал</t>
  </si>
  <si>
    <t>измерения</t>
  </si>
  <si>
    <t>Тип</t>
  </si>
  <si>
    <t>Зав.№</t>
  </si>
  <si>
    <t>Перех.расх.Диапазон объемных расходов</t>
  </si>
  <si>
    <t>Класс тепл.сч.</t>
  </si>
  <si>
    <t>Инспектор</t>
  </si>
  <si>
    <t>Кол-во входов</t>
  </si>
  <si>
    <t>К1Н(kdl1)</t>
  </si>
  <si>
    <t>К2Н(kdl2)</t>
  </si>
  <si>
    <t>К1Р(krc1)</t>
  </si>
  <si>
    <t>К2Р(krc2)</t>
  </si>
  <si>
    <t>КДР(контрольная сумма)</t>
  </si>
  <si>
    <t>Дата ввода</t>
  </si>
  <si>
    <t>Дата изготовления</t>
  </si>
  <si>
    <t>Котельная</t>
  </si>
  <si>
    <t>№ пломбы</t>
  </si>
  <si>
    <t>нагрузки</t>
  </si>
  <si>
    <t>Теплопотери</t>
  </si>
  <si>
    <t>оплаты</t>
  </si>
  <si>
    <t>орг.</t>
  </si>
  <si>
    <t>проверки</t>
  </si>
  <si>
    <t>Документ</t>
  </si>
  <si>
    <t>Отметка в получении</t>
  </si>
  <si>
    <t>Площадь отапливаемая</t>
  </si>
  <si>
    <t>Площадь индивидуальная</t>
  </si>
  <si>
    <t>Отапливаемые квартиры</t>
  </si>
  <si>
    <t>Инд.отопление</t>
  </si>
  <si>
    <t>Именованные диапазоны</t>
  </si>
  <si>
    <t>Кирова,79В</t>
  </si>
  <si>
    <t>часы+</t>
  </si>
  <si>
    <t>СвидетельствоРФ</t>
  </si>
  <si>
    <t>Островского,110А</t>
  </si>
  <si>
    <t>n</t>
  </si>
  <si>
    <t>Ген.Петрова,24В</t>
  </si>
  <si>
    <t>Ген.Петрова,16Б</t>
  </si>
  <si>
    <t>Пролетарская,15А</t>
  </si>
  <si>
    <t>Голощапова,17</t>
  </si>
  <si>
    <t>Ерёменко,32</t>
  </si>
  <si>
    <t>Гудованцева,6</t>
  </si>
  <si>
    <t>Факт.  время</t>
  </si>
  <si>
    <t>Карат-520-50-0</t>
  </si>
  <si>
    <t>С</t>
  </si>
  <si>
    <t>К.Маркса,10Б</t>
  </si>
  <si>
    <t>Сч.времени</t>
  </si>
  <si>
    <t>Время по счетчику</t>
  </si>
  <si>
    <t>Кооп. Переулок,31</t>
  </si>
  <si>
    <t>Останов. кот.</t>
  </si>
  <si>
    <t>Магистр. Шоссе,3</t>
  </si>
  <si>
    <t>Простой по времени</t>
  </si>
  <si>
    <t>Гагарина  3</t>
  </si>
  <si>
    <t>КСТ-22 Прима-РМД</t>
  </si>
  <si>
    <t>95-00212</t>
  </si>
  <si>
    <t>ЭР МФ Ду50</t>
  </si>
  <si>
    <t>6С-0802164</t>
  </si>
  <si>
    <t>6С-0802138</t>
  </si>
  <si>
    <t>КТП-500(Pt500)</t>
  </si>
  <si>
    <t>00A0S7E</t>
  </si>
  <si>
    <t>00A0U1R</t>
  </si>
  <si>
    <t>0029794</t>
  </si>
  <si>
    <t>Обнул.</t>
  </si>
  <si>
    <t>КМ-5</t>
  </si>
  <si>
    <t>Неиспр. часы.</t>
  </si>
  <si>
    <t>КМ-5-2-2</t>
  </si>
  <si>
    <t>437271</t>
  </si>
  <si>
    <t>ПРЭ 32/32-В1</t>
  </si>
  <si>
    <t>437275</t>
  </si>
  <si>
    <t>ТС-Б-Р Pt100-А</t>
  </si>
  <si>
    <t>730601г</t>
  </si>
  <si>
    <t>730601х</t>
  </si>
  <si>
    <t>0029781</t>
  </si>
  <si>
    <t>0029782</t>
  </si>
  <si>
    <t>0029783</t>
  </si>
  <si>
    <t>0029784</t>
  </si>
  <si>
    <t>СВТУ</t>
  </si>
  <si>
    <t>Фурманова,63А</t>
  </si>
  <si>
    <t xml:space="preserve">Гагарина 32 </t>
  </si>
  <si>
    <t>Карат 306-3</t>
  </si>
  <si>
    <t>24222720</t>
  </si>
  <si>
    <t>00674219</t>
  </si>
  <si>
    <t>00544219</t>
  </si>
  <si>
    <t>КТСП-Н</t>
  </si>
  <si>
    <t>36721г</t>
  </si>
  <si>
    <t>36721х</t>
  </si>
  <si>
    <t>0042763</t>
  </si>
  <si>
    <t>0042766</t>
  </si>
  <si>
    <t>0042761</t>
  </si>
  <si>
    <t>0042765</t>
  </si>
  <si>
    <t>0042764</t>
  </si>
  <si>
    <t>Свидетельство</t>
  </si>
  <si>
    <t>показ.</t>
  </si>
  <si>
    <t>Суперком</t>
  </si>
  <si>
    <t>Фестивальная,1</t>
  </si>
  <si>
    <t xml:space="preserve">Гайдара 9 </t>
  </si>
  <si>
    <t>КСТ-22 Прима-С-РМД</t>
  </si>
  <si>
    <t>96-02124</t>
  </si>
  <si>
    <t>6С-0802987</t>
  </si>
  <si>
    <t>6С-0802960</t>
  </si>
  <si>
    <t>ТП-500</t>
  </si>
  <si>
    <t>00004QV</t>
  </si>
  <si>
    <t>00004PV</t>
  </si>
  <si>
    <t>0090381</t>
  </si>
  <si>
    <t>0090382</t>
  </si>
  <si>
    <t>0090383</t>
  </si>
  <si>
    <t>0090384</t>
  </si>
  <si>
    <t>0090385</t>
  </si>
  <si>
    <t>25335-13</t>
  </si>
  <si>
    <t>приемка18</t>
  </si>
  <si>
    <t>Обслуж. орг.</t>
  </si>
  <si>
    <t>Superkom SKS3</t>
  </si>
  <si>
    <t>Разность единиц</t>
  </si>
  <si>
    <t>Суперком 01-1(SKS-3)</t>
  </si>
  <si>
    <t>013650</t>
  </si>
  <si>
    <t>Ultraheat T150/2WR7</t>
  </si>
  <si>
    <t>067663798</t>
  </si>
  <si>
    <t>ДУ 20</t>
  </si>
  <si>
    <t>067663800</t>
  </si>
  <si>
    <t>Teletrans TS200(Pt500)</t>
  </si>
  <si>
    <t>41417/1</t>
  </si>
  <si>
    <t>41417/2</t>
  </si>
  <si>
    <t>0090365</t>
  </si>
  <si>
    <t>0090374</t>
  </si>
  <si>
    <t>0090375</t>
  </si>
  <si>
    <t>0066503</t>
  </si>
  <si>
    <t>0066504</t>
  </si>
  <si>
    <t>26953-(04,08,14) В свидетельстве нет</t>
  </si>
  <si>
    <t>Простой Гкал</t>
  </si>
  <si>
    <t>Итого за месяц Гкал</t>
  </si>
  <si>
    <t>С учетом теплопотерь</t>
  </si>
  <si>
    <t>Расход вычислитель подача</t>
  </si>
  <si>
    <t>Расход водомер или обратка</t>
  </si>
  <si>
    <t>Вычислитель/Водомер</t>
  </si>
  <si>
    <t>Средний расход</t>
  </si>
  <si>
    <t>Расчетный расход</t>
  </si>
  <si>
    <t xml:space="preserve">Наружная tº </t>
  </si>
  <si>
    <t>Коэфф. отопления</t>
  </si>
  <si>
    <t>Расход % от расчетного</t>
  </si>
  <si>
    <t>Тепловая нагрузка</t>
  </si>
  <si>
    <t>Вокз.Шоссе,46</t>
  </si>
  <si>
    <t>Проверено_29.08.2018</t>
  </si>
  <si>
    <t>Вокз.Шоссе,64А</t>
  </si>
  <si>
    <t>Шлагбаумская,32</t>
  </si>
  <si>
    <t>Второй запуск</t>
  </si>
  <si>
    <t>12Апреля,1961г.,1</t>
  </si>
  <si>
    <t>1Я Пятилетка,31А</t>
  </si>
  <si>
    <t>Назаренко,11</t>
  </si>
  <si>
    <t>Славы,4</t>
  </si>
  <si>
    <t>ДАТА</t>
  </si>
  <si>
    <t>ВРЕМЯ</t>
  </si>
  <si>
    <t>На Листе температуры номер столбца</t>
  </si>
  <si>
    <t>Перс.№</t>
  </si>
  <si>
    <t>АДРЕС</t>
  </si>
  <si>
    <r>
      <t xml:space="preserve">Разность единиц </t>
    </r>
    <r>
      <rPr>
        <b/>
        <sz val="10"/>
        <color indexed="10"/>
        <rFont val="Arial Cyr"/>
        <family val="0"/>
      </rPr>
      <t>15</t>
    </r>
  </si>
  <si>
    <r>
      <t xml:space="preserve">Тариф М² </t>
    </r>
    <r>
      <rPr>
        <b/>
        <sz val="10"/>
        <color indexed="10"/>
        <rFont val="Arial Cyr"/>
        <family val="0"/>
      </rPr>
      <t>27</t>
    </r>
  </si>
  <si>
    <r>
      <t xml:space="preserve">Расчетное Гкал   </t>
    </r>
    <r>
      <rPr>
        <b/>
        <sz val="10"/>
        <color indexed="10"/>
        <rFont val="Arial Cyr"/>
        <family val="0"/>
      </rPr>
      <t xml:space="preserve"> 30</t>
    </r>
  </si>
  <si>
    <t>Площадь 2-й группы</t>
  </si>
  <si>
    <t>Расч.тариф</t>
  </si>
  <si>
    <t>Коэффициент</t>
  </si>
  <si>
    <t>Сумма по 1-й группе</t>
  </si>
  <si>
    <t>Расчетная cумма по 1-й группе</t>
  </si>
  <si>
    <t>Площадь 1-й группы</t>
  </si>
  <si>
    <t>Сумма по 1-й группе без счетчика</t>
  </si>
  <si>
    <t>Расход вычислитель обратка</t>
  </si>
  <si>
    <t>Расход водомер обратка</t>
  </si>
  <si>
    <t>Процент утечки</t>
  </si>
  <si>
    <t/>
  </si>
  <si>
    <t>_10</t>
  </si>
  <si>
    <t>Проверено_01.08.2022</t>
  </si>
  <si>
    <t>Гагарина 29</t>
  </si>
  <si>
    <t xml:space="preserve">Ген.Петрова  4 </t>
  </si>
  <si>
    <t>тариф22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</si>
</sst>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dd/mm/yy;@"/>
    <numFmt numFmtId="167" formatCode="0.0"/>
    <numFmt numFmtId="168" formatCode="0.00000"/>
    <numFmt numFmtId="169" formatCode="0.00##"/>
    <numFmt numFmtId="170" formatCode="mmmmyy"/>
    <numFmt numFmtId="171" formatCode="0.000"/>
    <numFmt numFmtId="172" formatCode="0.0###%"/>
    <numFmt numFmtId="173" formatCode="0.0###"/>
    <numFmt numFmtId="174" formatCode="0.00#"/>
    <numFmt numFmtId="175" formatCode="#,##0.00\ [$грн.-422]"/>
    <numFmt numFmtId="176" formatCode="#,##0.00[$р.-419]"/>
    <numFmt numFmtId="177" formatCode="[$-419]mmmmyy;@"/>
    <numFmt numFmtId="178" formatCode="###&quot; час.&quot;"/>
    <numFmt numFmtId="179" formatCode="0.000000"/>
    <numFmt numFmtId="180" formatCode="0.###"/>
    <numFmt numFmtId="181" formatCode="dd/mm/yy\ h:mm;@"/>
    <numFmt numFmtId="182" formatCode="#,##0.00_р_."/>
    <numFmt numFmtId="183" formatCode="#&quot; года&quot;"/>
    <numFmt numFmtId="184" formatCode="0.00######"/>
    <numFmt numFmtId="185" formatCode="0.0000"/>
    <numFmt numFmtId="186" formatCode="0.000%"/>
    <numFmt numFmtId="187" formatCode="0.00###"/>
    <numFmt numFmtId="188" formatCode="0.##"/>
    <numFmt numFmtId="189" formatCode="0.00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2"/>
    </font>
    <font>
      <b/>
      <sz val="10"/>
      <color indexed="12"/>
      <name val="Arial Cyr"/>
      <family val="0"/>
    </font>
    <font>
      <b/>
      <sz val="10"/>
      <color indexed="60"/>
      <name val="Arial Cyr"/>
      <family val="0"/>
    </font>
    <font>
      <b/>
      <sz val="8"/>
      <color indexed="12"/>
      <name val="Arial Cyr"/>
      <family val="0"/>
    </font>
    <font>
      <b/>
      <sz val="8"/>
      <color indexed="1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8"/>
      <color indexed="17"/>
      <name val="Arial Cyr"/>
      <family val="0"/>
    </font>
    <font>
      <sz val="10"/>
      <color indexed="12"/>
      <name val="Arial Cyr"/>
      <family val="2"/>
    </font>
    <font>
      <b/>
      <sz val="10"/>
      <color indexed="20"/>
      <name val="Arial Cyr"/>
      <family val="0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9"/>
      <name val="Arial Cyr"/>
      <family val="2"/>
    </font>
    <font>
      <b/>
      <sz val="8"/>
      <color indexed="21"/>
      <name val="Arial Cyr"/>
      <family val="0"/>
    </font>
    <font>
      <b/>
      <sz val="10"/>
      <color indexed="17"/>
      <name val="Arial Cyr"/>
      <family val="0"/>
    </font>
    <font>
      <b/>
      <sz val="10"/>
      <color indexed="21"/>
      <name val="Arial Cyr"/>
      <family val="0"/>
    </font>
    <font>
      <sz val="10"/>
      <color indexed="10"/>
      <name val="Arial Cyr"/>
      <family val="2"/>
    </font>
    <font>
      <b/>
      <sz val="8"/>
      <color indexed="5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5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 Cyr"/>
      <family val="0"/>
    </font>
    <font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1"/>
      <name val="Calibri"/>
      <family val="2"/>
    </font>
    <font>
      <u val="single"/>
      <sz val="10"/>
      <name val="Arial Cyr"/>
      <family val="0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34" fillId="21" borderId="0" applyNumberFormat="0" applyBorder="0" applyAlignment="0" applyProtection="0"/>
    <xf numFmtId="0" fontId="70" fillId="22" borderId="0" applyNumberFormat="0" applyBorder="0" applyAlignment="0" applyProtection="0"/>
    <xf numFmtId="0" fontId="34" fillId="23" borderId="0" applyNumberFormat="0" applyBorder="0" applyAlignment="0" applyProtection="0"/>
    <xf numFmtId="0" fontId="70" fillId="24" borderId="0" applyNumberFormat="0" applyBorder="0" applyAlignment="0" applyProtection="0"/>
    <xf numFmtId="0" fontId="34" fillId="25" borderId="0" applyNumberFormat="0" applyBorder="0" applyAlignment="0" applyProtection="0"/>
    <xf numFmtId="0" fontId="70" fillId="26" borderId="0" applyNumberFormat="0" applyBorder="0" applyAlignment="0" applyProtection="0"/>
    <xf numFmtId="0" fontId="34" fillId="27" borderId="0" applyNumberFormat="0" applyBorder="0" applyAlignment="0" applyProtection="0"/>
    <xf numFmtId="0" fontId="70" fillId="28" borderId="0" applyNumberFormat="0" applyBorder="0" applyAlignment="0" applyProtection="0"/>
    <xf numFmtId="0" fontId="34" fillId="29" borderId="0" applyNumberFormat="0" applyBorder="0" applyAlignment="0" applyProtection="0"/>
    <xf numFmtId="0" fontId="70" fillId="30" borderId="0" applyNumberFormat="0" applyBorder="0" applyAlignment="0" applyProtection="0"/>
    <xf numFmtId="0" fontId="34" fillId="31" borderId="0" applyNumberFormat="0" applyBorder="0" applyAlignment="0" applyProtection="0"/>
    <xf numFmtId="0" fontId="71" fillId="32" borderId="1" applyNumberFormat="0" applyAlignment="0" applyProtection="0"/>
    <xf numFmtId="0" fontId="35" fillId="33" borderId="2" applyNumberFormat="0" applyAlignment="0" applyProtection="0"/>
    <xf numFmtId="0" fontId="72" fillId="34" borderId="3" applyNumberFormat="0" applyAlignment="0" applyProtection="0"/>
    <xf numFmtId="0" fontId="36" fillId="35" borderId="4" applyNumberFormat="0" applyAlignment="0" applyProtection="0"/>
    <xf numFmtId="0" fontId="73" fillId="34" borderId="1" applyNumberFormat="0" applyAlignment="0" applyProtection="0"/>
    <xf numFmtId="0" fontId="37" fillId="35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4" fillId="0" borderId="5" applyNumberFormat="0" applyFill="0" applyAlignment="0" applyProtection="0"/>
    <xf numFmtId="0" fontId="38" fillId="0" borderId="6" applyNumberFormat="0" applyFill="0" applyAlignment="0" applyProtection="0"/>
    <xf numFmtId="0" fontId="75" fillId="0" borderId="7" applyNumberFormat="0" applyFill="0" applyAlignment="0" applyProtection="0"/>
    <xf numFmtId="0" fontId="39" fillId="0" borderId="8" applyNumberFormat="0" applyFill="0" applyAlignment="0" applyProtection="0"/>
    <xf numFmtId="0" fontId="76" fillId="0" borderId="9" applyNumberFormat="0" applyFill="0" applyAlignment="0" applyProtection="0"/>
    <xf numFmtId="0" fontId="40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41" fillId="0" borderId="12" applyNumberFormat="0" applyFill="0" applyAlignment="0" applyProtection="0"/>
    <xf numFmtId="0" fontId="78" fillId="36" borderId="13" applyNumberFormat="0" applyAlignment="0" applyProtection="0"/>
    <xf numFmtId="0" fontId="42" fillId="37" borderId="14" applyNumberFormat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44" fillId="3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1" fillId="40" borderId="0" applyNumberFormat="0" applyBorder="0" applyAlignment="0" applyProtection="0"/>
    <xf numFmtId="0" fontId="45" fillId="41" borderId="0" applyNumberFormat="0" applyBorder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3" fillId="43" borderId="16" applyNumberFormat="0" applyFont="0" applyAlignment="0" applyProtection="0"/>
    <xf numFmtId="9" fontId="0" fillId="0" borderId="0" applyFont="0" applyFill="0" applyBorder="0" applyAlignment="0" applyProtection="0"/>
    <xf numFmtId="0" fontId="83" fillId="0" borderId="17" applyNumberFormat="0" applyFill="0" applyAlignment="0" applyProtection="0"/>
    <xf numFmtId="0" fontId="47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44" borderId="0" applyNumberFormat="0" applyBorder="0" applyAlignment="0" applyProtection="0"/>
    <xf numFmtId="0" fontId="49" fillId="45" borderId="0" applyNumberFormat="0" applyBorder="0" applyAlignment="0" applyProtection="0"/>
  </cellStyleXfs>
  <cellXfs count="859">
    <xf numFmtId="0" fontId="0" fillId="0" borderId="0" xfId="0" applyFont="1" applyAlignment="1">
      <alignment/>
    </xf>
    <xf numFmtId="14" fontId="4" fillId="0" borderId="0" xfId="72" applyNumberFormat="1" applyFont="1" applyFill="1" applyAlignment="1" applyProtection="1">
      <alignment horizontal="center"/>
      <protection locked="0"/>
    </xf>
    <xf numFmtId="164" fontId="5" fillId="0" borderId="0" xfId="72" applyNumberFormat="1" applyFont="1" applyFill="1" applyAlignment="1" applyProtection="1">
      <alignment horizontal="center"/>
      <protection locked="0"/>
    </xf>
    <xf numFmtId="2" fontId="6" fillId="0" borderId="0" xfId="72" applyNumberFormat="1" applyFont="1" applyFill="1" applyAlignment="1" applyProtection="1">
      <alignment/>
      <protection locked="0"/>
    </xf>
    <xf numFmtId="1" fontId="4" fillId="0" borderId="0" xfId="72" applyNumberFormat="1" applyFont="1" applyFill="1" applyAlignment="1" applyProtection="1">
      <alignment horizontal="left"/>
      <protection/>
    </xf>
    <xf numFmtId="1" fontId="7" fillId="0" borderId="0" xfId="72" applyNumberFormat="1" applyFont="1" applyFill="1" applyAlignment="1" applyProtection="1">
      <alignment horizontal="center" vertical="center" wrapText="1"/>
      <protection/>
    </xf>
    <xf numFmtId="2" fontId="4" fillId="0" borderId="0" xfId="72" applyNumberFormat="1" applyFont="1" applyFill="1" applyAlignment="1" applyProtection="1">
      <alignment/>
      <protection locked="0"/>
    </xf>
    <xf numFmtId="2" fontId="5" fillId="0" borderId="0" xfId="72" applyNumberFormat="1" applyFont="1" applyFill="1" applyAlignment="1" applyProtection="1">
      <alignment horizontal="center"/>
      <protection locked="0"/>
    </xf>
    <xf numFmtId="0" fontId="4" fillId="0" borderId="0" xfId="72" applyFill="1" applyBorder="1" applyAlignment="1">
      <alignment horizontal="center"/>
      <protection/>
    </xf>
    <xf numFmtId="0" fontId="4" fillId="0" borderId="0" xfId="72" applyFont="1" applyFill="1" applyBorder="1" applyAlignment="1">
      <alignment horizontal="center"/>
      <protection/>
    </xf>
    <xf numFmtId="0" fontId="5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horizontal="center"/>
      <protection/>
    </xf>
    <xf numFmtId="0" fontId="2" fillId="0" borderId="0" xfId="72" applyFont="1" applyFill="1" applyBorder="1" applyAlignment="1" applyProtection="1">
      <alignment horizontal="center"/>
      <protection locked="0"/>
    </xf>
    <xf numFmtId="0" fontId="4" fillId="0" borderId="0" xfId="72" applyFont="1" applyFill="1" applyBorder="1" applyAlignment="1" applyProtection="1">
      <alignment horizontal="center"/>
      <protection locked="0"/>
    </xf>
    <xf numFmtId="0" fontId="9" fillId="0" borderId="0" xfId="72" applyFont="1" applyFill="1" applyBorder="1" applyAlignment="1" applyProtection="1">
      <alignment horizontal="center"/>
      <protection locked="0"/>
    </xf>
    <xf numFmtId="0" fontId="5" fillId="0" borderId="0" xfId="72" applyFont="1" applyFill="1" applyBorder="1" applyAlignment="1" applyProtection="1">
      <alignment horizontal="center"/>
      <protection locked="0"/>
    </xf>
    <xf numFmtId="0" fontId="3" fillId="0" borderId="0" xfId="72" applyFont="1" applyFill="1" applyBorder="1" applyAlignment="1">
      <alignment horizontal="center"/>
      <protection/>
    </xf>
    <xf numFmtId="0" fontId="10" fillId="0" borderId="0" xfId="72" applyFont="1" applyFill="1" applyBorder="1" applyAlignment="1">
      <alignment/>
      <protection/>
    </xf>
    <xf numFmtId="0" fontId="4" fillId="0" borderId="0" xfId="72" applyFont="1" applyFill="1" applyBorder="1" applyAlignment="1" applyProtection="1">
      <alignment/>
      <protection locked="0"/>
    </xf>
    <xf numFmtId="0" fontId="4" fillId="0" borderId="0" xfId="72" applyFont="1" applyAlignment="1" applyProtection="1">
      <alignment/>
      <protection locked="0"/>
    </xf>
    <xf numFmtId="0" fontId="4" fillId="0" borderId="0" xfId="72" applyFont="1" applyFill="1" applyAlignment="1" applyProtection="1">
      <alignment/>
      <protection locked="0"/>
    </xf>
    <xf numFmtId="0" fontId="2" fillId="0" borderId="0" xfId="72" applyFont="1" applyFill="1" applyAlignment="1" applyProtection="1">
      <alignment horizontal="left"/>
      <protection locked="0"/>
    </xf>
    <xf numFmtId="0" fontId="12" fillId="0" borderId="0" xfId="51" applyFill="1" applyBorder="1" applyAlignment="1" applyProtection="1">
      <alignment/>
      <protection/>
    </xf>
    <xf numFmtId="166" fontId="5" fillId="0" borderId="0" xfId="72" applyNumberFormat="1" applyFont="1" applyFill="1" applyBorder="1" applyAlignment="1">
      <alignment horizontal="center"/>
      <protection/>
    </xf>
    <xf numFmtId="0" fontId="3" fillId="0" borderId="0" xfId="72" applyFont="1" applyFill="1" applyBorder="1" applyAlignment="1" applyProtection="1">
      <alignment horizontal="center"/>
      <protection/>
    </xf>
    <xf numFmtId="1" fontId="4" fillId="0" borderId="0" xfId="72" applyNumberFormat="1" applyFont="1" applyFill="1" applyAlignment="1" applyProtection="1">
      <alignment horizontal="center"/>
      <protection locked="0"/>
    </xf>
    <xf numFmtId="2" fontId="3" fillId="0" borderId="0" xfId="72" applyNumberFormat="1" applyFont="1" applyFill="1" applyAlignment="1" applyProtection="1">
      <alignment horizontal="right"/>
      <protection locked="0"/>
    </xf>
    <xf numFmtId="2" fontId="2" fillId="0" borderId="0" xfId="72" applyNumberFormat="1" applyFont="1" applyFill="1" applyBorder="1" applyAlignment="1" applyProtection="1">
      <alignment horizontal="center"/>
      <protection locked="0"/>
    </xf>
    <xf numFmtId="1" fontId="13" fillId="0" borderId="0" xfId="72" applyNumberFormat="1" applyFont="1" applyFill="1" applyBorder="1" applyAlignment="1">
      <alignment horizontal="center"/>
      <protection/>
    </xf>
    <xf numFmtId="167" fontId="14" fillId="0" borderId="19" xfId="72" applyNumberFormat="1" applyFont="1" applyFill="1" applyBorder="1" applyAlignment="1" applyProtection="1">
      <alignment horizontal="center"/>
      <protection locked="0"/>
    </xf>
    <xf numFmtId="2" fontId="14" fillId="0" borderId="19" xfId="72" applyNumberFormat="1" applyFont="1" applyFill="1" applyBorder="1" applyAlignment="1" applyProtection="1">
      <alignment horizontal="center"/>
      <protection/>
    </xf>
    <xf numFmtId="168" fontId="14" fillId="0" borderId="19" xfId="72" applyNumberFormat="1" applyFont="1" applyFill="1" applyBorder="1" applyAlignment="1" applyProtection="1">
      <alignment horizontal="center"/>
      <protection/>
    </xf>
    <xf numFmtId="167" fontId="3" fillId="0" borderId="0" xfId="72" applyNumberFormat="1" applyFont="1" applyFill="1" applyBorder="1" applyAlignment="1" applyProtection="1">
      <alignment horizontal="center"/>
      <protection locked="0"/>
    </xf>
    <xf numFmtId="0" fontId="15" fillId="0" borderId="0" xfId="72" applyFont="1" applyFill="1" applyBorder="1" applyAlignment="1">
      <alignment horizontal="center"/>
      <protection/>
    </xf>
    <xf numFmtId="0" fontId="3" fillId="0" borderId="0" xfId="72" applyFont="1" applyFill="1" applyBorder="1" applyAlignment="1" applyProtection="1">
      <alignment horizontal="center"/>
      <protection locked="0"/>
    </xf>
    <xf numFmtId="2" fontId="17" fillId="0" borderId="0" xfId="72" applyNumberFormat="1" applyFont="1" applyFill="1" applyBorder="1" applyAlignment="1">
      <alignment horizontal="center"/>
      <protection/>
    </xf>
    <xf numFmtId="0" fontId="5" fillId="0" borderId="0" xfId="72" applyFont="1" applyFill="1" applyBorder="1" applyAlignment="1" applyProtection="1">
      <alignment/>
      <protection locked="0"/>
    </xf>
    <xf numFmtId="14" fontId="4" fillId="0" borderId="0" xfId="72" applyNumberFormat="1" applyFont="1" applyFill="1" applyBorder="1" applyAlignment="1">
      <alignment horizontal="center"/>
      <protection/>
    </xf>
    <xf numFmtId="0" fontId="5" fillId="0" borderId="0" xfId="72" applyNumberFormat="1" applyFont="1" applyFill="1" applyBorder="1" applyAlignment="1">
      <alignment horizontal="center"/>
      <protection/>
    </xf>
    <xf numFmtId="1" fontId="3" fillId="0" borderId="0" xfId="72" applyNumberFormat="1" applyFont="1" applyFill="1" applyBorder="1" applyAlignment="1" applyProtection="1">
      <alignment horizontal="center"/>
      <protection locked="0"/>
    </xf>
    <xf numFmtId="2" fontId="10" fillId="0" borderId="0" xfId="72" applyNumberFormat="1" applyFont="1" applyFill="1" applyBorder="1" applyAlignment="1" applyProtection="1">
      <alignment horizontal="left"/>
      <protection locked="0"/>
    </xf>
    <xf numFmtId="0" fontId="3" fillId="0" borderId="0" xfId="72" applyFont="1" applyFill="1" applyBorder="1" applyAlignment="1" applyProtection="1">
      <alignment horizontal="center"/>
      <protection locked="0"/>
    </xf>
    <xf numFmtId="169" fontId="4" fillId="0" borderId="0" xfId="72" applyNumberFormat="1" applyFont="1" applyFill="1" applyBorder="1" applyAlignment="1">
      <alignment horizontal="right"/>
      <protection/>
    </xf>
    <xf numFmtId="0" fontId="5" fillId="0" borderId="0" xfId="72" applyFont="1" applyAlignment="1" applyProtection="1">
      <alignment/>
      <protection locked="0"/>
    </xf>
    <xf numFmtId="0" fontId="5" fillId="0" borderId="0" xfId="72" applyFont="1" applyFill="1" applyAlignment="1" applyProtection="1">
      <alignment/>
      <protection locked="0"/>
    </xf>
    <xf numFmtId="7" fontId="5" fillId="0" borderId="0" xfId="72" applyNumberFormat="1" applyFont="1" applyFill="1" applyAlignment="1" applyProtection="1">
      <alignment/>
      <protection locked="0"/>
    </xf>
    <xf numFmtId="1" fontId="5" fillId="0" borderId="0" xfId="72" applyNumberFormat="1" applyFont="1" applyFill="1" applyBorder="1" applyAlignment="1" applyProtection="1">
      <alignment/>
      <protection locked="0"/>
    </xf>
    <xf numFmtId="1" fontId="2" fillId="0" borderId="0" xfId="72" applyNumberFormat="1" applyFont="1" applyFill="1" applyBorder="1" applyAlignment="1" applyProtection="1">
      <alignment horizontal="center"/>
      <protection/>
    </xf>
    <xf numFmtId="1" fontId="4" fillId="0" borderId="0" xfId="72" applyNumberFormat="1" applyFont="1" applyFill="1" applyAlignment="1" applyProtection="1">
      <alignment horizontal="center"/>
      <protection/>
    </xf>
    <xf numFmtId="1" fontId="4" fillId="0" borderId="0" xfId="72" applyNumberFormat="1" applyFont="1" applyFill="1" applyAlignment="1" applyProtection="1">
      <alignment horizontal="center"/>
      <protection locked="0"/>
    </xf>
    <xf numFmtId="1" fontId="5" fillId="0" borderId="0" xfId="72" applyNumberFormat="1" applyFont="1" applyFill="1" applyAlignment="1" applyProtection="1">
      <alignment/>
      <protection locked="0"/>
    </xf>
    <xf numFmtId="1" fontId="4" fillId="0" borderId="0" xfId="72" applyNumberFormat="1" applyFont="1" applyFill="1" applyBorder="1" applyAlignment="1" applyProtection="1">
      <alignment horizontal="center"/>
      <protection locked="0"/>
    </xf>
    <xf numFmtId="1" fontId="4" fillId="0" borderId="0" xfId="72" applyNumberFormat="1" applyFont="1" applyFill="1" applyBorder="1" applyAlignment="1" applyProtection="1">
      <alignment horizontal="center"/>
      <protection/>
    </xf>
    <xf numFmtId="0" fontId="19" fillId="0" borderId="0" xfId="72" applyFont="1" applyFill="1" applyBorder="1" applyAlignment="1" applyProtection="1">
      <alignment/>
      <protection locked="0"/>
    </xf>
    <xf numFmtId="2" fontId="2" fillId="0" borderId="0" xfId="72" applyNumberFormat="1" applyFont="1" applyFill="1" applyBorder="1" applyAlignment="1">
      <alignment horizontal="center"/>
      <protection/>
    </xf>
    <xf numFmtId="2" fontId="8" fillId="0" borderId="0" xfId="72" applyNumberFormat="1" applyFont="1" applyFill="1" applyBorder="1" applyAlignment="1" applyProtection="1">
      <alignment horizontal="center"/>
      <protection locked="0"/>
    </xf>
    <xf numFmtId="2" fontId="19" fillId="0" borderId="0" xfId="72" applyNumberFormat="1" applyFont="1" applyFill="1" applyBorder="1" applyAlignment="1" applyProtection="1">
      <alignment/>
      <protection locked="0"/>
    </xf>
    <xf numFmtId="0" fontId="10" fillId="0" borderId="0" xfId="72" applyFont="1" applyFill="1" applyBorder="1" applyAlignment="1" applyProtection="1">
      <alignment/>
      <protection locked="0"/>
    </xf>
    <xf numFmtId="2" fontId="4" fillId="0" borderId="0" xfId="72" applyNumberFormat="1" applyFont="1" applyFill="1" applyBorder="1" applyAlignment="1">
      <alignment/>
      <protection/>
    </xf>
    <xf numFmtId="167" fontId="4" fillId="0" borderId="0" xfId="72" applyNumberFormat="1" applyFont="1" applyFill="1" applyBorder="1" applyAlignment="1">
      <alignment horizontal="center"/>
      <protection/>
    </xf>
    <xf numFmtId="2" fontId="4" fillId="0" borderId="0" xfId="72" applyNumberFormat="1" applyFont="1" applyFill="1" applyBorder="1" applyAlignment="1">
      <alignment/>
      <protection/>
    </xf>
    <xf numFmtId="0" fontId="4" fillId="0" borderId="0" xfId="72" applyFill="1" applyBorder="1" applyAlignment="1">
      <alignment/>
      <protection/>
    </xf>
    <xf numFmtId="0" fontId="5" fillId="0" borderId="0" xfId="72" applyFont="1" applyFill="1" applyBorder="1" applyAlignment="1" applyProtection="1">
      <alignment/>
      <protection locked="0"/>
    </xf>
    <xf numFmtId="0" fontId="4" fillId="0" borderId="0" xfId="72" applyFont="1" applyFill="1" applyBorder="1" applyAlignment="1">
      <alignment/>
      <protection/>
    </xf>
    <xf numFmtId="2" fontId="4" fillId="0" borderId="0" xfId="72" applyNumberFormat="1" applyFont="1" applyFill="1" applyBorder="1" applyAlignment="1" applyProtection="1">
      <alignment horizontal="center"/>
      <protection/>
    </xf>
    <xf numFmtId="0" fontId="2" fillId="0" borderId="0" xfId="72" applyFont="1" applyFill="1" applyBorder="1" applyAlignment="1">
      <alignment horizontal="center"/>
      <protection/>
    </xf>
    <xf numFmtId="0" fontId="2" fillId="0" borderId="0" xfId="72" applyFont="1" applyFill="1" applyBorder="1" applyAlignment="1" applyProtection="1">
      <alignment/>
      <protection locked="0"/>
    </xf>
    <xf numFmtId="14" fontId="4" fillId="0" borderId="0" xfId="72" applyNumberFormat="1" applyFill="1" applyBorder="1" applyAlignment="1">
      <alignment/>
      <protection/>
    </xf>
    <xf numFmtId="0" fontId="4" fillId="0" borderId="0" xfId="72" applyFont="1" applyBorder="1" applyAlignment="1">
      <alignment/>
      <protection/>
    </xf>
    <xf numFmtId="1" fontId="4" fillId="0" borderId="0" xfId="72" applyNumberFormat="1" applyFont="1" applyFill="1" applyBorder="1" applyAlignment="1">
      <alignment horizontal="center"/>
      <protection/>
    </xf>
    <xf numFmtId="1" fontId="4" fillId="0" borderId="0" xfId="72" applyNumberFormat="1" applyFont="1" applyFill="1" applyBorder="1" applyAlignment="1">
      <alignment/>
      <protection/>
    </xf>
    <xf numFmtId="1" fontId="4" fillId="0" borderId="0" xfId="72" applyNumberFormat="1" applyFont="1" applyFill="1" applyBorder="1" applyAlignment="1">
      <alignment horizontal="right"/>
      <protection/>
    </xf>
    <xf numFmtId="2" fontId="2" fillId="0" borderId="0" xfId="72" applyNumberFormat="1" applyFont="1" applyFill="1" applyAlignment="1">
      <alignment horizontal="center"/>
      <protection/>
    </xf>
    <xf numFmtId="2" fontId="4" fillId="0" borderId="0" xfId="72" applyNumberFormat="1" applyFont="1" applyFill="1" applyBorder="1" applyAlignment="1" applyProtection="1">
      <alignment/>
      <protection locked="0"/>
    </xf>
    <xf numFmtId="176" fontId="8" fillId="0" borderId="0" xfId="72" applyNumberFormat="1" applyFont="1" applyFill="1" applyBorder="1" applyAlignment="1">
      <alignment/>
      <protection/>
    </xf>
    <xf numFmtId="2" fontId="4" fillId="0" borderId="0" xfId="72" applyNumberFormat="1" applyFont="1" applyFill="1" applyBorder="1" applyAlignment="1">
      <alignment horizontal="right"/>
      <protection/>
    </xf>
    <xf numFmtId="2" fontId="4" fillId="0" borderId="0" xfId="72" applyNumberFormat="1" applyFont="1" applyBorder="1" applyAlignment="1">
      <alignment/>
      <protection/>
    </xf>
    <xf numFmtId="167" fontId="4" fillId="0" borderId="0" xfId="72" applyNumberFormat="1" applyFont="1" applyFill="1" applyBorder="1" applyAlignment="1">
      <alignment/>
      <protection/>
    </xf>
    <xf numFmtId="165" fontId="4" fillId="0" borderId="0" xfId="72" applyNumberFormat="1" applyFont="1" applyFill="1" applyBorder="1" applyAlignment="1">
      <alignment/>
      <protection/>
    </xf>
    <xf numFmtId="165" fontId="4" fillId="0" borderId="0" xfId="72" applyNumberFormat="1" applyFont="1" applyFill="1" applyBorder="1" applyAlignment="1" applyProtection="1">
      <alignment/>
      <protection locked="0"/>
    </xf>
    <xf numFmtId="19" fontId="4" fillId="0" borderId="0" xfId="72" applyNumberFormat="1" applyFont="1" applyFill="1" applyBorder="1" applyAlignment="1" applyProtection="1">
      <alignment horizontal="center"/>
      <protection locked="0"/>
    </xf>
    <xf numFmtId="1" fontId="4" fillId="0" borderId="0" xfId="72" applyNumberFormat="1" applyFont="1" applyFill="1" applyBorder="1" applyAlignment="1">
      <alignment horizontal="center"/>
      <protection/>
    </xf>
    <xf numFmtId="0" fontId="4" fillId="0" borderId="0" xfId="72" applyFont="1" applyFill="1" applyBorder="1" applyAlignment="1" applyProtection="1">
      <alignment/>
      <protection locked="0"/>
    </xf>
    <xf numFmtId="19" fontId="5" fillId="0" borderId="0" xfId="72" applyNumberFormat="1" applyFont="1" applyFill="1" applyBorder="1" applyAlignment="1" applyProtection="1">
      <alignment/>
      <protection locked="0"/>
    </xf>
    <xf numFmtId="166" fontId="4" fillId="0" borderId="0" xfId="72" applyNumberFormat="1" applyFont="1" applyFill="1" applyBorder="1" applyAlignment="1" applyProtection="1">
      <alignment horizontal="center"/>
      <protection locked="0"/>
    </xf>
    <xf numFmtId="1" fontId="4" fillId="0" borderId="0" xfId="72" applyNumberFormat="1" applyFont="1" applyFill="1" applyBorder="1" applyAlignment="1" applyProtection="1">
      <alignment/>
      <protection locked="0"/>
    </xf>
    <xf numFmtId="2" fontId="4" fillId="0" borderId="0" xfId="72" applyNumberFormat="1" applyFont="1" applyFill="1" applyBorder="1" applyAlignment="1" applyProtection="1">
      <alignment horizontal="right"/>
      <protection locked="0"/>
    </xf>
    <xf numFmtId="0" fontId="5" fillId="0" borderId="0" xfId="72" applyFont="1" applyFill="1" applyBorder="1" applyAlignment="1">
      <alignment/>
      <protection/>
    </xf>
    <xf numFmtId="177" fontId="5" fillId="0" borderId="0" xfId="72" applyNumberFormat="1" applyFont="1" applyBorder="1" applyAlignment="1">
      <alignment/>
      <protection/>
    </xf>
    <xf numFmtId="1" fontId="4" fillId="0" borderId="0" xfId="72" applyNumberFormat="1" applyFont="1" applyBorder="1" applyAlignment="1">
      <alignment/>
      <protection/>
    </xf>
    <xf numFmtId="2" fontId="4" fillId="0" borderId="0" xfId="72" applyNumberFormat="1" applyFont="1" applyFill="1" applyBorder="1" applyAlignment="1" applyProtection="1">
      <alignment/>
      <protection/>
    </xf>
    <xf numFmtId="164" fontId="4" fillId="0" borderId="0" xfId="72" applyNumberFormat="1" applyFont="1" applyFill="1" applyBorder="1" applyAlignment="1" applyProtection="1">
      <alignment horizontal="center"/>
      <protection locked="0"/>
    </xf>
    <xf numFmtId="0" fontId="19" fillId="0" borderId="0" xfId="72" applyFont="1" applyFill="1" applyBorder="1" applyAlignment="1" applyProtection="1">
      <alignment horizontal="center"/>
      <protection locked="0"/>
    </xf>
    <xf numFmtId="166" fontId="21" fillId="0" borderId="0" xfId="72" applyNumberFormat="1" applyFont="1" applyFill="1" applyBorder="1" applyAlignment="1" applyProtection="1">
      <alignment horizontal="center"/>
      <protection locked="0"/>
    </xf>
    <xf numFmtId="1" fontId="4" fillId="0" borderId="0" xfId="72" applyNumberFormat="1" applyFont="1" applyFill="1" applyBorder="1" applyAlignment="1">
      <alignment horizontal="right"/>
      <protection/>
    </xf>
    <xf numFmtId="0" fontId="22" fillId="0" borderId="0" xfId="72" applyFont="1" applyFill="1" applyBorder="1" applyAlignment="1" applyProtection="1">
      <alignment horizontal="center"/>
      <protection locked="0"/>
    </xf>
    <xf numFmtId="0" fontId="4" fillId="0" borderId="0" xfId="72" applyFont="1" applyFill="1" applyBorder="1" applyAlignment="1">
      <alignment/>
      <protection/>
    </xf>
    <xf numFmtId="0" fontId="3" fillId="0" borderId="0" xfId="72" applyFont="1" applyFill="1" applyBorder="1" applyAlignment="1" applyProtection="1">
      <alignment horizontal="left"/>
      <protection locked="0"/>
    </xf>
    <xf numFmtId="1" fontId="4" fillId="0" borderId="0" xfId="72" applyNumberFormat="1" applyFont="1" applyFill="1" applyAlignment="1">
      <alignment/>
      <protection/>
    </xf>
    <xf numFmtId="1" fontId="4" fillId="0" borderId="0" xfId="72" applyNumberFormat="1" applyFont="1" applyAlignment="1">
      <alignment/>
      <protection/>
    </xf>
    <xf numFmtId="2" fontId="4" fillId="0" borderId="0" xfId="72" applyNumberFormat="1" applyFont="1" applyFill="1" applyBorder="1" applyAlignment="1">
      <alignment horizontal="center"/>
      <protection/>
    </xf>
    <xf numFmtId="0" fontId="4" fillId="0" borderId="0" xfId="72" applyFont="1" applyFill="1" applyBorder="1" applyAlignment="1" applyProtection="1">
      <alignment horizontal="right"/>
      <protection locked="0"/>
    </xf>
    <xf numFmtId="171" fontId="3" fillId="0" borderId="0" xfId="72" applyNumberFormat="1" applyFont="1" applyFill="1" applyBorder="1" applyAlignment="1">
      <alignment horizontal="center"/>
      <protection/>
    </xf>
    <xf numFmtId="0" fontId="19" fillId="0" borderId="0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/>
      <protection/>
    </xf>
    <xf numFmtId="178" fontId="19" fillId="0" borderId="0" xfId="72" applyNumberFormat="1" applyFont="1" applyFill="1" applyBorder="1" applyAlignment="1">
      <alignment/>
      <protection/>
    </xf>
    <xf numFmtId="166" fontId="4" fillId="0" borderId="0" xfId="72" applyNumberFormat="1" applyFill="1" applyBorder="1" applyAlignment="1">
      <alignment/>
      <protection/>
    </xf>
    <xf numFmtId="0" fontId="10" fillId="0" borderId="0" xfId="72" applyFont="1" applyFill="1" applyBorder="1" applyAlignment="1">
      <alignment horizontal="center"/>
      <protection/>
    </xf>
    <xf numFmtId="167" fontId="4" fillId="0" borderId="0" xfId="72" applyNumberFormat="1" applyFill="1" applyBorder="1" applyAlignment="1">
      <alignment horizontal="center"/>
      <protection/>
    </xf>
    <xf numFmtId="0" fontId="2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 horizontal="left"/>
      <protection/>
    </xf>
    <xf numFmtId="166" fontId="24" fillId="0" borderId="0" xfId="72" applyNumberFormat="1" applyFont="1" applyFill="1" applyBorder="1" applyAlignment="1">
      <alignment horizontal="center"/>
      <protection/>
    </xf>
    <xf numFmtId="14" fontId="21" fillId="0" borderId="0" xfId="72" applyNumberFormat="1" applyFont="1" applyFill="1" applyBorder="1" applyAlignment="1" applyProtection="1">
      <alignment horizontal="center"/>
      <protection locked="0"/>
    </xf>
    <xf numFmtId="49" fontId="4" fillId="0" borderId="0" xfId="72" applyNumberFormat="1" applyFont="1" applyFill="1" applyBorder="1" applyAlignment="1">
      <alignment horizontal="center"/>
      <protection/>
    </xf>
    <xf numFmtId="0" fontId="4" fillId="0" borderId="0" xfId="72" applyFont="1" applyBorder="1" applyAlignment="1" applyProtection="1">
      <alignment/>
      <protection locked="0"/>
    </xf>
    <xf numFmtId="179" fontId="8" fillId="0" borderId="0" xfId="72" applyNumberFormat="1" applyFont="1" applyFill="1" applyBorder="1" applyAlignment="1">
      <alignment/>
      <protection/>
    </xf>
    <xf numFmtId="179" fontId="8" fillId="0" borderId="0" xfId="72" applyNumberFormat="1" applyFont="1" applyFill="1" applyBorder="1" applyAlignment="1">
      <alignment horizontal="center"/>
      <protection/>
    </xf>
    <xf numFmtId="179" fontId="8" fillId="0" borderId="0" xfId="72" applyNumberFormat="1" applyFont="1" applyFill="1" applyBorder="1" applyAlignment="1" applyProtection="1">
      <alignment horizontal="center"/>
      <protection/>
    </xf>
    <xf numFmtId="167" fontId="4" fillId="0" borderId="0" xfId="72" applyNumberFormat="1" applyFont="1" applyFill="1" applyBorder="1" applyAlignment="1" applyProtection="1">
      <alignment horizontal="center"/>
      <protection locked="0"/>
    </xf>
    <xf numFmtId="167" fontId="4" fillId="0" borderId="0" xfId="72" applyNumberFormat="1" applyFont="1" applyFill="1" applyBorder="1" applyAlignment="1">
      <alignment horizontal="center"/>
      <protection/>
    </xf>
    <xf numFmtId="2" fontId="4" fillId="0" borderId="0" xfId="72" applyNumberFormat="1" applyFont="1" applyBorder="1" applyAlignment="1">
      <alignment horizontal="right"/>
      <protection/>
    </xf>
    <xf numFmtId="0" fontId="3" fillId="0" borderId="0" xfId="72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1" fontId="2" fillId="0" borderId="0" xfId="72" applyNumberFormat="1" applyFont="1" applyFill="1" applyBorder="1" applyAlignment="1">
      <alignment horizontal="center"/>
      <protection/>
    </xf>
    <xf numFmtId="167" fontId="4" fillId="0" borderId="0" xfId="72" applyNumberFormat="1" applyFont="1" applyFill="1" applyBorder="1" applyAlignment="1" applyProtection="1">
      <alignment horizontal="right"/>
      <protection locked="0"/>
    </xf>
    <xf numFmtId="14" fontId="4" fillId="0" borderId="0" xfId="72" applyNumberFormat="1" applyFont="1" applyAlignment="1">
      <alignment horizontal="right"/>
      <protection/>
    </xf>
    <xf numFmtId="1" fontId="4" fillId="0" borderId="0" xfId="72" applyNumberFormat="1" applyFont="1" applyFill="1" applyBorder="1" applyAlignment="1" applyProtection="1">
      <alignment horizontal="right"/>
      <protection locked="0"/>
    </xf>
    <xf numFmtId="14" fontId="4" fillId="0" borderId="0" xfId="72" applyNumberFormat="1" applyFont="1" applyFill="1" applyBorder="1" applyAlignment="1" applyProtection="1">
      <alignment horizontal="right"/>
      <protection locked="0"/>
    </xf>
    <xf numFmtId="14" fontId="4" fillId="0" borderId="0" xfId="72" applyNumberFormat="1" applyFont="1" applyBorder="1" applyAlignment="1" applyProtection="1">
      <alignment horizontal="right"/>
      <protection locked="0"/>
    </xf>
    <xf numFmtId="1" fontId="4" fillId="0" borderId="0" xfId="72" applyNumberFormat="1" applyFont="1" applyFill="1" applyBorder="1" applyAlignment="1" applyProtection="1">
      <alignment horizontal="right"/>
      <protection locked="0"/>
    </xf>
    <xf numFmtId="1" fontId="4" fillId="0" borderId="0" xfId="72" applyNumberFormat="1" applyFont="1" applyFill="1" applyBorder="1" applyAlignment="1" applyProtection="1">
      <alignment/>
      <protection/>
    </xf>
    <xf numFmtId="10" fontId="4" fillId="0" borderId="0" xfId="72" applyNumberFormat="1" applyFont="1" applyFill="1" applyBorder="1" applyAlignment="1" applyProtection="1">
      <alignment/>
      <protection/>
    </xf>
    <xf numFmtId="0" fontId="10" fillId="0" borderId="0" xfId="72" applyFont="1" applyFill="1" applyBorder="1" applyAlignment="1" applyProtection="1">
      <alignment horizontal="left"/>
      <protection locked="0"/>
    </xf>
    <xf numFmtId="1" fontId="10" fillId="0" borderId="0" xfId="72" applyNumberFormat="1" applyFont="1" applyFill="1" applyBorder="1">
      <alignment/>
      <protection/>
    </xf>
    <xf numFmtId="166" fontId="10" fillId="0" borderId="0" xfId="72" applyNumberFormat="1" applyFont="1" applyFill="1" applyBorder="1" applyAlignment="1">
      <alignment horizontal="center"/>
      <protection/>
    </xf>
    <xf numFmtId="1" fontId="10" fillId="0" borderId="0" xfId="72" applyNumberFormat="1" applyFont="1" applyFill="1" applyBorder="1" applyAlignment="1" applyProtection="1">
      <alignment horizontal="center"/>
      <protection locked="0"/>
    </xf>
    <xf numFmtId="1" fontId="10" fillId="0" borderId="0" xfId="72" applyNumberFormat="1" applyFont="1" applyFill="1" applyBorder="1" applyAlignment="1" applyProtection="1">
      <alignment/>
      <protection/>
    </xf>
    <xf numFmtId="1" fontId="10" fillId="0" borderId="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>
      <alignment/>
      <protection/>
    </xf>
    <xf numFmtId="169" fontId="10" fillId="0" borderId="0" xfId="72" applyNumberFormat="1" applyFont="1" applyFill="1" applyBorder="1" applyAlignment="1" applyProtection="1">
      <alignment horizontal="right"/>
      <protection locked="0"/>
    </xf>
    <xf numFmtId="2" fontId="10" fillId="0" borderId="0" xfId="72" applyNumberFormat="1" applyFont="1" applyFill="1" applyBorder="1" applyAlignment="1">
      <alignment horizontal="center"/>
      <protection/>
    </xf>
    <xf numFmtId="2" fontId="10" fillId="0" borderId="0" xfId="72" applyNumberFormat="1" applyFont="1" applyFill="1" applyBorder="1" applyAlignment="1">
      <alignment/>
      <protection/>
    </xf>
    <xf numFmtId="1" fontId="10" fillId="0" borderId="0" xfId="72" applyNumberFormat="1" applyFont="1" applyFill="1" applyBorder="1" applyAlignment="1">
      <alignment/>
      <protection/>
    </xf>
    <xf numFmtId="176" fontId="10" fillId="0" borderId="0" xfId="72" applyNumberFormat="1" applyFont="1" applyFill="1" applyBorder="1" applyAlignment="1">
      <alignment/>
      <protection/>
    </xf>
    <xf numFmtId="167" fontId="10" fillId="0" borderId="0" xfId="72" applyNumberFormat="1" applyFont="1" applyFill="1" applyBorder="1" applyAlignment="1" applyProtection="1">
      <alignment/>
      <protection locked="0"/>
    </xf>
    <xf numFmtId="165" fontId="10" fillId="0" borderId="0" xfId="72" applyNumberFormat="1" applyFont="1" applyFill="1" applyBorder="1" applyAlignment="1" applyProtection="1">
      <alignment/>
      <protection locked="0"/>
    </xf>
    <xf numFmtId="167" fontId="10" fillId="0" borderId="0" xfId="72" applyNumberFormat="1" applyFont="1" applyFill="1" applyBorder="1" applyAlignment="1" applyProtection="1">
      <alignment horizontal="center"/>
      <protection locked="0"/>
    </xf>
    <xf numFmtId="0" fontId="10" fillId="0" borderId="0" xfId="72" applyFont="1" applyAlignment="1" applyProtection="1">
      <alignment/>
      <protection locked="0"/>
    </xf>
    <xf numFmtId="167" fontId="4" fillId="0" borderId="0" xfId="72" applyNumberFormat="1" applyFont="1" applyAlignment="1" applyProtection="1">
      <alignment horizontal="right"/>
      <protection locked="0"/>
    </xf>
    <xf numFmtId="14" fontId="4" fillId="0" borderId="0" xfId="72" applyNumberFormat="1" applyFont="1" applyAlignment="1" applyProtection="1">
      <alignment horizontal="right"/>
      <protection locked="0"/>
    </xf>
    <xf numFmtId="0" fontId="3" fillId="0" borderId="0" xfId="72" applyFont="1" applyFill="1" applyAlignment="1">
      <alignment/>
      <protection/>
    </xf>
    <xf numFmtId="0" fontId="4" fillId="0" borderId="0" xfId="72" applyFill="1" applyBorder="1" applyAlignment="1">
      <alignment horizontal="left"/>
      <protection/>
    </xf>
    <xf numFmtId="0" fontId="4" fillId="0" borderId="0" xfId="72" applyFont="1" applyFill="1" applyBorder="1" applyAlignment="1" applyProtection="1">
      <alignment horizontal="center"/>
      <protection locked="0"/>
    </xf>
    <xf numFmtId="0" fontId="10" fillId="0" borderId="0" xfId="72" applyFont="1" applyFill="1" applyBorder="1" applyAlignment="1" applyProtection="1">
      <alignment horizontal="center"/>
      <protection locked="0"/>
    </xf>
    <xf numFmtId="14" fontId="4" fillId="0" borderId="0" xfId="72" applyNumberFormat="1" applyFont="1" applyFill="1" applyBorder="1" applyAlignment="1" applyProtection="1">
      <alignment horizontal="center"/>
      <protection locked="0"/>
    </xf>
    <xf numFmtId="0" fontId="6" fillId="0" borderId="0" xfId="72" applyFont="1" applyFill="1" applyBorder="1" applyAlignment="1" applyProtection="1">
      <alignment horizontal="center" vertical="top"/>
      <protection locked="0"/>
    </xf>
    <xf numFmtId="0" fontId="10" fillId="0" borderId="0" xfId="72" applyFont="1" applyFill="1" applyAlignment="1" applyProtection="1">
      <alignment horizontal="left"/>
      <protection locked="0"/>
    </xf>
    <xf numFmtId="171" fontId="4" fillId="0" borderId="0" xfId="72" applyNumberFormat="1" applyFont="1" applyFill="1" applyBorder="1" applyAlignment="1" applyProtection="1">
      <alignment/>
      <protection/>
    </xf>
    <xf numFmtId="167" fontId="4" fillId="0" borderId="0" xfId="72" applyNumberFormat="1" applyFont="1" applyFill="1" applyBorder="1" applyAlignment="1" applyProtection="1">
      <alignment horizontal="right"/>
      <protection locked="0"/>
    </xf>
    <xf numFmtId="14" fontId="4" fillId="0" borderId="0" xfId="72" applyNumberFormat="1" applyFont="1" applyFill="1" applyBorder="1" applyAlignment="1" applyProtection="1">
      <alignment horizontal="right"/>
      <protection locked="0"/>
    </xf>
    <xf numFmtId="166" fontId="2" fillId="0" borderId="0" xfId="72" applyNumberFormat="1" applyFont="1" applyFill="1" applyBorder="1" applyAlignment="1" applyProtection="1">
      <alignment horizontal="center"/>
      <protection locked="0"/>
    </xf>
    <xf numFmtId="166" fontId="5" fillId="0" borderId="0" xfId="72" applyNumberFormat="1" applyFont="1" applyFill="1" applyBorder="1" applyAlignment="1" applyProtection="1">
      <alignment/>
      <protection locked="0"/>
    </xf>
    <xf numFmtId="0" fontId="25" fillId="0" borderId="0" xfId="72" applyFont="1" applyFill="1" applyBorder="1" applyAlignment="1" applyProtection="1">
      <alignment/>
      <protection locked="0"/>
    </xf>
    <xf numFmtId="0" fontId="4" fillId="0" borderId="0" xfId="72" applyFont="1" applyAlignment="1">
      <alignment/>
      <protection/>
    </xf>
    <xf numFmtId="0" fontId="2" fillId="0" borderId="0" xfId="72" applyFont="1" applyFill="1" applyBorder="1" applyAlignment="1" applyProtection="1">
      <alignment horizontal="center"/>
      <protection locked="0"/>
    </xf>
    <xf numFmtId="167" fontId="4" fillId="0" borderId="0" xfId="72" applyNumberFormat="1" applyFont="1" applyFill="1" applyBorder="1" applyAlignment="1" applyProtection="1">
      <alignment horizontal="left"/>
      <protection locked="0"/>
    </xf>
    <xf numFmtId="2" fontId="4" fillId="0" borderId="0" xfId="72" applyNumberFormat="1" applyFont="1" applyFill="1" applyBorder="1" applyAlignment="1" applyProtection="1">
      <alignment horizontal="center"/>
      <protection locked="0"/>
    </xf>
    <xf numFmtId="14" fontId="4" fillId="0" borderId="0" xfId="72" applyNumberFormat="1" applyFont="1" applyFill="1" applyAlignment="1" applyProtection="1">
      <alignment horizontal="right"/>
      <protection locked="0"/>
    </xf>
    <xf numFmtId="14" fontId="2" fillId="0" borderId="0" xfId="72" applyNumberFormat="1" applyFont="1" applyFill="1" applyBorder="1" applyAlignment="1" applyProtection="1">
      <alignment/>
      <protection locked="0"/>
    </xf>
    <xf numFmtId="176" fontId="4" fillId="0" borderId="0" xfId="72" applyNumberFormat="1" applyFont="1" applyFill="1" applyBorder="1" applyAlignment="1" applyProtection="1">
      <alignment horizontal="center"/>
      <protection locked="0"/>
    </xf>
    <xf numFmtId="2" fontId="2" fillId="0" borderId="20" xfId="72" applyNumberFormat="1" applyFont="1" applyFill="1" applyBorder="1" applyAlignment="1" applyProtection="1">
      <alignment horizontal="center"/>
      <protection locked="0"/>
    </xf>
    <xf numFmtId="0" fontId="5" fillId="0" borderId="0" xfId="72" applyFont="1" applyFill="1" applyBorder="1" applyAlignment="1">
      <alignment horizontal="center"/>
      <protection/>
    </xf>
    <xf numFmtId="0" fontId="5" fillId="0" borderId="0" xfId="72" applyFont="1" applyFill="1" applyBorder="1" applyAlignment="1" applyProtection="1">
      <alignment horizontal="center"/>
      <protection locked="0"/>
    </xf>
    <xf numFmtId="0" fontId="4" fillId="0" borderId="0" xfId="72" applyFont="1" applyFill="1" applyBorder="1" applyAlignment="1">
      <alignment horizontal="center"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>
      <alignment horizontal="center"/>
      <protection/>
    </xf>
    <xf numFmtId="1" fontId="2" fillId="0" borderId="0" xfId="72" applyNumberFormat="1" applyFont="1" applyFill="1" applyBorder="1" applyAlignment="1">
      <alignment/>
      <protection/>
    </xf>
    <xf numFmtId="166" fontId="2" fillId="0" borderId="0" xfId="72" applyNumberFormat="1" applyFont="1" applyFill="1" applyBorder="1" applyAlignment="1">
      <alignment/>
      <protection/>
    </xf>
    <xf numFmtId="171" fontId="4" fillId="0" borderId="0" xfId="72" applyNumberFormat="1" applyFont="1" applyFill="1" applyBorder="1" applyAlignment="1" applyProtection="1">
      <alignment/>
      <protection locked="0"/>
    </xf>
    <xf numFmtId="1" fontId="2" fillId="0" borderId="0" xfId="72" applyNumberFormat="1" applyFont="1" applyFill="1" applyBorder="1" applyAlignment="1" applyProtection="1">
      <alignment horizontal="center"/>
      <protection locked="0"/>
    </xf>
    <xf numFmtId="167" fontId="4" fillId="0" borderId="0" xfId="72" applyNumberFormat="1" applyFont="1" applyFill="1" applyBorder="1" applyAlignment="1">
      <alignment horizontal="right"/>
      <protection/>
    </xf>
    <xf numFmtId="170" fontId="5" fillId="0" borderId="0" xfId="72" applyNumberFormat="1" applyFont="1" applyFill="1" applyBorder="1" applyAlignment="1">
      <alignment horizontal="center"/>
      <protection/>
    </xf>
    <xf numFmtId="14" fontId="4" fillId="0" borderId="0" xfId="72" applyNumberFormat="1" applyFont="1" applyFill="1" applyAlignment="1">
      <alignment/>
      <protection/>
    </xf>
    <xf numFmtId="1" fontId="4" fillId="0" borderId="0" xfId="72" applyNumberFormat="1" applyFont="1" applyFill="1" applyAlignment="1">
      <alignment horizontal="center"/>
      <protection/>
    </xf>
    <xf numFmtId="2" fontId="4" fillId="0" borderId="0" xfId="72" applyNumberFormat="1" applyFont="1" applyFill="1" applyAlignment="1">
      <alignment horizontal="right"/>
      <protection/>
    </xf>
    <xf numFmtId="2" fontId="4" fillId="0" borderId="0" xfId="72" applyNumberFormat="1" applyFont="1" applyFill="1" applyAlignment="1">
      <alignment/>
      <protection/>
    </xf>
    <xf numFmtId="2" fontId="2" fillId="0" borderId="0" xfId="72" applyNumberFormat="1" applyFont="1" applyFill="1" applyAlignment="1">
      <alignment/>
      <protection/>
    </xf>
    <xf numFmtId="2" fontId="2" fillId="0" borderId="0" xfId="72" applyNumberFormat="1" applyFont="1" applyFill="1" applyAlignment="1">
      <alignment horizontal="center"/>
      <protection/>
    </xf>
    <xf numFmtId="167" fontId="4" fillId="0" borderId="0" xfId="72" applyNumberFormat="1" applyFont="1" applyFill="1" applyAlignment="1">
      <alignment/>
      <protection/>
    </xf>
    <xf numFmtId="165" fontId="4" fillId="0" borderId="0" xfId="72" applyNumberFormat="1" applyFont="1" applyFill="1" applyAlignment="1">
      <alignment/>
      <protection/>
    </xf>
    <xf numFmtId="166" fontId="4" fillId="0" borderId="0" xfId="72" applyNumberFormat="1" applyFont="1" applyFill="1" applyAlignment="1">
      <alignment/>
      <protection/>
    </xf>
    <xf numFmtId="0" fontId="23" fillId="0" borderId="0" xfId="72" applyFont="1" applyFill="1" applyBorder="1" applyAlignment="1">
      <alignment/>
      <protection/>
    </xf>
    <xf numFmtId="22" fontId="4" fillId="0" borderId="0" xfId="72" applyNumberFormat="1">
      <alignment/>
      <protection/>
    </xf>
    <xf numFmtId="0" fontId="4" fillId="0" borderId="0" xfId="72">
      <alignment/>
      <protection/>
    </xf>
    <xf numFmtId="14" fontId="4" fillId="0" borderId="0" xfId="72" applyNumberFormat="1" applyFont="1" applyAlignment="1">
      <alignment/>
      <protection/>
    </xf>
    <xf numFmtId="1" fontId="4" fillId="0" borderId="0" xfId="72" applyNumberFormat="1" applyFont="1" applyAlignment="1">
      <alignment horizontal="center"/>
      <protection/>
    </xf>
    <xf numFmtId="2" fontId="4" fillId="0" borderId="0" xfId="72" applyNumberFormat="1" applyFont="1" applyAlignment="1">
      <alignment horizontal="right"/>
      <protection/>
    </xf>
    <xf numFmtId="174" fontId="4" fillId="0" borderId="0" xfId="72" applyNumberFormat="1" applyFont="1" applyFill="1" applyBorder="1" applyAlignment="1">
      <alignment/>
      <protection/>
    </xf>
    <xf numFmtId="174" fontId="2" fillId="0" borderId="0" xfId="72" applyNumberFormat="1" applyFont="1" applyFill="1" applyBorder="1" applyAlignment="1">
      <alignment/>
      <protection/>
    </xf>
    <xf numFmtId="2" fontId="2" fillId="0" borderId="0" xfId="72" applyNumberFormat="1" applyFont="1" applyAlignment="1">
      <alignment horizontal="center"/>
      <protection/>
    </xf>
    <xf numFmtId="2" fontId="4" fillId="0" borderId="0" xfId="72" applyNumberFormat="1" applyFont="1" applyAlignment="1">
      <alignment/>
      <protection/>
    </xf>
    <xf numFmtId="167" fontId="4" fillId="0" borderId="0" xfId="72" applyNumberFormat="1" applyFont="1" applyAlignment="1">
      <alignment/>
      <protection/>
    </xf>
    <xf numFmtId="165" fontId="4" fillId="0" borderId="0" xfId="72" applyNumberFormat="1" applyFont="1" applyAlignment="1">
      <alignment/>
      <protection/>
    </xf>
    <xf numFmtId="0" fontId="4" fillId="0" borderId="0" xfId="72" applyFont="1" applyAlignment="1">
      <alignment horizontal="center"/>
      <protection/>
    </xf>
    <xf numFmtId="167" fontId="4" fillId="0" borderId="0" xfId="72" applyNumberFormat="1" applyFont="1" applyAlignment="1">
      <alignment horizontal="right"/>
      <protection/>
    </xf>
    <xf numFmtId="2" fontId="2" fillId="0" borderId="0" xfId="72" applyNumberFormat="1" applyFont="1" applyAlignment="1">
      <alignment/>
      <protection/>
    </xf>
    <xf numFmtId="14" fontId="5" fillId="0" borderId="0" xfId="72" applyNumberFormat="1" applyFont="1" applyAlignment="1">
      <alignment/>
      <protection/>
    </xf>
    <xf numFmtId="1" fontId="5" fillId="0" borderId="0" xfId="72" applyNumberFormat="1" applyFont="1" applyAlignment="1">
      <alignment/>
      <protection/>
    </xf>
    <xf numFmtId="1" fontId="5" fillId="0" borderId="0" xfId="72" applyNumberFormat="1" applyFont="1" applyAlignment="1">
      <alignment horizontal="center"/>
      <protection/>
    </xf>
    <xf numFmtId="2" fontId="5" fillId="0" borderId="0" xfId="72" applyNumberFormat="1" applyFont="1" applyAlignment="1">
      <alignment horizontal="right"/>
      <protection/>
    </xf>
    <xf numFmtId="2" fontId="5" fillId="0" borderId="0" xfId="72" applyNumberFormat="1" applyFont="1" applyAlignment="1">
      <alignment/>
      <protection/>
    </xf>
    <xf numFmtId="2" fontId="3" fillId="0" borderId="0" xfId="72" applyNumberFormat="1" applyFont="1" applyAlignment="1">
      <alignment/>
      <protection/>
    </xf>
    <xf numFmtId="2" fontId="3" fillId="0" borderId="0" xfId="72" applyNumberFormat="1" applyFont="1" applyAlignment="1">
      <alignment horizontal="center"/>
      <protection/>
    </xf>
    <xf numFmtId="0" fontId="5" fillId="0" borderId="0" xfId="72" applyFont="1" applyAlignment="1">
      <alignment/>
      <protection/>
    </xf>
    <xf numFmtId="167" fontId="5" fillId="0" borderId="0" xfId="72" applyNumberFormat="1" applyFont="1" applyAlignment="1">
      <alignment/>
      <protection/>
    </xf>
    <xf numFmtId="1" fontId="20" fillId="0" borderId="0" xfId="72" applyNumberFormat="1" applyFont="1" applyAlignment="1">
      <alignment/>
      <protection/>
    </xf>
    <xf numFmtId="1" fontId="26" fillId="0" borderId="0" xfId="72" applyNumberFormat="1" applyFont="1" applyAlignment="1">
      <alignment/>
      <protection/>
    </xf>
    <xf numFmtId="14" fontId="5" fillId="0" borderId="0" xfId="72" applyNumberFormat="1" applyFont="1" applyFill="1" applyBorder="1" applyAlignment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0" fillId="0" borderId="0" xfId="72" applyFont="1" applyFill="1" applyBorder="1" applyAlignment="1">
      <alignment horizontal="center"/>
      <protection/>
    </xf>
    <xf numFmtId="0" fontId="23" fillId="0" borderId="0" xfId="72" applyFont="1" applyFill="1" applyBorder="1" applyAlignment="1" applyProtection="1">
      <alignment horizontal="center"/>
      <protection locked="0"/>
    </xf>
    <xf numFmtId="2" fontId="20" fillId="0" borderId="0" xfId="72" applyNumberFormat="1" applyFont="1" applyFill="1" applyBorder="1" applyAlignment="1">
      <alignment horizontal="center"/>
      <protection/>
    </xf>
    <xf numFmtId="2" fontId="5" fillId="0" borderId="0" xfId="72" applyNumberFormat="1" applyFont="1" applyFill="1" applyBorder="1" applyAlignment="1">
      <alignment/>
      <protection/>
    </xf>
    <xf numFmtId="2" fontId="3" fillId="0" borderId="0" xfId="72" applyNumberFormat="1" applyFont="1" applyFill="1" applyBorder="1" applyAlignment="1">
      <alignment/>
      <protection/>
    </xf>
    <xf numFmtId="1" fontId="5" fillId="0" borderId="0" xfId="72" applyNumberFormat="1" applyFont="1" applyFill="1" applyBorder="1" applyAlignment="1">
      <alignment horizontal="center"/>
      <protection/>
    </xf>
    <xf numFmtId="166" fontId="5" fillId="0" borderId="0" xfId="72" applyNumberFormat="1" applyFont="1" applyFill="1" applyBorder="1" applyAlignment="1">
      <alignment horizontal="center"/>
      <protection/>
    </xf>
    <xf numFmtId="0" fontId="5" fillId="0" borderId="0" xfId="72" applyNumberFormat="1" applyFont="1" applyFill="1" applyBorder="1" applyAlignment="1">
      <alignment horizontal="center"/>
      <protection/>
    </xf>
    <xf numFmtId="1" fontId="3" fillId="0" borderId="0" xfId="72" applyNumberFormat="1" applyFont="1" applyFill="1" applyBorder="1" applyAlignment="1" applyProtection="1">
      <alignment horizontal="center"/>
      <protection locked="0"/>
    </xf>
    <xf numFmtId="0" fontId="23" fillId="0" borderId="0" xfId="72" applyFont="1" applyFill="1" applyBorder="1" applyAlignment="1" applyProtection="1">
      <alignment horizontal="center"/>
      <protection locked="0"/>
    </xf>
    <xf numFmtId="166" fontId="20" fillId="0" borderId="0" xfId="72" applyNumberFormat="1" applyFont="1" applyFill="1" applyBorder="1" applyAlignment="1">
      <alignment horizontal="right"/>
      <protection/>
    </xf>
    <xf numFmtId="2" fontId="3" fillId="0" borderId="0" xfId="72" applyNumberFormat="1" applyFont="1" applyFill="1" applyBorder="1" applyAlignment="1">
      <alignment horizontal="center"/>
      <protection/>
    </xf>
    <xf numFmtId="14" fontId="2" fillId="0" borderId="0" xfId="72" applyNumberFormat="1" applyFont="1" applyFill="1" applyBorder="1" applyAlignment="1">
      <alignment horizontal="center"/>
      <protection/>
    </xf>
    <xf numFmtId="166" fontId="4" fillId="0" borderId="0" xfId="72" applyNumberFormat="1" applyFont="1" applyAlignment="1">
      <alignment horizontal="center"/>
      <protection/>
    </xf>
    <xf numFmtId="1" fontId="5" fillId="0" borderId="0" xfId="72" applyNumberFormat="1" applyFont="1" applyFill="1" applyBorder="1" applyAlignment="1">
      <alignment horizontal="center"/>
      <protection/>
    </xf>
    <xf numFmtId="1" fontId="5" fillId="0" borderId="0" xfId="72" applyNumberFormat="1" applyFont="1" applyBorder="1" applyAlignment="1">
      <alignment horizontal="center"/>
      <protection/>
    </xf>
    <xf numFmtId="1" fontId="4" fillId="0" borderId="0" xfId="72" applyNumberFormat="1" applyFont="1" applyBorder="1" applyAlignment="1">
      <alignment horizontal="center"/>
      <protection/>
    </xf>
    <xf numFmtId="14" fontId="4" fillId="0" borderId="0" xfId="72" applyNumberFormat="1" applyFont="1" applyBorder="1" applyAlignment="1">
      <alignment/>
      <protection/>
    </xf>
    <xf numFmtId="171" fontId="2" fillId="0" borderId="0" xfId="72" applyNumberFormat="1" applyFont="1" applyAlignment="1">
      <alignment/>
      <protection/>
    </xf>
    <xf numFmtId="166" fontId="4" fillId="0" borderId="0" xfId="72" applyNumberFormat="1" applyFont="1" applyFill="1" applyBorder="1" applyAlignment="1" applyProtection="1">
      <alignment horizontal="center"/>
      <protection locked="0"/>
    </xf>
    <xf numFmtId="2" fontId="5" fillId="0" borderId="0" xfId="72" applyNumberFormat="1" applyFont="1" applyFill="1" applyAlignment="1">
      <alignment/>
      <protection/>
    </xf>
    <xf numFmtId="166" fontId="5" fillId="0" borderId="0" xfId="72" applyNumberFormat="1" applyFont="1" applyAlignment="1">
      <alignment/>
      <protection/>
    </xf>
    <xf numFmtId="166" fontId="5" fillId="0" borderId="0" xfId="72" applyNumberFormat="1" applyFont="1" applyFill="1" applyAlignment="1">
      <alignment/>
      <protection/>
    </xf>
    <xf numFmtId="0" fontId="4" fillId="0" borderId="0" xfId="71">
      <alignment/>
      <protection/>
    </xf>
    <xf numFmtId="0" fontId="17" fillId="0" borderId="0" xfId="71" applyFont="1" applyBorder="1" applyAlignment="1">
      <alignment horizontal="left"/>
      <protection/>
    </xf>
    <xf numFmtId="0" fontId="50" fillId="0" borderId="0" xfId="71" applyFont="1" applyBorder="1">
      <alignment/>
      <protection/>
    </xf>
    <xf numFmtId="1" fontId="50" fillId="45" borderId="0" xfId="71" applyNumberFormat="1" applyFont="1" applyFill="1" applyBorder="1" applyAlignment="1">
      <alignment horizontal="right"/>
      <protection/>
    </xf>
    <xf numFmtId="1" fontId="50" fillId="0" borderId="0" xfId="71" applyNumberFormat="1" applyFont="1" applyBorder="1" applyAlignment="1">
      <alignment horizontal="center"/>
      <protection/>
    </xf>
    <xf numFmtId="1" fontId="17" fillId="0" borderId="0" xfId="71" applyNumberFormat="1" applyFont="1" applyBorder="1">
      <alignment/>
      <protection/>
    </xf>
    <xf numFmtId="0" fontId="50" fillId="0" borderId="0" xfId="71" applyFont="1" applyBorder="1" applyAlignment="1">
      <alignment horizontal="center"/>
      <protection/>
    </xf>
    <xf numFmtId="0" fontId="50" fillId="0" borderId="0" xfId="71" applyFont="1" applyBorder="1" applyAlignment="1">
      <alignment horizontal="right"/>
      <protection/>
    </xf>
    <xf numFmtId="1" fontId="50" fillId="45" borderId="0" xfId="71" applyNumberFormat="1" applyFont="1" applyFill="1" applyBorder="1" applyAlignment="1">
      <alignment horizontal="center"/>
      <protection/>
    </xf>
    <xf numFmtId="1" fontId="50" fillId="0" borderId="0" xfId="71" applyNumberFormat="1" applyFont="1" applyBorder="1">
      <alignment/>
      <protection/>
    </xf>
    <xf numFmtId="0" fontId="13" fillId="0" borderId="0" xfId="71" applyFont="1" applyBorder="1" applyAlignment="1">
      <alignment horizontal="center"/>
      <protection/>
    </xf>
    <xf numFmtId="49" fontId="12" fillId="45" borderId="0" xfId="51" applyNumberFormat="1" applyFont="1" applyFill="1" applyBorder="1" applyAlignment="1" applyProtection="1">
      <alignment horizontal="center"/>
      <protection/>
    </xf>
    <xf numFmtId="0" fontId="0" fillId="0" borderId="0" xfId="51" applyFont="1" applyBorder="1" applyAlignment="1" applyProtection="1">
      <alignment horizontal="center"/>
      <protection/>
    </xf>
    <xf numFmtId="49" fontId="13" fillId="0" borderId="0" xfId="71" applyNumberFormat="1" applyFont="1" applyBorder="1" applyAlignment="1">
      <alignment horizontal="center"/>
      <protection/>
    </xf>
    <xf numFmtId="49" fontId="50" fillId="0" borderId="0" xfId="71" applyNumberFormat="1" applyFont="1" applyBorder="1" applyAlignment="1">
      <alignment horizontal="center"/>
      <protection/>
    </xf>
    <xf numFmtId="49" fontId="50" fillId="0" borderId="0" xfId="71" applyNumberFormat="1" applyFont="1" applyBorder="1">
      <alignment/>
      <protection/>
    </xf>
    <xf numFmtId="0" fontId="13" fillId="0" borderId="0" xfId="71" applyFont="1" applyBorder="1">
      <alignment/>
      <protection/>
    </xf>
    <xf numFmtId="0" fontId="17" fillId="0" borderId="0" xfId="71" applyFont="1" applyBorder="1">
      <alignment/>
      <protection/>
    </xf>
    <xf numFmtId="0" fontId="17" fillId="0" borderId="0" xfId="71" applyFont="1" applyBorder="1" applyAlignment="1">
      <alignment horizontal="center"/>
      <protection/>
    </xf>
    <xf numFmtId="2" fontId="6" fillId="45" borderId="20" xfId="71" applyNumberFormat="1" applyFont="1" applyFill="1" applyBorder="1" applyAlignment="1" applyProtection="1">
      <alignment/>
      <protection locked="0"/>
    </xf>
    <xf numFmtId="1" fontId="6" fillId="45" borderId="20" xfId="71" applyNumberFormat="1" applyFont="1" applyFill="1" applyBorder="1" applyAlignment="1" applyProtection="1">
      <alignment horizontal="center"/>
      <protection locked="0"/>
    </xf>
    <xf numFmtId="2" fontId="6" fillId="45" borderId="0" xfId="71" applyNumberFormat="1" applyFont="1" applyFill="1" applyAlignment="1" applyProtection="1">
      <alignment horizontal="center"/>
      <protection locked="0"/>
    </xf>
    <xf numFmtId="1" fontId="6" fillId="45" borderId="0" xfId="71" applyNumberFormat="1" applyFont="1" applyFill="1" applyAlignment="1" applyProtection="1">
      <alignment horizontal="center"/>
      <protection locked="0"/>
    </xf>
    <xf numFmtId="49" fontId="17" fillId="0" borderId="0" xfId="71" applyNumberFormat="1" applyFont="1" applyBorder="1">
      <alignment/>
      <protection/>
    </xf>
    <xf numFmtId="2" fontId="50" fillId="0" borderId="0" xfId="71" applyNumberFormat="1" applyFont="1" applyBorder="1">
      <alignment/>
      <protection/>
    </xf>
    <xf numFmtId="0" fontId="51" fillId="0" borderId="0" xfId="71" applyFont="1" applyFill="1" applyBorder="1">
      <alignment/>
      <protection/>
    </xf>
    <xf numFmtId="0" fontId="50" fillId="0" borderId="0" xfId="71" applyFont="1" applyBorder="1" applyAlignment="1">
      <alignment horizontal="left"/>
      <protection/>
    </xf>
    <xf numFmtId="1" fontId="50" fillId="0" borderId="0" xfId="71" applyNumberFormat="1" applyFont="1" applyBorder="1" applyAlignment="1">
      <alignment horizontal="right"/>
      <protection/>
    </xf>
    <xf numFmtId="0" fontId="17" fillId="33" borderId="0" xfId="71" applyFont="1" applyFill="1" applyBorder="1">
      <alignment/>
      <protection/>
    </xf>
    <xf numFmtId="0" fontId="50" fillId="33" borderId="0" xfId="71" applyFont="1" applyFill="1" applyBorder="1">
      <alignment/>
      <protection/>
    </xf>
    <xf numFmtId="0" fontId="50" fillId="33" borderId="0" xfId="71" applyFont="1" applyFill="1" applyBorder="1" applyAlignment="1">
      <alignment horizontal="center"/>
      <protection/>
    </xf>
    <xf numFmtId="0" fontId="52" fillId="0" borderId="0" xfId="71" applyFont="1" applyBorder="1" applyAlignment="1">
      <alignment horizontal="center"/>
      <protection/>
    </xf>
    <xf numFmtId="0" fontId="17" fillId="0" borderId="0" xfId="71" applyNumberFormat="1" applyFont="1" applyBorder="1">
      <alignment/>
      <protection/>
    </xf>
    <xf numFmtId="14" fontId="50" fillId="0" borderId="0" xfId="71" applyNumberFormat="1" applyFont="1" applyBorder="1" applyAlignment="1">
      <alignment horizontal="center"/>
      <protection/>
    </xf>
    <xf numFmtId="0" fontId="17" fillId="46" borderId="0" xfId="71" applyFont="1" applyFill="1" applyBorder="1" applyAlignment="1">
      <alignment horizontal="center"/>
      <protection/>
    </xf>
    <xf numFmtId="0" fontId="50" fillId="47" borderId="21" xfId="71" applyFont="1" applyFill="1" applyBorder="1" applyAlignment="1">
      <alignment horizontal="center"/>
      <protection/>
    </xf>
    <xf numFmtId="49" fontId="13" fillId="47" borderId="22" xfId="71" applyNumberFormat="1" applyFont="1" applyFill="1" applyBorder="1" applyAlignment="1">
      <alignment horizontal="center"/>
      <protection/>
    </xf>
    <xf numFmtId="0" fontId="50" fillId="46" borderId="21" xfId="71" applyFont="1" applyFill="1" applyBorder="1" applyAlignment="1">
      <alignment/>
      <protection/>
    </xf>
    <xf numFmtId="49" fontId="13" fillId="46" borderId="23" xfId="71" applyNumberFormat="1" applyFont="1" applyFill="1" applyBorder="1" applyAlignment="1">
      <alignment horizontal="center"/>
      <protection/>
    </xf>
    <xf numFmtId="0" fontId="50" fillId="46" borderId="23" xfId="71" applyFont="1" applyFill="1" applyBorder="1" applyAlignment="1">
      <alignment horizontal="center"/>
      <protection/>
    </xf>
    <xf numFmtId="0" fontId="50" fillId="46" borderId="23" xfId="71" applyFont="1" applyFill="1" applyBorder="1">
      <alignment/>
      <protection/>
    </xf>
    <xf numFmtId="49" fontId="50" fillId="46" borderId="22" xfId="71" applyNumberFormat="1" applyFont="1" applyFill="1" applyBorder="1" applyAlignment="1">
      <alignment horizontal="center"/>
      <protection/>
    </xf>
    <xf numFmtId="0" fontId="50" fillId="39" borderId="21" xfId="71" applyFont="1" applyFill="1" applyBorder="1">
      <alignment/>
      <protection/>
    </xf>
    <xf numFmtId="49" fontId="50" fillId="39" borderId="23" xfId="71" applyNumberFormat="1" applyFont="1" applyFill="1" applyBorder="1" applyAlignment="1">
      <alignment horizontal="center"/>
      <protection/>
    </xf>
    <xf numFmtId="0" fontId="50" fillId="39" borderId="23" xfId="71" applyFont="1" applyFill="1" applyBorder="1">
      <alignment/>
      <protection/>
    </xf>
    <xf numFmtId="49" fontId="50" fillId="39" borderId="22" xfId="71" applyNumberFormat="1" applyFont="1" applyFill="1" applyBorder="1" applyAlignment="1">
      <alignment horizontal="center"/>
      <protection/>
    </xf>
    <xf numFmtId="0" fontId="53" fillId="48" borderId="0" xfId="71" applyFont="1" applyFill="1" applyBorder="1">
      <alignment/>
      <protection/>
    </xf>
    <xf numFmtId="0" fontId="50" fillId="49" borderId="0" xfId="71" applyFont="1" applyFill="1" applyBorder="1" applyAlignment="1">
      <alignment horizontal="center"/>
      <protection/>
    </xf>
    <xf numFmtId="49" fontId="54" fillId="0" borderId="0" xfId="71" applyNumberFormat="1" applyFont="1" applyBorder="1">
      <alignment/>
      <protection/>
    </xf>
    <xf numFmtId="0" fontId="54" fillId="0" borderId="0" xfId="71" applyFont="1" applyBorder="1">
      <alignment/>
      <protection/>
    </xf>
    <xf numFmtId="0" fontId="13" fillId="47" borderId="21" xfId="71" applyFont="1" applyFill="1" applyBorder="1" applyAlignment="1">
      <alignment horizontal="center"/>
      <protection/>
    </xf>
    <xf numFmtId="0" fontId="17" fillId="41" borderId="23" xfId="71" applyFont="1" applyFill="1" applyBorder="1" applyAlignment="1">
      <alignment horizontal="left"/>
      <protection/>
    </xf>
    <xf numFmtId="0" fontId="17" fillId="50" borderId="23" xfId="71" applyFont="1" applyFill="1" applyBorder="1" applyAlignment="1">
      <alignment horizontal="left"/>
      <protection/>
    </xf>
    <xf numFmtId="0" fontId="13" fillId="43" borderId="23" xfId="71" applyFont="1" applyFill="1" applyBorder="1" applyAlignment="1">
      <alignment horizontal="center"/>
      <protection/>
    </xf>
    <xf numFmtId="0" fontId="13" fillId="46" borderId="24" xfId="71" applyFont="1" applyFill="1" applyBorder="1" applyAlignment="1">
      <alignment horizontal="center"/>
      <protection/>
    </xf>
    <xf numFmtId="0" fontId="17" fillId="46" borderId="24" xfId="71" applyFont="1" applyFill="1" applyBorder="1" applyAlignment="1">
      <alignment horizontal="center"/>
      <protection/>
    </xf>
    <xf numFmtId="0" fontId="13" fillId="46" borderId="20" xfId="71" applyFont="1" applyFill="1" applyBorder="1" applyAlignment="1">
      <alignment horizontal="center"/>
      <protection/>
    </xf>
    <xf numFmtId="1" fontId="17" fillId="46" borderId="24" xfId="71" applyNumberFormat="1" applyFont="1" applyFill="1" applyBorder="1" applyAlignment="1">
      <alignment horizontal="center"/>
      <protection/>
    </xf>
    <xf numFmtId="0" fontId="17" fillId="33" borderId="20" xfId="71" applyFont="1" applyFill="1" applyBorder="1">
      <alignment/>
      <protection/>
    </xf>
    <xf numFmtId="0" fontId="52" fillId="33" borderId="20" xfId="71" applyFont="1" applyFill="1" applyBorder="1">
      <alignment/>
      <protection/>
    </xf>
    <xf numFmtId="0" fontId="13" fillId="33" borderId="20" xfId="71" applyNumberFormat="1" applyFont="1" applyFill="1" applyBorder="1" applyAlignment="1">
      <alignment horizontal="center"/>
      <protection/>
    </xf>
    <xf numFmtId="0" fontId="50" fillId="47" borderId="0" xfId="71" applyFont="1" applyFill="1" applyBorder="1" applyAlignment="1">
      <alignment horizontal="center"/>
      <protection/>
    </xf>
    <xf numFmtId="49" fontId="13" fillId="47" borderId="0" xfId="71" applyNumberFormat="1" applyFont="1" applyFill="1" applyBorder="1" applyAlignment="1">
      <alignment horizontal="center"/>
      <protection/>
    </xf>
    <xf numFmtId="0" fontId="50" fillId="46" borderId="0" xfId="71" applyFont="1" applyFill="1" applyBorder="1" applyAlignment="1">
      <alignment/>
      <protection/>
    </xf>
    <xf numFmtId="49" fontId="13" fillId="46" borderId="0" xfId="71" applyNumberFormat="1" applyFont="1" applyFill="1" applyBorder="1" applyAlignment="1">
      <alignment horizontal="center"/>
      <protection/>
    </xf>
    <xf numFmtId="0" fontId="50" fillId="46" borderId="0" xfId="71" applyFont="1" applyFill="1" applyBorder="1" applyAlignment="1">
      <alignment horizontal="center"/>
      <protection/>
    </xf>
    <xf numFmtId="0" fontId="50" fillId="46" borderId="0" xfId="71" applyFont="1" applyFill="1" applyBorder="1">
      <alignment/>
      <protection/>
    </xf>
    <xf numFmtId="49" fontId="50" fillId="46" borderId="0" xfId="71" applyNumberFormat="1" applyFont="1" applyFill="1" applyBorder="1" applyAlignment="1">
      <alignment horizontal="center"/>
      <protection/>
    </xf>
    <xf numFmtId="0" fontId="50" fillId="39" borderId="0" xfId="71" applyFont="1" applyFill="1" applyBorder="1">
      <alignment/>
      <protection/>
    </xf>
    <xf numFmtId="49" fontId="50" fillId="39" borderId="0" xfId="71" applyNumberFormat="1" applyFont="1" applyFill="1" applyBorder="1" applyAlignment="1">
      <alignment horizontal="center"/>
      <protection/>
    </xf>
    <xf numFmtId="0" fontId="13" fillId="47" borderId="0" xfId="71" applyFont="1" applyFill="1" applyBorder="1" applyAlignment="1">
      <alignment horizontal="center"/>
      <protection/>
    </xf>
    <xf numFmtId="0" fontId="17" fillId="41" borderId="0" xfId="71" applyFont="1" applyFill="1" applyBorder="1" applyAlignment="1">
      <alignment horizontal="left"/>
      <protection/>
    </xf>
    <xf numFmtId="0" fontId="17" fillId="50" borderId="0" xfId="71" applyFont="1" applyFill="1" applyBorder="1" applyAlignment="1">
      <alignment horizontal="left"/>
      <protection/>
    </xf>
    <xf numFmtId="0" fontId="13" fillId="43" borderId="0" xfId="71" applyFont="1" applyFill="1" applyBorder="1" applyAlignment="1">
      <alignment horizontal="center"/>
      <protection/>
    </xf>
    <xf numFmtId="0" fontId="13" fillId="46" borderId="25" xfId="71" applyFont="1" applyFill="1" applyBorder="1" applyAlignment="1">
      <alignment horizontal="center"/>
      <protection/>
    </xf>
    <xf numFmtId="0" fontId="17" fillId="46" borderId="25" xfId="71" applyFont="1" applyFill="1" applyBorder="1" applyAlignment="1">
      <alignment horizontal="center"/>
      <protection/>
    </xf>
    <xf numFmtId="1" fontId="17" fillId="46" borderId="25" xfId="71" applyNumberFormat="1" applyFont="1" applyFill="1" applyBorder="1" applyAlignment="1">
      <alignment horizontal="center"/>
      <protection/>
    </xf>
    <xf numFmtId="0" fontId="50" fillId="33" borderId="20" xfId="71" applyFont="1" applyFill="1" applyBorder="1">
      <alignment/>
      <protection/>
    </xf>
    <xf numFmtId="167" fontId="52" fillId="0" borderId="0" xfId="71" applyNumberFormat="1" applyFont="1" applyFill="1" applyBorder="1" applyAlignment="1" applyProtection="1">
      <alignment horizontal="center"/>
      <protection locked="0"/>
    </xf>
    <xf numFmtId="1" fontId="17" fillId="0" borderId="0" xfId="71" applyNumberFormat="1" applyFont="1" applyFill="1" applyBorder="1" applyAlignment="1">
      <alignment horizontal="left"/>
      <protection/>
    </xf>
    <xf numFmtId="2" fontId="50" fillId="0" borderId="0" xfId="71" applyNumberFormat="1" applyFont="1" applyBorder="1" applyAlignment="1">
      <alignment horizontal="center"/>
      <protection/>
    </xf>
    <xf numFmtId="2" fontId="17" fillId="0" borderId="0" xfId="71" applyNumberFormat="1" applyFont="1" applyBorder="1" applyAlignment="1">
      <alignment horizontal="left"/>
      <protection/>
    </xf>
    <xf numFmtId="14" fontId="13" fillId="0" borderId="0" xfId="71" applyNumberFormat="1" applyFont="1" applyBorder="1" applyAlignment="1">
      <alignment horizontal="center"/>
      <protection/>
    </xf>
    <xf numFmtId="0" fontId="53" fillId="0" borderId="0" xfId="71" applyFont="1" applyBorder="1" applyAlignment="1">
      <alignment horizontal="left"/>
      <protection/>
    </xf>
    <xf numFmtId="0" fontId="50" fillId="41" borderId="0" xfId="71" applyFont="1" applyFill="1" applyBorder="1" applyAlignment="1">
      <alignment horizontal="center"/>
      <protection/>
    </xf>
    <xf numFmtId="49" fontId="13" fillId="41" borderId="0" xfId="71" applyNumberFormat="1" applyFont="1" applyFill="1" applyBorder="1" applyAlignment="1">
      <alignment horizontal="center"/>
      <protection/>
    </xf>
    <xf numFmtId="0" fontId="50" fillId="51" borderId="0" xfId="71" applyFont="1" applyFill="1" applyBorder="1">
      <alignment/>
      <protection/>
    </xf>
    <xf numFmtId="49" fontId="50" fillId="51" borderId="0" xfId="71" applyNumberFormat="1" applyFont="1" applyFill="1" applyBorder="1" applyAlignment="1">
      <alignment horizontal="center"/>
      <protection/>
    </xf>
    <xf numFmtId="0" fontId="50" fillId="35" borderId="0" xfId="71" applyFont="1" applyFill="1" applyBorder="1">
      <alignment/>
      <protection/>
    </xf>
    <xf numFmtId="49" fontId="50" fillId="35" borderId="0" xfId="71" applyNumberFormat="1" applyFont="1" applyFill="1" applyBorder="1" applyAlignment="1">
      <alignment horizontal="center"/>
      <protection/>
    </xf>
    <xf numFmtId="0" fontId="55" fillId="48" borderId="0" xfId="71" applyFont="1" applyFill="1" applyBorder="1" applyAlignment="1">
      <alignment horizontal="left"/>
      <protection/>
    </xf>
    <xf numFmtId="0" fontId="56" fillId="0" borderId="0" xfId="71" applyFont="1" applyBorder="1" applyAlignment="1">
      <alignment horizontal="center"/>
      <protection/>
    </xf>
    <xf numFmtId="0" fontId="57" fillId="0" borderId="0" xfId="71" applyFont="1" applyBorder="1" applyAlignment="1">
      <alignment horizontal="left"/>
      <protection/>
    </xf>
    <xf numFmtId="0" fontId="16" fillId="0" borderId="0" xfId="71" applyFont="1" applyBorder="1" applyAlignment="1">
      <alignment horizontal="center"/>
      <protection/>
    </xf>
    <xf numFmtId="0" fontId="13" fillId="41" borderId="0" xfId="71" applyFont="1" applyFill="1" applyBorder="1" applyAlignment="1">
      <alignment horizontal="center"/>
      <protection/>
    </xf>
    <xf numFmtId="0" fontId="13" fillId="50" borderId="0" xfId="71" applyFont="1" applyFill="1" applyBorder="1">
      <alignment/>
      <protection/>
    </xf>
    <xf numFmtId="0" fontId="15" fillId="46" borderId="25" xfId="71" applyFont="1" applyFill="1" applyBorder="1" applyAlignment="1">
      <alignment horizontal="center"/>
      <protection/>
    </xf>
    <xf numFmtId="0" fontId="17" fillId="46" borderId="20" xfId="71" applyFont="1" applyFill="1" applyBorder="1" applyAlignment="1">
      <alignment horizontal="left"/>
      <protection/>
    </xf>
    <xf numFmtId="1" fontId="17" fillId="46" borderId="26" xfId="71" applyNumberFormat="1" applyFont="1" applyFill="1" applyBorder="1" applyAlignment="1">
      <alignment horizontal="left"/>
      <protection/>
    </xf>
    <xf numFmtId="1" fontId="17" fillId="46" borderId="26" xfId="71" applyNumberFormat="1" applyFont="1" applyFill="1" applyBorder="1" applyAlignment="1">
      <alignment horizontal="center"/>
      <protection/>
    </xf>
    <xf numFmtId="2" fontId="17" fillId="0" borderId="0" xfId="71" applyNumberFormat="1" applyFont="1" applyBorder="1">
      <alignment/>
      <protection/>
    </xf>
    <xf numFmtId="0" fontId="52" fillId="0" borderId="0" xfId="71" applyFont="1" applyFill="1" applyBorder="1" applyAlignment="1">
      <alignment horizontal="left"/>
      <protection/>
    </xf>
    <xf numFmtId="0" fontId="50" fillId="0" borderId="20" xfId="71" applyFont="1" applyFill="1" applyBorder="1">
      <alignment/>
      <protection/>
    </xf>
    <xf numFmtId="0" fontId="4" fillId="0" borderId="20" xfId="71" applyFont="1" applyFill="1" applyBorder="1">
      <alignment/>
      <protection/>
    </xf>
    <xf numFmtId="0" fontId="52" fillId="0" borderId="20" xfId="71" applyNumberFormat="1" applyFont="1" applyFill="1" applyBorder="1" applyAlignment="1">
      <alignment horizontal="center"/>
      <protection/>
    </xf>
    <xf numFmtId="0" fontId="50" fillId="0" borderId="20" xfId="71" applyNumberFormat="1" applyFont="1" applyFill="1" applyBorder="1" applyAlignment="1">
      <alignment horizontal="center"/>
      <protection/>
    </xf>
    <xf numFmtId="0" fontId="50" fillId="0" borderId="20" xfId="71" applyNumberFormat="1" applyFont="1" applyFill="1" applyBorder="1" applyAlignment="1">
      <alignment horizontal="left"/>
      <protection/>
    </xf>
    <xf numFmtId="0" fontId="4" fillId="0" borderId="20" xfId="71" applyFill="1" applyBorder="1">
      <alignment/>
      <protection/>
    </xf>
    <xf numFmtId="49" fontId="52" fillId="0" borderId="20" xfId="71" applyNumberFormat="1" applyFont="1" applyFill="1" applyBorder="1" applyAlignment="1">
      <alignment horizontal="center"/>
      <protection/>
    </xf>
    <xf numFmtId="167" fontId="17" fillId="0" borderId="20" xfId="71" applyNumberFormat="1" applyFont="1" applyFill="1" applyBorder="1" applyAlignment="1">
      <alignment horizontal="right"/>
      <protection/>
    </xf>
    <xf numFmtId="2" fontId="50" fillId="0" borderId="20" xfId="71" applyNumberFormat="1" applyFont="1" applyFill="1" applyBorder="1" applyAlignment="1">
      <alignment horizontal="center"/>
      <protection/>
    </xf>
    <xf numFmtId="0" fontId="50" fillId="0" borderId="20" xfId="71" applyNumberFormat="1" applyFont="1" applyFill="1" applyBorder="1" applyAlignment="1">
      <alignment horizontal="right"/>
      <protection/>
    </xf>
    <xf numFmtId="14" fontId="50" fillId="0" borderId="20" xfId="71" applyNumberFormat="1" applyFont="1" applyFill="1" applyBorder="1" applyAlignment="1">
      <alignment horizontal="center"/>
      <protection/>
    </xf>
    <xf numFmtId="183" fontId="50" fillId="0" borderId="20" xfId="71" applyNumberFormat="1" applyFont="1" applyFill="1" applyBorder="1" applyAlignment="1">
      <alignment horizontal="center"/>
      <protection/>
    </xf>
    <xf numFmtId="0" fontId="13" fillId="0" borderId="20" xfId="71" applyFont="1" applyFill="1" applyBorder="1" applyAlignment="1">
      <alignment horizontal="center"/>
      <protection/>
    </xf>
    <xf numFmtId="49" fontId="13" fillId="0" borderId="20" xfId="71" applyNumberFormat="1" applyFont="1" applyFill="1" applyBorder="1" applyAlignment="1">
      <alignment horizontal="center"/>
      <protection/>
    </xf>
    <xf numFmtId="49" fontId="50" fillId="0" borderId="20" xfId="71" applyNumberFormat="1" applyFont="1" applyFill="1" applyBorder="1" applyAlignment="1">
      <alignment horizontal="center"/>
      <protection/>
    </xf>
    <xf numFmtId="0" fontId="50" fillId="0" borderId="20" xfId="71" applyFont="1" applyFill="1" applyBorder="1" applyAlignment="1">
      <alignment horizontal="center"/>
      <protection/>
    </xf>
    <xf numFmtId="49" fontId="50" fillId="0" borderId="20" xfId="71" applyNumberFormat="1" applyFont="1" applyFill="1" applyBorder="1">
      <alignment/>
      <protection/>
    </xf>
    <xf numFmtId="49" fontId="13" fillId="0" borderId="20" xfId="71" applyNumberFormat="1" applyFont="1" applyFill="1" applyBorder="1">
      <alignment/>
      <protection/>
    </xf>
    <xf numFmtId="0" fontId="13" fillId="0" borderId="20" xfId="71" applyFont="1" applyFill="1" applyBorder="1">
      <alignment/>
      <protection/>
    </xf>
    <xf numFmtId="14" fontId="17" fillId="0" borderId="20" xfId="71" applyNumberFormat="1" applyFont="1" applyFill="1" applyBorder="1" applyAlignment="1">
      <alignment horizontal="center"/>
      <protection/>
    </xf>
    <xf numFmtId="0" fontId="2" fillId="0" borderId="20" xfId="71" applyFont="1" applyFill="1" applyBorder="1">
      <alignment/>
      <protection/>
    </xf>
    <xf numFmtId="1" fontId="4" fillId="0" borderId="20" xfId="71" applyNumberFormat="1" applyFont="1" applyFill="1" applyBorder="1" applyAlignment="1" applyProtection="1">
      <alignment/>
      <protection locked="0"/>
    </xf>
    <xf numFmtId="165" fontId="13" fillId="0" borderId="20" xfId="71" applyNumberFormat="1" applyFont="1" applyFill="1" applyBorder="1" applyAlignment="1">
      <alignment horizontal="center"/>
      <protection/>
    </xf>
    <xf numFmtId="1" fontId="13" fillId="0" borderId="20" xfId="71" applyNumberFormat="1" applyFont="1" applyFill="1" applyBorder="1" applyAlignment="1">
      <alignment horizontal="center"/>
      <protection/>
    </xf>
    <xf numFmtId="14" fontId="17" fillId="0" borderId="20" xfId="71" applyNumberFormat="1" applyFont="1" applyFill="1" applyBorder="1">
      <alignment/>
      <protection/>
    </xf>
    <xf numFmtId="0" fontId="17" fillId="0" borderId="20" xfId="71" applyFont="1" applyFill="1" applyBorder="1">
      <alignment/>
      <protection/>
    </xf>
    <xf numFmtId="14" fontId="50" fillId="0" borderId="20" xfId="71" applyNumberFormat="1" applyFont="1" applyFill="1" applyBorder="1">
      <alignment/>
      <protection/>
    </xf>
    <xf numFmtId="1" fontId="50" fillId="0" borderId="0" xfId="71" applyNumberFormat="1" applyFont="1" applyFill="1" applyBorder="1" applyAlignment="1">
      <alignment horizontal="right"/>
      <protection/>
    </xf>
    <xf numFmtId="0" fontId="50" fillId="0" borderId="0" xfId="71" applyFont="1" applyFill="1" applyBorder="1">
      <alignment/>
      <protection/>
    </xf>
    <xf numFmtId="0" fontId="52" fillId="0" borderId="20" xfId="71" applyFont="1" applyFill="1" applyBorder="1" applyAlignment="1">
      <alignment horizontal="center"/>
      <protection/>
    </xf>
    <xf numFmtId="0" fontId="4" fillId="0" borderId="0" xfId="71" applyFill="1">
      <alignment/>
      <protection/>
    </xf>
    <xf numFmtId="171" fontId="17" fillId="0" borderId="20" xfId="71" applyNumberFormat="1" applyFont="1" applyFill="1" applyBorder="1" applyAlignment="1">
      <alignment horizontal="right"/>
      <protection/>
    </xf>
    <xf numFmtId="2" fontId="50" fillId="0" borderId="20" xfId="71" applyNumberFormat="1" applyFont="1" applyFill="1" applyBorder="1">
      <alignment/>
      <protection/>
    </xf>
    <xf numFmtId="9" fontId="50" fillId="0" borderId="20" xfId="71" applyNumberFormat="1" applyFont="1" applyFill="1" applyBorder="1">
      <alignment/>
      <protection/>
    </xf>
    <xf numFmtId="0" fontId="13" fillId="0" borderId="26" xfId="71" applyFont="1" applyFill="1" applyBorder="1">
      <alignment/>
      <protection/>
    </xf>
    <xf numFmtId="14" fontId="17" fillId="49" borderId="20" xfId="71" applyNumberFormat="1" applyFont="1" applyFill="1" applyBorder="1">
      <alignment/>
      <protection/>
    </xf>
    <xf numFmtId="0" fontId="17" fillId="0" borderId="20" xfId="71" applyFont="1" applyFill="1" applyBorder="1" applyAlignment="1">
      <alignment horizontal="center"/>
      <protection/>
    </xf>
    <xf numFmtId="49" fontId="50" fillId="0" borderId="0" xfId="71" applyNumberFormat="1" applyFont="1" applyFill="1" applyBorder="1">
      <alignment/>
      <protection/>
    </xf>
    <xf numFmtId="0" fontId="53" fillId="0" borderId="20" xfId="7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58" fillId="0" borderId="20" xfId="71" applyFont="1" applyFill="1" applyBorder="1" applyAlignment="1">
      <alignment horizontal="center"/>
      <protection/>
    </xf>
    <xf numFmtId="0" fontId="58" fillId="0" borderId="20" xfId="71" applyFont="1" applyFill="1" applyBorder="1" applyAlignment="1">
      <alignment horizontal="left"/>
      <protection/>
    </xf>
    <xf numFmtId="49" fontId="58" fillId="0" borderId="20" xfId="71" applyNumberFormat="1" applyFont="1" applyFill="1" applyBorder="1" applyAlignment="1">
      <alignment/>
      <protection/>
    </xf>
    <xf numFmtId="49" fontId="59" fillId="0" borderId="20" xfId="71" applyNumberFormat="1" applyFont="1" applyFill="1" applyBorder="1" applyAlignment="1">
      <alignment horizontal="center"/>
      <protection/>
    </xf>
    <xf numFmtId="49" fontId="5" fillId="0" borderId="20" xfId="71" applyNumberFormat="1" applyFont="1" applyFill="1" applyBorder="1" applyAlignment="1" applyProtection="1">
      <alignment horizontal="center"/>
      <protection locked="0"/>
    </xf>
    <xf numFmtId="49" fontId="50" fillId="0" borderId="26" xfId="71" applyNumberFormat="1" applyFont="1" applyFill="1" applyBorder="1" applyAlignment="1">
      <alignment horizontal="center"/>
      <protection/>
    </xf>
    <xf numFmtId="49" fontId="60" fillId="0" borderId="20" xfId="71" applyNumberFormat="1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/>
      <protection/>
    </xf>
    <xf numFmtId="0" fontId="50" fillId="0" borderId="0" xfId="71" applyFont="1" applyFill="1" applyBorder="1" applyAlignment="1">
      <alignment horizontal="left"/>
      <protection/>
    </xf>
    <xf numFmtId="0" fontId="25" fillId="0" borderId="20" xfId="71" applyFont="1" applyFill="1" applyBorder="1" applyAlignment="1" applyProtection="1">
      <alignment horizontal="center"/>
      <protection locked="0"/>
    </xf>
    <xf numFmtId="0" fontId="13" fillId="0" borderId="26" xfId="71" applyFont="1" applyFill="1" applyBorder="1" applyAlignment="1">
      <alignment horizontal="center"/>
      <protection/>
    </xf>
    <xf numFmtId="49" fontId="61" fillId="0" borderId="20" xfId="71" applyNumberFormat="1" applyFont="1" applyFill="1" applyBorder="1">
      <alignment/>
      <protection/>
    </xf>
    <xf numFmtId="49" fontId="50" fillId="0" borderId="0" xfId="71" applyNumberFormat="1" applyFont="1" applyFill="1" applyBorder="1" applyAlignment="1">
      <alignment horizontal="right"/>
      <protection/>
    </xf>
    <xf numFmtId="0" fontId="50" fillId="0" borderId="0" xfId="71" applyNumberFormat="1" applyFont="1" applyFill="1" applyBorder="1" applyAlignment="1">
      <alignment horizontal="left"/>
      <protection/>
    </xf>
    <xf numFmtId="0" fontId="50" fillId="0" borderId="26" xfId="71" applyNumberFormat="1" applyFont="1" applyFill="1" applyBorder="1" applyAlignment="1">
      <alignment horizontal="center"/>
      <protection/>
    </xf>
    <xf numFmtId="49" fontId="52" fillId="0" borderId="26" xfId="71" applyNumberFormat="1" applyFont="1" applyFill="1" applyBorder="1" applyAlignment="1">
      <alignment horizontal="center"/>
      <protection/>
    </xf>
    <xf numFmtId="0" fontId="2" fillId="0" borderId="26" xfId="71" applyFont="1" applyFill="1" applyBorder="1">
      <alignment/>
      <protection/>
    </xf>
    <xf numFmtId="0" fontId="3" fillId="0" borderId="20" xfId="71" applyFont="1" applyBorder="1" applyAlignment="1" applyProtection="1">
      <alignment horizontal="center"/>
      <protection locked="0"/>
    </xf>
    <xf numFmtId="0" fontId="50" fillId="0" borderId="20" xfId="71" applyNumberFormat="1" applyFont="1" applyFill="1" applyBorder="1" applyAlignment="1">
      <alignment/>
      <protection/>
    </xf>
    <xf numFmtId="0" fontId="17" fillId="0" borderId="26" xfId="71" applyFont="1" applyFill="1" applyBorder="1">
      <alignment/>
      <protection/>
    </xf>
    <xf numFmtId="0" fontId="2" fillId="0" borderId="20" xfId="71" applyFont="1" applyFill="1" applyBorder="1" applyAlignment="1">
      <alignment horizontal="left"/>
      <protection/>
    </xf>
    <xf numFmtId="1" fontId="17" fillId="0" borderId="20" xfId="71" applyNumberFormat="1" applyFont="1" applyFill="1" applyBorder="1" applyAlignment="1">
      <alignment horizontal="center"/>
      <protection/>
    </xf>
    <xf numFmtId="0" fontId="50" fillId="0" borderId="0" xfId="71" applyFont="1" applyFill="1" applyBorder="1" applyAlignment="1">
      <alignment horizontal="center"/>
      <protection/>
    </xf>
    <xf numFmtId="0" fontId="4" fillId="0" borderId="0" xfId="71" applyFill="1" applyBorder="1">
      <alignment/>
      <protection/>
    </xf>
    <xf numFmtId="2" fontId="4" fillId="0" borderId="20" xfId="71" applyNumberFormat="1" applyFill="1" applyBorder="1">
      <alignment/>
      <protection/>
    </xf>
    <xf numFmtId="165" fontId="50" fillId="0" borderId="0" xfId="71" applyNumberFormat="1" applyFont="1" applyFill="1" applyBorder="1">
      <alignment/>
      <protection/>
    </xf>
    <xf numFmtId="1" fontId="13" fillId="0" borderId="0" xfId="71" applyNumberFormat="1" applyFont="1" applyFill="1" applyBorder="1" applyAlignment="1">
      <alignment horizontal="center"/>
      <protection/>
    </xf>
    <xf numFmtId="49" fontId="50" fillId="0" borderId="0" xfId="71" applyNumberFormat="1" applyFont="1" applyFill="1" applyBorder="1" applyAlignment="1">
      <alignment horizontal="center"/>
      <protection/>
    </xf>
    <xf numFmtId="49" fontId="53" fillId="0" borderId="20" xfId="71" applyNumberFormat="1" applyFont="1" applyFill="1" applyBorder="1" applyAlignment="1">
      <alignment horizontal="center"/>
      <protection/>
    </xf>
    <xf numFmtId="0" fontId="4" fillId="0" borderId="0" xfId="71" applyFont="1" applyFill="1" applyBorder="1">
      <alignment/>
      <protection/>
    </xf>
    <xf numFmtId="0" fontId="52" fillId="0" borderId="0" xfId="71" applyFont="1" applyFill="1" applyBorder="1" applyAlignment="1">
      <alignment horizontal="center"/>
      <protection/>
    </xf>
    <xf numFmtId="0" fontId="50" fillId="0" borderId="0" xfId="71" applyNumberFormat="1" applyFont="1" applyFill="1" applyBorder="1" applyAlignment="1">
      <alignment horizontal="center"/>
      <protection/>
    </xf>
    <xf numFmtId="49" fontId="52" fillId="0" borderId="0" xfId="71" applyNumberFormat="1" applyFont="1" applyFill="1" applyBorder="1" applyAlignment="1">
      <alignment horizontal="center"/>
      <protection/>
    </xf>
    <xf numFmtId="2" fontId="50" fillId="0" borderId="0" xfId="71" applyNumberFormat="1" applyFont="1" applyFill="1" applyBorder="1" applyAlignment="1">
      <alignment horizontal="center"/>
      <protection/>
    </xf>
    <xf numFmtId="2" fontId="50" fillId="0" borderId="0" xfId="71" applyNumberFormat="1" applyFont="1" applyFill="1" applyBorder="1">
      <alignment/>
      <protection/>
    </xf>
    <xf numFmtId="0" fontId="50" fillId="0" borderId="0" xfId="71" applyNumberFormat="1" applyFont="1" applyFill="1" applyBorder="1" applyAlignment="1">
      <alignment horizontal="center" vertical="center"/>
      <protection/>
    </xf>
    <xf numFmtId="14" fontId="50" fillId="0" borderId="0" xfId="71" applyNumberFormat="1" applyFont="1" applyFill="1" applyBorder="1" applyAlignment="1">
      <alignment horizontal="center"/>
      <protection/>
    </xf>
    <xf numFmtId="183" fontId="50" fillId="0" borderId="0" xfId="71" applyNumberFormat="1" applyFont="1" applyFill="1" applyBorder="1" applyAlignment="1">
      <alignment horizontal="center"/>
      <protection/>
    </xf>
    <xf numFmtId="0" fontId="13" fillId="0" borderId="0" xfId="71" applyFont="1" applyFill="1" applyBorder="1" applyAlignment="1">
      <alignment horizontal="center"/>
      <protection/>
    </xf>
    <xf numFmtId="0" fontId="17" fillId="0" borderId="0" xfId="71" applyFont="1" applyFill="1" applyBorder="1">
      <alignment/>
      <protection/>
    </xf>
    <xf numFmtId="9" fontId="50" fillId="0" borderId="0" xfId="71" applyNumberFormat="1" applyFont="1" applyFill="1" applyBorder="1">
      <alignment/>
      <protection/>
    </xf>
    <xf numFmtId="14" fontId="17" fillId="0" borderId="0" xfId="71" applyNumberFormat="1" applyFont="1" applyFill="1" applyBorder="1">
      <alignment/>
      <protection/>
    </xf>
    <xf numFmtId="0" fontId="17" fillId="0" borderId="0" xfId="71" applyFont="1" applyFill="1" applyBorder="1" applyAlignment="1">
      <alignment horizontal="center"/>
      <protection/>
    </xf>
    <xf numFmtId="0" fontId="15" fillId="0" borderId="0" xfId="71" applyFont="1" applyFill="1" applyBorder="1">
      <alignment/>
      <protection/>
    </xf>
    <xf numFmtId="1" fontId="4" fillId="0" borderId="0" xfId="71" applyNumberFormat="1" applyFont="1" applyFill="1" applyBorder="1" applyAlignment="1" applyProtection="1">
      <alignment/>
      <protection locked="0"/>
    </xf>
    <xf numFmtId="165" fontId="13" fillId="0" borderId="0" xfId="71" applyNumberFormat="1" applyFont="1" applyFill="1" applyBorder="1" applyAlignment="1">
      <alignment horizontal="center"/>
      <protection/>
    </xf>
    <xf numFmtId="14" fontId="52" fillId="0" borderId="0" xfId="71" applyNumberFormat="1" applyFont="1" applyFill="1" applyBorder="1" applyAlignment="1">
      <alignment horizontal="center"/>
      <protection/>
    </xf>
    <xf numFmtId="49" fontId="64" fillId="0" borderId="0" xfId="71" applyNumberFormat="1" applyFont="1" applyFill="1" applyBorder="1" applyAlignment="1">
      <alignment horizontal="center"/>
      <protection/>
    </xf>
    <xf numFmtId="2" fontId="6" fillId="0" borderId="0" xfId="71" applyNumberFormat="1" applyFont="1" applyFill="1" applyBorder="1" applyAlignment="1" applyProtection="1">
      <alignment/>
      <protection locked="0"/>
    </xf>
    <xf numFmtId="165" fontId="15" fillId="0" borderId="0" xfId="71" applyNumberFormat="1" applyFont="1" applyFill="1" applyBorder="1" applyAlignment="1">
      <alignment horizontal="center"/>
      <protection/>
    </xf>
    <xf numFmtId="2" fontId="17" fillId="0" borderId="0" xfId="71" applyNumberFormat="1" applyFont="1" applyFill="1" applyBorder="1" applyAlignment="1">
      <alignment horizontal="left"/>
      <protection/>
    </xf>
    <xf numFmtId="0" fontId="50" fillId="0" borderId="0" xfId="71" applyFont="1" applyFill="1" applyBorder="1" applyAlignment="1">
      <alignment horizontal="right"/>
      <protection/>
    </xf>
    <xf numFmtId="14" fontId="13" fillId="0" borderId="0" xfId="71" applyNumberFormat="1" applyFont="1" applyFill="1" applyBorder="1" applyAlignment="1">
      <alignment horizontal="center"/>
      <protection/>
    </xf>
    <xf numFmtId="0" fontId="53" fillId="0" borderId="0" xfId="71" applyFont="1" applyFill="1" applyBorder="1" applyAlignment="1">
      <alignment horizontal="left"/>
      <protection/>
    </xf>
    <xf numFmtId="0" fontId="17" fillId="0" borderId="0" xfId="71" applyFont="1" applyFill="1" applyBorder="1" applyAlignment="1">
      <alignment horizontal="left"/>
      <protection/>
    </xf>
    <xf numFmtId="0" fontId="55" fillId="0" borderId="0" xfId="71" applyFont="1" applyFill="1" applyBorder="1" applyAlignment="1">
      <alignment horizontal="left"/>
      <protection/>
    </xf>
    <xf numFmtId="0" fontId="56" fillId="0" borderId="0" xfId="71" applyFont="1" applyFill="1" applyBorder="1" applyAlignment="1">
      <alignment horizontal="center"/>
      <protection/>
    </xf>
    <xf numFmtId="49" fontId="5" fillId="0" borderId="0" xfId="71" applyNumberFormat="1" applyFont="1" applyFill="1" applyBorder="1" applyAlignment="1" applyProtection="1">
      <alignment horizontal="center"/>
      <protection locked="0"/>
    </xf>
    <xf numFmtId="1" fontId="13" fillId="0" borderId="0" xfId="71" applyNumberFormat="1" applyFont="1" applyBorder="1" applyAlignment="1">
      <alignment horizontal="center"/>
      <protection/>
    </xf>
    <xf numFmtId="0" fontId="2" fillId="0" borderId="0" xfId="71" applyFont="1" applyFill="1" applyBorder="1" applyAlignment="1">
      <alignment horizontal="left"/>
      <protection/>
    </xf>
    <xf numFmtId="0" fontId="50" fillId="41" borderId="0" xfId="71" applyFont="1" applyFill="1" applyBorder="1">
      <alignment/>
      <protection/>
    </xf>
    <xf numFmtId="0" fontId="52" fillId="41" borderId="0" xfId="71" applyFont="1" applyFill="1" applyBorder="1" applyAlignment="1">
      <alignment horizontal="center"/>
      <protection/>
    </xf>
    <xf numFmtId="1" fontId="50" fillId="41" borderId="0" xfId="71" applyNumberFormat="1" applyFont="1" applyFill="1" applyBorder="1" applyAlignment="1">
      <alignment horizontal="right"/>
      <protection/>
    </xf>
    <xf numFmtId="2" fontId="50" fillId="41" borderId="0" xfId="71" applyNumberFormat="1" applyFont="1" applyFill="1" applyBorder="1" applyAlignment="1">
      <alignment horizontal="center"/>
      <protection/>
    </xf>
    <xf numFmtId="2" fontId="50" fillId="41" borderId="0" xfId="71" applyNumberFormat="1" applyFont="1" applyFill="1" applyBorder="1">
      <alignment/>
      <protection/>
    </xf>
    <xf numFmtId="0" fontId="50" fillId="41" borderId="0" xfId="71" applyFont="1" applyFill="1" applyBorder="1" applyAlignment="1">
      <alignment horizontal="right"/>
      <protection/>
    </xf>
    <xf numFmtId="14" fontId="50" fillId="41" borderId="0" xfId="71" applyNumberFormat="1" applyFont="1" applyFill="1" applyBorder="1" applyAlignment="1">
      <alignment horizontal="center"/>
      <protection/>
    </xf>
    <xf numFmtId="49" fontId="50" fillId="41" borderId="0" xfId="71" applyNumberFormat="1" applyFont="1" applyFill="1" applyBorder="1" applyAlignment="1">
      <alignment horizontal="center"/>
      <protection/>
    </xf>
    <xf numFmtId="49" fontId="50" fillId="41" borderId="0" xfId="71" applyNumberFormat="1" applyFont="1" applyFill="1" applyBorder="1">
      <alignment/>
      <protection/>
    </xf>
    <xf numFmtId="0" fontId="13" fillId="41" borderId="0" xfId="71" applyFont="1" applyFill="1" applyBorder="1">
      <alignment/>
      <protection/>
    </xf>
    <xf numFmtId="0" fontId="17" fillId="41" borderId="0" xfId="71" applyFont="1" applyFill="1" applyBorder="1">
      <alignment/>
      <protection/>
    </xf>
    <xf numFmtId="0" fontId="17" fillId="41" borderId="0" xfId="71" applyFont="1" applyFill="1" applyBorder="1" applyAlignment="1">
      <alignment horizontal="center"/>
      <protection/>
    </xf>
    <xf numFmtId="1" fontId="13" fillId="41" borderId="0" xfId="71" applyNumberFormat="1" applyFont="1" applyFill="1" applyBorder="1" applyAlignment="1">
      <alignment horizontal="center"/>
      <protection/>
    </xf>
    <xf numFmtId="0" fontId="23" fillId="0" borderId="0" xfId="71" applyFont="1" applyFill="1">
      <alignment/>
      <protection/>
    </xf>
    <xf numFmtId="1" fontId="15" fillId="0" borderId="0" xfId="71" applyNumberFormat="1" applyFont="1" applyFill="1" applyBorder="1" applyAlignment="1">
      <alignment horizontal="center"/>
      <protection/>
    </xf>
    <xf numFmtId="0" fontId="3" fillId="0" borderId="0" xfId="71" applyNumberFormat="1" applyFont="1" applyFill="1" applyAlignment="1">
      <alignment horizontal="left"/>
      <protection/>
    </xf>
    <xf numFmtId="0" fontId="5" fillId="0" borderId="0" xfId="71" applyFont="1" applyFill="1">
      <alignment/>
      <protection/>
    </xf>
    <xf numFmtId="1" fontId="5" fillId="0" borderId="0" xfId="71" applyNumberFormat="1" applyFont="1" applyFill="1">
      <alignment/>
      <protection/>
    </xf>
    <xf numFmtId="166" fontId="5" fillId="0" borderId="0" xfId="71" applyNumberFormat="1" applyFont="1" applyFill="1" applyAlignment="1">
      <alignment horizontal="left"/>
      <protection/>
    </xf>
    <xf numFmtId="2" fontId="5" fillId="0" borderId="0" xfId="71" applyNumberFormat="1" applyFont="1" applyFill="1">
      <alignment/>
      <protection/>
    </xf>
    <xf numFmtId="169" fontId="5" fillId="0" borderId="0" xfId="71" applyNumberFormat="1" applyFont="1" applyFill="1">
      <alignment/>
      <protection/>
    </xf>
    <xf numFmtId="0" fontId="5" fillId="0" borderId="0" xfId="71" applyFont="1" applyFill="1" applyAlignment="1">
      <alignment horizontal="center"/>
      <protection/>
    </xf>
    <xf numFmtId="169" fontId="5" fillId="0" borderId="0" xfId="71" applyNumberFormat="1" applyFont="1" applyFill="1" applyAlignment="1">
      <alignment horizontal="center"/>
      <protection/>
    </xf>
    <xf numFmtId="174" fontId="5" fillId="0" borderId="0" xfId="71" applyNumberFormat="1" applyFont="1" applyFill="1">
      <alignment/>
      <protection/>
    </xf>
    <xf numFmtId="165" fontId="4" fillId="0" borderId="0" xfId="71" applyNumberFormat="1" applyFill="1">
      <alignment/>
      <protection/>
    </xf>
    <xf numFmtId="2" fontId="4" fillId="0" borderId="0" xfId="71" applyNumberFormat="1" applyFill="1">
      <alignment/>
      <protection/>
    </xf>
    <xf numFmtId="187" fontId="4" fillId="0" borderId="0" xfId="71" applyNumberFormat="1" applyFill="1">
      <alignment/>
      <protection/>
    </xf>
    <xf numFmtId="164" fontId="4" fillId="0" borderId="0" xfId="71" applyNumberFormat="1" applyFill="1">
      <alignment/>
      <protection/>
    </xf>
    <xf numFmtId="168" fontId="5" fillId="0" borderId="0" xfId="71" applyNumberFormat="1" applyFont="1" applyFill="1">
      <alignment/>
      <protection/>
    </xf>
    <xf numFmtId="164" fontId="5" fillId="0" borderId="0" xfId="71" applyNumberFormat="1" applyFont="1" applyFill="1">
      <alignment/>
      <protection/>
    </xf>
    <xf numFmtId="0" fontId="2" fillId="0" borderId="0" xfId="71" applyFont="1" applyFill="1" applyAlignment="1">
      <alignment horizontal="right"/>
      <protection/>
    </xf>
    <xf numFmtId="166" fontId="2" fillId="0" borderId="0" xfId="71" applyNumberFormat="1" applyFont="1" applyFill="1" applyAlignment="1">
      <alignment horizontal="center"/>
      <protection/>
    </xf>
    <xf numFmtId="14" fontId="5" fillId="0" borderId="0" xfId="71" applyNumberFormat="1" applyFont="1" applyFill="1" applyAlignment="1">
      <alignment horizontal="center"/>
      <protection/>
    </xf>
    <xf numFmtId="166" fontId="5" fillId="0" borderId="0" xfId="71" applyNumberFormat="1" applyFont="1" applyFill="1" applyAlignment="1">
      <alignment horizontal="center"/>
      <protection/>
    </xf>
    <xf numFmtId="14" fontId="7" fillId="0" borderId="0" xfId="71" applyNumberFormat="1" applyFont="1" applyFill="1" applyAlignment="1">
      <alignment horizontal="center"/>
      <protection/>
    </xf>
    <xf numFmtId="1" fontId="16" fillId="0" borderId="0" xfId="71" applyNumberFormat="1" applyFont="1" applyFill="1" applyBorder="1">
      <alignment/>
      <protection/>
    </xf>
    <xf numFmtId="166" fontId="2" fillId="0" borderId="0" xfId="71" applyNumberFormat="1" applyFont="1" applyFill="1" applyBorder="1" applyAlignment="1">
      <alignment horizontal="right"/>
      <protection/>
    </xf>
    <xf numFmtId="1" fontId="2" fillId="0" borderId="0" xfId="71" applyNumberFormat="1" applyFont="1" applyFill="1" applyAlignment="1">
      <alignment horizontal="center"/>
      <protection/>
    </xf>
    <xf numFmtId="1" fontId="5" fillId="0" borderId="0" xfId="71" applyNumberFormat="1" applyFont="1" applyFill="1" applyBorder="1" applyAlignment="1">
      <alignment horizontal="center"/>
      <protection/>
    </xf>
    <xf numFmtId="169" fontId="5" fillId="0" borderId="0" xfId="71" applyNumberFormat="1" applyFont="1" applyFill="1" applyBorder="1" applyAlignment="1">
      <alignment horizontal="center"/>
      <protection/>
    </xf>
    <xf numFmtId="1" fontId="5" fillId="0" borderId="0" xfId="71" applyNumberFormat="1" applyFont="1" applyFill="1" applyAlignment="1">
      <alignment horizontal="center"/>
      <protection/>
    </xf>
    <xf numFmtId="1" fontId="4" fillId="0" borderId="0" xfId="71" applyNumberFormat="1" applyFont="1" applyFill="1">
      <alignment/>
      <protection/>
    </xf>
    <xf numFmtId="187" fontId="5" fillId="0" borderId="0" xfId="71" applyNumberFormat="1" applyFont="1" applyFill="1">
      <alignment/>
      <protection/>
    </xf>
    <xf numFmtId="166" fontId="5" fillId="0" borderId="0" xfId="71" applyNumberFormat="1" applyFont="1" applyFill="1" applyBorder="1" applyAlignment="1">
      <alignment horizontal="left"/>
      <protection/>
    </xf>
    <xf numFmtId="1" fontId="65" fillId="0" borderId="0" xfId="71" applyNumberFormat="1" applyFont="1" applyFill="1" applyBorder="1" applyAlignment="1">
      <alignment horizontal="center"/>
      <protection/>
    </xf>
    <xf numFmtId="3" fontId="5" fillId="0" borderId="0" xfId="71" applyNumberFormat="1" applyFont="1" applyFill="1" applyAlignment="1">
      <alignment horizontal="center"/>
      <protection/>
    </xf>
    <xf numFmtId="1" fontId="4" fillId="0" borderId="0" xfId="71" applyNumberFormat="1" applyFont="1" applyFill="1" applyAlignment="1">
      <alignment horizontal="center"/>
      <protection/>
    </xf>
    <xf numFmtId="0" fontId="3" fillId="0" borderId="20" xfId="71" applyFont="1" applyFill="1" applyBorder="1" applyAlignment="1">
      <alignment vertical="center" textRotation="90" wrapText="1"/>
      <protection/>
    </xf>
    <xf numFmtId="0" fontId="4" fillId="0" borderId="20" xfId="71" applyFont="1" applyFill="1" applyBorder="1" applyAlignment="1">
      <alignment horizontal="center" vertical="center"/>
      <protection/>
    </xf>
    <xf numFmtId="0" fontId="3" fillId="0" borderId="20" xfId="71" applyNumberFormat="1" applyFont="1" applyFill="1" applyBorder="1" applyAlignment="1">
      <alignment vertical="center" wrapText="1"/>
      <protection/>
    </xf>
    <xf numFmtId="166" fontId="3" fillId="0" borderId="20" xfId="71" applyNumberFormat="1" applyFont="1" applyFill="1" applyBorder="1" applyAlignment="1">
      <alignment horizontal="center" vertical="center"/>
      <protection/>
    </xf>
    <xf numFmtId="1" fontId="3" fillId="0" borderId="20" xfId="71" applyNumberFormat="1" applyFont="1" applyFill="1" applyBorder="1" applyAlignment="1">
      <alignment horizontal="center" vertical="center" textRotation="90"/>
      <protection/>
    </xf>
    <xf numFmtId="1" fontId="3" fillId="0" borderId="20" xfId="71" applyNumberFormat="1" applyFont="1" applyFill="1" applyBorder="1" applyAlignment="1" applyProtection="1">
      <alignment horizontal="center" textRotation="90"/>
      <protection locked="0"/>
    </xf>
    <xf numFmtId="1" fontId="3" fillId="0" borderId="20" xfId="71" applyNumberFormat="1" applyFont="1" applyFill="1" applyBorder="1" applyAlignment="1" applyProtection="1">
      <alignment horizontal="center" vertical="center" textRotation="90"/>
      <protection locked="0"/>
    </xf>
    <xf numFmtId="1" fontId="5" fillId="0" borderId="20" xfId="71" applyNumberFormat="1" applyFont="1" applyFill="1" applyBorder="1" applyAlignment="1">
      <alignment horizontal="center" vertical="center" textRotation="90" wrapText="1"/>
      <protection/>
    </xf>
    <xf numFmtId="1" fontId="3" fillId="0" borderId="20" xfId="71" applyNumberFormat="1" applyFont="1" applyFill="1" applyBorder="1" applyAlignment="1">
      <alignment horizontal="center" vertical="center" textRotation="90" wrapText="1"/>
      <protection/>
    </xf>
    <xf numFmtId="2" fontId="5" fillId="0" borderId="20" xfId="71" applyNumberFormat="1" applyFont="1" applyFill="1" applyBorder="1" applyAlignment="1">
      <alignment horizontal="center" vertical="center" textRotation="90" wrapText="1"/>
      <protection/>
    </xf>
    <xf numFmtId="169" fontId="2" fillId="0" borderId="20" xfId="71" applyNumberFormat="1" applyFont="1" applyFill="1" applyBorder="1" applyAlignment="1">
      <alignment horizontal="center" vertical="center" wrapText="1"/>
      <protection/>
    </xf>
    <xf numFmtId="2" fontId="3" fillId="0" borderId="20" xfId="71" applyNumberFormat="1" applyFont="1" applyFill="1" applyBorder="1" applyAlignment="1">
      <alignment horizontal="center" vertical="center" textRotation="90" wrapText="1"/>
      <protection/>
    </xf>
    <xf numFmtId="169" fontId="2" fillId="0" borderId="20" xfId="71" applyNumberFormat="1" applyFont="1" applyFill="1" applyBorder="1" applyAlignment="1">
      <alignment horizontal="center" vertical="center" textRotation="90" wrapText="1"/>
      <protection/>
    </xf>
    <xf numFmtId="169" fontId="2" fillId="0" borderId="20" xfId="71" applyNumberFormat="1" applyFont="1" applyFill="1" applyBorder="1" applyAlignment="1">
      <alignment horizontal="center" vertical="center" wrapText="1"/>
      <protection/>
    </xf>
    <xf numFmtId="2" fontId="2" fillId="0" borderId="20" xfId="71" applyNumberFormat="1" applyFont="1" applyFill="1" applyBorder="1" applyAlignment="1">
      <alignment horizontal="center" vertical="center" textRotation="90" wrapText="1"/>
      <protection/>
    </xf>
    <xf numFmtId="169" fontId="3" fillId="0" borderId="20" xfId="71" applyNumberFormat="1" applyFont="1" applyFill="1" applyBorder="1" applyAlignment="1">
      <alignment horizontal="center" vertical="center" textRotation="90" wrapText="1"/>
      <protection/>
    </xf>
    <xf numFmtId="188" fontId="3" fillId="0" borderId="20" xfId="71" applyNumberFormat="1" applyFont="1" applyFill="1" applyBorder="1" applyAlignment="1">
      <alignment horizontal="center" vertical="center" textRotation="90" wrapText="1"/>
      <protection/>
    </xf>
    <xf numFmtId="164" fontId="2" fillId="0" borderId="20" xfId="71" applyNumberFormat="1" applyFont="1" applyFill="1" applyBorder="1" applyAlignment="1" applyProtection="1">
      <alignment horizontal="center" textRotation="90" wrapText="1"/>
      <protection locked="0"/>
    </xf>
    <xf numFmtId="0" fontId="3" fillId="0" borderId="20" xfId="71" applyFont="1" applyFill="1" applyBorder="1" applyAlignment="1" applyProtection="1">
      <alignment horizontal="center" textRotation="90"/>
      <protection locked="0"/>
    </xf>
    <xf numFmtId="2" fontId="3" fillId="0" borderId="20" xfId="71" applyNumberFormat="1" applyFont="1" applyFill="1" applyBorder="1" applyAlignment="1" applyProtection="1">
      <alignment horizontal="center" textRotation="90"/>
      <protection locked="0"/>
    </xf>
    <xf numFmtId="2" fontId="2" fillId="0" borderId="20" xfId="71" applyNumberFormat="1" applyFont="1" applyFill="1" applyBorder="1" applyAlignment="1">
      <alignment horizontal="center" vertical="center" textRotation="90" wrapText="1"/>
      <protection/>
    </xf>
    <xf numFmtId="167" fontId="2" fillId="0" borderId="20" xfId="71" applyNumberFormat="1" applyFont="1" applyFill="1" applyBorder="1" applyAlignment="1">
      <alignment horizontal="center" textRotation="90"/>
      <protection/>
    </xf>
    <xf numFmtId="165" fontId="2" fillId="0" borderId="20" xfId="71" applyNumberFormat="1" applyFont="1" applyFill="1" applyBorder="1" applyAlignment="1" applyProtection="1">
      <alignment horizontal="center" textRotation="90" wrapText="1"/>
      <protection locked="0"/>
    </xf>
    <xf numFmtId="187" fontId="2" fillId="0" borderId="20" xfId="71" applyNumberFormat="1" applyFont="1" applyFill="1" applyBorder="1" applyAlignment="1">
      <alignment horizontal="center" vertical="center" textRotation="90" wrapText="1"/>
      <protection/>
    </xf>
    <xf numFmtId="164" fontId="2" fillId="0" borderId="0" xfId="71" applyNumberFormat="1" applyFont="1" applyFill="1" applyAlignment="1">
      <alignment horizontal="center" textRotation="90"/>
      <protection/>
    </xf>
    <xf numFmtId="168" fontId="5" fillId="0" borderId="0" xfId="71" applyNumberFormat="1" applyFont="1" applyFill="1" applyAlignment="1">
      <alignment horizontal="center" vertical="center" textRotation="90"/>
      <protection/>
    </xf>
    <xf numFmtId="164" fontId="3" fillId="0" borderId="0" xfId="71" applyNumberFormat="1" applyFont="1" applyFill="1" applyAlignment="1">
      <alignment horizontal="center" vertical="center" textRotation="90" wrapText="1"/>
      <protection/>
    </xf>
    <xf numFmtId="2" fontId="3" fillId="0" borderId="24" xfId="71" applyNumberFormat="1" applyFont="1" applyFill="1" applyBorder="1" applyAlignment="1">
      <alignment horizontal="center" vertical="center" textRotation="90" wrapText="1"/>
      <protection/>
    </xf>
    <xf numFmtId="0" fontId="2" fillId="0" borderId="0" xfId="71" applyFont="1" applyFill="1" applyAlignment="1">
      <alignment horizontal="center" textRotation="90"/>
      <protection/>
    </xf>
    <xf numFmtId="1" fontId="3" fillId="0" borderId="24" xfId="71" applyNumberFormat="1" applyFont="1" applyFill="1" applyBorder="1" applyAlignment="1">
      <alignment horizontal="center" vertical="center" textRotation="90" wrapText="1"/>
      <protection/>
    </xf>
    <xf numFmtId="0" fontId="5" fillId="0" borderId="20" xfId="71" applyNumberFormat="1" applyFont="1" applyFill="1" applyBorder="1">
      <alignment/>
      <protection/>
    </xf>
    <xf numFmtId="166" fontId="4" fillId="0" borderId="20" xfId="71" applyNumberFormat="1" applyFill="1" applyBorder="1">
      <alignment/>
      <protection/>
    </xf>
    <xf numFmtId="1" fontId="4" fillId="0" borderId="20" xfId="71" applyNumberFormat="1" applyFill="1" applyBorder="1">
      <alignment/>
      <protection/>
    </xf>
    <xf numFmtId="169" fontId="4" fillId="0" borderId="20" xfId="71" applyNumberFormat="1" applyFill="1" applyBorder="1">
      <alignment/>
      <protection/>
    </xf>
    <xf numFmtId="164" fontId="4" fillId="0" borderId="20" xfId="71" applyNumberFormat="1" applyFill="1" applyBorder="1">
      <alignment/>
      <protection/>
    </xf>
    <xf numFmtId="167" fontId="4" fillId="0" borderId="20" xfId="71" applyNumberFormat="1" applyFill="1" applyBorder="1">
      <alignment/>
      <protection/>
    </xf>
    <xf numFmtId="165" fontId="4" fillId="0" borderId="20" xfId="71" applyNumberFormat="1" applyFill="1" applyBorder="1">
      <alignment/>
      <protection/>
    </xf>
    <xf numFmtId="187" fontId="4" fillId="0" borderId="20" xfId="71" applyNumberFormat="1" applyFill="1" applyBorder="1">
      <alignment/>
      <protection/>
    </xf>
    <xf numFmtId="168" fontId="5" fillId="0" borderId="20" xfId="71" applyNumberFormat="1" applyFont="1" applyFill="1" applyBorder="1">
      <alignment/>
      <protection/>
    </xf>
    <xf numFmtId="164" fontId="5" fillId="0" borderId="20" xfId="71" applyNumberFormat="1" applyFont="1" applyFill="1" applyBorder="1">
      <alignment/>
      <protection/>
    </xf>
    <xf numFmtId="10" fontId="4" fillId="0" borderId="20" xfId="71" applyNumberFormat="1" applyFill="1" applyBorder="1">
      <alignment/>
      <protection/>
    </xf>
    <xf numFmtId="2" fontId="5" fillId="0" borderId="20" xfId="71" applyNumberFormat="1" applyFont="1" applyFill="1" applyBorder="1">
      <alignment/>
      <protection/>
    </xf>
    <xf numFmtId="0" fontId="5" fillId="0" borderId="20" xfId="71" applyFont="1" applyFill="1" applyBorder="1">
      <alignment/>
      <protection/>
    </xf>
    <xf numFmtId="0" fontId="4" fillId="45" borderId="20" xfId="71" applyFill="1" applyBorder="1">
      <alignment/>
      <protection/>
    </xf>
    <xf numFmtId="0" fontId="5" fillId="45" borderId="20" xfId="71" applyNumberFormat="1" applyFont="1" applyFill="1" applyBorder="1">
      <alignment/>
      <protection/>
    </xf>
    <xf numFmtId="166" fontId="4" fillId="45" borderId="20" xfId="71" applyNumberFormat="1" applyFill="1" applyBorder="1">
      <alignment/>
      <protection/>
    </xf>
    <xf numFmtId="1" fontId="4" fillId="45" borderId="20" xfId="71" applyNumberFormat="1" applyFill="1" applyBorder="1">
      <alignment/>
      <protection/>
    </xf>
    <xf numFmtId="2" fontId="4" fillId="45" borderId="20" xfId="71" applyNumberFormat="1" applyFill="1" applyBorder="1">
      <alignment/>
      <protection/>
    </xf>
    <xf numFmtId="169" fontId="4" fillId="45" borderId="20" xfId="71" applyNumberFormat="1" applyFill="1" applyBorder="1">
      <alignment/>
      <protection/>
    </xf>
    <xf numFmtId="164" fontId="4" fillId="45" borderId="20" xfId="71" applyNumberFormat="1" applyFill="1" applyBorder="1">
      <alignment/>
      <protection/>
    </xf>
    <xf numFmtId="167" fontId="4" fillId="45" borderId="20" xfId="71" applyNumberFormat="1" applyFill="1" applyBorder="1">
      <alignment/>
      <protection/>
    </xf>
    <xf numFmtId="165" fontId="4" fillId="45" borderId="20" xfId="71" applyNumberFormat="1" applyFill="1" applyBorder="1">
      <alignment/>
      <protection/>
    </xf>
    <xf numFmtId="0" fontId="4" fillId="0" borderId="27" xfId="71" applyFill="1" applyBorder="1">
      <alignment/>
      <protection/>
    </xf>
    <xf numFmtId="0" fontId="4" fillId="0" borderId="20" xfId="71" applyFill="1" applyBorder="1" applyAlignment="1">
      <alignment horizontal="right"/>
      <protection/>
    </xf>
    <xf numFmtId="0" fontId="5" fillId="0" borderId="0" xfId="71" applyNumberFormat="1" applyFont="1" applyFill="1">
      <alignment/>
      <protection/>
    </xf>
    <xf numFmtId="166" fontId="4" fillId="0" borderId="0" xfId="71" applyNumberFormat="1" applyFill="1">
      <alignment/>
      <protection/>
    </xf>
    <xf numFmtId="1" fontId="4" fillId="0" borderId="0" xfId="71" applyNumberFormat="1" applyFill="1">
      <alignment/>
      <protection/>
    </xf>
    <xf numFmtId="169" fontId="4" fillId="0" borderId="0" xfId="71" applyNumberFormat="1" applyFill="1">
      <alignment/>
      <protection/>
    </xf>
    <xf numFmtId="167" fontId="4" fillId="0" borderId="0" xfId="71" applyNumberFormat="1" applyFill="1">
      <alignment/>
      <protection/>
    </xf>
    <xf numFmtId="0" fontId="62" fillId="0" borderId="20" xfId="71" applyNumberFormat="1" applyFont="1" applyFill="1" applyBorder="1" applyAlignment="1">
      <alignment horizontal="center"/>
      <protection/>
    </xf>
    <xf numFmtId="0" fontId="15" fillId="0" borderId="0" xfId="71" applyFont="1" applyFill="1" applyBorder="1" applyAlignment="1">
      <alignment horizontal="center"/>
      <protection/>
    </xf>
    <xf numFmtId="1" fontId="17" fillId="0" borderId="0" xfId="71" applyNumberFormat="1" applyFont="1" applyFill="1" applyBorder="1" applyAlignment="1">
      <alignment horizontal="center"/>
      <protection/>
    </xf>
    <xf numFmtId="0" fontId="52" fillId="0" borderId="0" xfId="71" applyNumberFormat="1" applyFont="1" applyFill="1" applyBorder="1" applyAlignment="1">
      <alignment horizontal="center"/>
      <protection/>
    </xf>
    <xf numFmtId="0" fontId="50" fillId="0" borderId="0" xfId="71" applyNumberFormat="1" applyFont="1" applyFill="1" applyBorder="1" applyAlignment="1">
      <alignment horizontal="right"/>
      <protection/>
    </xf>
    <xf numFmtId="49" fontId="13" fillId="0" borderId="0" xfId="71" applyNumberFormat="1" applyFont="1" applyFill="1" applyBorder="1">
      <alignment/>
      <protection/>
    </xf>
    <xf numFmtId="0" fontId="2" fillId="0" borderId="0" xfId="71" applyFont="1" applyFill="1" applyBorder="1">
      <alignment/>
      <protection/>
    </xf>
    <xf numFmtId="49" fontId="63" fillId="0" borderId="0" xfId="71" applyNumberFormat="1" applyFont="1" applyFill="1" applyBorder="1">
      <alignment/>
      <protection/>
    </xf>
    <xf numFmtId="49" fontId="60" fillId="0" borderId="0" xfId="71" applyNumberFormat="1" applyFont="1" applyFill="1" applyBorder="1">
      <alignment/>
      <protection/>
    </xf>
    <xf numFmtId="49" fontId="60" fillId="0" borderId="0" xfId="71" applyNumberFormat="1" applyFont="1" applyFill="1" applyBorder="1" applyAlignment="1">
      <alignment horizontal="left"/>
      <protection/>
    </xf>
    <xf numFmtId="49" fontId="61" fillId="0" borderId="0" xfId="71" applyNumberFormat="1" applyFont="1" applyFill="1" applyBorder="1">
      <alignment/>
      <protection/>
    </xf>
    <xf numFmtId="0" fontId="50" fillId="0" borderId="0" xfId="71" applyNumberFormat="1" applyFont="1" applyFill="1" applyBorder="1" applyAlignment="1" applyProtection="1">
      <alignment horizontal="right"/>
      <protection locked="0"/>
    </xf>
    <xf numFmtId="2" fontId="50" fillId="0" borderId="0" xfId="71" applyNumberFormat="1" applyFont="1" applyFill="1" applyBorder="1" applyAlignment="1" applyProtection="1">
      <alignment horizontal="center"/>
      <protection locked="0"/>
    </xf>
    <xf numFmtId="0" fontId="50" fillId="0" borderId="0" xfId="71" applyNumberFormat="1" applyFont="1" applyFill="1" applyBorder="1" applyAlignment="1">
      <alignment horizontal="right" vertical="center"/>
      <protection/>
    </xf>
    <xf numFmtId="0" fontId="50" fillId="0" borderId="0" xfId="71" applyNumberFormat="1" applyFont="1" applyFill="1" applyBorder="1" applyAlignment="1" applyProtection="1">
      <alignment horizontal="left"/>
      <protection locked="0"/>
    </xf>
    <xf numFmtId="0" fontId="50" fillId="0" borderId="0" xfId="71" applyNumberFormat="1" applyFont="1" applyFill="1" applyBorder="1" applyAlignment="1" applyProtection="1">
      <alignment horizontal="center"/>
      <protection locked="0"/>
    </xf>
    <xf numFmtId="0" fontId="50" fillId="0" borderId="0" xfId="71" applyNumberFormat="1" applyFont="1" applyFill="1" applyBorder="1" applyAlignment="1">
      <alignment/>
      <protection/>
    </xf>
    <xf numFmtId="49" fontId="17" fillId="0" borderId="0" xfId="71" applyNumberFormat="1" applyFont="1" applyFill="1" applyBorder="1">
      <alignment/>
      <protection/>
    </xf>
    <xf numFmtId="171" fontId="50" fillId="0" borderId="0" xfId="71" applyNumberFormat="1" applyFont="1" applyFill="1" applyBorder="1" applyAlignment="1">
      <alignment horizontal="center"/>
      <protection/>
    </xf>
    <xf numFmtId="2" fontId="58" fillId="0" borderId="0" xfId="71" applyNumberFormat="1" applyFont="1" applyFill="1" applyBorder="1" applyAlignment="1">
      <alignment horizontal="center"/>
      <protection/>
    </xf>
    <xf numFmtId="2" fontId="4" fillId="0" borderId="0" xfId="71" applyNumberFormat="1" applyFill="1" applyBorder="1">
      <alignment/>
      <protection/>
    </xf>
    <xf numFmtId="49" fontId="52" fillId="0" borderId="0" xfId="71" applyNumberFormat="1" applyFont="1" applyFill="1" applyBorder="1" applyAlignment="1">
      <alignment horizontal="center" vertical="center"/>
      <protection/>
    </xf>
    <xf numFmtId="2" fontId="50" fillId="0" borderId="0" xfId="71" applyNumberFormat="1" applyFont="1" applyFill="1" applyBorder="1" applyAlignment="1">
      <alignment horizontal="right"/>
      <protection/>
    </xf>
    <xf numFmtId="1" fontId="58" fillId="0" borderId="0" xfId="71" applyNumberFormat="1" applyFont="1" applyFill="1" applyBorder="1" applyAlignment="1" applyProtection="1">
      <alignment horizontal="left"/>
      <protection locked="0"/>
    </xf>
    <xf numFmtId="0" fontId="13" fillId="0" borderId="0" xfId="71" applyFont="1" applyFill="1" applyBorder="1" applyAlignment="1" quotePrefix="1">
      <alignment horizontal="center"/>
      <protection/>
    </xf>
    <xf numFmtId="0" fontId="15" fillId="0" borderId="0" xfId="71" applyFont="1" applyFill="1" applyBorder="1" applyAlignment="1">
      <alignment horizontal="left"/>
      <protection/>
    </xf>
    <xf numFmtId="167" fontId="50" fillId="0" borderId="0" xfId="71" applyNumberFormat="1" applyFont="1" applyFill="1" applyBorder="1" applyAlignment="1" applyProtection="1">
      <alignment horizontal="left"/>
      <protection locked="0"/>
    </xf>
    <xf numFmtId="49" fontId="56" fillId="0" borderId="0" xfId="71" applyNumberFormat="1" applyFont="1" applyFill="1" applyBorder="1" applyAlignment="1">
      <alignment horizontal="center"/>
      <protection/>
    </xf>
    <xf numFmtId="0" fontId="13" fillId="51" borderId="0" xfId="71" applyFont="1" applyFill="1" applyBorder="1" applyAlignment="1">
      <alignment horizontal="center"/>
      <protection/>
    </xf>
    <xf numFmtId="0" fontId="4" fillId="0" borderId="0" xfId="71" applyBorder="1">
      <alignment/>
      <protection/>
    </xf>
    <xf numFmtId="1" fontId="17" fillId="0" borderId="0" xfId="71" applyNumberFormat="1" applyFont="1" applyFill="1" applyBorder="1">
      <alignment/>
      <protection/>
    </xf>
    <xf numFmtId="0" fontId="4" fillId="0" borderId="0" xfId="78" applyFont="1" applyFill="1" applyBorder="1">
      <alignment/>
      <protection/>
    </xf>
    <xf numFmtId="2" fontId="5" fillId="0" borderId="0" xfId="78" applyNumberFormat="1" applyFont="1" applyFill="1" applyBorder="1">
      <alignment/>
      <protection/>
    </xf>
    <xf numFmtId="0" fontId="50" fillId="0" borderId="0" xfId="71" applyNumberFormat="1" applyFont="1" applyBorder="1" applyAlignment="1">
      <alignment horizontal="center"/>
      <protection/>
    </xf>
    <xf numFmtId="9" fontId="13" fillId="0" borderId="0" xfId="71" applyNumberFormat="1" applyFont="1" applyBorder="1" applyAlignment="1">
      <alignment horizontal="center"/>
      <protection/>
    </xf>
    <xf numFmtId="0" fontId="13" fillId="39" borderId="0" xfId="71" applyFont="1" applyFill="1" applyBorder="1">
      <alignment/>
      <protection/>
    </xf>
    <xf numFmtId="0" fontId="58" fillId="0" borderId="0" xfId="71" applyFont="1" applyFill="1" applyBorder="1">
      <alignment/>
      <protection/>
    </xf>
    <xf numFmtId="0" fontId="58" fillId="0" borderId="0" xfId="71" applyFont="1" applyFill="1" applyBorder="1" applyAlignment="1">
      <alignment horizontal="center"/>
      <protection/>
    </xf>
    <xf numFmtId="0" fontId="58" fillId="0" borderId="0" xfId="71" applyFont="1" applyFill="1" applyBorder="1" applyAlignment="1">
      <alignment horizontal="left"/>
      <protection/>
    </xf>
    <xf numFmtId="49" fontId="58" fillId="0" borderId="0" xfId="71" applyNumberFormat="1" applyFont="1" applyFill="1" applyBorder="1" applyAlignment="1">
      <alignment/>
      <protection/>
    </xf>
    <xf numFmtId="49" fontId="58" fillId="0" borderId="0" xfId="71" applyNumberFormat="1" applyFont="1" applyFill="1" applyBorder="1" applyAlignment="1">
      <alignment horizontal="center"/>
      <protection/>
    </xf>
    <xf numFmtId="14" fontId="58" fillId="0" borderId="0" xfId="71" applyNumberFormat="1" applyFont="1" applyFill="1" applyBorder="1" applyAlignment="1">
      <alignment horizontal="center"/>
      <protection/>
    </xf>
    <xf numFmtId="183" fontId="50" fillId="0" borderId="0" xfId="71" applyNumberFormat="1" applyFont="1" applyFill="1" applyBorder="1">
      <alignment/>
      <protection/>
    </xf>
    <xf numFmtId="0" fontId="50" fillId="0" borderId="0" xfId="71" applyNumberFormat="1" applyFont="1" applyFill="1" applyBorder="1">
      <alignment/>
      <protection/>
    </xf>
    <xf numFmtId="0" fontId="17" fillId="0" borderId="0" xfId="71" applyFont="1" applyFill="1" applyBorder="1" applyAlignment="1">
      <alignment horizontal="right"/>
      <protection/>
    </xf>
    <xf numFmtId="2" fontId="4" fillId="0" borderId="0" xfId="71" applyNumberFormat="1" applyFont="1" applyFill="1" applyBorder="1" applyAlignment="1">
      <alignment horizontal="center"/>
      <protection/>
    </xf>
    <xf numFmtId="0" fontId="50" fillId="0" borderId="0" xfId="71" applyNumberFormat="1" applyFont="1" applyFill="1" applyBorder="1" applyAlignment="1">
      <alignment wrapText="1"/>
      <protection/>
    </xf>
    <xf numFmtId="0" fontId="50" fillId="0" borderId="0" xfId="71" applyNumberFormat="1" applyFont="1" applyFill="1" applyBorder="1" applyAlignment="1">
      <alignment horizontal="left" wrapText="1"/>
      <protection/>
    </xf>
    <xf numFmtId="0" fontId="50" fillId="0" borderId="0" xfId="71" applyNumberFormat="1" applyFont="1" applyFill="1" applyBorder="1" applyAlignment="1">
      <alignment horizontal="center" wrapText="1"/>
      <protection/>
    </xf>
    <xf numFmtId="171" fontId="50" fillId="0" borderId="0" xfId="71" applyNumberFormat="1" applyFont="1" applyBorder="1" applyAlignment="1">
      <alignment horizontal="center"/>
      <protection/>
    </xf>
    <xf numFmtId="0" fontId="2" fillId="0" borderId="0" xfId="78" applyFont="1" applyFill="1" applyBorder="1">
      <alignment/>
      <protection/>
    </xf>
    <xf numFmtId="171" fontId="17" fillId="0" borderId="0" xfId="71" applyNumberFormat="1" applyFont="1" applyFill="1" applyBorder="1" applyAlignment="1">
      <alignment horizontal="right"/>
      <protection/>
    </xf>
    <xf numFmtId="9" fontId="13" fillId="0" borderId="0" xfId="71" applyNumberFormat="1" applyFont="1" applyFill="1" applyBorder="1">
      <alignment/>
      <protection/>
    </xf>
    <xf numFmtId="14" fontId="17" fillId="0" borderId="0" xfId="71" applyNumberFormat="1" applyFont="1" applyFill="1" applyBorder="1" applyAlignment="1">
      <alignment horizontal="center"/>
      <protection/>
    </xf>
    <xf numFmtId="0" fontId="13" fillId="0" borderId="0" xfId="71" applyNumberFormat="1" applyFont="1" applyFill="1" applyBorder="1" applyAlignment="1">
      <alignment horizontal="center"/>
      <protection/>
    </xf>
    <xf numFmtId="0" fontId="50" fillId="52" borderId="0" xfId="71" applyFont="1" applyFill="1" applyBorder="1">
      <alignment/>
      <protection/>
    </xf>
    <xf numFmtId="2" fontId="3" fillId="0" borderId="0" xfId="78" applyNumberFormat="1" applyFont="1" applyFill="1" applyBorder="1" applyAlignment="1">
      <alignment/>
      <protection/>
    </xf>
    <xf numFmtId="0" fontId="58" fillId="0" borderId="0" xfId="71" applyFont="1" applyFill="1" applyBorder="1">
      <alignment/>
      <protection/>
    </xf>
    <xf numFmtId="0" fontId="58" fillId="0" borderId="0" xfId="71" applyNumberFormat="1" applyFont="1" applyFill="1" applyBorder="1" applyAlignment="1">
      <alignment horizontal="center"/>
      <protection/>
    </xf>
    <xf numFmtId="0" fontId="0" fillId="0" borderId="0" xfId="76" applyBorder="1">
      <alignment/>
      <protection/>
    </xf>
    <xf numFmtId="0" fontId="0" fillId="0" borderId="0" xfId="76">
      <alignment/>
      <protection/>
    </xf>
    <xf numFmtId="1" fontId="0" fillId="0" borderId="0" xfId="76" applyNumberFormat="1">
      <alignment/>
      <protection/>
    </xf>
    <xf numFmtId="1" fontId="0" fillId="53" borderId="20" xfId="76" applyNumberFormat="1" applyFill="1" applyBorder="1">
      <alignment/>
      <protection/>
    </xf>
    <xf numFmtId="0" fontId="5" fillId="0" borderId="0" xfId="72" applyFont="1" applyFill="1" applyBorder="1" applyAlignment="1">
      <alignment horizontal="center" vertical="center"/>
      <protection/>
    </xf>
    <xf numFmtId="1" fontId="6" fillId="0" borderId="0" xfId="72" applyNumberFormat="1" applyFont="1" applyFill="1" applyBorder="1" applyAlignment="1">
      <alignment horizontal="center" vertical="center" wrapText="1"/>
      <protection/>
    </xf>
    <xf numFmtId="167" fontId="14" fillId="0" borderId="0" xfId="72" applyNumberFormat="1" applyFont="1" applyFill="1" applyBorder="1" applyAlignment="1">
      <alignment horizontal="left"/>
      <protection/>
    </xf>
    <xf numFmtId="2" fontId="8" fillId="0" borderId="0" xfId="72" applyNumberFormat="1" applyFont="1" applyFill="1" applyBorder="1" applyAlignment="1" applyProtection="1">
      <alignment horizontal="center"/>
      <protection/>
    </xf>
    <xf numFmtId="167" fontId="2" fillId="0" borderId="0" xfId="72" applyNumberFormat="1" applyFont="1" applyFill="1" applyBorder="1" applyAlignment="1">
      <alignment horizontal="left"/>
      <protection/>
    </xf>
    <xf numFmtId="14" fontId="5" fillId="0" borderId="0" xfId="72" applyNumberFormat="1" applyFont="1" applyFill="1" applyBorder="1" applyAlignment="1">
      <alignment horizontal="center"/>
      <protection/>
    </xf>
    <xf numFmtId="166" fontId="5" fillId="0" borderId="0" xfId="72" applyNumberFormat="1" applyFont="1" applyFill="1" applyBorder="1" applyAlignment="1">
      <alignment/>
      <protection/>
    </xf>
    <xf numFmtId="1" fontId="5" fillId="0" borderId="0" xfId="72" applyNumberFormat="1" applyFont="1" applyFill="1" applyBorder="1" applyAlignment="1" applyProtection="1">
      <alignment horizontal="center"/>
      <protection/>
    </xf>
    <xf numFmtId="167" fontId="3" fillId="0" borderId="0" xfId="72" applyNumberFormat="1" applyFont="1" applyFill="1" applyBorder="1" applyAlignment="1">
      <alignment horizontal="center"/>
      <protection/>
    </xf>
    <xf numFmtId="2" fontId="10" fillId="0" borderId="0" xfId="72" applyNumberFormat="1" applyFont="1" applyFill="1" applyBorder="1" applyAlignment="1" applyProtection="1">
      <alignment horizontal="center"/>
      <protection locked="0"/>
    </xf>
    <xf numFmtId="2" fontId="23" fillId="0" borderId="0" xfId="72" applyNumberFormat="1" applyFont="1" applyFill="1" applyBorder="1" applyAlignment="1" applyProtection="1">
      <alignment/>
      <protection locked="0"/>
    </xf>
    <xf numFmtId="182" fontId="20" fillId="0" borderId="0" xfId="72" applyNumberFormat="1" applyFont="1" applyFill="1" applyBorder="1" applyAlignment="1">
      <alignment horizontal="center"/>
      <protection/>
    </xf>
    <xf numFmtId="166" fontId="2" fillId="0" borderId="0" xfId="72" applyNumberFormat="1" applyFont="1" applyFill="1" applyBorder="1" applyAlignment="1">
      <alignment horizontal="center"/>
      <protection/>
    </xf>
    <xf numFmtId="14" fontId="19" fillId="0" borderId="0" xfId="72" applyNumberFormat="1" applyFont="1" applyFill="1" applyBorder="1" applyAlignment="1">
      <alignment/>
      <protection/>
    </xf>
    <xf numFmtId="14" fontId="2" fillId="0" borderId="0" xfId="72" applyNumberFormat="1" applyFont="1" applyFill="1" applyBorder="1" applyAlignment="1">
      <alignment/>
      <protection/>
    </xf>
    <xf numFmtId="166" fontId="3" fillId="0" borderId="0" xfId="72" applyNumberFormat="1" applyFont="1" applyFill="1" applyBorder="1" applyAlignment="1">
      <alignment/>
      <protection/>
    </xf>
    <xf numFmtId="1" fontId="27" fillId="0" borderId="0" xfId="72" applyNumberFormat="1" applyFont="1" applyFill="1" applyBorder="1" applyAlignment="1">
      <alignment horizontal="center"/>
      <protection/>
    </xf>
    <xf numFmtId="1" fontId="28" fillId="0" borderId="0" xfId="72" applyNumberFormat="1" applyFont="1" applyFill="1" applyBorder="1" applyAlignment="1">
      <alignment horizontal="center"/>
      <protection/>
    </xf>
    <xf numFmtId="2" fontId="2" fillId="0" borderId="0" xfId="72" applyNumberFormat="1" applyFont="1" applyFill="1" applyBorder="1" applyAlignment="1">
      <alignment/>
      <protection/>
    </xf>
    <xf numFmtId="2" fontId="2" fillId="0" borderId="0" xfId="72" applyNumberFormat="1" applyFont="1" applyFill="1" applyBorder="1" applyAlignment="1">
      <alignment horizontal="center"/>
      <protection/>
    </xf>
    <xf numFmtId="14" fontId="4" fillId="0" borderId="0" xfId="72" applyNumberFormat="1" applyFont="1" applyFill="1" applyBorder="1" applyAlignment="1">
      <alignment/>
      <protection/>
    </xf>
    <xf numFmtId="0" fontId="4" fillId="0" borderId="0" xfId="72" applyFill="1" applyBorder="1" applyAlignment="1">
      <alignment horizontal="left" vertical="center"/>
      <protection/>
    </xf>
    <xf numFmtId="0" fontId="4" fillId="0" borderId="0" xfId="72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1" fontId="3" fillId="0" borderId="0" xfId="72" applyNumberFormat="1" applyFont="1" applyFill="1" applyBorder="1" applyAlignment="1">
      <alignment vertical="center" wrapText="1"/>
      <protection/>
    </xf>
    <xf numFmtId="1" fontId="3" fillId="0" borderId="0" xfId="72" applyNumberFormat="1" applyFont="1" applyFill="1" applyBorder="1" applyAlignment="1">
      <alignment horizontal="center" vertical="center" wrapText="1"/>
      <protection/>
    </xf>
    <xf numFmtId="1" fontId="3" fillId="0" borderId="0" xfId="72" applyNumberFormat="1" applyFont="1" applyFill="1" applyBorder="1" applyAlignment="1">
      <alignment/>
      <protection/>
    </xf>
    <xf numFmtId="167" fontId="3" fillId="0" borderId="0" xfId="72" applyNumberFormat="1" applyFont="1" applyFill="1" applyBorder="1" applyAlignment="1" applyProtection="1">
      <alignment/>
      <protection locked="0"/>
    </xf>
    <xf numFmtId="0" fontId="3" fillId="0" borderId="0" xfId="72" applyFont="1" applyFill="1" applyBorder="1" applyAlignment="1" applyProtection="1">
      <alignment/>
      <protection locked="0"/>
    </xf>
    <xf numFmtId="2" fontId="2" fillId="0" borderId="0" xfId="72" applyNumberFormat="1" applyFont="1" applyFill="1" applyBorder="1" applyAlignment="1" applyProtection="1">
      <alignment/>
      <protection locked="0"/>
    </xf>
    <xf numFmtId="164" fontId="2" fillId="0" borderId="0" xfId="72" applyNumberFormat="1" applyFont="1" applyFill="1" applyBorder="1" applyAlignment="1">
      <alignment/>
      <protection/>
    </xf>
    <xf numFmtId="1" fontId="2" fillId="0" borderId="0" xfId="72" applyNumberFormat="1" applyFont="1" applyFill="1" applyBorder="1" applyAlignment="1">
      <alignment/>
      <protection/>
    </xf>
    <xf numFmtId="2" fontId="2" fillId="0" borderId="0" xfId="72" applyNumberFormat="1" applyFont="1" applyFill="1" applyBorder="1" applyAlignment="1">
      <alignment/>
      <protection/>
    </xf>
    <xf numFmtId="1" fontId="5" fillId="0" borderId="0" xfId="72" applyNumberFormat="1" applyFont="1" applyFill="1" applyBorder="1" applyAlignment="1">
      <alignment/>
      <protection/>
    </xf>
    <xf numFmtId="2" fontId="2" fillId="0" borderId="0" xfId="72" applyNumberFormat="1" applyFont="1" applyFill="1" applyBorder="1" applyAlignment="1">
      <alignment horizontal="center" wrapText="1"/>
      <protection/>
    </xf>
    <xf numFmtId="2" fontId="3" fillId="0" borderId="0" xfId="72" applyNumberFormat="1" applyFont="1" applyFill="1" applyBorder="1" applyAlignment="1">
      <alignment horizontal="center" vertical="center" wrapText="1"/>
      <protection/>
    </xf>
    <xf numFmtId="14" fontId="29" fillId="0" borderId="0" xfId="72" applyNumberFormat="1" applyFont="1" applyFill="1" applyBorder="1" applyAlignment="1">
      <alignment/>
      <protection/>
    </xf>
    <xf numFmtId="0" fontId="14" fillId="0" borderId="0" xfId="72" applyFont="1" applyFill="1" applyBorder="1" applyAlignment="1" applyProtection="1">
      <alignment/>
      <protection/>
    </xf>
    <xf numFmtId="169" fontId="5" fillId="0" borderId="0" xfId="72" applyNumberFormat="1" applyFont="1" applyFill="1" applyBorder="1" applyAlignment="1">
      <alignment horizontal="center"/>
      <protection/>
    </xf>
    <xf numFmtId="169" fontId="25" fillId="0" borderId="0" xfId="72" applyNumberFormat="1" applyFont="1" applyFill="1" applyBorder="1" applyAlignment="1">
      <alignment horizontal="right"/>
      <protection/>
    </xf>
    <xf numFmtId="0" fontId="30" fillId="0" borderId="0" xfId="72" applyFont="1" applyFill="1" applyBorder="1" applyAlignment="1" applyProtection="1">
      <alignment/>
      <protection/>
    </xf>
    <xf numFmtId="179" fontId="3" fillId="0" borderId="0" xfId="72" applyNumberFormat="1" applyFont="1" applyFill="1" applyBorder="1" applyAlignment="1">
      <alignment/>
      <protection/>
    </xf>
    <xf numFmtId="166" fontId="4" fillId="0" borderId="0" xfId="72" applyNumberFormat="1" applyFont="1" applyFill="1" applyBorder="1" applyAlignment="1">
      <alignment/>
      <protection/>
    </xf>
    <xf numFmtId="2" fontId="4" fillId="0" borderId="0" xfId="72" applyNumberFormat="1" applyFont="1" applyFill="1" applyBorder="1" applyAlignment="1">
      <alignment horizontal="center"/>
      <protection/>
    </xf>
    <xf numFmtId="2" fontId="5" fillId="0" borderId="0" xfId="72" applyNumberFormat="1" applyFont="1" applyFill="1" applyBorder="1" applyAlignment="1">
      <alignment horizontal="center"/>
      <protection/>
    </xf>
    <xf numFmtId="174" fontId="5" fillId="0" borderId="0" xfId="72" applyNumberFormat="1" applyFont="1" applyFill="1" applyBorder="1" applyAlignment="1">
      <alignment/>
      <protection/>
    </xf>
    <xf numFmtId="179" fontId="5" fillId="0" borderId="0" xfId="72" applyNumberFormat="1" applyFont="1" applyFill="1" applyBorder="1" applyAlignment="1">
      <alignment/>
      <protection/>
    </xf>
    <xf numFmtId="167" fontId="5" fillId="0" borderId="0" xfId="72" applyNumberFormat="1" applyFont="1" applyFill="1" applyBorder="1" applyAlignment="1">
      <alignment/>
      <protection/>
    </xf>
    <xf numFmtId="167" fontId="25" fillId="0" borderId="0" xfId="72" applyNumberFormat="1" applyFont="1" applyFill="1" applyBorder="1" applyAlignment="1">
      <alignment horizontal="center"/>
      <protection/>
    </xf>
    <xf numFmtId="166" fontId="4" fillId="0" borderId="0" xfId="72" applyNumberFormat="1" applyFont="1" applyFill="1" applyBorder="1" applyAlignment="1">
      <alignment horizontal="center"/>
      <protection/>
    </xf>
    <xf numFmtId="14" fontId="4" fillId="0" borderId="0" xfId="72" applyNumberFormat="1" applyFont="1" applyFill="1" applyBorder="1" applyAlignment="1">
      <alignment horizontal="right"/>
      <protection/>
    </xf>
    <xf numFmtId="14" fontId="2" fillId="0" borderId="0" xfId="72" applyNumberFormat="1" applyFont="1" applyFill="1" applyBorder="1" applyAlignment="1" applyProtection="1">
      <alignment horizontal="left"/>
      <protection locked="0"/>
    </xf>
    <xf numFmtId="14" fontId="4" fillId="0" borderId="0" xfId="72" applyNumberFormat="1" applyFont="1" applyFill="1" applyBorder="1" applyAlignment="1" applyProtection="1">
      <alignment horizontal="center"/>
      <protection locked="0"/>
    </xf>
    <xf numFmtId="181" fontId="5" fillId="0" borderId="0" xfId="72" applyNumberFormat="1" applyFont="1" applyFill="1" applyBorder="1" applyAlignment="1">
      <alignment/>
      <protection/>
    </xf>
    <xf numFmtId="14" fontId="4" fillId="0" borderId="0" xfId="72" applyNumberFormat="1" applyFont="1" applyFill="1" applyBorder="1" applyAlignment="1">
      <alignment horizontal="right"/>
      <protection/>
    </xf>
    <xf numFmtId="14" fontId="4" fillId="0" borderId="0" xfId="72" applyNumberFormat="1" applyFont="1" applyFill="1" applyBorder="1" applyAlignment="1" applyProtection="1">
      <alignment/>
      <protection locked="0"/>
    </xf>
    <xf numFmtId="2" fontId="23" fillId="0" borderId="0" xfId="72" applyNumberFormat="1" applyFont="1" applyFill="1" applyBorder="1" applyAlignment="1" applyProtection="1">
      <alignment horizontal="center"/>
      <protection locked="0"/>
    </xf>
    <xf numFmtId="14" fontId="25" fillId="0" borderId="0" xfId="72" applyNumberFormat="1" applyFont="1" applyFill="1" applyBorder="1" applyAlignment="1" applyProtection="1">
      <alignment/>
      <protection locked="0"/>
    </xf>
    <xf numFmtId="0" fontId="4" fillId="0" borderId="0" xfId="72" applyFill="1" applyBorder="1">
      <alignment/>
      <protection/>
    </xf>
    <xf numFmtId="2" fontId="3" fillId="0" borderId="0" xfId="72" applyNumberFormat="1" applyFont="1" applyFill="1" applyBorder="1" applyAlignment="1">
      <alignment/>
      <protection/>
    </xf>
    <xf numFmtId="0" fontId="8" fillId="0" borderId="0" xfId="72" applyFont="1" applyFill="1" applyBorder="1" applyAlignment="1" applyProtection="1">
      <alignment/>
      <protection locked="0"/>
    </xf>
    <xf numFmtId="0" fontId="8" fillId="0" borderId="0" xfId="72" applyFont="1" applyFill="1" applyBorder="1" applyAlignment="1" applyProtection="1">
      <alignment horizontal="center"/>
      <protection locked="0"/>
    </xf>
    <xf numFmtId="1" fontId="24" fillId="0" borderId="0" xfId="72" applyNumberFormat="1" applyFont="1" applyFill="1" applyAlignment="1">
      <alignment/>
      <protection/>
    </xf>
    <xf numFmtId="168" fontId="86" fillId="0" borderId="0" xfId="72" applyNumberFormat="1" applyFont="1" applyFill="1" applyBorder="1" applyAlignment="1">
      <alignment horizontal="center"/>
      <protection/>
    </xf>
    <xf numFmtId="168" fontId="86" fillId="0" borderId="0" xfId="72" applyNumberFormat="1" applyFont="1" applyFill="1" applyBorder="1" applyAlignment="1" applyProtection="1">
      <alignment horizontal="center"/>
      <protection locked="0"/>
    </xf>
    <xf numFmtId="164" fontId="5" fillId="0" borderId="0" xfId="72" applyNumberFormat="1" applyFont="1" applyFill="1" applyAlignment="1" applyProtection="1">
      <alignment horizontal="center"/>
      <protection locked="0"/>
    </xf>
    <xf numFmtId="2" fontId="5" fillId="0" borderId="0" xfId="72" applyNumberFormat="1" applyFont="1" applyFill="1" applyBorder="1" applyAlignment="1" applyProtection="1">
      <alignment/>
      <protection/>
    </xf>
    <xf numFmtId="1" fontId="7" fillId="0" borderId="0" xfId="72" applyNumberFormat="1" applyFont="1" applyFill="1" applyBorder="1" applyAlignment="1" applyProtection="1">
      <alignment horizontal="center" wrapText="1"/>
      <protection locked="0"/>
    </xf>
    <xf numFmtId="0" fontId="5" fillId="0" borderId="25" xfId="72" applyFont="1" applyFill="1" applyBorder="1" applyAlignment="1" applyProtection="1">
      <alignment/>
      <protection locked="0"/>
    </xf>
    <xf numFmtId="0" fontId="5" fillId="0" borderId="25" xfId="72" applyFont="1" applyFill="1" applyBorder="1" applyAlignment="1" applyProtection="1">
      <alignment horizontal="center"/>
      <protection locked="0"/>
    </xf>
    <xf numFmtId="1" fontId="4" fillId="0" borderId="0" xfId="72" applyNumberFormat="1" applyFont="1" applyFill="1" applyAlignment="1" applyProtection="1">
      <alignment/>
      <protection locked="0"/>
    </xf>
    <xf numFmtId="0" fontId="3" fillId="0" borderId="0" xfId="72" applyFont="1" applyFill="1" applyAlignment="1" applyProtection="1">
      <alignment/>
      <protection locked="0"/>
    </xf>
    <xf numFmtId="2" fontId="3" fillId="0" borderId="0" xfId="72" applyNumberFormat="1" applyFont="1" applyFill="1" applyAlignment="1" applyProtection="1">
      <alignment/>
      <protection locked="0"/>
    </xf>
    <xf numFmtId="2" fontId="3" fillId="0" borderId="0" xfId="72" applyNumberFormat="1" applyFont="1" applyFill="1" applyAlignment="1" applyProtection="1">
      <alignment horizontal="center"/>
      <protection locked="0"/>
    </xf>
    <xf numFmtId="2" fontId="3" fillId="0" borderId="20" xfId="72" applyNumberFormat="1" applyFont="1" applyFill="1" applyBorder="1" applyAlignment="1" applyProtection="1">
      <alignment horizontal="center"/>
      <protection locked="0"/>
    </xf>
    <xf numFmtId="2" fontId="2" fillId="0" borderId="20" xfId="72" applyNumberFormat="1" applyFont="1" applyFill="1" applyBorder="1" applyAlignment="1" applyProtection="1">
      <alignment horizontal="center"/>
      <protection locked="0"/>
    </xf>
    <xf numFmtId="0" fontId="4" fillId="0" borderId="0" xfId="72" applyFont="1" applyFill="1" applyAlignment="1" applyProtection="1">
      <alignment horizontal="center"/>
      <protection locked="0"/>
    </xf>
    <xf numFmtId="0" fontId="5" fillId="0" borderId="22" xfId="72" applyFont="1" applyFill="1" applyBorder="1" applyAlignment="1" applyProtection="1">
      <alignment horizontal="left"/>
      <protection locked="0"/>
    </xf>
    <xf numFmtId="1" fontId="2" fillId="0" borderId="24" xfId="72" applyNumberFormat="1" applyFont="1" applyFill="1" applyBorder="1" applyAlignment="1" applyProtection="1">
      <alignment/>
      <protection locked="0"/>
    </xf>
    <xf numFmtId="0" fontId="11" fillId="0" borderId="20" xfId="72" applyFont="1" applyFill="1" applyBorder="1" applyAlignment="1" applyProtection="1">
      <alignment/>
      <protection locked="0"/>
    </xf>
    <xf numFmtId="0" fontId="5" fillId="0" borderId="20" xfId="72" applyFont="1" applyFill="1" applyBorder="1" applyAlignment="1">
      <alignment/>
      <protection/>
    </xf>
    <xf numFmtId="1" fontId="5" fillId="0" borderId="0" xfId="72" applyNumberFormat="1" applyFont="1" applyFill="1" applyAlignment="1" applyProtection="1">
      <alignment horizontal="center"/>
      <protection locked="0"/>
    </xf>
    <xf numFmtId="2" fontId="5" fillId="0" borderId="0" xfId="72" applyNumberFormat="1" applyFont="1" applyFill="1" applyAlignment="1" applyProtection="1">
      <alignment/>
      <protection locked="0"/>
    </xf>
    <xf numFmtId="2" fontId="5" fillId="0" borderId="0" xfId="72" applyNumberFormat="1" applyFont="1" applyFill="1" applyAlignment="1" applyProtection="1">
      <alignment/>
      <protection locked="0"/>
    </xf>
    <xf numFmtId="166" fontId="4" fillId="0" borderId="0" xfId="72" applyNumberFormat="1" applyFont="1" applyFill="1" applyAlignment="1" applyProtection="1">
      <alignment horizontal="center"/>
      <protection/>
    </xf>
    <xf numFmtId="2" fontId="16" fillId="0" borderId="20" xfId="72" applyNumberFormat="1" applyFont="1" applyFill="1" applyBorder="1" applyAlignment="1">
      <alignment horizontal="center"/>
      <protection/>
    </xf>
    <xf numFmtId="0" fontId="5" fillId="0" borderId="28" xfId="72" applyFont="1" applyFill="1" applyBorder="1" applyAlignment="1" applyProtection="1">
      <alignment horizontal="center"/>
      <protection locked="0"/>
    </xf>
    <xf numFmtId="0" fontId="4" fillId="0" borderId="20" xfId="72" applyFill="1" applyBorder="1" applyAlignment="1">
      <alignment horizontal="center"/>
      <protection/>
    </xf>
    <xf numFmtId="166" fontId="5" fillId="0" borderId="24" xfId="72" applyNumberFormat="1" applyFont="1" applyFill="1" applyBorder="1" applyAlignment="1" applyProtection="1">
      <alignment horizontal="center"/>
      <protection locked="0"/>
    </xf>
    <xf numFmtId="1" fontId="18" fillId="0" borderId="0" xfId="72" applyNumberFormat="1" applyFont="1" applyFill="1" applyBorder="1" applyAlignment="1">
      <alignment horizontal="center"/>
      <protection/>
    </xf>
    <xf numFmtId="0" fontId="4" fillId="0" borderId="0" xfId="72" applyNumberFormat="1" applyFont="1" applyFill="1" applyAlignment="1" applyProtection="1">
      <alignment/>
      <protection locked="0"/>
    </xf>
    <xf numFmtId="0" fontId="3" fillId="0" borderId="0" xfId="72" applyFont="1" applyFill="1" applyAlignment="1" applyProtection="1">
      <alignment horizontal="center"/>
      <protection locked="0"/>
    </xf>
    <xf numFmtId="2" fontId="15" fillId="0" borderId="20" xfId="72" applyNumberFormat="1" applyFont="1" applyFill="1" applyBorder="1" applyAlignment="1">
      <alignment horizontal="center"/>
      <protection/>
    </xf>
    <xf numFmtId="170" fontId="3" fillId="0" borderId="28" xfId="72" applyNumberFormat="1" applyFont="1" applyFill="1" applyBorder="1" applyAlignment="1">
      <alignment horizontal="center"/>
      <protection/>
    </xf>
    <xf numFmtId="0" fontId="5" fillId="0" borderId="20" xfId="72" applyFont="1" applyFill="1" applyBorder="1" applyAlignment="1" applyProtection="1">
      <alignment/>
      <protection locked="0"/>
    </xf>
    <xf numFmtId="14" fontId="5" fillId="0" borderId="20" xfId="72" applyNumberFormat="1" applyFont="1" applyFill="1" applyBorder="1" applyAlignment="1" applyProtection="1">
      <alignment/>
      <protection locked="0"/>
    </xf>
    <xf numFmtId="166" fontId="5" fillId="0" borderId="26" xfId="72" applyNumberFormat="1" applyFont="1" applyFill="1" applyBorder="1" applyAlignment="1" applyProtection="1">
      <alignment horizontal="center"/>
      <protection locked="0"/>
    </xf>
    <xf numFmtId="0" fontId="18" fillId="0" borderId="0" xfId="72" applyFont="1" applyFill="1" applyBorder="1" applyAlignment="1" applyProtection="1">
      <alignment horizontal="center"/>
      <protection/>
    </xf>
    <xf numFmtId="1" fontId="3" fillId="0" borderId="25" xfId="72" applyNumberFormat="1" applyFont="1" applyFill="1" applyBorder="1" applyAlignment="1" applyProtection="1">
      <alignment horizontal="center"/>
      <protection locked="0"/>
    </xf>
    <xf numFmtId="1" fontId="3" fillId="0" borderId="0" xfId="72" applyNumberFormat="1" applyFont="1" applyFill="1" applyBorder="1" applyAlignment="1" applyProtection="1">
      <alignment horizontal="left"/>
      <protection locked="0"/>
    </xf>
    <xf numFmtId="1" fontId="5" fillId="0" borderId="29" xfId="72" applyNumberFormat="1" applyFont="1" applyFill="1" applyBorder="1" applyAlignment="1" applyProtection="1">
      <alignment/>
      <protection locked="0"/>
    </xf>
    <xf numFmtId="1" fontId="5" fillId="0" borderId="25" xfId="72" applyNumberFormat="1" applyFont="1" applyFill="1" applyBorder="1" applyAlignment="1" applyProtection="1">
      <alignment horizontal="center"/>
      <protection locked="0"/>
    </xf>
    <xf numFmtId="2" fontId="4" fillId="0" borderId="24" xfId="72" applyNumberFormat="1" applyFont="1" applyFill="1" applyBorder="1" applyAlignment="1" applyProtection="1">
      <alignment horizontal="center"/>
      <protection locked="0"/>
    </xf>
    <xf numFmtId="165" fontId="3" fillId="0" borderId="25" xfId="72" applyNumberFormat="1" applyFont="1" applyFill="1" applyBorder="1" applyAlignment="1" applyProtection="1">
      <alignment horizontal="center"/>
      <protection locked="0"/>
    </xf>
    <xf numFmtId="1" fontId="3" fillId="0" borderId="0" xfId="72" applyNumberFormat="1" applyFont="1" applyFill="1" applyBorder="1" applyAlignment="1">
      <alignment horizontal="left"/>
      <protection/>
    </xf>
    <xf numFmtId="0" fontId="3" fillId="0" borderId="28" xfId="72" applyFont="1" applyFill="1" applyBorder="1" applyAlignment="1" applyProtection="1">
      <alignment horizontal="center"/>
      <protection locked="0"/>
    </xf>
    <xf numFmtId="167" fontId="2" fillId="0" borderId="26" xfId="72" applyNumberFormat="1" applyFont="1" applyFill="1" applyBorder="1" applyAlignment="1" applyProtection="1">
      <alignment horizontal="center"/>
      <protection locked="0"/>
    </xf>
    <xf numFmtId="166" fontId="5" fillId="0" borderId="20" xfId="72" applyNumberFormat="1" applyFont="1" applyFill="1" applyBorder="1" applyAlignment="1" applyProtection="1">
      <alignment horizontal="center"/>
      <protection locked="0"/>
    </xf>
    <xf numFmtId="1" fontId="3" fillId="0" borderId="30" xfId="72" applyNumberFormat="1" applyFont="1" applyFill="1" applyBorder="1" applyAlignment="1" applyProtection="1">
      <alignment horizontal="center"/>
      <protection locked="0"/>
    </xf>
    <xf numFmtId="1" fontId="3" fillId="0" borderId="31" xfId="72" applyNumberFormat="1" applyFont="1" applyFill="1" applyBorder="1" applyAlignment="1" applyProtection="1">
      <alignment horizontal="center"/>
      <protection locked="0"/>
    </xf>
    <xf numFmtId="1" fontId="3" fillId="0" borderId="31" xfId="72" applyNumberFormat="1" applyFont="1" applyFill="1" applyBorder="1" applyAlignment="1" applyProtection="1">
      <alignment/>
      <protection locked="0"/>
    </xf>
    <xf numFmtId="0" fontId="5" fillId="0" borderId="31" xfId="72" applyFont="1" applyFill="1" applyBorder="1" applyAlignment="1" applyProtection="1">
      <alignment horizontal="center"/>
      <protection locked="0"/>
    </xf>
    <xf numFmtId="2" fontId="3" fillId="0" borderId="30" xfId="72" applyNumberFormat="1" applyFont="1" applyFill="1" applyBorder="1" applyAlignment="1" applyProtection="1">
      <alignment/>
      <protection locked="0"/>
    </xf>
    <xf numFmtId="0" fontId="5" fillId="0" borderId="19" xfId="72" applyFont="1" applyFill="1" applyBorder="1" applyAlignment="1" applyProtection="1">
      <alignment/>
      <protection locked="0"/>
    </xf>
    <xf numFmtId="0" fontId="3" fillId="0" borderId="19" xfId="72" applyFont="1" applyFill="1" applyBorder="1" applyAlignment="1" applyProtection="1">
      <alignment horizontal="center"/>
      <protection locked="0"/>
    </xf>
    <xf numFmtId="165" fontId="3" fillId="0" borderId="19" xfId="72" applyNumberFormat="1" applyFont="1" applyFill="1" applyBorder="1" applyAlignment="1" applyProtection="1">
      <alignment horizontal="center"/>
      <protection locked="0"/>
    </xf>
    <xf numFmtId="0" fontId="3" fillId="0" borderId="32" xfId="72" applyFont="1" applyFill="1" applyBorder="1" applyAlignment="1">
      <alignment horizontal="center"/>
      <protection/>
    </xf>
    <xf numFmtId="167" fontId="2" fillId="0" borderId="20" xfId="72" applyNumberFormat="1" applyFont="1" applyFill="1" applyBorder="1" applyAlignment="1" applyProtection="1">
      <alignment horizontal="center"/>
      <protection locked="0"/>
    </xf>
    <xf numFmtId="175" fontId="4" fillId="0" borderId="0" xfId="72" applyNumberFormat="1" applyFont="1" applyFill="1" applyBorder="1" applyAlignment="1" applyProtection="1">
      <alignment/>
      <protection locked="0"/>
    </xf>
    <xf numFmtId="1" fontId="3" fillId="0" borderId="0" xfId="72" applyNumberFormat="1" applyFont="1" applyFill="1" applyBorder="1" applyAlignment="1">
      <alignment horizontal="center"/>
      <protection/>
    </xf>
    <xf numFmtId="0" fontId="2" fillId="0" borderId="28" xfId="72" applyFont="1" applyFill="1" applyBorder="1" applyAlignment="1">
      <alignment horizontal="center"/>
      <protection/>
    </xf>
    <xf numFmtId="167" fontId="2" fillId="0" borderId="20" xfId="72" applyNumberFormat="1" applyFont="1" applyFill="1" applyBorder="1" applyAlignment="1">
      <alignment horizontal="center"/>
      <protection/>
    </xf>
    <xf numFmtId="166" fontId="4" fillId="0" borderId="20" xfId="72" applyNumberFormat="1" applyFont="1" applyFill="1" applyBorder="1" applyAlignment="1">
      <alignment horizontal="center"/>
      <protection/>
    </xf>
    <xf numFmtId="171" fontId="3" fillId="0" borderId="0" xfId="72" applyNumberFormat="1" applyFont="1" applyFill="1" applyBorder="1" applyAlignment="1" applyProtection="1">
      <alignment horizontal="center"/>
      <protection locked="0"/>
    </xf>
    <xf numFmtId="176" fontId="4" fillId="0" borderId="0" xfId="72" applyNumberFormat="1" applyFont="1" applyFill="1" applyBorder="1" applyAlignment="1">
      <alignment/>
      <protection/>
    </xf>
    <xf numFmtId="0" fontId="3" fillId="0" borderId="20" xfId="72" applyFont="1" applyFill="1" applyBorder="1" applyAlignment="1" applyProtection="1">
      <alignment horizontal="center"/>
      <protection locked="0"/>
    </xf>
    <xf numFmtId="170" fontId="3" fillId="0" borderId="20" xfId="72" applyNumberFormat="1" applyFont="1" applyFill="1" applyBorder="1" applyAlignment="1">
      <alignment horizontal="center"/>
      <protection/>
    </xf>
    <xf numFmtId="0" fontId="2" fillId="0" borderId="20" xfId="72" applyFont="1" applyFill="1" applyBorder="1" applyAlignment="1">
      <alignment horizontal="center"/>
      <protection/>
    </xf>
    <xf numFmtId="0" fontId="2" fillId="0" borderId="28" xfId="72" applyFont="1" applyFill="1" applyBorder="1" applyAlignment="1" applyProtection="1">
      <alignment horizontal="center"/>
      <protection locked="0"/>
    </xf>
    <xf numFmtId="166" fontId="4" fillId="0" borderId="20" xfId="72" applyNumberFormat="1" applyFont="1" applyFill="1" applyBorder="1" applyAlignment="1" applyProtection="1">
      <alignment horizontal="center"/>
      <protection locked="0"/>
    </xf>
    <xf numFmtId="0" fontId="2" fillId="0" borderId="20" xfId="72" applyFont="1" applyFill="1" applyBorder="1" applyAlignment="1" applyProtection="1">
      <alignment horizontal="center"/>
      <protection locked="0"/>
    </xf>
    <xf numFmtId="166" fontId="4" fillId="0" borderId="0" xfId="72" applyNumberFormat="1" applyFont="1" applyFill="1" applyBorder="1" applyAlignment="1" applyProtection="1">
      <alignment/>
      <protection locked="0"/>
    </xf>
    <xf numFmtId="14" fontId="4" fillId="0" borderId="0" xfId="72" applyNumberFormat="1" applyFont="1" applyFill="1" applyAlignment="1">
      <alignment horizontal="right"/>
      <protection/>
    </xf>
    <xf numFmtId="0" fontId="10" fillId="0" borderId="0" xfId="72" applyFont="1" applyFill="1" applyAlignment="1" applyProtection="1">
      <alignment/>
      <protection locked="0"/>
    </xf>
    <xf numFmtId="167" fontId="4" fillId="0" borderId="0" xfId="72" applyNumberFormat="1" applyFont="1" applyFill="1" applyAlignment="1" applyProtection="1">
      <alignment horizontal="right"/>
      <protection locked="0"/>
    </xf>
    <xf numFmtId="14" fontId="10" fillId="0" borderId="0" xfId="72" applyNumberFormat="1" applyFont="1" applyFill="1" applyAlignment="1" applyProtection="1">
      <alignment horizontal="right"/>
      <protection locked="0"/>
    </xf>
    <xf numFmtId="167" fontId="10" fillId="0" borderId="0" xfId="72" applyNumberFormat="1" applyFont="1" applyFill="1" applyAlignment="1" applyProtection="1">
      <alignment horizontal="right"/>
      <protection locked="0"/>
    </xf>
    <xf numFmtId="14" fontId="10" fillId="0" borderId="0" xfId="72" applyNumberFormat="1" applyFont="1" applyFill="1" applyBorder="1" applyAlignment="1" applyProtection="1">
      <alignment horizontal="right"/>
      <protection locked="0"/>
    </xf>
    <xf numFmtId="0" fontId="66" fillId="0" borderId="0" xfId="77" applyFont="1" applyFill="1" applyAlignment="1">
      <alignment horizontal="center"/>
      <protection/>
    </xf>
    <xf numFmtId="2" fontId="15" fillId="0" borderId="0" xfId="72" applyNumberFormat="1" applyFont="1" applyFill="1" applyBorder="1" applyAlignment="1">
      <alignment horizontal="center"/>
      <protection/>
    </xf>
    <xf numFmtId="165" fontId="3" fillId="0" borderId="0" xfId="72" applyNumberFormat="1" applyFont="1" applyFill="1" applyAlignment="1" applyProtection="1">
      <alignment horizontal="center"/>
      <protection locked="0"/>
    </xf>
    <xf numFmtId="165" fontId="2" fillId="0" borderId="0" xfId="72" applyNumberFormat="1" applyFont="1" applyFill="1" applyAlignment="1" applyProtection="1">
      <alignment horizontal="center"/>
      <protection locked="0"/>
    </xf>
    <xf numFmtId="0" fontId="6" fillId="0" borderId="0" xfId="72" applyFont="1" applyFill="1" applyAlignment="1" applyProtection="1">
      <alignment horizontal="center" vertical="center" wrapText="1"/>
      <protection locked="0"/>
    </xf>
    <xf numFmtId="0" fontId="7" fillId="0" borderId="0" xfId="72" applyFont="1" applyFill="1" applyAlignment="1" applyProtection="1">
      <alignment vertical="center" wrapText="1"/>
      <protection locked="0"/>
    </xf>
    <xf numFmtId="166" fontId="17" fillId="0" borderId="0" xfId="77" applyNumberFormat="1" applyFont="1" applyFill="1" applyAlignment="1">
      <alignment horizontal="center"/>
      <protection/>
    </xf>
    <xf numFmtId="0" fontId="67" fillId="0" borderId="0" xfId="51" applyFont="1" applyFill="1" applyBorder="1" applyAlignment="1" applyProtection="1">
      <alignment/>
      <protection/>
    </xf>
    <xf numFmtId="4" fontId="2" fillId="0" borderId="0" xfId="72" applyNumberFormat="1" applyFont="1" applyFill="1" applyAlignment="1" applyProtection="1">
      <alignment/>
      <protection locked="0"/>
    </xf>
    <xf numFmtId="1" fontId="15" fillId="0" borderId="0" xfId="72" applyNumberFormat="1" applyFont="1" applyFill="1" applyBorder="1" applyAlignment="1">
      <alignment horizontal="center"/>
      <protection/>
    </xf>
    <xf numFmtId="14" fontId="2" fillId="0" borderId="0" xfId="72" applyNumberFormat="1" applyFont="1" applyFill="1" applyBorder="1" applyAlignment="1" applyProtection="1">
      <alignment horizontal="right"/>
      <protection locked="0"/>
    </xf>
    <xf numFmtId="0" fontId="2" fillId="0" borderId="0" xfId="72" applyFont="1" applyFill="1" applyAlignment="1">
      <alignment/>
      <protection/>
    </xf>
    <xf numFmtId="0" fontId="2" fillId="0" borderId="0" xfId="72" applyFont="1" applyFill="1" applyAlignment="1">
      <alignment horizontal="center"/>
      <protection/>
    </xf>
    <xf numFmtId="0" fontId="68" fillId="0" borderId="0" xfId="72" applyFont="1" applyFill="1" applyAlignment="1">
      <alignment horizontal="center"/>
      <protection/>
    </xf>
    <xf numFmtId="2" fontId="16" fillId="0" borderId="0" xfId="72" applyNumberFormat="1" applyFont="1" applyFill="1" applyBorder="1" applyAlignment="1">
      <alignment horizontal="center"/>
      <protection/>
    </xf>
    <xf numFmtId="171" fontId="15" fillId="0" borderId="0" xfId="72" applyNumberFormat="1" applyFont="1" applyFill="1" applyBorder="1" applyAlignment="1">
      <alignment horizontal="center"/>
      <protection/>
    </xf>
    <xf numFmtId="1" fontId="5" fillId="0" borderId="33" xfId="72" applyNumberFormat="1" applyFont="1" applyFill="1" applyBorder="1" applyAlignment="1" applyProtection="1">
      <alignment/>
      <protection locked="0"/>
    </xf>
    <xf numFmtId="1" fontId="3" fillId="0" borderId="0" xfId="72" applyNumberFormat="1" applyFont="1" applyFill="1" applyAlignment="1" applyProtection="1">
      <alignment horizontal="left"/>
      <protection locked="0"/>
    </xf>
    <xf numFmtId="1" fontId="3" fillId="0" borderId="33" xfId="72" applyNumberFormat="1" applyFont="1" applyFill="1" applyBorder="1" applyAlignment="1" applyProtection="1">
      <alignment horizontal="center"/>
      <protection locked="0"/>
    </xf>
    <xf numFmtId="2" fontId="3" fillId="0" borderId="0" xfId="72" applyNumberFormat="1" applyFont="1" applyFill="1" applyAlignment="1" applyProtection="1">
      <alignment/>
      <protection locked="0"/>
    </xf>
    <xf numFmtId="1" fontId="3" fillId="0" borderId="19" xfId="72" applyNumberFormat="1" applyFont="1" applyFill="1" applyBorder="1" applyAlignment="1" applyProtection="1">
      <alignment/>
      <protection locked="0"/>
    </xf>
    <xf numFmtId="1" fontId="3" fillId="0" borderId="34" xfId="72" applyNumberFormat="1" applyFont="1" applyFill="1" applyBorder="1" applyAlignment="1" applyProtection="1">
      <alignment horizontal="center"/>
      <protection locked="0"/>
    </xf>
    <xf numFmtId="176" fontId="2" fillId="0" borderId="0" xfId="72" applyNumberFormat="1" applyFont="1" applyFill="1" applyBorder="1" applyAlignment="1">
      <alignment/>
      <protection/>
    </xf>
    <xf numFmtId="1" fontId="3" fillId="0" borderId="0" xfId="72" applyNumberFormat="1" applyFont="1" applyFill="1" applyBorder="1" applyAlignment="1" applyProtection="1">
      <alignment horizontal="left"/>
      <protection/>
    </xf>
    <xf numFmtId="179" fontId="2" fillId="0" borderId="0" xfId="72" applyNumberFormat="1" applyFont="1" applyFill="1" applyBorder="1" applyAlignment="1">
      <alignment/>
      <protection/>
    </xf>
    <xf numFmtId="179" fontId="2" fillId="0" borderId="0" xfId="72" applyNumberFormat="1" applyFont="1" applyFill="1" applyBorder="1" applyAlignment="1">
      <alignment horizontal="center"/>
      <protection/>
    </xf>
    <xf numFmtId="179" fontId="2" fillId="0" borderId="0" xfId="72" applyNumberFormat="1" applyFont="1" applyFill="1" applyBorder="1" applyAlignment="1" applyProtection="1">
      <alignment horizontal="center"/>
      <protection/>
    </xf>
    <xf numFmtId="0" fontId="2" fillId="3" borderId="0" xfId="72" applyFont="1" applyFill="1" applyAlignment="1">
      <alignment/>
      <protection/>
    </xf>
    <xf numFmtId="0" fontId="4" fillId="3" borderId="0" xfId="72" applyFont="1" applyFill="1" applyAlignment="1">
      <alignment/>
      <protection/>
    </xf>
    <xf numFmtId="167" fontId="3" fillId="0" borderId="24" xfId="72" applyNumberFormat="1" applyFont="1" applyFill="1" applyBorder="1" applyAlignment="1" applyProtection="1">
      <alignment horizontal="center" vertical="center"/>
      <protection locked="0"/>
    </xf>
    <xf numFmtId="0" fontId="4" fillId="0" borderId="25" xfId="72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 horizontal="center"/>
      <protection/>
    </xf>
    <xf numFmtId="0" fontId="4" fillId="0" borderId="0" xfId="72" applyFont="1" applyFill="1" applyBorder="1" applyAlignment="1" applyProtection="1">
      <alignment horizontal="center" vertical="center" wrapText="1"/>
      <protection locked="0"/>
    </xf>
    <xf numFmtId="0" fontId="4" fillId="0" borderId="0" xfId="72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 applyProtection="1">
      <alignment horizontal="center" vertical="center" wrapText="1"/>
      <protection locked="0"/>
    </xf>
    <xf numFmtId="0" fontId="5" fillId="0" borderId="0" xfId="72" applyFont="1" applyFill="1" applyBorder="1" applyAlignment="1">
      <alignment horizontal="center" vertical="center" wrapText="1"/>
      <protection/>
    </xf>
    <xf numFmtId="0" fontId="2" fillId="0" borderId="0" xfId="72" applyFont="1" applyFill="1" applyBorder="1" applyAlignment="1" applyProtection="1">
      <alignment horizontal="center" vertical="center" wrapText="1"/>
      <protection locked="0"/>
    </xf>
    <xf numFmtId="0" fontId="2" fillId="0" borderId="0" xfId="72" applyFont="1" applyFill="1" applyBorder="1" applyAlignment="1">
      <alignment horizontal="center" vertical="center" wrapText="1"/>
      <protection/>
    </xf>
    <xf numFmtId="14" fontId="5" fillId="0" borderId="0" xfId="72" applyNumberFormat="1" applyFont="1" applyFill="1" applyBorder="1" applyAlignment="1">
      <alignment horizontal="center"/>
      <protection/>
    </xf>
    <xf numFmtId="1" fontId="2" fillId="0" borderId="0" xfId="72" applyNumberFormat="1" applyFont="1" applyFill="1" applyBorder="1" applyAlignment="1">
      <alignment horizontal="center" vertical="center"/>
      <protection/>
    </xf>
    <xf numFmtId="0" fontId="4" fillId="0" borderId="0" xfId="72" applyFill="1" applyBorder="1" applyAlignment="1">
      <alignment/>
      <protection/>
    </xf>
    <xf numFmtId="2" fontId="3" fillId="0" borderId="0" xfId="72" applyNumberFormat="1" applyFont="1" applyFill="1" applyBorder="1" applyAlignment="1">
      <alignment horizontal="center" wrapText="1"/>
      <protection/>
    </xf>
    <xf numFmtId="0" fontId="5" fillId="0" borderId="0" xfId="72" applyFont="1" applyFill="1" applyBorder="1" applyAlignment="1">
      <alignment wrapText="1"/>
      <protection/>
    </xf>
    <xf numFmtId="1" fontId="3" fillId="0" borderId="0" xfId="72" applyNumberFormat="1" applyFont="1" applyFill="1" applyBorder="1" applyAlignment="1">
      <alignment horizontal="center" vertical="center" wrapText="1"/>
      <protection/>
    </xf>
    <xf numFmtId="0" fontId="53" fillId="0" borderId="0" xfId="71" applyFont="1" applyFill="1" applyBorder="1">
      <alignment/>
      <protection/>
    </xf>
    <xf numFmtId="170" fontId="5" fillId="0" borderId="0" xfId="72" applyNumberFormat="1" applyFont="1" applyFill="1" applyBorder="1" applyAlignment="1">
      <alignment horizontal="left"/>
      <protection/>
    </xf>
    <xf numFmtId="180" fontId="4" fillId="0" borderId="0" xfId="72" applyNumberFormat="1" applyFont="1" applyFill="1" applyBorder="1" applyAlignment="1">
      <alignment horizontal="center"/>
      <protection/>
    </xf>
    <xf numFmtId="174" fontId="2" fillId="0" borderId="0" xfId="72" applyNumberFormat="1" applyFont="1" applyFill="1" applyBorder="1" applyAlignment="1">
      <alignment horizontal="center"/>
      <protection/>
    </xf>
    <xf numFmtId="0" fontId="5" fillId="0" borderId="0" xfId="72" applyNumberFormat="1" applyFont="1" applyFill="1" applyBorder="1" applyAlignment="1">
      <alignment horizontal="left"/>
      <protection/>
    </xf>
    <xf numFmtId="10" fontId="4" fillId="0" borderId="0" xfId="72" applyNumberFormat="1" applyFont="1" applyFill="1" applyBorder="1" applyAlignment="1" applyProtection="1">
      <alignment/>
      <protection locked="0"/>
    </xf>
    <xf numFmtId="1" fontId="5" fillId="0" borderId="0" xfId="72" applyNumberFormat="1" applyFont="1" applyFill="1" applyBorder="1" applyAlignment="1" applyProtection="1">
      <alignment horizontal="center"/>
      <protection locked="0"/>
    </xf>
    <xf numFmtId="167" fontId="4" fillId="0" borderId="0" xfId="72" applyNumberFormat="1" applyFont="1" applyFill="1" applyBorder="1" applyAlignment="1">
      <alignment/>
      <protection/>
    </xf>
    <xf numFmtId="174" fontId="4" fillId="0" borderId="0" xfId="72" applyNumberFormat="1" applyFont="1" applyFill="1" applyBorder="1" applyAlignment="1">
      <alignment/>
      <protection/>
    </xf>
    <xf numFmtId="174" fontId="4" fillId="0" borderId="0" xfId="72" applyNumberFormat="1" applyFont="1" applyFill="1" applyBorder="1" applyAlignment="1" applyProtection="1">
      <alignment horizontal="right"/>
      <protection locked="0"/>
    </xf>
    <xf numFmtId="49" fontId="5" fillId="0" borderId="0" xfId="72" applyNumberFormat="1" applyFont="1" applyFill="1" applyBorder="1" applyAlignment="1">
      <alignment horizontal="left"/>
      <protection/>
    </xf>
    <xf numFmtId="0" fontId="4" fillId="0" borderId="0" xfId="72" applyNumberFormat="1" applyFont="1" applyFill="1" applyBorder="1" applyAlignment="1">
      <alignment/>
      <protection/>
    </xf>
    <xf numFmtId="175" fontId="4" fillId="0" borderId="0" xfId="72" applyNumberFormat="1" applyFont="1" applyFill="1" applyBorder="1" applyAlignment="1">
      <alignment/>
      <protection/>
    </xf>
    <xf numFmtId="165" fontId="4" fillId="0" borderId="0" xfId="72" applyNumberFormat="1" applyFont="1" applyFill="1" applyBorder="1" applyAlignment="1" applyProtection="1">
      <alignment/>
      <protection/>
    </xf>
    <xf numFmtId="1" fontId="4" fillId="0" borderId="0" xfId="72" applyNumberFormat="1" applyFont="1" applyFill="1" applyBorder="1" applyAlignment="1" applyProtection="1">
      <alignment horizontal="right"/>
      <protection/>
    </xf>
    <xf numFmtId="2" fontId="4" fillId="0" borderId="0" xfId="72" applyNumberFormat="1" applyFont="1" applyFill="1" applyBorder="1" applyAlignment="1">
      <alignment horizontal="right"/>
      <protection/>
    </xf>
    <xf numFmtId="175" fontId="4" fillId="0" borderId="0" xfId="72" applyNumberFormat="1" applyFont="1" applyFill="1" applyBorder="1" applyAlignment="1">
      <alignment horizontal="right"/>
      <protection/>
    </xf>
    <xf numFmtId="0" fontId="5" fillId="0" borderId="0" xfId="72" applyFont="1" applyFill="1" applyBorder="1" applyAlignment="1" applyProtection="1">
      <alignment horizontal="left"/>
      <protection locked="0"/>
    </xf>
    <xf numFmtId="166" fontId="5" fillId="0" borderId="0" xfId="72" applyNumberFormat="1" applyFont="1" applyFill="1" applyBorder="1" applyAlignment="1" applyProtection="1">
      <alignment/>
      <protection locked="0"/>
    </xf>
    <xf numFmtId="0" fontId="4" fillId="0" borderId="0" xfId="72" applyFont="1" applyFill="1" applyBorder="1" applyAlignment="1" applyProtection="1">
      <alignment horizontal="right"/>
      <protection/>
    </xf>
    <xf numFmtId="0" fontId="4" fillId="0" borderId="0" xfId="72" applyFont="1" applyFill="1" applyBorder="1" applyAlignment="1">
      <alignment horizontal="right"/>
      <protection/>
    </xf>
    <xf numFmtId="1" fontId="4" fillId="0" borderId="0" xfId="72" applyNumberFormat="1" applyFont="1" applyFill="1" applyBorder="1" applyAlignment="1" applyProtection="1">
      <alignment horizontal="center"/>
      <protection locked="0"/>
    </xf>
    <xf numFmtId="176" fontId="4" fillId="0" borderId="0" xfId="72" applyNumberFormat="1" applyFont="1" applyFill="1" applyBorder="1" applyAlignment="1" applyProtection="1">
      <alignment horizontal="right"/>
      <protection locked="0"/>
    </xf>
    <xf numFmtId="167" fontId="4" fillId="0" borderId="0" xfId="72" applyNumberFormat="1" applyFont="1" applyFill="1" applyBorder="1" applyAlignment="1" applyProtection="1">
      <alignment/>
      <protection locked="0"/>
    </xf>
    <xf numFmtId="164" fontId="4" fillId="0" borderId="0" xfId="72" applyNumberFormat="1" applyFont="1" applyFill="1" applyBorder="1" applyAlignment="1" applyProtection="1">
      <alignment horizontal="right"/>
      <protection locked="0"/>
    </xf>
    <xf numFmtId="0" fontId="4" fillId="0" borderId="0" xfId="54" applyNumberFormat="1" applyFont="1" applyFill="1" applyBorder="1" applyAlignment="1" applyProtection="1">
      <alignment/>
      <protection locked="0"/>
    </xf>
    <xf numFmtId="164" fontId="4" fillId="0" borderId="0" xfId="54" applyNumberFormat="1" applyFont="1" applyFill="1" applyBorder="1" applyAlignment="1" applyProtection="1">
      <alignment horizontal="right"/>
      <protection locked="0"/>
    </xf>
    <xf numFmtId="2" fontId="4" fillId="0" borderId="0" xfId="54" applyNumberFormat="1" applyFont="1" applyFill="1" applyBorder="1" applyAlignment="1" applyProtection="1">
      <alignment/>
      <protection locked="0"/>
    </xf>
    <xf numFmtId="2" fontId="4" fillId="0" borderId="0" xfId="54" applyNumberFormat="1" applyFont="1" applyFill="1" applyBorder="1" applyAlignment="1" applyProtection="1">
      <alignment horizontal="right"/>
      <protection locked="0"/>
    </xf>
    <xf numFmtId="14" fontId="5" fillId="0" borderId="0" xfId="72" applyNumberFormat="1" applyFont="1" applyFill="1" applyBorder="1" applyAlignment="1" applyProtection="1">
      <alignment horizontal="left"/>
      <protection locked="0"/>
    </xf>
    <xf numFmtId="166" fontId="5" fillId="0" borderId="0" xfId="72" applyNumberFormat="1" applyFont="1" applyFill="1" applyBorder="1" applyAlignment="1" applyProtection="1">
      <alignment horizontal="center"/>
      <protection locked="0"/>
    </xf>
    <xf numFmtId="2" fontId="2" fillId="0" borderId="0" xfId="72" applyNumberFormat="1" applyFont="1" applyFill="1" applyBorder="1" applyAlignment="1" applyProtection="1">
      <alignment horizontal="center"/>
      <protection locked="0"/>
    </xf>
    <xf numFmtId="14" fontId="5" fillId="0" borderId="0" xfId="72" applyNumberFormat="1" applyFont="1" applyFill="1" applyBorder="1" applyAlignment="1">
      <alignment horizontal="left"/>
      <protection/>
    </xf>
    <xf numFmtId="164" fontId="4" fillId="0" borderId="0" xfId="72" applyNumberFormat="1" applyFont="1" applyFill="1" applyBorder="1" applyAlignment="1">
      <alignment horizontal="right"/>
      <protection/>
    </xf>
    <xf numFmtId="170" fontId="5" fillId="0" borderId="0" xfId="72" applyNumberFormat="1" applyFont="1" applyFill="1" applyBorder="1" applyAlignment="1">
      <alignment horizontal="center"/>
      <protection/>
    </xf>
    <xf numFmtId="1" fontId="4" fillId="0" borderId="0" xfId="72" applyNumberFormat="1" applyFont="1" applyFill="1" applyBorder="1" applyAlignment="1" applyProtection="1">
      <alignment/>
      <protection/>
    </xf>
    <xf numFmtId="166" fontId="5" fillId="0" borderId="35" xfId="72" applyNumberFormat="1" applyFont="1" applyFill="1" applyBorder="1" applyAlignment="1" applyProtection="1">
      <alignment horizontal="center"/>
      <protection locked="0"/>
    </xf>
    <xf numFmtId="0" fontId="5" fillId="0" borderId="0" xfId="72" applyFont="1" applyFill="1" applyBorder="1">
      <alignment/>
      <protection/>
    </xf>
    <xf numFmtId="0" fontId="4" fillId="0" borderId="35" xfId="72" applyFont="1" applyBorder="1" applyAlignment="1" applyProtection="1">
      <alignment/>
      <protection locked="0"/>
    </xf>
    <xf numFmtId="0" fontId="3" fillId="0" borderId="35" xfId="72" applyFont="1" applyBorder="1" applyAlignment="1" applyProtection="1">
      <alignment horizontal="center"/>
      <protection locked="0"/>
    </xf>
    <xf numFmtId="0" fontId="3" fillId="0" borderId="35" xfId="72" applyFont="1" applyFill="1" applyBorder="1" applyAlignment="1" applyProtection="1">
      <alignment/>
      <protection locked="0"/>
    </xf>
    <xf numFmtId="166" fontId="3" fillId="0" borderId="0" xfId="72" applyNumberFormat="1" applyFont="1" applyFill="1" applyBorder="1" applyAlignment="1" applyProtection="1">
      <alignment horizontal="center"/>
      <protection locked="0"/>
    </xf>
    <xf numFmtId="2" fontId="3" fillId="0" borderId="0" xfId="72" applyNumberFormat="1" applyFont="1" applyFill="1" applyBorder="1" applyAlignment="1" applyProtection="1">
      <alignment/>
      <protection locked="0"/>
    </xf>
    <xf numFmtId="166" fontId="3" fillId="0" borderId="0" xfId="72" applyNumberFormat="1" applyFont="1" applyFill="1" applyBorder="1" applyAlignment="1">
      <alignment horizontal="center" vertical="center"/>
      <protection/>
    </xf>
    <xf numFmtId="1" fontId="3" fillId="0" borderId="0" xfId="72" applyNumberFormat="1" applyFont="1" applyFill="1" applyBorder="1" applyAlignment="1">
      <alignment horizontal="center" vertical="center"/>
      <protection/>
    </xf>
    <xf numFmtId="2" fontId="3" fillId="0" borderId="0" xfId="72" applyNumberFormat="1" applyFont="1" applyFill="1" applyBorder="1" applyAlignment="1" applyProtection="1">
      <alignment horizontal="center"/>
      <protection locked="0"/>
    </xf>
    <xf numFmtId="172" fontId="15" fillId="0" borderId="0" xfId="72" applyNumberFormat="1" applyFont="1" applyFill="1" applyBorder="1" applyAlignment="1">
      <alignment horizontal="center"/>
      <protection/>
    </xf>
    <xf numFmtId="1" fontId="5" fillId="0" borderId="0" xfId="72" applyNumberFormat="1" applyFont="1" applyFill="1" applyBorder="1" applyAlignment="1" applyProtection="1">
      <alignment horizontal="center"/>
      <protection/>
    </xf>
    <xf numFmtId="173" fontId="5" fillId="0" borderId="0" xfId="72" applyNumberFormat="1" applyFont="1" applyFill="1" applyBorder="1" applyAlignment="1">
      <alignment horizontal="center"/>
      <protection/>
    </xf>
    <xf numFmtId="169" fontId="4" fillId="0" borderId="0" xfId="72" applyNumberFormat="1" applyFont="1" applyFill="1" applyBorder="1" applyAlignment="1">
      <alignment/>
      <protection/>
    </xf>
    <xf numFmtId="169" fontId="2" fillId="0" borderId="0" xfId="72" applyNumberFormat="1" applyFont="1" applyFill="1" applyBorder="1" applyAlignment="1">
      <alignment/>
      <protection/>
    </xf>
    <xf numFmtId="169" fontId="2" fillId="0" borderId="0" xfId="72" applyNumberFormat="1" applyFont="1" applyFill="1" applyBorder="1" applyAlignment="1">
      <alignment horizontal="center"/>
      <protection/>
    </xf>
    <xf numFmtId="173" fontId="5" fillId="0" borderId="0" xfId="72" applyNumberFormat="1" applyFont="1" applyFill="1" applyBorder="1" applyAlignment="1">
      <alignment/>
      <protection/>
    </xf>
    <xf numFmtId="1" fontId="5" fillId="0" borderId="0" xfId="54" applyNumberFormat="1" applyFont="1" applyFill="1" applyBorder="1" applyAlignment="1" applyProtection="1">
      <alignment horizontal="center"/>
      <protection/>
    </xf>
    <xf numFmtId="173" fontId="5" fillId="0" borderId="0" xfId="54" applyNumberFormat="1" applyFont="1" applyFill="1" applyBorder="1" applyAlignment="1" applyProtection="1">
      <alignment horizontal="left"/>
      <protection locked="0"/>
    </xf>
    <xf numFmtId="1" fontId="4" fillId="0" borderId="0" xfId="72" applyNumberFormat="1" applyFont="1" applyFill="1" applyBorder="1" applyAlignment="1">
      <alignment/>
      <protection/>
    </xf>
    <xf numFmtId="174" fontId="10" fillId="0" borderId="0" xfId="72" applyNumberFormat="1" applyFont="1" applyFill="1" applyBorder="1" applyAlignment="1">
      <alignment/>
      <protection/>
    </xf>
    <xf numFmtId="1" fontId="5" fillId="0" borderId="0" xfId="72" applyNumberFormat="1" applyFont="1" applyFill="1" applyBorder="1" applyAlignment="1">
      <alignment/>
      <protection/>
    </xf>
    <xf numFmtId="1" fontId="5" fillId="0" borderId="0" xfId="72" applyNumberFormat="1" applyFont="1" applyFill="1" applyBorder="1" applyAlignment="1" applyProtection="1">
      <alignment horizontal="right"/>
      <protection locked="0"/>
    </xf>
    <xf numFmtId="1" fontId="5" fillId="0" borderId="0" xfId="72" applyNumberFormat="1" applyFont="1" applyFill="1" applyBorder="1" applyAlignment="1" applyProtection="1">
      <alignment/>
      <protection/>
    </xf>
    <xf numFmtId="10" fontId="5" fillId="0" borderId="0" xfId="72" applyNumberFormat="1" applyFont="1" applyFill="1" applyBorder="1" applyAlignment="1">
      <alignment/>
      <protection/>
    </xf>
    <xf numFmtId="2" fontId="2" fillId="0" borderId="0" xfId="72" applyNumberFormat="1" applyFont="1" applyFill="1" applyBorder="1" applyAlignment="1" applyProtection="1">
      <alignment horizont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10" xfId="71"/>
    <cellStyle name="Обычный 2" xfId="72"/>
    <cellStyle name="Обычный 2 2" xfId="73"/>
    <cellStyle name="Обычный 4" xfId="74"/>
    <cellStyle name="Обычный 5" xfId="75"/>
    <cellStyle name="Обычный 6" xfId="76"/>
    <cellStyle name="Обычный_fa64b95c2f41deb0ae93f39cdf0bcc52" xfId="77"/>
    <cellStyle name="Обычный_По прибор отопит декабрь2015-2016" xfId="78"/>
    <cellStyle name="Плохой" xfId="79"/>
    <cellStyle name="Плохой 2" xfId="80"/>
    <cellStyle name="Пояснение" xfId="81"/>
    <cellStyle name="Пояснение 2" xfId="82"/>
    <cellStyle name="Примечание" xfId="83"/>
    <cellStyle name="Примечание 2" xfId="84"/>
    <cellStyle name="Percent" xfId="85"/>
    <cellStyle name="Связанная ячейка" xfId="86"/>
    <cellStyle name="Связанная ячейка 2" xfId="87"/>
    <cellStyle name="Текст предупреждения" xfId="88"/>
    <cellStyle name="Текст предупреждения 2" xfId="89"/>
    <cellStyle name="Comma" xfId="90"/>
    <cellStyle name="Comma [0]" xfId="91"/>
    <cellStyle name="Хороший" xfId="92"/>
    <cellStyle name="Хороший 2" xfId="93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8"/>
        </patternFill>
      </fill>
    </dxf>
    <dxf>
      <font>
        <color indexed="10"/>
      </font>
      <fill>
        <patternFill>
          <bgColor indexed="8"/>
        </patternFill>
      </fill>
    </dxf>
    <dxf>
      <font>
        <color indexed="10"/>
      </font>
      <fill>
        <patternFill>
          <bgColor indexed="8"/>
        </patternFill>
      </fill>
    </dxf>
    <dxf>
      <font>
        <color indexed="10"/>
      </font>
      <fill>
        <patternFill>
          <bgColor indexed="8"/>
        </patternFill>
      </fill>
    </dxf>
    <dxf>
      <font>
        <color indexed="10"/>
      </font>
      <fill>
        <patternFill>
          <bgColor indexed="8"/>
        </patternFill>
      </fill>
    </dxf>
    <dxf>
      <font>
        <b/>
        <i val="0"/>
      </font>
    </dxf>
    <dxf>
      <font>
        <b/>
        <i val="0"/>
      </font>
      <border/>
    </dxf>
    <dxf>
      <font>
        <color rgb="FFFF0000"/>
      </font>
      <fill>
        <patternFill>
          <bgColor rgb="FF000000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0</xdr:col>
      <xdr:colOff>1200150</xdr:colOff>
      <xdr:row>1</xdr:row>
      <xdr:rowOff>742950</xdr:rowOff>
    </xdr:to>
    <xdr:pic>
      <xdr:nvPicPr>
        <xdr:cNvPr id="1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11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28575</xdr:rowOff>
    </xdr:from>
    <xdr:to>
      <xdr:col>0</xdr:col>
      <xdr:colOff>1171575</xdr:colOff>
      <xdr:row>2</xdr:row>
      <xdr:rowOff>809625</xdr:rowOff>
    </xdr:to>
    <xdr:pic>
      <xdr:nvPicPr>
        <xdr:cNvPr id="2" name="Рисунок 3" descr="Карат306_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105025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1295400</xdr:colOff>
      <xdr:row>1</xdr:row>
      <xdr:rowOff>9525</xdr:rowOff>
    </xdr:to>
    <xdr:pic>
      <xdr:nvPicPr>
        <xdr:cNvPr id="3" name="Рисунок 5" descr="КМ-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0"/>
          <a:ext cx="1181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66675</xdr:rowOff>
    </xdr:from>
    <xdr:to>
      <xdr:col>1</xdr:col>
      <xdr:colOff>19050</xdr:colOff>
      <xdr:row>16</xdr:row>
      <xdr:rowOff>28575</xdr:rowOff>
    </xdr:to>
    <xdr:sp macro="[0]!События_листа">
      <xdr:nvSpPr>
        <xdr:cNvPr id="1" name="Скругленный прямоугольник 5"/>
        <xdr:cNvSpPr>
          <a:spLocks/>
        </xdr:cNvSpPr>
      </xdr:nvSpPr>
      <xdr:spPr>
        <a:xfrm>
          <a:off x="28575" y="2447925"/>
          <a:ext cx="619125" cy="285750"/>
        </a:xfrm>
        <a:prstGeom prst="roundRect">
          <a:avLst/>
        </a:prstGeom>
        <a:solidFill>
          <a:srgbClr val="FF505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0;&#1057;&#1063;&#1045;&#1058;%20&#1058;&#1045;&#1055;&#1051;&#1054;&#1042;&#1054;&#1049;%20&#1069;&#1053;&#1045;&#1056;&#1043;&#1048;&#1048;\&#1056;&#1040;&#1057;&#1063;&#1045;&#1058;%20&#1058;&#1045;&#1055;&#1051;&#1054;&#1042;&#1054;&#1049;%20&#1069;&#1053;&#1045;&#1056;&#1043;&#1048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quot;&quot;&#1041;&#1040;&#1047;&#1040;%20&#1044;&#1040;&#1053;&#1053;&#1067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quot;&quot;&#1058;&#1077;&#1084;&#1087;&#1077;&#1088;&#1072;&#1090;&#1091;&#1088;&#1099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4;&#1087;&#1077;&#1088;&#1072;&#1090;&#1091;&#1088;&#109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АКТ22"/>
      <sheetName val="АКТ2003"/>
      <sheetName val="АКТ_ЕГОРА"/>
      <sheetName val="АКТ"/>
      <sheetName val="БАЗА ДАННЫХ"/>
      <sheetName val="РАСЧЕТ"/>
      <sheetName val="Соседи"/>
      <sheetName val="Карт. Гкал Обр."/>
      <sheetName val="АРХИВ22_23"/>
      <sheetName val="АРХИВ21_22"/>
      <sheetName val="Описание"/>
      <sheetName val="Месячный"/>
      <sheetName val="Список"/>
      <sheetName val="АРХИВ20_21"/>
      <sheetName val="АРХИВ19_20"/>
      <sheetName val="Любой выбор"/>
      <sheetName val="Температуры"/>
      <sheetName val="Архив ПРОСТОЕВ"/>
      <sheetName val="Директору"/>
      <sheetName val="Послед.Отчет"/>
      <sheetName val="Послед.Отчет2"/>
      <sheetName val="Итог сезона"/>
      <sheetName val="АКТ ГОТОВНОСТИ"/>
      <sheetName val="Карт. ГДж,МВт"/>
      <sheetName val="ДУЗ_37"/>
      <sheetName val="Ю.Л.19"/>
      <sheetName val="АКТ вода"/>
      <sheetName val="Простои по расходу"/>
      <sheetName val="АКТ показаний"/>
      <sheetName val="Лист2"/>
    </sheetNames>
    <sheetDataSet>
      <sheetData sheetId="0">
        <row r="1">
          <cell r="B1" t="str">
            <v>КМ-5-2-2</v>
          </cell>
        </row>
        <row r="2">
          <cell r="B2" t="str">
            <v>Суперком 01-1(SKS-3)</v>
          </cell>
        </row>
        <row r="3">
          <cell r="B3" t="str">
            <v>Карат 306-3</v>
          </cell>
        </row>
      </sheetData>
      <sheetData sheetId="1">
        <row r="48">
          <cell r="C48" t="str">
            <v>Шикас В.В.</v>
          </cell>
        </row>
        <row r="55">
          <cell r="G55" t="str">
            <v>Шикас В.В.</v>
          </cell>
        </row>
        <row r="56">
          <cell r="G56" t="str">
            <v>Шикас Л.И.</v>
          </cell>
        </row>
      </sheetData>
      <sheetData sheetId="3">
        <row r="47">
          <cell r="C47" t="str">
            <v>СБОКУ</v>
          </cell>
        </row>
        <row r="53">
          <cell r="P53" t="str">
            <v>ВНИЗУ</v>
          </cell>
        </row>
        <row r="54">
          <cell r="P54" t="str">
            <v>СБОКУ</v>
          </cell>
        </row>
      </sheetData>
      <sheetData sheetId="4">
        <row r="23">
          <cell r="C23" t="str">
            <v>Шикас В.В.</v>
          </cell>
        </row>
        <row r="41">
          <cell r="G41" t="str">
            <v>Шикас В.В.</v>
          </cell>
        </row>
        <row r="42">
          <cell r="G42" t="str">
            <v>Шикас Л.И.</v>
          </cell>
        </row>
      </sheetData>
      <sheetData sheetId="5">
        <row r="5">
          <cell r="B5" t="str">
            <v>1-й Портовый 8</v>
          </cell>
        </row>
        <row r="6">
          <cell r="A6">
            <v>4</v>
          </cell>
          <cell r="B6" t="str">
            <v>Большевитская  1</v>
          </cell>
          <cell r="BN6" t="str">
            <v>чистый</v>
          </cell>
          <cell r="BP6" t="str">
            <v>,</v>
          </cell>
          <cell r="BS6" t="str">
            <v>,</v>
          </cell>
          <cell r="BV6" t="str">
            <v>,</v>
          </cell>
          <cell r="BX6" t="str">
            <v>,</v>
          </cell>
          <cell r="BZ6" t="str">
            <v>,</v>
          </cell>
          <cell r="CB6" t="str">
            <v>,</v>
          </cell>
        </row>
        <row r="7">
          <cell r="A7">
            <v>5</v>
          </cell>
          <cell r="B7" t="str">
            <v>Большевитская  3</v>
          </cell>
          <cell r="BN7" t="str">
            <v>пуск21</v>
          </cell>
          <cell r="BS7" t="str">
            <v>Supercal</v>
          </cell>
          <cell r="BV7" t="str">
            <v>АМОТ</v>
          </cell>
          <cell r="BX7" t="str">
            <v>Ген.Петрова,24В</v>
          </cell>
        </row>
        <row r="8">
          <cell r="A8">
            <v>6</v>
          </cell>
          <cell r="B8" t="str">
            <v>Большевитская  5</v>
          </cell>
          <cell r="BN8" t="str">
            <v>октябрь21</v>
          </cell>
          <cell r="BP8" t="str">
            <v>Адрес</v>
          </cell>
          <cell r="BS8" t="str">
            <v>Calmex</v>
          </cell>
          <cell r="BV8" t="str">
            <v>Мера-Крым</v>
          </cell>
          <cell r="BX8" t="str">
            <v>Ген.Петрова,16Б</v>
          </cell>
          <cell r="CB8" t="str">
            <v>Расчет за</v>
          </cell>
        </row>
        <row r="9">
          <cell r="A9">
            <v>62</v>
          </cell>
          <cell r="B9" t="str">
            <v>Борзенко 44 </v>
          </cell>
          <cell r="BN9" t="str">
            <v>ноябрь21</v>
          </cell>
          <cell r="BP9" t="str">
            <v>№ кв.</v>
          </cell>
          <cell r="BS9" t="str">
            <v>LQM-3</v>
          </cell>
          <cell r="BV9" t="str">
            <v>ЧП Киктева</v>
          </cell>
          <cell r="BX9" t="str">
            <v>Голощапова,17</v>
          </cell>
          <cell r="CB9" t="str">
            <v>Дата</v>
          </cell>
        </row>
        <row r="10">
          <cell r="A10">
            <v>63</v>
          </cell>
          <cell r="B10" t="str">
            <v>Бувина 5</v>
          </cell>
          <cell r="BN10" t="str">
            <v>декабрь21</v>
          </cell>
          <cell r="BP10" t="str">
            <v>Код</v>
          </cell>
          <cell r="BS10" t="str">
            <v>Multical</v>
          </cell>
          <cell r="BX10" t="str">
            <v>Гудованцева,6</v>
          </cell>
          <cell r="CB10" t="str">
            <v>Время</v>
          </cell>
        </row>
        <row r="11">
          <cell r="A11">
            <v>7</v>
          </cell>
          <cell r="B11" t="str">
            <v>Вишневая 1 </v>
          </cell>
          <cell r="BN11" t="str">
            <v>январь22</v>
          </cell>
          <cell r="BP11" t="str">
            <v>Ф.И.О.</v>
          </cell>
          <cell r="BS11" t="str">
            <v>Picocal</v>
          </cell>
          <cell r="BX11" t="str">
            <v>Ерёменко,32</v>
          </cell>
          <cell r="CB11" t="str">
            <v>Факт.  время</v>
          </cell>
        </row>
        <row r="12">
          <cell r="A12">
            <v>64</v>
          </cell>
          <cell r="B12" t="str">
            <v>Всесоюзная  5 </v>
          </cell>
          <cell r="BN12" t="str">
            <v>февраль22</v>
          </cell>
          <cell r="BP12" t="str">
            <v>Телефон</v>
          </cell>
          <cell r="BS12" t="str">
            <v>Pollu Therm X</v>
          </cell>
          <cell r="BX12" t="str">
            <v>К.Маркса,10Б</v>
          </cell>
          <cell r="CB12" t="str">
            <v>Сч.времени</v>
          </cell>
        </row>
        <row r="13">
          <cell r="A13">
            <v>65</v>
          </cell>
          <cell r="B13" t="str">
            <v>Всесоюзная  7-ЖСК7 </v>
          </cell>
          <cell r="BN13" t="str">
            <v>март22</v>
          </cell>
          <cell r="BP13" t="str">
            <v>Мобильный</v>
          </cell>
          <cell r="BS13" t="str">
            <v>Sonometer 1000</v>
          </cell>
          <cell r="BX13" t="str">
            <v>Кирова,79В</v>
          </cell>
          <cell r="CB13" t="str">
            <v>Время по счетчику</v>
          </cell>
        </row>
        <row r="14">
          <cell r="A14">
            <v>8</v>
          </cell>
          <cell r="B14" t="str">
            <v>Гагарина  1 (кв.  1-59) </v>
          </cell>
          <cell r="BN14" t="str">
            <v>апрель22</v>
          </cell>
          <cell r="BP14" t="str">
            <v>Площадь</v>
          </cell>
          <cell r="BS14" t="str">
            <v>ВТЭ</v>
          </cell>
          <cell r="BX14" t="str">
            <v>Кооп. Переулок,31</v>
          </cell>
          <cell r="CB14" t="str">
            <v>Останов. кот.</v>
          </cell>
        </row>
        <row r="15">
          <cell r="A15">
            <v>9</v>
          </cell>
          <cell r="B15" t="str">
            <v>Гагарина  1 (кв. 60-119) </v>
          </cell>
          <cell r="BN15" t="str">
            <v>Год.21</v>
          </cell>
          <cell r="BP15" t="str">
            <v>Нагрузка</v>
          </cell>
          <cell r="BS15" t="str">
            <v>Горинь </v>
          </cell>
          <cell r="BX15" t="str">
            <v>Магистр. Шоссе,3</v>
          </cell>
          <cell r="CB15" t="str">
            <v>Простой по времени</v>
          </cell>
        </row>
        <row r="16">
          <cell r="A16">
            <v>15</v>
          </cell>
          <cell r="B16" t="str">
            <v>Гагарина  3</v>
          </cell>
          <cell r="BN16" t="str">
            <v>Обнул.</v>
          </cell>
          <cell r="BP16" t="str">
            <v>Расход95-70</v>
          </cell>
          <cell r="BS16" t="str">
            <v>КМ-5</v>
          </cell>
          <cell r="BX16" t="str">
            <v>Пролетарская,15А</v>
          </cell>
          <cell r="CB16" t="str">
            <v>Неиспр. часы.</v>
          </cell>
        </row>
        <row r="17">
          <cell r="A17">
            <v>10</v>
          </cell>
          <cell r="B17" t="str">
            <v>Гагарина 29, МБОУ г.Керчь РК "Школа №5"</v>
          </cell>
          <cell r="BN17" t="str">
            <v>тариф22</v>
          </cell>
          <cell r="BP17" t="str">
            <v>Расход110-70</v>
          </cell>
          <cell r="BS17" t="str">
            <v>СВТУ</v>
          </cell>
          <cell r="BX17" t="str">
            <v>Фурманова,63А</v>
          </cell>
          <cell r="CB17" t="str">
            <v>"Минус"</v>
          </cell>
        </row>
        <row r="18">
          <cell r="A18">
            <v>11</v>
          </cell>
          <cell r="B18" t="str">
            <v>Гагарина 32 </v>
          </cell>
          <cell r="BN18" t="str">
            <v>показ.</v>
          </cell>
          <cell r="BP18" t="str">
            <v>Дата след. поверки</v>
          </cell>
          <cell r="BS18" t="str">
            <v>Суперком</v>
          </cell>
          <cell r="BX18" t="str">
            <v>Фестивальная,1</v>
          </cell>
          <cell r="CB18" t="str">
            <v>Энергия</v>
          </cell>
        </row>
        <row r="19">
          <cell r="A19">
            <v>12</v>
          </cell>
          <cell r="B19" t="str">
            <v>Гагарина 32 к.1 </v>
          </cell>
        </row>
        <row r="20">
          <cell r="A20">
            <v>13</v>
          </cell>
          <cell r="B20" t="str">
            <v>Гагарина 32 к.2 </v>
          </cell>
          <cell r="BN20" t="str">
            <v>Обнул.</v>
          </cell>
          <cell r="BP20" t="str">
            <v>Межпов. интервал</v>
          </cell>
          <cell r="BS20" t="str">
            <v>Х-12</v>
          </cell>
          <cell r="BX20" t="str">
            <v>Островского,110А</v>
          </cell>
          <cell r="CB20" t="str">
            <v>Единицы</v>
          </cell>
        </row>
        <row r="21">
          <cell r="A21">
            <v>16</v>
          </cell>
          <cell r="B21" t="str">
            <v>Гайдара 9 </v>
          </cell>
          <cell r="BN21" t="str">
            <v>приемка18</v>
          </cell>
          <cell r="BP21" t="str">
            <v>Обслуж. орг.</v>
          </cell>
          <cell r="BS21" t="str">
            <v>Superkom SKS3</v>
          </cell>
          <cell r="CB21" t="str">
            <v>Разность единиц</v>
          </cell>
        </row>
        <row r="22">
          <cell r="A22">
            <v>66</v>
          </cell>
          <cell r="B22" t="str">
            <v>Ген.Петрова  4 Фитнес центр</v>
          </cell>
          <cell r="BP22" t="str">
            <v>Котельная</v>
          </cell>
          <cell r="CB22" t="str">
            <v>Гкал</v>
          </cell>
        </row>
        <row r="23">
          <cell r="A23">
            <v>163</v>
          </cell>
          <cell r="B23" t="str">
            <v>Ген.Петрова 12, ГБУЗ РК Керченская женская консультация №1</v>
          </cell>
          <cell r="BP23" t="str">
            <v>Тип счетчика</v>
          </cell>
          <cell r="BS23" t="str">
            <v>Calmex N VKPN2</v>
          </cell>
          <cell r="CB23" t="str">
            <v>Простой Гкал</v>
          </cell>
        </row>
        <row r="24">
          <cell r="A24">
            <v>150</v>
          </cell>
          <cell r="B24" t="str">
            <v>Ген.Петрова 20, Сморжевского  3</v>
          </cell>
          <cell r="BP24" t="str">
            <v>Перех.расх.Диапазон объемных расходов</v>
          </cell>
          <cell r="BS24" t="str">
            <v>CalmexVKPN2</v>
          </cell>
          <cell r="CB24" t="str">
            <v>Итого за месяц Гкал</v>
          </cell>
        </row>
        <row r="25">
          <cell r="A25">
            <v>151</v>
          </cell>
          <cell r="B25" t="str">
            <v>Ген.Петрова 22 </v>
          </cell>
          <cell r="BP25" t="str">
            <v>Подача расходомер</v>
          </cell>
          <cell r="BS25" t="str">
            <v>LQM-3</v>
          </cell>
          <cell r="CB25" t="str">
            <v>С учетом теплопотерь</v>
          </cell>
        </row>
        <row r="26">
          <cell r="A26">
            <v>152</v>
          </cell>
          <cell r="B26" t="str">
            <v>Ген.Петрова 24</v>
          </cell>
          <cell r="BP26" t="str">
            <v>Обратка расходомер</v>
          </cell>
          <cell r="BS26" t="str">
            <v>Multical</v>
          </cell>
          <cell r="CB26" t="str">
            <v>Расход вычислитель подача</v>
          </cell>
        </row>
        <row r="27">
          <cell r="A27">
            <v>164</v>
          </cell>
          <cell r="B27" t="str">
            <v>Ген.Петрова 64-А, Магазин "НА ДИВАНЕ"</v>
          </cell>
          <cell r="BP27" t="str">
            <v>Подача ТС</v>
          </cell>
          <cell r="BS27" t="str">
            <v>Picocal</v>
          </cell>
          <cell r="CB27" t="str">
            <v>Разность</v>
          </cell>
        </row>
        <row r="28">
          <cell r="A28">
            <v>154</v>
          </cell>
          <cell r="B28" t="str">
            <v>Ген.Петрова 70</v>
          </cell>
          <cell r="BP28" t="str">
            <v>Обратка ТС</v>
          </cell>
          <cell r="BS28" t="str">
            <v>Pollu Therm X</v>
          </cell>
          <cell r="CB28" t="str">
            <v>Расход водомер или обратка</v>
          </cell>
        </row>
        <row r="29">
          <cell r="A29">
            <v>71</v>
          </cell>
          <cell r="B29" t="str">
            <v>Горького  2-Г </v>
          </cell>
          <cell r="BP29" t="str">
            <v>Зав.№ вычисл.</v>
          </cell>
          <cell r="BS29" t="str">
            <v>Sonometer 1000</v>
          </cell>
          <cell r="CB29" t="str">
            <v>Разность</v>
          </cell>
        </row>
        <row r="30">
          <cell r="A30">
            <v>72</v>
          </cell>
          <cell r="B30" t="str">
            <v>Горького  2-Д</v>
          </cell>
          <cell r="BP30" t="str">
            <v>Зав.№ расходомер</v>
          </cell>
          <cell r="BS30" t="str">
            <v>Supercal - 430</v>
          </cell>
          <cell r="CB30" t="str">
            <v>Вычислитель/Водомер</v>
          </cell>
        </row>
        <row r="31">
          <cell r="A31">
            <v>17</v>
          </cell>
          <cell r="B31" t="str">
            <v>Горького  3 </v>
          </cell>
          <cell r="BP31" t="str">
            <v>Зав.№ обр.расх.</v>
          </cell>
          <cell r="BS31" t="str">
            <v>Supercal - 430R002</v>
          </cell>
          <cell r="CB31" t="str">
            <v>Средний расход</v>
          </cell>
        </row>
        <row r="32">
          <cell r="A32">
            <v>73</v>
          </cell>
          <cell r="B32" t="str">
            <v>Горького  3-В </v>
          </cell>
          <cell r="BP32" t="str">
            <v>Зав.№ под.ТС</v>
          </cell>
          <cell r="BS32" t="str">
            <v>Supercal 430</v>
          </cell>
          <cell r="CB32" t="str">
            <v>Расчетный расход</v>
          </cell>
        </row>
        <row r="33">
          <cell r="A33">
            <v>19</v>
          </cell>
          <cell r="B33" t="str">
            <v>Горького  3-Е </v>
          </cell>
          <cell r="BP33" t="str">
            <v>Класс тепл.сч.</v>
          </cell>
          <cell r="BS33" t="str">
            <v>Supercal 430 R008</v>
          </cell>
          <cell r="CB33" t="str">
            <v>Тариф,Гкал.</v>
          </cell>
        </row>
        <row r="34">
          <cell r="A34">
            <v>20</v>
          </cell>
          <cell r="B34" t="str">
            <v>Горького  5 </v>
          </cell>
          <cell r="BP34" t="str">
            <v>Инспектор</v>
          </cell>
          <cell r="BS34" t="str">
            <v>Supercal 430 R028</v>
          </cell>
          <cell r="CB34" t="str">
            <v>Площадь</v>
          </cell>
        </row>
        <row r="35">
          <cell r="A35">
            <v>22</v>
          </cell>
          <cell r="B35" t="str">
            <v>Горького  8 </v>
          </cell>
          <cell r="BP35" t="str">
            <v>Кол-во входов</v>
          </cell>
          <cell r="BS35" t="str">
            <v>Supercal 430R002</v>
          </cell>
          <cell r="CB35" t="str">
            <v>Расчетное Гкал</v>
          </cell>
        </row>
        <row r="36">
          <cell r="A36">
            <v>25</v>
          </cell>
          <cell r="B36" t="str">
            <v>Горького 12 </v>
          </cell>
          <cell r="BP36" t="str">
            <v>К1Н(kdl1)</v>
          </cell>
          <cell r="BS36" t="str">
            <v>Supercal 430R008</v>
          </cell>
          <cell r="CB36" t="str">
            <v>Наружная tº </v>
          </cell>
        </row>
        <row r="37">
          <cell r="A37">
            <v>26</v>
          </cell>
          <cell r="B37" t="str">
            <v>Горького 13 </v>
          </cell>
          <cell r="BP37" t="str">
            <v>К2Н(kdl2)</v>
          </cell>
          <cell r="BS37" t="str">
            <v>Supercal 431</v>
          </cell>
          <cell r="CB37" t="str">
            <v>Коэфф. отопления</v>
          </cell>
        </row>
        <row r="38">
          <cell r="A38">
            <v>27</v>
          </cell>
          <cell r="B38" t="str">
            <v>Горького 14 </v>
          </cell>
          <cell r="BP38" t="str">
            <v>К1Р(krc1)</v>
          </cell>
          <cell r="BS38" t="str">
            <v>Supercal 439</v>
          </cell>
          <cell r="CB38" t="str">
            <v>Расход % от расчетного</v>
          </cell>
        </row>
        <row r="39">
          <cell r="A39">
            <v>28</v>
          </cell>
          <cell r="B39" t="str">
            <v>Горького 17 МБДОУ №37 "Золотая рыбка" корпус2 </v>
          </cell>
          <cell r="BP39" t="str">
            <v>К2Р(krc2)</v>
          </cell>
          <cell r="BS39" t="str">
            <v>Supercal 439R020</v>
          </cell>
          <cell r="CB39" t="str">
            <v>№ Абонентский</v>
          </cell>
        </row>
        <row r="40">
          <cell r="A40">
            <v>29</v>
          </cell>
          <cell r="B40" t="str">
            <v>Горького 20 </v>
          </cell>
          <cell r="BP40" t="str">
            <v>КДР</v>
          </cell>
          <cell r="BS40" t="str">
            <v>Supercal 531</v>
          </cell>
          <cell r="CB40" t="str">
            <v>Тепловая нагрузка</v>
          </cell>
        </row>
        <row r="41">
          <cell r="A41">
            <v>30</v>
          </cell>
          <cell r="B41" t="str">
            <v>Горького 21 </v>
          </cell>
          <cell r="BP41" t="str">
            <v>Единицы измерения</v>
          </cell>
          <cell r="BS41" t="str">
            <v>Superkom SKS3</v>
          </cell>
        </row>
        <row r="42">
          <cell r="A42">
            <v>32</v>
          </cell>
          <cell r="B42" t="str">
            <v>Горького 23 </v>
          </cell>
          <cell r="BP42" t="str">
            <v>№ пломбы вычислитель</v>
          </cell>
          <cell r="BS42" t="str">
            <v>АКВА МВТ-М</v>
          </cell>
        </row>
        <row r="43">
          <cell r="A43">
            <v>34</v>
          </cell>
          <cell r="B43" t="str">
            <v>Горького 25 </v>
          </cell>
          <cell r="BP43" t="str">
            <v>№ пломбы подача</v>
          </cell>
          <cell r="BS43" t="str">
            <v>Горинь BS-EE</v>
          </cell>
        </row>
        <row r="44">
          <cell r="A44">
            <v>74</v>
          </cell>
          <cell r="B44" t="str">
            <v>Гудованцева 10, МБОУ г.Керчи РК "Школа № 2"</v>
          </cell>
          <cell r="BP44" t="str">
            <v>№ пломбы обратка</v>
          </cell>
          <cell r="BS44" t="str">
            <v>Горинь С1</v>
          </cell>
        </row>
        <row r="45">
          <cell r="A45">
            <v>37</v>
          </cell>
          <cell r="B45" t="str">
            <v>Дальняя  1- Б</v>
          </cell>
          <cell r="BP45" t="str">
            <v>№ пломбы ТС подача</v>
          </cell>
          <cell r="BS45" t="str">
            <v>Горинь С1 BS-EE</v>
          </cell>
        </row>
        <row r="46">
          <cell r="A46">
            <v>86</v>
          </cell>
          <cell r="B46" t="str">
            <v>Ерёменко  7, АУ "Арена Химки"</v>
          </cell>
          <cell r="BP46" t="str">
            <v>№ пломбы ТС обратка</v>
          </cell>
          <cell r="BS46" t="str">
            <v>КМ-5-1B-25-ПП/ПП-0/0-1-2-0-100П-0-0</v>
          </cell>
        </row>
        <row r="47">
          <cell r="A47">
            <v>81</v>
          </cell>
          <cell r="B47" t="str">
            <v>Ерёменко 30-ПУД</v>
          </cell>
          <cell r="BP47" t="str">
            <v>Простой по...</v>
          </cell>
          <cell r="BS47" t="str">
            <v>КМ-5-1В-50</v>
          </cell>
        </row>
        <row r="48">
          <cell r="A48">
            <v>82</v>
          </cell>
          <cell r="B48" t="str">
            <v>Ерёменко 36 </v>
          </cell>
          <cell r="BP48" t="str">
            <v>Расч.темп.простоя</v>
          </cell>
          <cell r="BS48" t="str">
            <v>СВТУ-10</v>
          </cell>
        </row>
        <row r="49">
          <cell r="A49">
            <v>84</v>
          </cell>
          <cell r="B49" t="str">
            <v>Ерёменко 39 </v>
          </cell>
          <cell r="BP49" t="str">
            <v>Счетчик времени</v>
          </cell>
          <cell r="BS49" t="str">
            <v>Суперком 01(SKS3)</v>
          </cell>
        </row>
        <row r="50">
          <cell r="A50">
            <v>88</v>
          </cell>
          <cell r="B50" t="str">
            <v>К.Маркса 1</v>
          </cell>
          <cell r="BP50" t="str">
            <v>Группа оплаты</v>
          </cell>
          <cell r="BS50" t="str">
            <v>Суперком 01-1</v>
          </cell>
        </row>
        <row r="51">
          <cell r="A51">
            <v>89</v>
          </cell>
          <cell r="B51" t="str">
            <v>К.Маркса 10 (кв.1-87,110-112) </v>
          </cell>
          <cell r="BP51" t="str">
            <v>Персон.№</v>
          </cell>
          <cell r="BS51" t="str">
            <v>Суперком-01</v>
          </cell>
        </row>
        <row r="52">
          <cell r="A52">
            <v>90</v>
          </cell>
          <cell r="B52" t="str">
            <v>К.Маркса 10 (кв.88-109) </v>
          </cell>
          <cell r="BP52" t="str">
            <v>Резерв</v>
          </cell>
          <cell r="BS52" t="str">
            <v>Х-12</v>
          </cell>
        </row>
        <row r="53">
          <cell r="A53">
            <v>87</v>
          </cell>
          <cell r="B53" t="str">
            <v>К.Маркса 31 ГБУЗ РК "Центр Крови"</v>
          </cell>
          <cell r="BP53" t="str">
            <v>Резерв</v>
          </cell>
          <cell r="BS53" t="str">
            <v>Карат</v>
          </cell>
        </row>
        <row r="54">
          <cell r="A54">
            <v>98</v>
          </cell>
          <cell r="B54" t="str">
            <v>Кирова   5 МКУ "ДКТОД ОМС"</v>
          </cell>
          <cell r="BP54" t="str">
            <v>Резерв</v>
          </cell>
        </row>
        <row r="55">
          <cell r="A55">
            <v>39</v>
          </cell>
          <cell r="B55" t="str">
            <v>Кирова  67</v>
          </cell>
          <cell r="BP55" t="str">
            <v>Резерв</v>
          </cell>
        </row>
        <row r="56">
          <cell r="A56">
            <v>40</v>
          </cell>
          <cell r="B56" t="str">
            <v>Кирова  75-А  МБОУ г.Керчь РК "Школа №25"</v>
          </cell>
        </row>
        <row r="57">
          <cell r="A57">
            <v>41</v>
          </cell>
          <cell r="B57" t="str">
            <v>Кирова  77 </v>
          </cell>
        </row>
        <row r="58">
          <cell r="A58">
            <v>91</v>
          </cell>
          <cell r="B58" t="str">
            <v>Кирова  95 </v>
          </cell>
        </row>
        <row r="59">
          <cell r="A59">
            <v>92</v>
          </cell>
          <cell r="B59" t="str">
            <v>Кирова 107 </v>
          </cell>
        </row>
        <row r="60">
          <cell r="A60">
            <v>93</v>
          </cell>
          <cell r="B60" t="str">
            <v>Кирова 109</v>
          </cell>
        </row>
        <row r="61">
          <cell r="A61">
            <v>94</v>
          </cell>
          <cell r="B61" t="str">
            <v>Кирова 111</v>
          </cell>
        </row>
        <row r="62">
          <cell r="A62">
            <v>95</v>
          </cell>
          <cell r="B62" t="str">
            <v>Кирова 111 почтовое отделение №19</v>
          </cell>
        </row>
        <row r="63">
          <cell r="A63">
            <v>96</v>
          </cell>
          <cell r="B63" t="str">
            <v>Кирова 119</v>
          </cell>
        </row>
        <row r="64">
          <cell r="A64">
            <v>97</v>
          </cell>
          <cell r="B64" t="str">
            <v>Кирова 121 ЖСК-32</v>
          </cell>
        </row>
        <row r="65">
          <cell r="A65">
            <v>343</v>
          </cell>
          <cell r="B65" t="str">
            <v>Крупской 25, ГБУЗ РК "Керченский родильный дом"  (прачечная)</v>
          </cell>
        </row>
        <row r="66">
          <cell r="A66">
            <v>342</v>
          </cell>
          <cell r="B66" t="str">
            <v>Крупской 25, ГБУЗ РК "Керченский родильный дом" (Роддом)</v>
          </cell>
        </row>
        <row r="67">
          <cell r="A67">
            <v>162</v>
          </cell>
          <cell r="B67" t="str">
            <v>Милицейский пер. 22, маг. "Мебельград"</v>
          </cell>
        </row>
        <row r="68">
          <cell r="A68">
            <v>100</v>
          </cell>
          <cell r="B68" t="str">
            <v>Мирошника 6-ЖСК11 </v>
          </cell>
        </row>
        <row r="69">
          <cell r="A69">
            <v>101</v>
          </cell>
          <cell r="B69" t="str">
            <v>Мирошника 8-ЖСК10</v>
          </cell>
        </row>
        <row r="70">
          <cell r="A70">
            <v>48</v>
          </cell>
          <cell r="B70" t="str">
            <v>Островского 110</v>
          </cell>
        </row>
        <row r="71">
          <cell r="A71">
            <v>49</v>
          </cell>
          <cell r="B71" t="str">
            <v>Островского 115, п.1- 6</v>
          </cell>
        </row>
        <row r="72">
          <cell r="A72">
            <v>50</v>
          </cell>
          <cell r="B72" t="str">
            <v>Островского 115, п.7-12</v>
          </cell>
        </row>
        <row r="73">
          <cell r="A73">
            <v>102</v>
          </cell>
          <cell r="B73" t="str">
            <v>Пирогова 27 </v>
          </cell>
        </row>
        <row r="74">
          <cell r="A74">
            <v>103</v>
          </cell>
          <cell r="B74" t="str">
            <v>Пирогова 29 </v>
          </cell>
        </row>
        <row r="75">
          <cell r="A75">
            <v>3</v>
          </cell>
          <cell r="B75" t="str">
            <v>Портовый 3-й, д.11 МБДОУ №37 "Золотая рыбка" корпус1</v>
          </cell>
        </row>
        <row r="76">
          <cell r="A76">
            <v>51</v>
          </cell>
          <cell r="B76" t="str">
            <v>Пошивальникова 48 </v>
          </cell>
        </row>
        <row r="77">
          <cell r="A77">
            <v>104</v>
          </cell>
          <cell r="B77" t="str">
            <v>Самойленко 10/1;12;12/1 </v>
          </cell>
        </row>
        <row r="78">
          <cell r="A78">
            <v>105</v>
          </cell>
          <cell r="B78" t="str">
            <v>Самойленко 11 </v>
          </cell>
        </row>
        <row r="79">
          <cell r="A79">
            <v>106</v>
          </cell>
          <cell r="B79" t="str">
            <v>Самойленко 14 </v>
          </cell>
        </row>
        <row r="80">
          <cell r="A80">
            <v>159</v>
          </cell>
          <cell r="B80" t="str">
            <v>Славы 21 </v>
          </cell>
        </row>
        <row r="81">
          <cell r="A81">
            <v>160</v>
          </cell>
          <cell r="B81" t="str">
            <v>Славы 25 </v>
          </cell>
        </row>
        <row r="82">
          <cell r="A82">
            <v>107</v>
          </cell>
          <cell r="B82" t="str">
            <v>Сморжевского  1 </v>
          </cell>
        </row>
        <row r="83">
          <cell r="A83">
            <v>108</v>
          </cell>
          <cell r="B83" t="str">
            <v>Сморжевского  4 </v>
          </cell>
        </row>
        <row r="84">
          <cell r="A84">
            <v>161</v>
          </cell>
          <cell r="B84" t="str">
            <v>Сморжевского  4, мед.центр "ПРАЙМЕР"</v>
          </cell>
        </row>
        <row r="85">
          <cell r="A85">
            <v>109</v>
          </cell>
          <cell r="B85" t="str">
            <v>Советская 36 МБОУ г.Керчи РК "МУПК "Профцентр"</v>
          </cell>
        </row>
        <row r="86">
          <cell r="A86">
            <v>53</v>
          </cell>
          <cell r="B86" t="str">
            <v>Фурманова 12, ЦТУ "Восток" г.Керчь АО "Крымтелеком" (АТС-5)</v>
          </cell>
        </row>
        <row r="87">
          <cell r="A87">
            <v>54</v>
          </cell>
          <cell r="B87" t="str">
            <v>Фурманова 47 Крымский филиал ФГБУ Центр изучения перспективных проектов</v>
          </cell>
        </row>
        <row r="88">
          <cell r="B88" t="str">
            <v>Фурманова 63-А МБДОУ г.Керчи РК "Детский сад комбинированного вида №51 "Журавушка"</v>
          </cell>
        </row>
        <row r="89">
          <cell r="B89" t="str">
            <v>Фурманова 67,МБОУ г.Керчь РК "Школа №15 им.Героя Советского Союза Е.М.Рудневой" </v>
          </cell>
        </row>
        <row r="90">
          <cell r="B90" t="str">
            <v>Фурманова 73, ПК ЖСК "Кристалл"</v>
          </cell>
        </row>
        <row r="91">
          <cell r="B91" t="str">
            <v>Щорса 3 </v>
          </cell>
        </row>
        <row r="92">
          <cell r="B92" t="str">
            <v>Щорса 5 </v>
          </cell>
        </row>
        <row r="93">
          <cell r="B93" t="str">
            <v>Щорса 7</v>
          </cell>
        </row>
        <row r="94">
          <cell r="B94" t="str">
            <v>Юных Ленинцев  1</v>
          </cell>
        </row>
        <row r="95">
          <cell r="B95" t="str">
            <v>Юных Ленинцев  4-"ЖСК" №1 "Дружба" </v>
          </cell>
        </row>
        <row r="96">
          <cell r="B96" t="str">
            <v>Юных Ленинцев  5 </v>
          </cell>
        </row>
        <row r="97">
          <cell r="B97" t="str">
            <v>Юных Ленинцев  7 </v>
          </cell>
        </row>
        <row r="98">
          <cell r="B98" t="str">
            <v>Юных Ленинцев 19, МБДОУ г. Керчи РК "Детский сад №32 "Дюймовочка"-к.1</v>
          </cell>
        </row>
        <row r="99">
          <cell r="B99" t="str">
            <v>Юных Ленинцев 19, МБДОУ г. Керчи РК "Детский сад №32 "Дюймовочка"-к.2</v>
          </cell>
        </row>
        <row r="100">
          <cell r="B100" t="str">
            <v>Юных Ленинцев 19, МБДОУ г. Керчи РК "Детский сад №32 "Дюймовочка"-к.3</v>
          </cell>
        </row>
        <row r="101">
          <cell r="B101" t="str">
            <v>Юных Ленинцев 19, МБДОУ г. Керчи РК "Детский сад №32 "Дюймовочка"-к.4</v>
          </cell>
        </row>
        <row r="106">
          <cell r="B106" t="str">
            <v>                   ЧУЖИЕ</v>
          </cell>
        </row>
        <row r="108">
          <cell r="B108" t="str">
            <v> Адрес</v>
          </cell>
        </row>
        <row r="109">
          <cell r="B109" t="str">
            <v>Борзенко 21</v>
          </cell>
        </row>
        <row r="110">
          <cell r="B110" t="str">
            <v>В.Шоссе 33</v>
          </cell>
        </row>
        <row r="111">
          <cell r="B111" t="str">
            <v>В.Шоссе 35 кв(  2-72)</v>
          </cell>
        </row>
        <row r="112">
          <cell r="B112" t="str">
            <v>В.Шоссе 35 кв( 73-144)</v>
          </cell>
        </row>
        <row r="113">
          <cell r="B113" t="str">
            <v>В.Шоссе 35 кв(145-216)</v>
          </cell>
        </row>
        <row r="114">
          <cell r="B114" t="str">
            <v>В.Шоссе 37 (ЖСК №20)</v>
          </cell>
        </row>
        <row r="115">
          <cell r="B115" t="str">
            <v>В.Шоссе 39 (ЖСК №19)</v>
          </cell>
        </row>
        <row r="116">
          <cell r="B116" t="str">
            <v>В.Шоссе 41 (ЖСК №17)</v>
          </cell>
        </row>
        <row r="117">
          <cell r="B117" t="str">
            <v>В.Шоссе 43 (ЖСК №9)</v>
          </cell>
        </row>
        <row r="118">
          <cell r="B118" t="str">
            <v>В.Шоссе 45 (ЖСК №8)</v>
          </cell>
        </row>
        <row r="119">
          <cell r="B119" t="str">
            <v>В.Шоссе 47</v>
          </cell>
        </row>
        <row r="120">
          <cell r="B120" t="str">
            <v>В.Шоссе 49</v>
          </cell>
        </row>
        <row r="121">
          <cell r="B121" t="str">
            <v>В.Шоссе 51"Б"</v>
          </cell>
        </row>
        <row r="122">
          <cell r="B122" t="str">
            <v>В.Шоссе 53</v>
          </cell>
        </row>
        <row r="123">
          <cell r="B123" t="str">
            <v>В.Шоссе 53"А"</v>
          </cell>
        </row>
        <row r="124">
          <cell r="B124" t="str">
            <v>В.Шоссе 61"А"</v>
          </cell>
        </row>
        <row r="125">
          <cell r="B125" t="str">
            <v>В.Шоссе 64"А"</v>
          </cell>
        </row>
        <row r="126">
          <cell r="B126" t="str">
            <v>В.Шоссе 64"В", ФГП ВО ЖДТ РФ (ВОХР ст.Керчь) </v>
          </cell>
        </row>
        <row r="127">
          <cell r="B127" t="str">
            <v>В.Шоссе 70</v>
          </cell>
        </row>
        <row r="128">
          <cell r="B128" t="str">
            <v>В.Шоссе 72</v>
          </cell>
        </row>
        <row r="129">
          <cell r="B129" t="str">
            <v>Дубинина 9/19</v>
          </cell>
        </row>
        <row r="130">
          <cell r="B130" t="str">
            <v>Ж.Дудник 11, ГАОУ СПО РК "Керченский медицинский колледж им. Г.К. Петровой" </v>
          </cell>
        </row>
        <row r="131">
          <cell r="B131" t="str">
            <v>Ж.Дудник 26, МБОУ г.Керчь РК "Школа №4 им. А.С. Пушкина"</v>
          </cell>
        </row>
        <row r="132">
          <cell r="B132" t="str">
            <v>Заречная 2</v>
          </cell>
        </row>
        <row r="133">
          <cell r="B133" t="str">
            <v>Заречная 4</v>
          </cell>
        </row>
        <row r="134">
          <cell r="B134" t="str">
            <v>Заречная 6</v>
          </cell>
        </row>
        <row r="135">
          <cell r="B135" t="str">
            <v>Заречная 8</v>
          </cell>
        </row>
        <row r="136">
          <cell r="B136" t="str">
            <v>Заречная 10</v>
          </cell>
        </row>
        <row r="137">
          <cell r="B137" t="str">
            <v>Заречная 24 (ЖСК №16)</v>
          </cell>
        </row>
        <row r="138">
          <cell r="B138" t="str">
            <v>Заречная, 26 МБДОУ "Детсад №11 "Ручеек" </v>
          </cell>
        </row>
        <row r="139">
          <cell r="B139" t="str">
            <v>Заречная 28</v>
          </cell>
        </row>
        <row r="140">
          <cell r="B140" t="str">
            <v>Заречная 30</v>
          </cell>
        </row>
        <row r="141">
          <cell r="B141" t="str">
            <v>Заречная 32 (ЖСК №13)</v>
          </cell>
        </row>
        <row r="142">
          <cell r="B142" t="str">
            <v>Заречная 34 (ЖСК №14)</v>
          </cell>
        </row>
        <row r="143">
          <cell r="B143" t="str">
            <v>Заречная 36</v>
          </cell>
        </row>
        <row r="144">
          <cell r="B144" t="str">
            <v>Кирова  31,33</v>
          </cell>
        </row>
        <row r="145">
          <cell r="B145" t="str">
            <v>Кирова  35</v>
          </cell>
        </row>
        <row r="146">
          <cell r="B146" t="str">
            <v>Козлова 1</v>
          </cell>
        </row>
        <row r="147">
          <cell r="B147" t="str">
            <v>Комарова 4  ФБУЗ "ЦГ и Э" г. Керчь, РК</v>
          </cell>
        </row>
        <row r="148">
          <cell r="B148" t="str">
            <v>Крупской 12 , МБДОУ " Детсад №25 "Солнечная поляна"</v>
          </cell>
        </row>
        <row r="149">
          <cell r="B149" t="str">
            <v>Крупской 14, ГБОУ РК "Керченская специальная школа-интернат" (спальный корпус, столовая)</v>
          </cell>
        </row>
        <row r="150">
          <cell r="B150" t="str">
            <v>Крупской 42</v>
          </cell>
        </row>
        <row r="151">
          <cell r="B151" t="str">
            <v>Ленина 44 (РНКБ)</v>
          </cell>
        </row>
        <row r="152">
          <cell r="B152" t="str">
            <v>Привокзальная площадь 1"В", ФГУП КЖД ЛОП ст. Керчь</v>
          </cell>
        </row>
        <row r="154">
          <cell r="B154" t="str">
            <v>Чкалова 14, ГБОУ РК "Керченская специальная школа-интернат" (прачечная)</v>
          </cell>
        </row>
        <row r="155">
          <cell r="B155" t="str">
            <v>Чкалова 25, ГБОУ РК "Керченская городская детская больница"  (Ввод1, поликлиника)</v>
          </cell>
        </row>
        <row r="156">
          <cell r="B156" t="str">
            <v>Чкалова 25, ГБОУ РК "Керченская городская детская больница"  (Ввод2, молочная кухня)</v>
          </cell>
        </row>
        <row r="157">
          <cell r="B157" t="str">
            <v>Юных Ленинцев 17; Еременко 41</v>
          </cell>
        </row>
        <row r="159">
          <cell r="B159" t="str">
            <v>1-й Портовый 6</v>
          </cell>
        </row>
        <row r="160">
          <cell r="B160" t="str">
            <v>1-й Пятилетки 16</v>
          </cell>
        </row>
        <row r="161">
          <cell r="B161" t="str">
            <v>1-й Пятилетки 27А</v>
          </cell>
        </row>
        <row r="162">
          <cell r="B162" t="str">
            <v>1-й Пятилетки 27Б</v>
          </cell>
        </row>
        <row r="163">
          <cell r="B163" t="str">
            <v>1-й Пятилетки 27Г</v>
          </cell>
        </row>
        <row r="164">
          <cell r="B164" t="str">
            <v>1-й Пятилетки 27Д</v>
          </cell>
        </row>
        <row r="165">
          <cell r="B165" t="str">
            <v>1-й Пятилетки 27Ж</v>
          </cell>
        </row>
        <row r="166">
          <cell r="B166" t="str">
            <v>1-й Пятилетки 31</v>
          </cell>
        </row>
        <row r="167">
          <cell r="B167" t="str">
            <v>1-й Пятилетки 33</v>
          </cell>
        </row>
        <row r="168">
          <cell r="B168" t="str">
            <v>1-й Пятилетки 35</v>
          </cell>
        </row>
        <row r="169">
          <cell r="B169" t="str">
            <v>1-й Пятилетки 62/1</v>
          </cell>
        </row>
        <row r="170">
          <cell r="B170" t="str">
            <v>2-й Портовый 2, 4, Кирова 61</v>
          </cell>
        </row>
        <row r="171">
          <cell r="B171" t="str">
            <v>2-й Пятилетки 29</v>
          </cell>
        </row>
        <row r="172">
          <cell r="B172" t="str">
            <v>Айвазовского 12</v>
          </cell>
        </row>
        <row r="173">
          <cell r="B173" t="str">
            <v>Блюхера  4</v>
          </cell>
        </row>
        <row r="174">
          <cell r="B174" t="str">
            <v>Блюхера  6</v>
          </cell>
        </row>
        <row r="175">
          <cell r="B175" t="str">
            <v>Блюхера  8</v>
          </cell>
        </row>
        <row r="176">
          <cell r="B176" t="str">
            <v>Борзенко  2</v>
          </cell>
        </row>
        <row r="177">
          <cell r="B177" t="str">
            <v>Борзенко  3</v>
          </cell>
        </row>
        <row r="178">
          <cell r="B178" t="str">
            <v>Борзенко 20/21</v>
          </cell>
        </row>
        <row r="179">
          <cell r="B179" t="str">
            <v>Бувина  3</v>
          </cell>
        </row>
        <row r="180">
          <cell r="B180" t="str">
            <v>Бувина  6</v>
          </cell>
        </row>
        <row r="181">
          <cell r="B181" t="str">
            <v>Бувина  7</v>
          </cell>
        </row>
        <row r="182">
          <cell r="B182" t="str">
            <v>Буденного  2/5</v>
          </cell>
        </row>
        <row r="183">
          <cell r="B183" t="str">
            <v>Буденного  3</v>
          </cell>
        </row>
        <row r="184">
          <cell r="B184" t="str">
            <v>Буденного  4  ЖСК-"Эра"</v>
          </cell>
        </row>
        <row r="185">
          <cell r="B185" t="str">
            <v>Буденного  5  ЖСК-23</v>
          </cell>
        </row>
        <row r="186">
          <cell r="B186" t="str">
            <v>Буденного  6  ЖСК-23</v>
          </cell>
        </row>
        <row r="187">
          <cell r="B187" t="str">
            <v>Буденного  7</v>
          </cell>
        </row>
        <row r="188">
          <cell r="B188" t="str">
            <v>Буденного  9</v>
          </cell>
        </row>
        <row r="189">
          <cell r="B189" t="str">
            <v>Буденного 10, 11, 12  ЖСК-21</v>
          </cell>
        </row>
        <row r="190">
          <cell r="B190" t="str">
            <v>Буденного 13</v>
          </cell>
        </row>
        <row r="191">
          <cell r="B191" t="str">
            <v>Буденного 15</v>
          </cell>
        </row>
        <row r="192">
          <cell r="B192" t="str">
            <v>Войкова 17 </v>
          </cell>
        </row>
        <row r="193">
          <cell r="B193" t="str">
            <v>Войкова 19 </v>
          </cell>
        </row>
        <row r="194">
          <cell r="B194" t="str">
            <v>Войкова 31 ЖСК</v>
          </cell>
        </row>
        <row r="195">
          <cell r="B195" t="str">
            <v>Войкова 32</v>
          </cell>
        </row>
        <row r="196">
          <cell r="B196" t="str">
            <v>Войкова 34, 36</v>
          </cell>
        </row>
        <row r="197">
          <cell r="B197" t="str">
            <v>Войкова 38</v>
          </cell>
        </row>
        <row r="198">
          <cell r="B198" t="str">
            <v>Ворошилова  3</v>
          </cell>
        </row>
        <row r="199">
          <cell r="B199" t="str">
            <v>Ворошилова  3 А</v>
          </cell>
        </row>
        <row r="200">
          <cell r="B200" t="str">
            <v>Ворошилова  5</v>
          </cell>
        </row>
        <row r="201">
          <cell r="B201" t="str">
            <v>Ворошилова  1/1</v>
          </cell>
        </row>
        <row r="202">
          <cell r="B202" t="str">
            <v>Ворошилова 11</v>
          </cell>
        </row>
        <row r="203">
          <cell r="B203" t="str">
            <v>Ворошилова 13(1-154)</v>
          </cell>
        </row>
        <row r="204">
          <cell r="B204" t="str">
            <v>Ворошилова 13(155-229)</v>
          </cell>
        </row>
        <row r="205">
          <cell r="B205" t="str">
            <v>Ворошилова 17</v>
          </cell>
        </row>
        <row r="206">
          <cell r="B206" t="str">
            <v>Ворошилова 21</v>
          </cell>
        </row>
        <row r="207">
          <cell r="B207" t="str">
            <v>Ворошилова 23 (п.1 - 5)</v>
          </cell>
        </row>
        <row r="208">
          <cell r="B208" t="str">
            <v>Ворошилова 23(п.6-14)</v>
          </cell>
        </row>
        <row r="209">
          <cell r="B209" t="str">
            <v>Всесоюзная  1</v>
          </cell>
        </row>
        <row r="210">
          <cell r="B210" t="str">
            <v>Всесоюзная  3/3</v>
          </cell>
        </row>
        <row r="211">
          <cell r="B211" t="str">
            <v>Всесоюзная 10</v>
          </cell>
        </row>
        <row r="212">
          <cell r="B212" t="str">
            <v>Гагарина 34 </v>
          </cell>
        </row>
        <row r="213">
          <cell r="B213" t="str">
            <v>Гайдара 5</v>
          </cell>
        </row>
        <row r="214">
          <cell r="B214" t="str">
            <v>Гайдара 7</v>
          </cell>
        </row>
        <row r="215">
          <cell r="B215" t="str">
            <v>Ген.Петрова  2(1-5п)</v>
          </cell>
        </row>
        <row r="216">
          <cell r="B216" t="str">
            <v>Ген.Петрова  2(6-9п)</v>
          </cell>
        </row>
        <row r="217">
          <cell r="B217" t="str">
            <v>Ген.Петрова  4</v>
          </cell>
        </row>
        <row r="218">
          <cell r="B218" t="str">
            <v>Ген.Петрова  6</v>
          </cell>
        </row>
        <row r="219">
          <cell r="B219" t="str">
            <v>Ген.Петрова  8</v>
          </cell>
        </row>
        <row r="220">
          <cell r="B220" t="str">
            <v>Ген.Петрова 10</v>
          </cell>
        </row>
        <row r="221">
          <cell r="B221" t="str">
            <v>Ген.Петрова 14</v>
          </cell>
        </row>
        <row r="222">
          <cell r="B222" t="str">
            <v>Ген.Петрова 16</v>
          </cell>
        </row>
        <row r="223">
          <cell r="B223" t="str">
            <v>Ген.Петрова 70</v>
          </cell>
        </row>
        <row r="224">
          <cell r="B224" t="str">
            <v>Ген.Петрова 72</v>
          </cell>
        </row>
        <row r="225">
          <cell r="B225" t="str">
            <v>Ген.Петрова 78</v>
          </cell>
        </row>
        <row r="226">
          <cell r="B226" t="str">
            <v>Шоссе Героев Сталинграда  3</v>
          </cell>
        </row>
        <row r="227">
          <cell r="B227" t="str">
            <v>Героев Сталинграда  4 кор 1(1-40)</v>
          </cell>
        </row>
        <row r="228">
          <cell r="B228" t="str">
            <v>Героев Сталинграда  4 кор 1(41-80)</v>
          </cell>
        </row>
        <row r="229">
          <cell r="B229" t="str">
            <v>Героев Сталинграда  4 кор 2</v>
          </cell>
        </row>
        <row r="230">
          <cell r="B230" t="str">
            <v>Героев Сталинграда  4(1-3)</v>
          </cell>
        </row>
        <row r="231">
          <cell r="B231" t="str">
            <v>Героев Сталинграда  6(1-80)</v>
          </cell>
        </row>
        <row r="232">
          <cell r="B232" t="str">
            <v>Героев Сталинграда  6(3,4,5)</v>
          </cell>
        </row>
        <row r="233">
          <cell r="B233" t="str">
            <v>Героев Сталинграда 10</v>
          </cell>
        </row>
        <row r="234">
          <cell r="B234" t="str">
            <v>Героев Сталинграда 12</v>
          </cell>
        </row>
        <row r="235">
          <cell r="B235" t="str">
            <v>Героев Сталинграда 14(1-40)</v>
          </cell>
        </row>
        <row r="236">
          <cell r="B236" t="str">
            <v>Героев Сталинграда 14(41-60)</v>
          </cell>
        </row>
        <row r="237">
          <cell r="B237" t="str">
            <v>Героев Сталинграда 16</v>
          </cell>
        </row>
        <row r="238">
          <cell r="B238" t="str">
            <v>Горбульского  3</v>
          </cell>
        </row>
        <row r="239">
          <cell r="B239" t="str">
            <v>Горбульского  5</v>
          </cell>
        </row>
        <row r="240">
          <cell r="B240" t="str">
            <v>Горбульского  7</v>
          </cell>
        </row>
        <row r="241">
          <cell r="B241" t="str">
            <v>Горбульского 22</v>
          </cell>
        </row>
        <row r="242">
          <cell r="B242" t="str">
            <v>Горбульского 23</v>
          </cell>
        </row>
        <row r="243">
          <cell r="B243" t="str">
            <v>Горького  2Б</v>
          </cell>
        </row>
        <row r="244">
          <cell r="B244" t="str">
            <v>Горького  2В</v>
          </cell>
        </row>
        <row r="245">
          <cell r="B245" t="str">
            <v>Горького  3Б</v>
          </cell>
        </row>
        <row r="246">
          <cell r="B246" t="str">
            <v>Горького  6</v>
          </cell>
        </row>
        <row r="247">
          <cell r="B247" t="str">
            <v>Горького 19</v>
          </cell>
        </row>
        <row r="248">
          <cell r="B248" t="str">
            <v>Горького 22</v>
          </cell>
        </row>
        <row r="249">
          <cell r="B249" t="str">
            <v>Горького 24</v>
          </cell>
        </row>
        <row r="250">
          <cell r="B250" t="str">
            <v>Горького 27</v>
          </cell>
        </row>
        <row r="251">
          <cell r="B251" t="str">
            <v>Горького 28, 30</v>
          </cell>
        </row>
        <row r="252">
          <cell r="B252" t="str">
            <v>Гудованцева 4</v>
          </cell>
        </row>
        <row r="253">
          <cell r="B253" t="str">
            <v>Донского 1</v>
          </cell>
        </row>
        <row r="254">
          <cell r="B254" t="str">
            <v>Донского 3</v>
          </cell>
        </row>
        <row r="255">
          <cell r="B255" t="str">
            <v>Дубинина 20</v>
          </cell>
        </row>
        <row r="256">
          <cell r="B256" t="str">
            <v>Ерёменко 38</v>
          </cell>
        </row>
        <row r="257">
          <cell r="B257" t="str">
            <v>Ерёменко 43</v>
          </cell>
        </row>
        <row r="258">
          <cell r="B258" t="str">
            <v>Железняка 31</v>
          </cell>
        </row>
        <row r="259">
          <cell r="B259" t="str">
            <v>Казакова 35 А</v>
          </cell>
        </row>
        <row r="260">
          <cell r="B260" t="str">
            <v>Казакова 51</v>
          </cell>
        </row>
        <row r="261">
          <cell r="B261" t="str">
            <v>Кирова  11, 11А</v>
          </cell>
        </row>
        <row r="262">
          <cell r="B262" t="str">
            <v>Кирова  17 Горисполком</v>
          </cell>
        </row>
        <row r="263">
          <cell r="B263" t="str">
            <v>Кирова  23, 25, 27</v>
          </cell>
        </row>
        <row r="264">
          <cell r="B264" t="str">
            <v>Кирова  31 (1 ввод)</v>
          </cell>
        </row>
        <row r="265">
          <cell r="B265" t="str">
            <v>Кирова  31 (2 ввод)</v>
          </cell>
        </row>
        <row r="266">
          <cell r="B266" t="str">
            <v>Кирова  65</v>
          </cell>
        </row>
        <row r="267">
          <cell r="B267" t="str">
            <v>Кирова  79</v>
          </cell>
        </row>
        <row r="268">
          <cell r="B268" t="str">
            <v>Кирова  81 ЖСК</v>
          </cell>
        </row>
        <row r="269">
          <cell r="B269" t="str">
            <v>Кирова  83 ЖСК</v>
          </cell>
        </row>
        <row r="270">
          <cell r="B270" t="str">
            <v>Кирова  85</v>
          </cell>
        </row>
        <row r="271">
          <cell r="B271" t="str">
            <v>Кирова  87/54</v>
          </cell>
        </row>
        <row r="272">
          <cell r="B272" t="str">
            <v>Кирова  93</v>
          </cell>
        </row>
        <row r="273">
          <cell r="B273" t="str">
            <v>Кирова  99</v>
          </cell>
        </row>
        <row r="274">
          <cell r="B274" t="str">
            <v>Кирова 103(1-3п)</v>
          </cell>
        </row>
        <row r="275">
          <cell r="B275" t="str">
            <v>Кирова 103(4-7п)</v>
          </cell>
        </row>
        <row r="276">
          <cell r="B276" t="str">
            <v>Кирова 163</v>
          </cell>
        </row>
        <row r="277">
          <cell r="B277" t="str">
            <v>Кирова 165</v>
          </cell>
        </row>
        <row r="279">
          <cell r="B279" t="str">
            <v>Королева 14</v>
          </cell>
        </row>
        <row r="280">
          <cell r="B280" t="str">
            <v>Королева 18</v>
          </cell>
        </row>
        <row r="281">
          <cell r="B281" t="str">
            <v>Кривуляка 17</v>
          </cell>
        </row>
        <row r="282">
          <cell r="B282" t="str">
            <v>Крупская 42</v>
          </cell>
        </row>
        <row r="283">
          <cell r="B283" t="str">
            <v>Марата  1</v>
          </cell>
        </row>
        <row r="284">
          <cell r="B284" t="str">
            <v>Марата  2</v>
          </cell>
        </row>
        <row r="285">
          <cell r="B285" t="str">
            <v>Марата  4</v>
          </cell>
        </row>
        <row r="286">
          <cell r="B286" t="str">
            <v>Марата  5</v>
          </cell>
        </row>
        <row r="287">
          <cell r="B287" t="str">
            <v>Марата  6</v>
          </cell>
        </row>
        <row r="288">
          <cell r="B288" t="str">
            <v>Марата  7</v>
          </cell>
        </row>
        <row r="289">
          <cell r="B289" t="str">
            <v>Марата  8 ЖСК</v>
          </cell>
        </row>
        <row r="290">
          <cell r="B290" t="str">
            <v>Марата 11</v>
          </cell>
        </row>
        <row r="291">
          <cell r="B291" t="str">
            <v>Марата 13</v>
          </cell>
        </row>
        <row r="292">
          <cell r="B292" t="str">
            <v>Марата 14 ЖСК</v>
          </cell>
        </row>
        <row r="293">
          <cell r="B293" t="str">
            <v>Марата 15</v>
          </cell>
        </row>
        <row r="294">
          <cell r="B294" t="str">
            <v>Марата 16</v>
          </cell>
        </row>
        <row r="295">
          <cell r="B295" t="str">
            <v>Марата 18</v>
          </cell>
        </row>
        <row r="296">
          <cell r="B296" t="str">
            <v>Матросова 3</v>
          </cell>
        </row>
        <row r="297">
          <cell r="B297" t="str">
            <v>О Кошевого 16</v>
          </cell>
        </row>
        <row r="298">
          <cell r="B298" t="str">
            <v>О Кошевого 18</v>
          </cell>
        </row>
        <row r="299">
          <cell r="B299" t="str">
            <v>О Кошевого 19</v>
          </cell>
        </row>
        <row r="300">
          <cell r="B300" t="str">
            <v>О Кошевого 20</v>
          </cell>
        </row>
        <row r="301">
          <cell r="B301" t="str">
            <v>О Кошевого 22 СШ№19</v>
          </cell>
        </row>
        <row r="302">
          <cell r="B302" t="str">
            <v>О Кошевого 25</v>
          </cell>
        </row>
        <row r="303">
          <cell r="B303" t="str">
            <v>О Кошевого 26</v>
          </cell>
        </row>
        <row r="304">
          <cell r="B304" t="str">
            <v>О Кошевого 27 ДДУ№14</v>
          </cell>
        </row>
        <row r="305">
          <cell r="B305" t="str">
            <v>О Кошевого 28</v>
          </cell>
        </row>
        <row r="306">
          <cell r="B306" t="str">
            <v>О Кошевого 29</v>
          </cell>
        </row>
        <row r="307">
          <cell r="B307" t="str">
            <v>О Кошевого 30</v>
          </cell>
        </row>
        <row r="308">
          <cell r="B308" t="str">
            <v>О Кошевого 31</v>
          </cell>
        </row>
        <row r="309">
          <cell r="B309" t="str">
            <v>О Кошевого 32</v>
          </cell>
        </row>
        <row r="310">
          <cell r="B310" t="str">
            <v>О Кошевого 33</v>
          </cell>
        </row>
        <row r="311">
          <cell r="B311" t="str">
            <v>О Кошевого 34</v>
          </cell>
        </row>
        <row r="312">
          <cell r="B312" t="str">
            <v>Пирогова 12</v>
          </cell>
        </row>
        <row r="313">
          <cell r="B313" t="str">
            <v>Поветкина 18</v>
          </cell>
        </row>
        <row r="314">
          <cell r="B314" t="str">
            <v>Поветкина 20</v>
          </cell>
        </row>
        <row r="315">
          <cell r="B315" t="str">
            <v>Поветкина 22</v>
          </cell>
        </row>
        <row r="316">
          <cell r="B316" t="str">
            <v>Поветкина 24</v>
          </cell>
        </row>
        <row r="317">
          <cell r="B317" t="str">
            <v>Поветкина 26</v>
          </cell>
        </row>
        <row r="318">
          <cell r="B318" t="str">
            <v>Поветкина 27</v>
          </cell>
        </row>
        <row r="319">
          <cell r="B319" t="str">
            <v>Поветкина 27(c 1по 40кв)</v>
          </cell>
        </row>
        <row r="320">
          <cell r="B320" t="str">
            <v>Привокзальная площадь 5</v>
          </cell>
        </row>
        <row r="321">
          <cell r="B321" t="str">
            <v>Р Люксембург 19</v>
          </cell>
        </row>
        <row r="322">
          <cell r="B322" t="str">
            <v>Радио 18</v>
          </cell>
        </row>
        <row r="323">
          <cell r="B323" t="str">
            <v>Рыбаков 2 ЖСК</v>
          </cell>
        </row>
        <row r="324">
          <cell r="B324" t="str">
            <v>Самойленко 25, ГАОУ СПО РК "Керченский медицинский колледж им. Г.К. Петровой"(ЧУЖОЙ)</v>
          </cell>
        </row>
        <row r="325">
          <cell r="B325" t="str">
            <v>Свердлова 14</v>
          </cell>
        </row>
        <row r="326">
          <cell r="B326" t="str">
            <v>Свердлова 31</v>
          </cell>
        </row>
        <row r="327">
          <cell r="B327" t="str">
            <v>Свердлова 35</v>
          </cell>
        </row>
        <row r="328">
          <cell r="B328" t="str">
            <v>Свердлова 37</v>
          </cell>
        </row>
        <row r="329">
          <cell r="B329" t="str">
            <v>Свердлова 39</v>
          </cell>
        </row>
        <row r="330">
          <cell r="B330" t="str">
            <v>Свердлова 82, 84</v>
          </cell>
        </row>
        <row r="331">
          <cell r="B331" t="str">
            <v>Свердлова 86</v>
          </cell>
        </row>
        <row r="332">
          <cell r="B332" t="str">
            <v>Сморжевского 2</v>
          </cell>
        </row>
        <row r="333">
          <cell r="B333" t="str">
            <v>Сморжевского 8</v>
          </cell>
        </row>
        <row r="334">
          <cell r="B334" t="str">
            <v>Спартака 7</v>
          </cell>
        </row>
        <row r="335">
          <cell r="B335" t="str">
            <v>Студенческая  4</v>
          </cell>
        </row>
        <row r="336">
          <cell r="B336" t="str">
            <v>Студенческая  9</v>
          </cell>
        </row>
        <row r="337">
          <cell r="B337" t="str">
            <v>Суворова  2А</v>
          </cell>
        </row>
        <row r="338">
          <cell r="B338" t="str">
            <v>Суворова 10</v>
          </cell>
        </row>
        <row r="339">
          <cell r="B339" t="str">
            <v>Суворова 24</v>
          </cell>
        </row>
        <row r="340">
          <cell r="B340" t="str">
            <v>Суворова 25(1-4)</v>
          </cell>
        </row>
        <row r="341">
          <cell r="B341" t="str">
            <v>Суворова 25(5-6)</v>
          </cell>
        </row>
        <row r="342">
          <cell r="B342" t="str">
            <v>Ульяновых 1</v>
          </cell>
        </row>
        <row r="343">
          <cell r="B343" t="str">
            <v>Ульяновых 1Б</v>
          </cell>
        </row>
        <row r="344">
          <cell r="B344" t="str">
            <v>Ульяновых 1Д</v>
          </cell>
        </row>
        <row r="345">
          <cell r="B345" t="str">
            <v>Ульяновых 2В</v>
          </cell>
        </row>
        <row r="346">
          <cell r="B346" t="str">
            <v>Ульяновых 2Е КАФЕ</v>
          </cell>
        </row>
        <row r="347">
          <cell r="B347" t="str">
            <v>Ульяновых 3А</v>
          </cell>
        </row>
        <row r="348">
          <cell r="B348" t="str">
            <v>Фестивальная 2</v>
          </cell>
        </row>
        <row r="349">
          <cell r="B349" t="str">
            <v>Фестивальная 4</v>
          </cell>
        </row>
        <row r="350">
          <cell r="B350" t="str">
            <v>Фурманова 11</v>
          </cell>
        </row>
        <row r="351">
          <cell r="B351" t="str">
            <v>Фурманова 13(1-30)</v>
          </cell>
        </row>
        <row r="352">
          <cell r="B352" t="str">
            <v>Фурманова 13(31-60)</v>
          </cell>
        </row>
        <row r="353">
          <cell r="B353" t="str">
            <v>фурманова 15(61,90)</v>
          </cell>
        </row>
        <row r="354">
          <cell r="B354" t="str">
            <v>фурманова 15(91-120)</v>
          </cell>
        </row>
        <row r="355">
          <cell r="B355" t="str">
            <v>Фурманова 17</v>
          </cell>
        </row>
        <row r="356">
          <cell r="B356" t="str">
            <v>Шлагбаумская 43</v>
          </cell>
        </row>
        <row r="357">
          <cell r="B357" t="str">
            <v>Шоссейная 15</v>
          </cell>
        </row>
        <row r="358">
          <cell r="B358" t="str">
            <v>Шоссейная 16</v>
          </cell>
        </row>
        <row r="359">
          <cell r="B359" t="str">
            <v>Шоссейная 18</v>
          </cell>
        </row>
        <row r="360">
          <cell r="B360" t="str">
            <v>Шоссейная 39</v>
          </cell>
        </row>
        <row r="361">
          <cell r="B361" t="str">
            <v>Шоссейная 45</v>
          </cell>
        </row>
        <row r="362">
          <cell r="B362" t="str">
            <v>Шоссейная 47</v>
          </cell>
        </row>
        <row r="363">
          <cell r="B363" t="str">
            <v>Энгельса 11</v>
          </cell>
        </row>
        <row r="364">
          <cell r="B364" t="str">
            <v>Юных Ленинцев  8</v>
          </cell>
        </row>
        <row r="365">
          <cell r="B365" t="str">
            <v>Юных Ленинцев 10</v>
          </cell>
        </row>
        <row r="366">
          <cell r="B366" t="str">
            <v>Юных Ленинцев 21</v>
          </cell>
        </row>
        <row r="367">
          <cell r="B367" t="str">
            <v>Крупская 12</v>
          </cell>
        </row>
        <row r="368">
          <cell r="B368" t="str">
            <v>Пошивальникова 52А</v>
          </cell>
        </row>
        <row r="369">
          <cell r="B369" t="str">
            <v>Горького 11</v>
          </cell>
        </row>
        <row r="370">
          <cell r="B370" t="str">
            <v>ул. Отдельной приморской армии,9 16ПСЧ 3ПСО ППС по РК</v>
          </cell>
        </row>
      </sheetData>
      <sheetData sheetId="6">
        <row r="1">
          <cell r="L1" t="str">
            <v>КМ-5-2-2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quot;&quot;БАЗА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&quot;&quot;Температур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мперату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0.00390625" style="611" customWidth="1"/>
    <col min="2" max="2" width="18.57421875" style="611" customWidth="1"/>
    <col min="3" max="16384" width="9.140625" style="611" customWidth="1"/>
  </cols>
  <sheetData>
    <row r="1" spans="1:2" ht="99.75" customHeight="1">
      <c r="A1" s="610"/>
      <c r="B1" s="797" t="s">
        <v>187</v>
      </c>
    </row>
    <row r="2" spans="1:2" ht="63.75" customHeight="1">
      <c r="A2" s="610"/>
      <c r="B2" s="797" t="s">
        <v>235</v>
      </c>
    </row>
    <row r="3" spans="1:2" ht="63.75" customHeight="1">
      <c r="A3" s="610"/>
      <c r="B3" s="610" t="s">
        <v>201</v>
      </c>
    </row>
    <row r="4" ht="15"/>
    <row r="5" ht="63.75" customHeight="1">
      <c r="B5" s="610"/>
    </row>
    <row r="7" spans="1:2" ht="15">
      <c r="A7" s="612"/>
      <c r="B7" s="613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indexed="43"/>
  </sheetPr>
  <dimension ref="A1:BX49"/>
  <sheetViews>
    <sheetView zoomScalePageLayoutView="0" workbookViewId="0" topLeftCell="A1">
      <pane xSplit="3" ySplit="7" topLeftCell="D4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60" sqref="H60"/>
    </sheetView>
  </sheetViews>
  <sheetFormatPr defaultColWidth="9.140625" defaultRowHeight="15"/>
  <cols>
    <col min="1" max="1" width="4.57421875" style="375" customWidth="1"/>
    <col min="2" max="2" width="30.421875" style="375" customWidth="1"/>
    <col min="3" max="3" width="13.28125" style="546" customWidth="1"/>
    <col min="4" max="4" width="10.421875" style="547" customWidth="1"/>
    <col min="5" max="6" width="9.140625" style="375" customWidth="1"/>
    <col min="7" max="7" width="10.140625" style="375" bestFit="1" customWidth="1"/>
    <col min="8" max="9" width="9.140625" style="375" customWidth="1"/>
    <col min="10" max="10" width="10.140625" style="375" bestFit="1" customWidth="1"/>
    <col min="11" max="11" width="5.57421875" style="548" customWidth="1"/>
    <col min="12" max="12" width="7.28125" style="470" customWidth="1"/>
    <col min="13" max="13" width="9.421875" style="549" customWidth="1"/>
    <col min="14" max="14" width="6.57421875" style="375" customWidth="1"/>
    <col min="15" max="15" width="11.57421875" style="549" bestFit="1" customWidth="1"/>
    <col min="16" max="16" width="9.140625" style="549" customWidth="1"/>
    <col min="17" max="17" width="9.140625" style="375" customWidth="1"/>
    <col min="18" max="18" width="9.421875" style="549" customWidth="1"/>
    <col min="19" max="19" width="9.140625" style="549" customWidth="1"/>
    <col min="20" max="26" width="9.140625" style="375" customWidth="1"/>
    <col min="27" max="27" width="14.8515625" style="472" customWidth="1"/>
    <col min="28" max="28" width="9.140625" style="375" customWidth="1"/>
    <col min="29" max="30" width="9.140625" style="470" customWidth="1"/>
    <col min="31" max="31" width="8.140625" style="550" customWidth="1"/>
    <col min="32" max="33" width="9.140625" style="469" customWidth="1"/>
    <col min="34" max="34" width="6.57421875" style="470" customWidth="1"/>
    <col min="35" max="35" width="9.140625" style="471" customWidth="1"/>
    <col min="36" max="36" width="9.140625" style="472" customWidth="1"/>
    <col min="37" max="37" width="9.140625" style="473" customWidth="1"/>
    <col min="38" max="38" width="13.7109375" style="472" customWidth="1"/>
    <col min="39" max="39" width="15.421875" style="375" customWidth="1"/>
    <col min="40" max="40" width="9.57421875" style="470" customWidth="1"/>
    <col min="41" max="41" width="10.7109375" style="470" customWidth="1"/>
    <col min="42" max="42" width="13.421875" style="375" customWidth="1"/>
    <col min="43" max="43" width="11.7109375" style="375" customWidth="1"/>
    <col min="44" max="47" width="9.140625" style="375" customWidth="1"/>
    <col min="48" max="48" width="6.7109375" style="375" customWidth="1"/>
    <col min="49" max="62" width="9.140625" style="375" customWidth="1"/>
    <col min="63" max="63" width="12.00390625" style="375" customWidth="1"/>
    <col min="64" max="64" width="11.421875" style="375" customWidth="1"/>
    <col min="65" max="65" width="11.28125" style="375" customWidth="1"/>
    <col min="66" max="75" width="9.140625" style="375" customWidth="1"/>
    <col min="76" max="76" width="11.140625" style="375" customWidth="1"/>
    <col min="77" max="16384" width="9.140625" style="375" customWidth="1"/>
  </cols>
  <sheetData>
    <row r="1" spans="1:41" ht="12.75">
      <c r="A1" s="458"/>
      <c r="B1" s="459" t="s">
        <v>266</v>
      </c>
      <c r="C1" s="460" t="s">
        <v>153</v>
      </c>
      <c r="D1" s="461" t="s">
        <v>163</v>
      </c>
      <c r="E1" s="461" t="s">
        <v>160</v>
      </c>
      <c r="F1" s="461" t="s">
        <v>162</v>
      </c>
      <c r="G1" s="462" t="s">
        <v>170</v>
      </c>
      <c r="H1" s="463" t="s">
        <v>153</v>
      </c>
      <c r="I1" s="461" t="s">
        <v>156</v>
      </c>
      <c r="J1" s="461" t="s">
        <v>199</v>
      </c>
      <c r="K1" s="461" t="s">
        <v>167</v>
      </c>
      <c r="L1" s="464" t="s">
        <v>159</v>
      </c>
      <c r="M1" s="465" t="s">
        <v>158</v>
      </c>
      <c r="N1" s="461" t="s">
        <v>161</v>
      </c>
      <c r="O1" s="465" t="s">
        <v>172</v>
      </c>
      <c r="P1" s="465" t="s">
        <v>216</v>
      </c>
      <c r="Q1" s="466" t="s">
        <v>264</v>
      </c>
      <c r="R1" s="467" t="s">
        <v>262</v>
      </c>
      <c r="S1" s="465" t="s">
        <v>265</v>
      </c>
      <c r="T1" s="461" t="s">
        <v>267</v>
      </c>
      <c r="U1" s="461" t="s">
        <v>268</v>
      </c>
      <c r="V1" s="462" t="s">
        <v>269</v>
      </c>
      <c r="W1" s="463" t="s">
        <v>270</v>
      </c>
      <c r="X1" s="461"/>
      <c r="Y1" s="461"/>
      <c r="Z1" s="461"/>
      <c r="AA1" s="464"/>
      <c r="AB1" s="464"/>
      <c r="AC1" s="461"/>
      <c r="AD1" s="468"/>
      <c r="AE1" s="468"/>
      <c r="AK1" s="473">
        <f>IF(AB1="","",ROUND(AB1/AC1,5))</f>
      </c>
      <c r="AL1" s="474">
        <f>IF(S1=0,"",ROUND(AA1*(AC1-AH1),2))</f>
        <v>0</v>
      </c>
      <c r="AM1" s="474">
        <f>IF(C1="январь16",ROUND((AD1-#REF!)/AC1*(AC1-AH1)*AB1+#REF!,2),IF(AD1=0,"",ROUND(AD1/AC1*(AC1-AH1)*AB1,2)))</f>
      </c>
      <c r="AN1" s="464">
        <f>IF(AC1-AH1&lt;0,"",AC1-AH1)</f>
        <v>0</v>
      </c>
      <c r="AO1" s="474">
        <f>IF(AB1="","",ROUND(ROUND(AB1/100,2)*2*AN1,2))</f>
      </c>
    </row>
    <row r="2" spans="1:31" ht="12.75">
      <c r="A2" s="462"/>
      <c r="B2" s="475" t="s">
        <v>271</v>
      </c>
      <c r="C2" s="476">
        <f>IF(ISERROR(HLOOKUP($C$1,$D$1:$AD$3,2,0)),0,HLOOKUP($C$1,$D$1:$AD$3,2,0))</f>
        <v>44481</v>
      </c>
      <c r="D2" s="477">
        <v>44481</v>
      </c>
      <c r="E2" s="477">
        <v>44480</v>
      </c>
      <c r="F2" s="477">
        <v>44480</v>
      </c>
      <c r="G2" s="477">
        <v>44481</v>
      </c>
      <c r="H2" s="477">
        <v>44481</v>
      </c>
      <c r="I2" s="477">
        <v>44480</v>
      </c>
      <c r="J2" s="477">
        <v>44483</v>
      </c>
      <c r="K2" s="477">
        <v>44480</v>
      </c>
      <c r="L2" s="478">
        <v>44480</v>
      </c>
      <c r="M2" s="477">
        <v>44480</v>
      </c>
      <c r="N2" s="477">
        <v>44481</v>
      </c>
      <c r="O2" s="477">
        <v>44480</v>
      </c>
      <c r="P2" s="477">
        <v>44480</v>
      </c>
      <c r="Q2" s="477">
        <v>44480</v>
      </c>
      <c r="R2" s="477">
        <v>44480</v>
      </c>
      <c r="S2" s="477">
        <v>44480</v>
      </c>
      <c r="T2" s="477">
        <v>44480</v>
      </c>
      <c r="U2" s="477">
        <v>44481</v>
      </c>
      <c r="V2" s="477">
        <v>44481</v>
      </c>
      <c r="W2" s="477">
        <v>44483</v>
      </c>
      <c r="X2" s="478"/>
      <c r="Y2" s="477"/>
      <c r="Z2" s="477"/>
      <c r="AA2" s="477"/>
      <c r="AB2" s="477"/>
      <c r="AC2" s="478"/>
      <c r="AD2" s="477"/>
      <c r="AE2" s="479"/>
    </row>
    <row r="3" spans="1:76" s="462" customFormat="1" ht="15" customHeight="1">
      <c r="A3" s="480"/>
      <c r="B3" s="481" t="s">
        <v>272</v>
      </c>
      <c r="C3" s="482">
        <f>IF(ISERROR(HLOOKUP($C$1,$D$1:$AD$3,3,0)),0,HLOOKUP($C$1,$D$1:$AD$3,3,0))</f>
        <v>17</v>
      </c>
      <c r="D3" s="483">
        <v>14</v>
      </c>
      <c r="E3" s="483">
        <v>16</v>
      </c>
      <c r="F3" s="483">
        <v>16</v>
      </c>
      <c r="G3" s="483">
        <v>16</v>
      </c>
      <c r="H3" s="483">
        <v>17</v>
      </c>
      <c r="I3" s="483">
        <v>15</v>
      </c>
      <c r="J3" s="483">
        <v>12</v>
      </c>
      <c r="K3" s="483">
        <v>16</v>
      </c>
      <c r="L3" s="483">
        <v>19</v>
      </c>
      <c r="M3" s="484">
        <v>18</v>
      </c>
      <c r="N3" s="483">
        <v>12</v>
      </c>
      <c r="O3" s="484">
        <v>17</v>
      </c>
      <c r="P3" s="484">
        <v>18</v>
      </c>
      <c r="Q3" s="483"/>
      <c r="R3" s="484"/>
      <c r="S3" s="484"/>
      <c r="T3" s="483"/>
      <c r="U3" s="483"/>
      <c r="V3" s="483"/>
      <c r="W3" s="483"/>
      <c r="X3" s="485"/>
      <c r="Y3" s="485"/>
      <c r="Z3" s="483"/>
      <c r="AA3" s="483"/>
      <c r="AB3" s="483"/>
      <c r="AC3" s="483"/>
      <c r="AD3" s="483"/>
      <c r="AE3" s="483"/>
      <c r="AF3" s="486">
        <v>32</v>
      </c>
      <c r="AG3" s="486">
        <v>33</v>
      </c>
      <c r="AH3" s="464">
        <v>34</v>
      </c>
      <c r="AI3" s="487">
        <v>35</v>
      </c>
      <c r="AJ3" s="462">
        <v>36</v>
      </c>
      <c r="AK3" s="462">
        <v>37</v>
      </c>
      <c r="AL3" s="462">
        <v>38</v>
      </c>
      <c r="AM3" s="462">
        <v>39</v>
      </c>
      <c r="AN3" s="462">
        <v>40</v>
      </c>
      <c r="AO3" s="462">
        <v>41</v>
      </c>
      <c r="AP3" s="462">
        <v>42</v>
      </c>
      <c r="AQ3" s="462">
        <v>43</v>
      </c>
      <c r="AR3" s="462">
        <v>44</v>
      </c>
      <c r="AS3" s="462">
        <v>45</v>
      </c>
      <c r="AT3" s="462">
        <v>46</v>
      </c>
      <c r="AU3" s="462">
        <v>47</v>
      </c>
      <c r="AV3" s="462">
        <v>48</v>
      </c>
      <c r="AW3" s="462">
        <v>49</v>
      </c>
      <c r="BA3" s="462">
        <v>53</v>
      </c>
      <c r="BB3" s="462">
        <v>54</v>
      </c>
      <c r="BC3" s="462">
        <v>55</v>
      </c>
      <c r="BD3" s="462">
        <v>56</v>
      </c>
      <c r="BE3" s="462">
        <v>57</v>
      </c>
      <c r="BF3" s="462">
        <v>58</v>
      </c>
      <c r="BG3" s="462">
        <v>59</v>
      </c>
      <c r="BH3" s="462">
        <v>60</v>
      </c>
      <c r="BI3" s="462">
        <v>61</v>
      </c>
      <c r="BJ3" s="462">
        <v>62</v>
      </c>
      <c r="BK3" s="462">
        <v>63</v>
      </c>
      <c r="BL3" s="462">
        <v>64</v>
      </c>
      <c r="BM3" s="462">
        <v>65</v>
      </c>
      <c r="BN3" s="462">
        <v>66</v>
      </c>
      <c r="BO3" s="462">
        <v>67</v>
      </c>
      <c r="BP3" s="462">
        <v>68</v>
      </c>
      <c r="BQ3" s="462">
        <v>69</v>
      </c>
      <c r="BR3" s="462">
        <v>70</v>
      </c>
      <c r="BS3" s="462">
        <v>71</v>
      </c>
      <c r="BT3" s="462">
        <v>72</v>
      </c>
      <c r="BU3" s="462">
        <v>73</v>
      </c>
      <c r="BV3" s="462">
        <v>74</v>
      </c>
      <c r="BW3" s="462">
        <v>75</v>
      </c>
      <c r="BX3" s="462">
        <v>76</v>
      </c>
    </row>
    <row r="4" spans="1:41" s="462" customFormat="1" ht="15" customHeight="1">
      <c r="A4" s="480"/>
      <c r="B4" s="488" t="s">
        <v>273</v>
      </c>
      <c r="C4" s="485">
        <f>HLOOKUP($C$1,$D$1:$P$4,4,0)</f>
        <v>11</v>
      </c>
      <c r="D4" s="483">
        <v>3</v>
      </c>
      <c r="E4" s="483">
        <v>7</v>
      </c>
      <c r="F4" s="483">
        <v>5</v>
      </c>
      <c r="G4" s="483">
        <v>9</v>
      </c>
      <c r="H4" s="483">
        <v>11</v>
      </c>
      <c r="I4" s="485">
        <v>13</v>
      </c>
      <c r="J4" s="485">
        <v>15</v>
      </c>
      <c r="K4" s="483">
        <v>17</v>
      </c>
      <c r="L4" s="483">
        <v>21</v>
      </c>
      <c r="M4" s="484">
        <v>23</v>
      </c>
      <c r="N4" s="483">
        <v>25</v>
      </c>
      <c r="O4" s="484">
        <v>19</v>
      </c>
      <c r="P4" s="484">
        <v>27</v>
      </c>
      <c r="Q4" s="489"/>
      <c r="R4" s="484"/>
      <c r="S4" s="484"/>
      <c r="T4" s="483"/>
      <c r="U4" s="483"/>
      <c r="V4" s="483"/>
      <c r="W4" s="483"/>
      <c r="X4" s="485"/>
      <c r="Y4" s="485"/>
      <c r="Z4" s="483"/>
      <c r="AA4" s="483"/>
      <c r="AB4" s="483"/>
      <c r="AC4" s="483"/>
      <c r="AD4" s="483"/>
      <c r="AE4" s="483"/>
      <c r="AF4" s="486"/>
      <c r="AG4" s="486"/>
      <c r="AH4" s="464"/>
      <c r="AI4" s="487"/>
      <c r="AJ4" s="474"/>
      <c r="AK4" s="473"/>
      <c r="AL4" s="474"/>
      <c r="AN4" s="464"/>
      <c r="AO4" s="464"/>
    </row>
    <row r="5" spans="1:41" s="462" customFormat="1" ht="15" customHeight="1">
      <c r="A5" s="480"/>
      <c r="B5" s="481"/>
      <c r="C5" s="482"/>
      <c r="D5" s="483"/>
      <c r="E5" s="483"/>
      <c r="F5" s="483"/>
      <c r="G5" s="483"/>
      <c r="H5" s="483"/>
      <c r="I5" s="485"/>
      <c r="J5" s="485"/>
      <c r="K5" s="483"/>
      <c r="L5" s="483"/>
      <c r="M5" s="484"/>
      <c r="N5" s="483"/>
      <c r="O5" s="484"/>
      <c r="P5" s="484"/>
      <c r="Q5" s="489"/>
      <c r="R5" s="484"/>
      <c r="S5" s="484"/>
      <c r="T5" s="483"/>
      <c r="U5" s="483"/>
      <c r="V5" s="483"/>
      <c r="W5" s="483"/>
      <c r="X5" s="485"/>
      <c r="Y5" s="485"/>
      <c r="Z5" s="483"/>
      <c r="AA5" s="483"/>
      <c r="AB5" s="483"/>
      <c r="AC5" s="483"/>
      <c r="AD5" s="483"/>
      <c r="AE5" s="483"/>
      <c r="AF5" s="486"/>
      <c r="AG5" s="486"/>
      <c r="AH5" s="464"/>
      <c r="AI5" s="487"/>
      <c r="AJ5" s="474"/>
      <c r="AK5" s="473"/>
      <c r="AL5" s="474"/>
      <c r="AN5" s="464"/>
      <c r="AO5" s="464"/>
    </row>
    <row r="6" spans="1:41" s="462" customFormat="1" ht="9.75" customHeight="1">
      <c r="A6" s="480"/>
      <c r="B6" s="481"/>
      <c r="C6" s="482"/>
      <c r="D6" s="483"/>
      <c r="E6" s="483"/>
      <c r="F6" s="483"/>
      <c r="G6" s="483"/>
      <c r="H6" s="483"/>
      <c r="I6" s="485"/>
      <c r="J6" s="485"/>
      <c r="K6" s="483"/>
      <c r="L6" s="483"/>
      <c r="M6" s="484"/>
      <c r="N6" s="483"/>
      <c r="O6" s="484"/>
      <c r="P6" s="484"/>
      <c r="R6" s="484"/>
      <c r="S6" s="484"/>
      <c r="T6" s="483"/>
      <c r="U6" s="483"/>
      <c r="V6" s="483"/>
      <c r="W6" s="483"/>
      <c r="X6" s="483"/>
      <c r="Y6" s="483"/>
      <c r="Z6" s="483"/>
      <c r="AA6" s="490"/>
      <c r="AB6" s="485"/>
      <c r="AC6" s="485"/>
      <c r="AD6" s="491"/>
      <c r="AE6" s="491"/>
      <c r="AF6" s="486"/>
      <c r="AG6" s="486"/>
      <c r="AH6" s="464"/>
      <c r="AI6" s="487"/>
      <c r="AJ6" s="474"/>
      <c r="AK6" s="473"/>
      <c r="AL6" s="474"/>
      <c r="AN6" s="464"/>
      <c r="AO6" s="464"/>
    </row>
    <row r="7" spans="1:49" ht="61.5" customHeight="1">
      <c r="A7" s="492" t="s">
        <v>274</v>
      </c>
      <c r="B7" s="493" t="s">
        <v>275</v>
      </c>
      <c r="C7" s="494" t="s">
        <v>47</v>
      </c>
      <c r="D7" s="495" t="s">
        <v>13</v>
      </c>
      <c r="E7" s="496" t="s">
        <v>75</v>
      </c>
      <c r="F7" s="497" t="s">
        <v>164</v>
      </c>
      <c r="G7" s="498" t="s">
        <v>168</v>
      </c>
      <c r="H7" s="499" t="s">
        <v>169</v>
      </c>
      <c r="I7" s="499" t="s">
        <v>171</v>
      </c>
      <c r="J7" s="500" t="s">
        <v>173</v>
      </c>
      <c r="K7" s="499" t="s">
        <v>186</v>
      </c>
      <c r="L7" s="501" t="s">
        <v>29</v>
      </c>
      <c r="M7" s="502" t="s">
        <v>77</v>
      </c>
      <c r="N7" s="503" t="s">
        <v>76</v>
      </c>
      <c r="O7" s="504" t="s">
        <v>276</v>
      </c>
      <c r="P7" s="505" t="s">
        <v>54</v>
      </c>
      <c r="Q7" s="506" t="s">
        <v>250</v>
      </c>
      <c r="R7" s="505" t="s">
        <v>251</v>
      </c>
      <c r="S7" s="507" t="s">
        <v>252</v>
      </c>
      <c r="T7" s="500" t="s">
        <v>253</v>
      </c>
      <c r="U7" s="500" t="s">
        <v>35</v>
      </c>
      <c r="V7" s="500" t="s">
        <v>254</v>
      </c>
      <c r="W7" s="500" t="s">
        <v>35</v>
      </c>
      <c r="X7" s="500" t="s">
        <v>255</v>
      </c>
      <c r="Y7" s="503" t="s">
        <v>256</v>
      </c>
      <c r="Z7" s="508" t="s">
        <v>257</v>
      </c>
      <c r="AA7" s="509" t="s">
        <v>277</v>
      </c>
      <c r="AB7" s="510" t="s">
        <v>65</v>
      </c>
      <c r="AC7" s="511" t="s">
        <v>6</v>
      </c>
      <c r="AD7" s="512" t="s">
        <v>278</v>
      </c>
      <c r="AE7" s="513" t="s">
        <v>258</v>
      </c>
      <c r="AF7" s="514" t="s">
        <v>259</v>
      </c>
      <c r="AG7" s="514" t="s">
        <v>260</v>
      </c>
      <c r="AH7" s="503" t="s">
        <v>279</v>
      </c>
      <c r="AI7" s="515" t="s">
        <v>261</v>
      </c>
      <c r="AJ7" s="516" t="s">
        <v>280</v>
      </c>
      <c r="AK7" s="517" t="s">
        <v>281</v>
      </c>
      <c r="AL7" s="518" t="s">
        <v>282</v>
      </c>
      <c r="AM7" s="518" t="s">
        <v>283</v>
      </c>
      <c r="AN7" s="519" t="s">
        <v>284</v>
      </c>
      <c r="AO7" s="518" t="s">
        <v>285</v>
      </c>
      <c r="AP7" s="520" t="s">
        <v>78</v>
      </c>
      <c r="AQ7" s="521" t="s">
        <v>286</v>
      </c>
      <c r="AR7" s="521" t="s">
        <v>35</v>
      </c>
      <c r="AS7" s="521" t="s">
        <v>287</v>
      </c>
      <c r="AT7" s="521" t="s">
        <v>35</v>
      </c>
      <c r="AU7" s="521" t="s">
        <v>255</v>
      </c>
      <c r="AV7" s="521" t="s">
        <v>45</v>
      </c>
      <c r="AW7" s="521" t="s">
        <v>288</v>
      </c>
    </row>
    <row r="8" spans="1:49" ht="12.75">
      <c r="A8" s="350">
        <v>15</v>
      </c>
      <c r="B8" s="350" t="s">
        <v>174</v>
      </c>
      <c r="C8" s="522" t="s">
        <v>20</v>
      </c>
      <c r="D8" s="523">
        <v>44481</v>
      </c>
      <c r="E8" s="350">
        <v>17</v>
      </c>
      <c r="F8" s="350">
        <v>0</v>
      </c>
      <c r="G8" s="350">
        <v>13159</v>
      </c>
      <c r="H8" s="350"/>
      <c r="I8" s="350"/>
      <c r="J8" s="524"/>
      <c r="K8" s="524"/>
      <c r="L8" s="409"/>
      <c r="M8" s="525">
        <v>1149.74</v>
      </c>
      <c r="N8" s="350" t="s">
        <v>54</v>
      </c>
      <c r="O8" s="525">
        <v>0</v>
      </c>
      <c r="P8" s="525">
        <v>0</v>
      </c>
      <c r="Q8" s="350"/>
      <c r="R8" s="525">
        <v>0</v>
      </c>
      <c r="S8" s="525">
        <v>0</v>
      </c>
      <c r="T8" s="350">
        <v>104850</v>
      </c>
      <c r="U8" s="350">
        <v>0</v>
      </c>
      <c r="V8" s="350"/>
      <c r="W8" s="350"/>
      <c r="X8" s="350"/>
      <c r="Y8" s="350"/>
      <c r="Z8" s="350">
        <v>9.7</v>
      </c>
      <c r="AA8" s="526"/>
      <c r="AB8" s="350"/>
      <c r="AC8" s="409"/>
      <c r="AD8" s="409"/>
      <c r="AE8" s="527"/>
      <c r="AF8" s="528"/>
      <c r="AG8" s="528"/>
      <c r="AH8" s="409">
        <v>188.3</v>
      </c>
      <c r="AI8" s="529">
        <v>0.24359</v>
      </c>
      <c r="AJ8" s="526"/>
      <c r="AK8" s="530"/>
      <c r="AL8" s="526"/>
      <c r="AM8" s="350"/>
      <c r="AN8" s="409"/>
      <c r="AO8" s="409"/>
      <c r="AP8" s="350"/>
      <c r="AQ8" s="350">
        <v>104711</v>
      </c>
      <c r="AR8" s="350"/>
      <c r="AS8" s="350"/>
      <c r="AT8" s="350"/>
      <c r="AU8" s="350"/>
      <c r="AV8" s="350"/>
      <c r="AW8" s="532"/>
    </row>
    <row r="9" spans="1:49" ht="12.75">
      <c r="A9" s="350">
        <v>15</v>
      </c>
      <c r="B9" s="350" t="s">
        <v>174</v>
      </c>
      <c r="C9" s="522" t="s">
        <v>67</v>
      </c>
      <c r="D9" s="523">
        <v>44495</v>
      </c>
      <c r="E9" s="350">
        <v>10</v>
      </c>
      <c r="F9" s="350">
        <v>329</v>
      </c>
      <c r="G9" s="524">
        <v>13488</v>
      </c>
      <c r="H9" s="350">
        <v>329</v>
      </c>
      <c r="I9" s="350">
        <v>0</v>
      </c>
      <c r="J9" s="524">
        <v>0</v>
      </c>
      <c r="K9" s="524">
        <v>0</v>
      </c>
      <c r="L9" s="409"/>
      <c r="M9" s="525">
        <v>1160.08</v>
      </c>
      <c r="N9" s="350" t="s">
        <v>54</v>
      </c>
      <c r="O9" s="525">
        <v>10.34</v>
      </c>
      <c r="P9" s="525">
        <v>10.34</v>
      </c>
      <c r="Q9" s="350">
        <v>0</v>
      </c>
      <c r="R9" s="525">
        <v>10.34</v>
      </c>
      <c r="S9" s="525">
        <v>10.34</v>
      </c>
      <c r="T9" s="350">
        <v>106893</v>
      </c>
      <c r="U9" s="350">
        <v>2043</v>
      </c>
      <c r="V9" s="350"/>
      <c r="W9" s="350"/>
      <c r="X9" s="350"/>
      <c r="Y9" s="350">
        <v>6.21</v>
      </c>
      <c r="Z9" s="350">
        <v>9.7</v>
      </c>
      <c r="AA9" s="526">
        <v>6.27</v>
      </c>
      <c r="AB9" s="350">
        <v>2382.8</v>
      </c>
      <c r="AC9" s="409">
        <v>3742.7500000000005</v>
      </c>
      <c r="AD9" s="409">
        <v>17.32</v>
      </c>
      <c r="AE9" s="527">
        <v>11.3</v>
      </c>
      <c r="AF9" s="528">
        <v>0.597</v>
      </c>
      <c r="AG9" s="528">
        <v>0.64</v>
      </c>
      <c r="AH9" s="409">
        <v>188.3</v>
      </c>
      <c r="AI9" s="529">
        <v>0.24359</v>
      </c>
      <c r="AJ9" s="526"/>
      <c r="AK9" s="530">
        <v>0.63664</v>
      </c>
      <c r="AL9" s="526"/>
      <c r="AM9" s="526"/>
      <c r="AN9" s="409"/>
      <c r="AO9" s="531"/>
      <c r="AP9" s="350"/>
      <c r="AQ9" s="350">
        <v>106750</v>
      </c>
      <c r="AR9" s="350">
        <v>2039</v>
      </c>
      <c r="AS9" s="350"/>
      <c r="AT9" s="350">
        <v>0</v>
      </c>
      <c r="AU9" s="350"/>
      <c r="AV9" s="350"/>
      <c r="AW9" s="532"/>
    </row>
    <row r="10" spans="1:49" ht="12.75">
      <c r="A10" s="350">
        <v>15</v>
      </c>
      <c r="B10" s="350" t="s">
        <v>174</v>
      </c>
      <c r="C10" s="522" t="s">
        <v>69</v>
      </c>
      <c r="D10" s="523">
        <v>44524</v>
      </c>
      <c r="E10" s="350">
        <v>7</v>
      </c>
      <c r="F10" s="350">
        <v>693</v>
      </c>
      <c r="G10" s="350">
        <v>14182</v>
      </c>
      <c r="H10" s="350">
        <v>694</v>
      </c>
      <c r="I10" s="350">
        <v>0</v>
      </c>
      <c r="J10" s="524">
        <v>-1</v>
      </c>
      <c r="K10" s="524">
        <v>0</v>
      </c>
      <c r="L10" s="409"/>
      <c r="M10" s="525">
        <v>1207.47</v>
      </c>
      <c r="N10" s="350" t="s">
        <v>54</v>
      </c>
      <c r="O10" s="525">
        <v>47.39</v>
      </c>
      <c r="P10" s="525">
        <v>47.39</v>
      </c>
      <c r="Q10" s="350">
        <v>0</v>
      </c>
      <c r="R10" s="525">
        <v>47.39</v>
      </c>
      <c r="S10" s="525">
        <v>47.39</v>
      </c>
      <c r="T10" s="350">
        <v>112119</v>
      </c>
      <c r="U10" s="350">
        <v>5226</v>
      </c>
      <c r="V10" s="350"/>
      <c r="W10" s="350"/>
      <c r="X10" s="350"/>
      <c r="Y10" s="350">
        <v>7.53</v>
      </c>
      <c r="Z10" s="350">
        <v>9.7</v>
      </c>
      <c r="AA10" s="526">
        <v>28.73</v>
      </c>
      <c r="AB10" s="350">
        <v>2382.8</v>
      </c>
      <c r="AC10" s="409">
        <v>3742.7500000000005</v>
      </c>
      <c r="AD10" s="409">
        <v>53.37</v>
      </c>
      <c r="AE10" s="527">
        <v>8.2</v>
      </c>
      <c r="AF10" s="528">
        <v>0.888</v>
      </c>
      <c r="AG10" s="528">
        <v>0.776</v>
      </c>
      <c r="AH10" s="409">
        <v>188.3</v>
      </c>
      <c r="AI10" s="529">
        <v>0.24359</v>
      </c>
      <c r="AJ10" s="526"/>
      <c r="AK10" s="530">
        <v>0.63664</v>
      </c>
      <c r="AL10" s="526"/>
      <c r="AM10" s="350"/>
      <c r="AN10" s="409"/>
      <c r="AO10" s="409"/>
      <c r="AP10" s="350"/>
      <c r="AQ10" s="350">
        <v>111983</v>
      </c>
      <c r="AR10" s="350">
        <v>5233</v>
      </c>
      <c r="AS10" s="350"/>
      <c r="AT10" s="350">
        <v>0</v>
      </c>
      <c r="AU10" s="350"/>
      <c r="AV10" s="350"/>
      <c r="AW10" s="532"/>
    </row>
    <row r="11" spans="1:49" ht="12.75">
      <c r="A11" s="350">
        <v>15</v>
      </c>
      <c r="B11" s="350" t="s">
        <v>174</v>
      </c>
      <c r="C11" s="522" t="s">
        <v>70</v>
      </c>
      <c r="D11" s="523">
        <v>44554</v>
      </c>
      <c r="E11" s="350">
        <v>7</v>
      </c>
      <c r="F11" s="350">
        <v>720</v>
      </c>
      <c r="G11" s="524">
        <v>14901</v>
      </c>
      <c r="H11" s="350">
        <v>719</v>
      </c>
      <c r="I11" s="350">
        <v>0</v>
      </c>
      <c r="J11" s="524">
        <v>1</v>
      </c>
      <c r="K11" s="524">
        <v>0</v>
      </c>
      <c r="L11" s="409"/>
      <c r="M11" s="525">
        <v>1262.96</v>
      </c>
      <c r="N11" s="350" t="s">
        <v>54</v>
      </c>
      <c r="O11" s="525">
        <v>55.49000000000001</v>
      </c>
      <c r="P11" s="525">
        <v>55.49000000000001</v>
      </c>
      <c r="Q11" s="350">
        <v>0</v>
      </c>
      <c r="R11" s="525">
        <v>55.49000000000001</v>
      </c>
      <c r="S11" s="525">
        <v>55.49000000000001</v>
      </c>
      <c r="T11" s="350">
        <v>117743</v>
      </c>
      <c r="U11" s="350">
        <v>5624</v>
      </c>
      <c r="V11" s="350"/>
      <c r="W11" s="350">
        <v>0</v>
      </c>
      <c r="X11" s="350" t="s">
        <v>289</v>
      </c>
      <c r="Y11" s="350">
        <v>7.82</v>
      </c>
      <c r="Z11" s="350">
        <v>9.7</v>
      </c>
      <c r="AA11" s="526">
        <v>33.64</v>
      </c>
      <c r="AB11" s="350">
        <v>2382.8</v>
      </c>
      <c r="AC11" s="409">
        <v>3742.7500000000005</v>
      </c>
      <c r="AD11" s="409">
        <v>67.33</v>
      </c>
      <c r="AE11" s="527">
        <v>6.1</v>
      </c>
      <c r="AF11" s="528">
        <v>0.824</v>
      </c>
      <c r="AG11" s="528">
        <v>0.806</v>
      </c>
      <c r="AH11" s="409">
        <v>188.3</v>
      </c>
      <c r="AI11" s="529">
        <v>0.24359</v>
      </c>
      <c r="AJ11" s="526"/>
      <c r="AK11" s="530">
        <v>0.63664</v>
      </c>
      <c r="AL11" s="526"/>
      <c r="AM11" s="526"/>
      <c r="AN11" s="409"/>
      <c r="AO11" s="531"/>
      <c r="AP11" s="350"/>
      <c r="AQ11" s="350">
        <v>117595</v>
      </c>
      <c r="AR11" s="350">
        <v>5612</v>
      </c>
      <c r="AS11" s="350"/>
      <c r="AT11" s="350">
        <v>0</v>
      </c>
      <c r="AU11" s="350" t="s">
        <v>289</v>
      </c>
      <c r="AV11" s="350"/>
      <c r="AW11" s="532"/>
    </row>
    <row r="12" spans="1:49" ht="12.75">
      <c r="A12" s="350">
        <v>15</v>
      </c>
      <c r="B12" s="350" t="s">
        <v>174</v>
      </c>
      <c r="C12" s="522" t="s">
        <v>72</v>
      </c>
      <c r="D12" s="523">
        <v>44587</v>
      </c>
      <c r="E12" s="350">
        <v>9</v>
      </c>
      <c r="F12" s="350">
        <v>794</v>
      </c>
      <c r="G12" s="524">
        <v>15696</v>
      </c>
      <c r="H12" s="350">
        <v>795</v>
      </c>
      <c r="I12" s="534">
        <v>0</v>
      </c>
      <c r="J12" s="350">
        <v>-1</v>
      </c>
      <c r="K12" s="524">
        <v>0</v>
      </c>
      <c r="L12" s="409"/>
      <c r="M12" s="525">
        <v>1345.79</v>
      </c>
      <c r="N12" s="350" t="s">
        <v>54</v>
      </c>
      <c r="O12" s="525">
        <v>82.83</v>
      </c>
      <c r="P12" s="525">
        <v>82.83</v>
      </c>
      <c r="Q12" s="350">
        <v>0</v>
      </c>
      <c r="R12" s="525">
        <v>82.83</v>
      </c>
      <c r="S12" s="525">
        <v>82.83</v>
      </c>
      <c r="T12" s="350">
        <v>124671</v>
      </c>
      <c r="U12" s="350">
        <v>6928</v>
      </c>
      <c r="V12" s="350"/>
      <c r="W12" s="350">
        <v>0</v>
      </c>
      <c r="X12" s="350" t="s">
        <v>289</v>
      </c>
      <c r="Y12" s="350">
        <v>8.71</v>
      </c>
      <c r="Z12" s="350">
        <v>9.7</v>
      </c>
      <c r="AA12" s="526">
        <v>50.21</v>
      </c>
      <c r="AB12" s="350">
        <v>2382.8</v>
      </c>
      <c r="AC12" s="409">
        <v>3742.7500000000005</v>
      </c>
      <c r="AD12" s="409">
        <v>95.46</v>
      </c>
      <c r="AE12" s="527">
        <v>2.7</v>
      </c>
      <c r="AF12" s="528">
        <v>0.868</v>
      </c>
      <c r="AG12" s="528">
        <v>0.898</v>
      </c>
      <c r="AH12" s="409">
        <v>188.3</v>
      </c>
      <c r="AI12" s="529">
        <v>0.24359</v>
      </c>
      <c r="AJ12" s="526"/>
      <c r="AK12" s="530">
        <v>0.63664</v>
      </c>
      <c r="AL12" s="526"/>
      <c r="AM12" s="526"/>
      <c r="AN12" s="409"/>
      <c r="AO12" s="531"/>
      <c r="AP12" s="350"/>
      <c r="AQ12" s="350">
        <v>124445</v>
      </c>
      <c r="AR12" s="350">
        <v>6850</v>
      </c>
      <c r="AS12" s="350"/>
      <c r="AT12" s="350">
        <v>0</v>
      </c>
      <c r="AU12" s="350" t="s">
        <v>289</v>
      </c>
      <c r="AV12" s="350"/>
      <c r="AW12" s="532"/>
    </row>
    <row r="13" spans="1:49" ht="12.75">
      <c r="A13" s="350">
        <v>15</v>
      </c>
      <c r="B13" s="350" t="s">
        <v>174</v>
      </c>
      <c r="C13" s="522" t="s">
        <v>73</v>
      </c>
      <c r="D13" s="523">
        <v>44613</v>
      </c>
      <c r="E13" s="350">
        <v>9</v>
      </c>
      <c r="F13" s="350">
        <v>624</v>
      </c>
      <c r="G13" s="524">
        <v>16321</v>
      </c>
      <c r="H13" s="350">
        <v>625</v>
      </c>
      <c r="I13" s="350">
        <v>0</v>
      </c>
      <c r="J13" s="524">
        <v>-1</v>
      </c>
      <c r="K13" s="524">
        <v>0</v>
      </c>
      <c r="L13" s="409"/>
      <c r="M13" s="525">
        <v>1408.05</v>
      </c>
      <c r="N13" s="350" t="s">
        <v>54</v>
      </c>
      <c r="O13" s="525">
        <v>62.25999999999999</v>
      </c>
      <c r="P13" s="525">
        <v>62.25999999999999</v>
      </c>
      <c r="Q13" s="350">
        <v>0</v>
      </c>
      <c r="R13" s="525">
        <v>62.25999999999999</v>
      </c>
      <c r="S13" s="525">
        <v>62.25999999999999</v>
      </c>
      <c r="T13" s="350">
        <v>130573</v>
      </c>
      <c r="U13" s="350">
        <v>5902</v>
      </c>
      <c r="V13" s="350"/>
      <c r="W13" s="350">
        <v>0</v>
      </c>
      <c r="X13" s="350" t="s">
        <v>289</v>
      </c>
      <c r="Y13" s="350">
        <v>9.44</v>
      </c>
      <c r="Z13" s="350">
        <v>9.7</v>
      </c>
      <c r="AA13" s="526">
        <v>37.74</v>
      </c>
      <c r="AB13" s="350">
        <v>2382.8</v>
      </c>
      <c r="AC13" s="409">
        <v>3742.7500000000005</v>
      </c>
      <c r="AD13" s="409">
        <v>73.06</v>
      </c>
      <c r="AE13" s="527">
        <v>3.1</v>
      </c>
      <c r="AF13" s="528">
        <v>0.852</v>
      </c>
      <c r="AG13" s="528">
        <v>0.973</v>
      </c>
      <c r="AH13" s="409">
        <v>188.3</v>
      </c>
      <c r="AI13" s="529">
        <v>0.24359</v>
      </c>
      <c r="AJ13" s="526"/>
      <c r="AK13" s="530">
        <v>0.63664</v>
      </c>
      <c r="AL13" s="526"/>
      <c r="AM13" s="526"/>
      <c r="AN13" s="409"/>
      <c r="AO13" s="531"/>
      <c r="AP13" s="350"/>
      <c r="AQ13" s="350">
        <v>130272</v>
      </c>
      <c r="AR13" s="350">
        <v>5827</v>
      </c>
      <c r="AS13" s="350"/>
      <c r="AT13" s="350">
        <v>0</v>
      </c>
      <c r="AU13" s="350" t="s">
        <v>289</v>
      </c>
      <c r="AV13" s="350"/>
      <c r="AW13" s="532"/>
    </row>
    <row r="14" spans="1:49" ht="12.75">
      <c r="A14" s="350">
        <v>15</v>
      </c>
      <c r="B14" s="350" t="s">
        <v>174</v>
      </c>
      <c r="C14" s="522" t="s">
        <v>74</v>
      </c>
      <c r="D14" s="523">
        <v>44645</v>
      </c>
      <c r="E14" s="350">
        <v>10</v>
      </c>
      <c r="F14" s="350">
        <v>769</v>
      </c>
      <c r="G14" s="350">
        <v>17089</v>
      </c>
      <c r="H14" s="350">
        <v>768</v>
      </c>
      <c r="I14" s="350">
        <v>0</v>
      </c>
      <c r="J14" s="350">
        <v>1</v>
      </c>
      <c r="K14" s="524">
        <v>0</v>
      </c>
      <c r="L14" s="409"/>
      <c r="M14" s="525">
        <v>1492.54</v>
      </c>
      <c r="N14" s="350" t="s">
        <v>54</v>
      </c>
      <c r="O14" s="525">
        <v>84.49000000000001</v>
      </c>
      <c r="P14" s="525">
        <v>84.49000000000001</v>
      </c>
      <c r="Q14" s="350">
        <v>0</v>
      </c>
      <c r="R14" s="525">
        <v>84.49000000000001</v>
      </c>
      <c r="S14" s="525">
        <v>84.49000000000001</v>
      </c>
      <c r="T14" s="350">
        <v>137978</v>
      </c>
      <c r="U14" s="350">
        <v>7405</v>
      </c>
      <c r="V14" s="350"/>
      <c r="W14" s="350">
        <v>0</v>
      </c>
      <c r="X14" s="350" t="s">
        <v>289</v>
      </c>
      <c r="Y14" s="350">
        <v>9.64</v>
      </c>
      <c r="Z14" s="350">
        <v>9.7</v>
      </c>
      <c r="AA14" s="526">
        <v>51.21</v>
      </c>
      <c r="AB14" s="350">
        <v>2382.8</v>
      </c>
      <c r="AC14" s="409">
        <v>3742.7500000000005</v>
      </c>
      <c r="AD14" s="409">
        <v>96.08</v>
      </c>
      <c r="AE14" s="527">
        <v>2.1</v>
      </c>
      <c r="AF14" s="528">
        <v>0.879</v>
      </c>
      <c r="AG14" s="528">
        <v>0.994</v>
      </c>
      <c r="AH14" s="409">
        <v>188.3</v>
      </c>
      <c r="AI14" s="529">
        <v>0.24359</v>
      </c>
      <c r="AJ14" s="526"/>
      <c r="AK14" s="530">
        <v>0.63664</v>
      </c>
      <c r="AL14" s="526"/>
      <c r="AM14" s="350"/>
      <c r="AN14" s="409"/>
      <c r="AO14" s="409"/>
      <c r="AP14" s="350"/>
      <c r="AQ14" s="350">
        <v>137663</v>
      </c>
      <c r="AR14" s="350">
        <v>7391</v>
      </c>
      <c r="AS14" s="350"/>
      <c r="AT14" s="350">
        <v>0</v>
      </c>
      <c r="AU14" s="350" t="s">
        <v>289</v>
      </c>
      <c r="AV14" s="350"/>
      <c r="AW14" s="532"/>
    </row>
    <row r="15" spans="1:49" ht="12.75">
      <c r="A15" s="350">
        <v>15</v>
      </c>
      <c r="B15" s="350" t="s">
        <v>174</v>
      </c>
      <c r="C15" s="522" t="s">
        <v>22</v>
      </c>
      <c r="D15" s="523">
        <v>44672</v>
      </c>
      <c r="E15" s="350">
        <v>10</v>
      </c>
      <c r="F15" s="350">
        <v>648</v>
      </c>
      <c r="G15" s="350">
        <v>17737</v>
      </c>
      <c r="H15" s="350">
        <v>648</v>
      </c>
      <c r="I15" s="350">
        <v>0</v>
      </c>
      <c r="J15" s="350">
        <v>0</v>
      </c>
      <c r="K15" s="524">
        <v>0</v>
      </c>
      <c r="L15" s="409"/>
      <c r="M15" s="525">
        <v>1547.31</v>
      </c>
      <c r="N15" s="350" t="s">
        <v>54</v>
      </c>
      <c r="O15" s="525">
        <v>54.76999999999998</v>
      </c>
      <c r="P15" s="525">
        <v>54.76999999999998</v>
      </c>
      <c r="Q15" s="350">
        <v>0</v>
      </c>
      <c r="R15" s="525">
        <v>54.76999999999998</v>
      </c>
      <c r="S15" s="525">
        <v>54.76999999999998</v>
      </c>
      <c r="T15" s="350">
        <v>144341</v>
      </c>
      <c r="U15" s="350">
        <v>6363</v>
      </c>
      <c r="V15" s="350"/>
      <c r="W15" s="350">
        <v>0</v>
      </c>
      <c r="X15" s="350" t="s">
        <v>289</v>
      </c>
      <c r="Y15" s="350">
        <v>9.82</v>
      </c>
      <c r="Z15" s="350">
        <v>9.7</v>
      </c>
      <c r="AA15" s="526">
        <v>33.2</v>
      </c>
      <c r="AB15" s="350">
        <v>2382.8</v>
      </c>
      <c r="AC15" s="409">
        <v>3742.7500000000005</v>
      </c>
      <c r="AD15" s="409">
        <v>46.84</v>
      </c>
      <c r="AE15" s="527">
        <v>8.8</v>
      </c>
      <c r="AF15" s="528">
        <v>1.169</v>
      </c>
      <c r="AG15" s="528">
        <v>1.012</v>
      </c>
      <c r="AH15" s="409">
        <v>188.3</v>
      </c>
      <c r="AI15" s="529">
        <v>0.24359</v>
      </c>
      <c r="AJ15" s="526"/>
      <c r="AK15" s="530">
        <v>0.63664</v>
      </c>
      <c r="AL15" s="526"/>
      <c r="AM15" s="350"/>
      <c r="AN15" s="409"/>
      <c r="AO15" s="409"/>
      <c r="AP15" s="350"/>
      <c r="AQ15" s="350">
        <v>143963</v>
      </c>
      <c r="AR15" s="350">
        <v>6300</v>
      </c>
      <c r="AS15" s="350"/>
      <c r="AT15" s="350">
        <v>0</v>
      </c>
      <c r="AU15" s="350" t="s">
        <v>289</v>
      </c>
      <c r="AV15" s="350"/>
      <c r="AW15" s="532"/>
    </row>
    <row r="16" spans="1:49" ht="12.75">
      <c r="A16" s="535">
        <v>10</v>
      </c>
      <c r="B16" s="535" t="s">
        <v>292</v>
      </c>
      <c r="C16" s="536" t="s">
        <v>20</v>
      </c>
      <c r="D16" s="537">
        <v>44481</v>
      </c>
      <c r="E16" s="535">
        <v>17</v>
      </c>
      <c r="F16" s="535">
        <v>0</v>
      </c>
      <c r="G16" s="535">
        <v>2662</v>
      </c>
      <c r="H16" s="535"/>
      <c r="I16" s="535"/>
      <c r="J16" s="538"/>
      <c r="K16" s="538"/>
      <c r="L16" s="539"/>
      <c r="M16" s="540">
        <v>200.5</v>
      </c>
      <c r="N16" s="535" t="s">
        <v>54</v>
      </c>
      <c r="O16" s="540">
        <v>0</v>
      </c>
      <c r="P16" s="540">
        <v>0</v>
      </c>
      <c r="Q16" s="535"/>
      <c r="R16" s="540">
        <v>0</v>
      </c>
      <c r="S16" s="540">
        <v>0</v>
      </c>
      <c r="T16" s="535">
        <v>20503</v>
      </c>
      <c r="U16" s="535">
        <v>0</v>
      </c>
      <c r="V16" s="535"/>
      <c r="W16" s="535"/>
      <c r="X16" s="535"/>
      <c r="Y16" s="535"/>
      <c r="Z16" s="535">
        <v>8.68</v>
      </c>
      <c r="AA16" s="541"/>
      <c r="AB16" s="535"/>
      <c r="AC16" s="539"/>
      <c r="AD16" s="539"/>
      <c r="AE16" s="542"/>
      <c r="AF16" s="543"/>
      <c r="AG16" s="543"/>
      <c r="AH16" s="409">
        <v>0</v>
      </c>
      <c r="AI16" s="529">
        <v>0.217</v>
      </c>
      <c r="AJ16" s="526"/>
      <c r="AK16" s="530"/>
      <c r="AL16" s="526"/>
      <c r="AM16" s="350"/>
      <c r="AN16" s="409"/>
      <c r="AO16" s="409"/>
      <c r="AP16" s="350"/>
      <c r="AQ16" s="350">
        <v>20514</v>
      </c>
      <c r="AR16" s="350"/>
      <c r="AS16" s="350"/>
      <c r="AT16" s="350"/>
      <c r="AU16" s="350"/>
      <c r="AV16" s="350"/>
      <c r="AW16" s="532"/>
    </row>
    <row r="17" spans="1:49" ht="12.75">
      <c r="A17" s="535">
        <v>10</v>
      </c>
      <c r="B17" s="535" t="s">
        <v>292</v>
      </c>
      <c r="C17" s="536" t="s">
        <v>67</v>
      </c>
      <c r="D17" s="537">
        <v>44496</v>
      </c>
      <c r="E17" s="535">
        <v>9</v>
      </c>
      <c r="F17" s="535">
        <v>352</v>
      </c>
      <c r="G17" s="538">
        <v>3015</v>
      </c>
      <c r="H17" s="535">
        <v>353</v>
      </c>
      <c r="I17" s="535">
        <v>0</v>
      </c>
      <c r="J17" s="538">
        <v>-1</v>
      </c>
      <c r="K17" s="538">
        <v>0</v>
      </c>
      <c r="L17" s="539"/>
      <c r="M17" s="540">
        <v>209.5</v>
      </c>
      <c r="N17" s="535" t="s">
        <v>54</v>
      </c>
      <c r="O17" s="540">
        <v>9</v>
      </c>
      <c r="P17" s="540">
        <v>9</v>
      </c>
      <c r="Q17" s="535">
        <v>0</v>
      </c>
      <c r="R17" s="540">
        <v>9</v>
      </c>
      <c r="S17" s="540">
        <v>9</v>
      </c>
      <c r="T17" s="535">
        <v>22317</v>
      </c>
      <c r="U17" s="535">
        <v>1814</v>
      </c>
      <c r="V17" s="535"/>
      <c r="W17" s="535"/>
      <c r="X17" s="535"/>
      <c r="Y17" s="535">
        <v>5.14</v>
      </c>
      <c r="Z17" s="535">
        <v>8.68</v>
      </c>
      <c r="AA17" s="541">
        <v>9.18</v>
      </c>
      <c r="AB17" s="535">
        <v>3119.7</v>
      </c>
      <c r="AC17" s="539">
        <v>3060</v>
      </c>
      <c r="AD17" s="539">
        <v>19.64</v>
      </c>
      <c r="AE17" s="542">
        <v>11</v>
      </c>
      <c r="AF17" s="543">
        <v>0.458</v>
      </c>
      <c r="AG17" s="543">
        <v>0.592</v>
      </c>
      <c r="AH17" s="409">
        <v>0</v>
      </c>
      <c r="AI17" s="529">
        <v>0.217</v>
      </c>
      <c r="AJ17" s="526"/>
      <c r="AK17" s="530">
        <v>1.01951</v>
      </c>
      <c r="AL17" s="526"/>
      <c r="AM17" s="526"/>
      <c r="AN17" s="409"/>
      <c r="AO17" s="531"/>
      <c r="AP17" s="350"/>
      <c r="AQ17" s="350">
        <v>22335</v>
      </c>
      <c r="AR17" s="350">
        <v>1821</v>
      </c>
      <c r="AS17" s="350"/>
      <c r="AT17" s="350">
        <v>0</v>
      </c>
      <c r="AU17" s="350"/>
      <c r="AV17" s="350"/>
      <c r="AW17" s="532"/>
    </row>
    <row r="18" spans="1:49" ht="12.75">
      <c r="A18" s="535">
        <v>10</v>
      </c>
      <c r="B18" s="535" t="s">
        <v>292</v>
      </c>
      <c r="C18" s="536" t="s">
        <v>69</v>
      </c>
      <c r="D18" s="537">
        <v>44524</v>
      </c>
      <c r="E18" s="535">
        <v>9</v>
      </c>
      <c r="F18" s="535">
        <v>672</v>
      </c>
      <c r="G18" s="535">
        <v>3687</v>
      </c>
      <c r="H18" s="535">
        <v>672</v>
      </c>
      <c r="I18" s="535">
        <v>0</v>
      </c>
      <c r="J18" s="535">
        <v>0</v>
      </c>
      <c r="K18" s="538">
        <v>0</v>
      </c>
      <c r="L18" s="539"/>
      <c r="M18" s="540">
        <v>246.5</v>
      </c>
      <c r="N18" s="535" t="s">
        <v>54</v>
      </c>
      <c r="O18" s="540">
        <v>37</v>
      </c>
      <c r="P18" s="540">
        <v>37</v>
      </c>
      <c r="Q18" s="535">
        <v>0</v>
      </c>
      <c r="R18" s="540">
        <v>37</v>
      </c>
      <c r="S18" s="540">
        <v>37</v>
      </c>
      <c r="T18" s="535">
        <v>27414</v>
      </c>
      <c r="U18" s="535">
        <v>5097</v>
      </c>
      <c r="V18" s="535"/>
      <c r="W18" s="535"/>
      <c r="X18" s="535"/>
      <c r="Y18" s="535">
        <v>7.58</v>
      </c>
      <c r="Z18" s="535">
        <v>8.68</v>
      </c>
      <c r="AA18" s="541">
        <v>37.72</v>
      </c>
      <c r="AB18" s="535">
        <v>3119.7</v>
      </c>
      <c r="AC18" s="539">
        <v>3060</v>
      </c>
      <c r="AD18" s="539">
        <v>52.14</v>
      </c>
      <c r="AE18" s="542">
        <v>8.2</v>
      </c>
      <c r="AF18" s="543">
        <v>0.71</v>
      </c>
      <c r="AG18" s="543">
        <v>0.873</v>
      </c>
      <c r="AH18" s="409">
        <v>0</v>
      </c>
      <c r="AI18" s="529">
        <v>0.217</v>
      </c>
      <c r="AJ18" s="526"/>
      <c r="AK18" s="530">
        <v>1.01951</v>
      </c>
      <c r="AL18" s="526"/>
      <c r="AM18" s="526"/>
      <c r="AN18" s="409"/>
      <c r="AO18" s="531"/>
      <c r="AP18" s="350"/>
      <c r="AQ18" s="350">
        <v>27459</v>
      </c>
      <c r="AR18" s="350">
        <v>5124</v>
      </c>
      <c r="AS18" s="350"/>
      <c r="AT18" s="350">
        <v>0</v>
      </c>
      <c r="AU18" s="350"/>
      <c r="AV18" s="350"/>
      <c r="AW18" s="532"/>
    </row>
    <row r="19" spans="1:49" ht="12.75">
      <c r="A19" s="350" t="s">
        <v>290</v>
      </c>
      <c r="B19" s="350" t="s">
        <v>292</v>
      </c>
      <c r="C19" s="522" t="s">
        <v>70</v>
      </c>
      <c r="D19" s="523">
        <v>44543</v>
      </c>
      <c r="E19" s="350">
        <v>9</v>
      </c>
      <c r="F19" s="350">
        <v>456</v>
      </c>
      <c r="G19" s="350"/>
      <c r="H19" s="350" t="s">
        <v>289</v>
      </c>
      <c r="I19" s="350">
        <v>0</v>
      </c>
      <c r="J19" s="350" t="s">
        <v>289</v>
      </c>
      <c r="K19" s="524">
        <v>0</v>
      </c>
      <c r="L19" s="409"/>
      <c r="M19" s="525">
        <v>300.5</v>
      </c>
      <c r="N19" s="350" t="s">
        <v>54</v>
      </c>
      <c r="O19" s="525">
        <v>54</v>
      </c>
      <c r="P19" s="525">
        <v>54</v>
      </c>
      <c r="Q19" s="350">
        <v>0</v>
      </c>
      <c r="R19" s="525">
        <v>54</v>
      </c>
      <c r="S19" s="525">
        <v>54</v>
      </c>
      <c r="T19" s="350"/>
      <c r="U19" s="350">
        <v>0</v>
      </c>
      <c r="V19" s="350"/>
      <c r="W19" s="350">
        <v>0</v>
      </c>
      <c r="X19" s="350" t="s">
        <v>289</v>
      </c>
      <c r="Y19" s="350" t="s">
        <v>289</v>
      </c>
      <c r="Z19" s="350">
        <v>8.68</v>
      </c>
      <c r="AA19" s="526">
        <v>55.05</v>
      </c>
      <c r="AB19" s="350">
        <v>3119.7</v>
      </c>
      <c r="AC19" s="409">
        <v>3060</v>
      </c>
      <c r="AD19" s="409"/>
      <c r="AE19" s="527"/>
      <c r="AF19" s="528"/>
      <c r="AG19" s="528"/>
      <c r="AH19" s="409">
        <v>0</v>
      </c>
      <c r="AI19" s="529">
        <v>0.217</v>
      </c>
      <c r="AJ19" s="526"/>
      <c r="AK19" s="530">
        <v>1.01951</v>
      </c>
      <c r="AL19" s="526"/>
      <c r="AM19" s="350"/>
      <c r="AN19" s="409"/>
      <c r="AO19" s="409"/>
      <c r="AP19" s="350"/>
      <c r="AQ19" s="350"/>
      <c r="AR19" s="350">
        <v>0</v>
      </c>
      <c r="AS19" s="350"/>
      <c r="AT19" s="350">
        <v>0</v>
      </c>
      <c r="AU19" s="350" t="s">
        <v>289</v>
      </c>
      <c r="AV19" s="350"/>
      <c r="AW19" s="532"/>
    </row>
    <row r="20" spans="1:49" ht="12.75">
      <c r="A20" s="535">
        <v>10</v>
      </c>
      <c r="B20" s="535" t="s">
        <v>292</v>
      </c>
      <c r="C20" s="536" t="s">
        <v>70</v>
      </c>
      <c r="D20" s="537">
        <v>44552</v>
      </c>
      <c r="E20" s="535">
        <v>9</v>
      </c>
      <c r="F20" s="535">
        <v>672</v>
      </c>
      <c r="G20" s="535">
        <v>4358</v>
      </c>
      <c r="H20" s="535">
        <v>671</v>
      </c>
      <c r="I20" s="535">
        <v>0</v>
      </c>
      <c r="J20" s="538">
        <v>1</v>
      </c>
      <c r="K20" s="538">
        <v>0</v>
      </c>
      <c r="L20" s="539"/>
      <c r="M20" s="540">
        <v>287</v>
      </c>
      <c r="N20" s="535" t="s">
        <v>54</v>
      </c>
      <c r="O20" s="540">
        <v>40.5</v>
      </c>
      <c r="P20" s="540">
        <v>40.5</v>
      </c>
      <c r="Q20" s="535">
        <v>0</v>
      </c>
      <c r="R20" s="540">
        <v>40.5</v>
      </c>
      <c r="S20" s="540">
        <v>40.5</v>
      </c>
      <c r="T20" s="535">
        <v>32266</v>
      </c>
      <c r="U20" s="535">
        <v>4852</v>
      </c>
      <c r="V20" s="535"/>
      <c r="W20" s="535">
        <v>0</v>
      </c>
      <c r="X20" s="535" t="s">
        <v>289</v>
      </c>
      <c r="Y20" s="535">
        <v>7.23</v>
      </c>
      <c r="Z20" s="535">
        <v>8.68</v>
      </c>
      <c r="AA20" s="541">
        <v>41.29</v>
      </c>
      <c r="AB20" s="535">
        <v>3119.7</v>
      </c>
      <c r="AC20" s="539">
        <v>3060</v>
      </c>
      <c r="AD20" s="539">
        <v>57.89</v>
      </c>
      <c r="AE20" s="542">
        <v>6.9</v>
      </c>
      <c r="AF20" s="543">
        <v>0.7</v>
      </c>
      <c r="AG20" s="543">
        <v>0.833</v>
      </c>
      <c r="AH20" s="409">
        <v>0</v>
      </c>
      <c r="AI20" s="529">
        <v>0.217</v>
      </c>
      <c r="AJ20" s="526"/>
      <c r="AK20" s="530">
        <v>1.01951</v>
      </c>
      <c r="AL20" s="526"/>
      <c r="AM20" s="526"/>
      <c r="AN20" s="409"/>
      <c r="AO20" s="531"/>
      <c r="AP20" s="350"/>
      <c r="AQ20" s="350">
        <v>32338</v>
      </c>
      <c r="AR20" s="350">
        <v>4879</v>
      </c>
      <c r="AS20" s="350"/>
      <c r="AT20" s="350">
        <v>0</v>
      </c>
      <c r="AU20" s="350" t="s">
        <v>289</v>
      </c>
      <c r="AV20" s="350"/>
      <c r="AW20" s="532"/>
    </row>
    <row r="21" spans="1:49" ht="12.75">
      <c r="A21" s="535">
        <v>10</v>
      </c>
      <c r="B21" s="535" t="s">
        <v>292</v>
      </c>
      <c r="C21" s="536" t="s">
        <v>71</v>
      </c>
      <c r="D21" s="537">
        <v>44561</v>
      </c>
      <c r="E21" s="535">
        <v>24</v>
      </c>
      <c r="F21" s="535">
        <v>231</v>
      </c>
      <c r="G21" s="538">
        <v>4589</v>
      </c>
      <c r="H21" s="535">
        <v>231</v>
      </c>
      <c r="I21" s="535">
        <v>0</v>
      </c>
      <c r="J21" s="538">
        <v>0</v>
      </c>
      <c r="K21" s="538">
        <v>0</v>
      </c>
      <c r="L21" s="539"/>
      <c r="M21" s="540">
        <v>305.1</v>
      </c>
      <c r="N21" s="535" t="s">
        <v>54</v>
      </c>
      <c r="O21" s="540">
        <v>18.100000000000023</v>
      </c>
      <c r="P21" s="540">
        <v>18.100000000000023</v>
      </c>
      <c r="Q21" s="535">
        <v>0</v>
      </c>
      <c r="R21" s="540">
        <v>18.100000000000023</v>
      </c>
      <c r="S21" s="540">
        <v>18.100000000000023</v>
      </c>
      <c r="T21" s="535">
        <v>33952</v>
      </c>
      <c r="U21" s="535">
        <v>1686</v>
      </c>
      <c r="V21" s="535"/>
      <c r="W21" s="535">
        <v>0</v>
      </c>
      <c r="X21" s="535" t="s">
        <v>289</v>
      </c>
      <c r="Y21" s="535">
        <v>7.3</v>
      </c>
      <c r="Z21" s="535">
        <v>8.68</v>
      </c>
      <c r="AA21" s="541">
        <v>18.45</v>
      </c>
      <c r="AB21" s="535">
        <v>3119.7</v>
      </c>
      <c r="AC21" s="539">
        <v>3060</v>
      </c>
      <c r="AD21" s="539">
        <v>27.19</v>
      </c>
      <c r="AE21" s="542">
        <v>2.1</v>
      </c>
      <c r="AF21" s="543">
        <v>0.666</v>
      </c>
      <c r="AG21" s="543">
        <v>0.841</v>
      </c>
      <c r="AH21" s="409">
        <v>0</v>
      </c>
      <c r="AI21" s="529">
        <v>0.217</v>
      </c>
      <c r="AJ21" s="526"/>
      <c r="AK21" s="530">
        <v>1.01951</v>
      </c>
      <c r="AL21" s="526"/>
      <c r="AM21" s="526"/>
      <c r="AN21" s="409"/>
      <c r="AO21" s="531"/>
      <c r="AP21" s="350"/>
      <c r="AQ21" s="350">
        <v>34032</v>
      </c>
      <c r="AR21" s="350">
        <v>1694</v>
      </c>
      <c r="AS21" s="350"/>
      <c r="AT21" s="350">
        <v>0</v>
      </c>
      <c r="AU21" s="350" t="s">
        <v>289</v>
      </c>
      <c r="AV21" s="350"/>
      <c r="AW21" s="532"/>
    </row>
    <row r="22" spans="1:49" ht="12.75">
      <c r="A22" s="535">
        <v>10</v>
      </c>
      <c r="B22" s="535" t="s">
        <v>292</v>
      </c>
      <c r="C22" s="536" t="s">
        <v>72</v>
      </c>
      <c r="D22" s="537">
        <v>44586</v>
      </c>
      <c r="E22" s="535">
        <v>9</v>
      </c>
      <c r="F22" s="535">
        <v>816</v>
      </c>
      <c r="G22" s="538">
        <v>585</v>
      </c>
      <c r="H22" s="535">
        <v>816</v>
      </c>
      <c r="I22" s="535">
        <v>0</v>
      </c>
      <c r="J22" s="538">
        <v>0</v>
      </c>
      <c r="K22" s="538">
        <v>0</v>
      </c>
      <c r="L22" s="539"/>
      <c r="M22" s="540">
        <v>51</v>
      </c>
      <c r="N22" s="535" t="s">
        <v>54</v>
      </c>
      <c r="O22" s="540">
        <v>51</v>
      </c>
      <c r="P22" s="540">
        <v>51</v>
      </c>
      <c r="Q22" s="535">
        <v>0</v>
      </c>
      <c r="R22" s="540">
        <v>69.10000000000002</v>
      </c>
      <c r="S22" s="540">
        <v>69.10000000000002</v>
      </c>
      <c r="T22" s="535">
        <v>4532</v>
      </c>
      <c r="U22" s="535">
        <v>6218</v>
      </c>
      <c r="V22" s="535"/>
      <c r="W22" s="535">
        <v>0</v>
      </c>
      <c r="X22" s="535" t="s">
        <v>289</v>
      </c>
      <c r="Y22" s="535">
        <v>7.62</v>
      </c>
      <c r="Z22" s="535">
        <v>8.68</v>
      </c>
      <c r="AA22" s="541">
        <v>70.44</v>
      </c>
      <c r="AB22" s="535">
        <v>3119.33</v>
      </c>
      <c r="AC22" s="539">
        <v>3060</v>
      </c>
      <c r="AD22" s="539">
        <v>94.44</v>
      </c>
      <c r="AE22" s="542">
        <v>2.4</v>
      </c>
      <c r="AF22" s="543">
        <v>0.732</v>
      </c>
      <c r="AG22" s="543">
        <v>0.878</v>
      </c>
      <c r="AH22" s="409">
        <v>0</v>
      </c>
      <c r="AI22" s="529">
        <v>0.217</v>
      </c>
      <c r="AJ22" s="526"/>
      <c r="AK22" s="530">
        <v>1.01939</v>
      </c>
      <c r="AL22" s="526"/>
      <c r="AM22" s="526"/>
      <c r="AN22" s="409"/>
      <c r="AO22" s="531"/>
      <c r="AP22" s="350"/>
      <c r="AQ22" s="350">
        <v>4557</v>
      </c>
      <c r="AR22" s="350">
        <v>6251</v>
      </c>
      <c r="AS22" s="350"/>
      <c r="AT22" s="350">
        <v>0</v>
      </c>
      <c r="AU22" s="350" t="s">
        <v>289</v>
      </c>
      <c r="AV22" s="350"/>
      <c r="AW22" s="532"/>
    </row>
    <row r="23" spans="1:49" ht="12.75">
      <c r="A23" s="535">
        <v>10</v>
      </c>
      <c r="B23" s="535" t="s">
        <v>292</v>
      </c>
      <c r="C23" s="536" t="s">
        <v>73</v>
      </c>
      <c r="D23" s="537">
        <v>44613</v>
      </c>
      <c r="E23" s="535">
        <v>9</v>
      </c>
      <c r="F23" s="535">
        <v>648</v>
      </c>
      <c r="G23" s="538">
        <v>1230</v>
      </c>
      <c r="H23" s="535">
        <v>645</v>
      </c>
      <c r="I23" s="535">
        <v>0</v>
      </c>
      <c r="J23" s="538">
        <v>3</v>
      </c>
      <c r="K23" s="538">
        <v>0</v>
      </c>
      <c r="L23" s="539"/>
      <c r="M23" s="540">
        <v>104</v>
      </c>
      <c r="N23" s="535" t="s">
        <v>54</v>
      </c>
      <c r="O23" s="540">
        <v>53</v>
      </c>
      <c r="P23" s="540">
        <v>53</v>
      </c>
      <c r="Q23" s="535">
        <v>0</v>
      </c>
      <c r="R23" s="540">
        <v>53</v>
      </c>
      <c r="S23" s="540">
        <v>53</v>
      </c>
      <c r="T23" s="535">
        <v>10005</v>
      </c>
      <c r="U23" s="535">
        <v>5473</v>
      </c>
      <c r="V23" s="535"/>
      <c r="W23" s="535">
        <v>0</v>
      </c>
      <c r="X23" s="535" t="s">
        <v>289</v>
      </c>
      <c r="Y23" s="535">
        <v>8.49</v>
      </c>
      <c r="Z23" s="535">
        <v>8.68</v>
      </c>
      <c r="AA23" s="541">
        <v>54.03</v>
      </c>
      <c r="AB23" s="535">
        <v>3119.33</v>
      </c>
      <c r="AC23" s="539">
        <v>3060</v>
      </c>
      <c r="AD23" s="539">
        <v>72.86</v>
      </c>
      <c r="AE23" s="542">
        <v>2.9</v>
      </c>
      <c r="AF23" s="543">
        <v>0.727</v>
      </c>
      <c r="AG23" s="543">
        <v>0.978</v>
      </c>
      <c r="AH23" s="409">
        <v>0</v>
      </c>
      <c r="AI23" s="529">
        <v>0.217</v>
      </c>
      <c r="AJ23" s="526"/>
      <c r="AK23" s="530">
        <v>1.01939</v>
      </c>
      <c r="AL23" s="526"/>
      <c r="AM23" s="526"/>
      <c r="AN23" s="409"/>
      <c r="AO23" s="531"/>
      <c r="AP23" s="350"/>
      <c r="AQ23" s="350">
        <v>10050</v>
      </c>
      <c r="AR23" s="350">
        <v>5493</v>
      </c>
      <c r="AS23" s="350"/>
      <c r="AT23" s="350">
        <v>0</v>
      </c>
      <c r="AU23" s="350" t="s">
        <v>289</v>
      </c>
      <c r="AV23" s="350"/>
      <c r="AW23" s="532"/>
    </row>
    <row r="24" spans="1:49" ht="12.75">
      <c r="A24" s="535">
        <v>10</v>
      </c>
      <c r="B24" s="535" t="s">
        <v>292</v>
      </c>
      <c r="C24" s="536" t="s">
        <v>74</v>
      </c>
      <c r="D24" s="537">
        <v>44645</v>
      </c>
      <c r="E24" s="535">
        <v>9</v>
      </c>
      <c r="F24" s="535">
        <v>768</v>
      </c>
      <c r="G24" s="535">
        <v>1999</v>
      </c>
      <c r="H24" s="535">
        <v>769</v>
      </c>
      <c r="I24" s="535">
        <v>0</v>
      </c>
      <c r="J24" s="535">
        <v>-1</v>
      </c>
      <c r="K24" s="538">
        <v>0</v>
      </c>
      <c r="L24" s="539"/>
      <c r="M24" s="540">
        <v>171</v>
      </c>
      <c r="N24" s="535" t="s">
        <v>54</v>
      </c>
      <c r="O24" s="540">
        <v>67</v>
      </c>
      <c r="P24" s="540">
        <v>67</v>
      </c>
      <c r="Q24" s="535">
        <v>0</v>
      </c>
      <c r="R24" s="540">
        <v>67</v>
      </c>
      <c r="S24" s="540">
        <v>67</v>
      </c>
      <c r="T24" s="535">
        <v>16597</v>
      </c>
      <c r="U24" s="535">
        <v>6592</v>
      </c>
      <c r="V24" s="535"/>
      <c r="W24" s="535">
        <v>0</v>
      </c>
      <c r="X24" s="535" t="s">
        <v>289</v>
      </c>
      <c r="Y24" s="535">
        <v>8.57</v>
      </c>
      <c r="Z24" s="535">
        <v>8.68</v>
      </c>
      <c r="AA24" s="541">
        <v>68.3</v>
      </c>
      <c r="AB24" s="535">
        <v>3119.33</v>
      </c>
      <c r="AC24" s="539">
        <v>3060</v>
      </c>
      <c r="AD24" s="539">
        <v>90.4</v>
      </c>
      <c r="AE24" s="542">
        <v>2.1</v>
      </c>
      <c r="AF24" s="543">
        <v>0.741</v>
      </c>
      <c r="AG24" s="543">
        <v>0.987</v>
      </c>
      <c r="AH24" s="409">
        <v>0</v>
      </c>
      <c r="AI24" s="529">
        <v>0.217</v>
      </c>
      <c r="AJ24" s="526"/>
      <c r="AK24" s="530">
        <v>1.01939</v>
      </c>
      <c r="AL24" s="526"/>
      <c r="AM24" s="350"/>
      <c r="AN24" s="409"/>
      <c r="AO24" s="409"/>
      <c r="AP24" s="350"/>
      <c r="AQ24" s="350">
        <v>16659</v>
      </c>
      <c r="AR24" s="350">
        <v>6609</v>
      </c>
      <c r="AS24" s="350"/>
      <c r="AT24" s="350">
        <v>0</v>
      </c>
      <c r="AU24" s="350" t="s">
        <v>289</v>
      </c>
      <c r="AV24" s="350"/>
      <c r="AW24" s="532"/>
    </row>
    <row r="25" spans="1:49" ht="12.75">
      <c r="A25" s="535">
        <v>10</v>
      </c>
      <c r="B25" s="535" t="s">
        <v>292</v>
      </c>
      <c r="C25" s="536" t="s">
        <v>22</v>
      </c>
      <c r="D25" s="537">
        <v>44672</v>
      </c>
      <c r="E25" s="535">
        <v>9</v>
      </c>
      <c r="F25" s="535">
        <v>648</v>
      </c>
      <c r="G25" s="535">
        <v>2647</v>
      </c>
      <c r="H25" s="535">
        <v>648</v>
      </c>
      <c r="I25" s="535">
        <v>0</v>
      </c>
      <c r="J25" s="535">
        <v>0</v>
      </c>
      <c r="K25" s="538">
        <v>0</v>
      </c>
      <c r="L25" s="539"/>
      <c r="M25" s="540">
        <v>205.42</v>
      </c>
      <c r="N25" s="535" t="s">
        <v>54</v>
      </c>
      <c r="O25" s="540">
        <v>34.41999999999999</v>
      </c>
      <c r="P25" s="540">
        <v>34.41999999999999</v>
      </c>
      <c r="Q25" s="535">
        <v>0</v>
      </c>
      <c r="R25" s="540">
        <v>34.41999999999999</v>
      </c>
      <c r="S25" s="540">
        <v>34.41999999999999</v>
      </c>
      <c r="T25" s="535">
        <v>21915</v>
      </c>
      <c r="U25" s="535">
        <v>5318</v>
      </c>
      <c r="V25" s="535"/>
      <c r="W25" s="535">
        <v>0</v>
      </c>
      <c r="X25" s="535" t="s">
        <v>289</v>
      </c>
      <c r="Y25" s="535">
        <v>8.21</v>
      </c>
      <c r="Z25" s="535">
        <v>8.68</v>
      </c>
      <c r="AA25" s="541">
        <v>35.09</v>
      </c>
      <c r="AB25" s="535">
        <v>3119.33</v>
      </c>
      <c r="AC25" s="539">
        <v>3060</v>
      </c>
      <c r="AD25" s="539">
        <v>47.72</v>
      </c>
      <c r="AE25" s="542">
        <v>8.8</v>
      </c>
      <c r="AF25" s="543">
        <v>0.721</v>
      </c>
      <c r="AG25" s="543">
        <v>0.946</v>
      </c>
      <c r="AH25" s="409">
        <v>0</v>
      </c>
      <c r="AI25" s="529">
        <v>0.217</v>
      </c>
      <c r="AJ25" s="526"/>
      <c r="AK25" s="530">
        <v>1.01939</v>
      </c>
      <c r="AL25" s="526"/>
      <c r="AM25" s="350"/>
      <c r="AN25" s="409"/>
      <c r="AO25" s="409"/>
      <c r="AP25" s="350"/>
      <c r="AQ25" s="350">
        <v>21993</v>
      </c>
      <c r="AR25" s="350">
        <v>5334</v>
      </c>
      <c r="AS25" s="350"/>
      <c r="AT25" s="350">
        <v>0</v>
      </c>
      <c r="AU25" s="350" t="s">
        <v>289</v>
      </c>
      <c r="AV25" s="350"/>
      <c r="AW25" s="532"/>
    </row>
    <row r="26" spans="1:49" ht="12.75">
      <c r="A26" s="350">
        <v>11</v>
      </c>
      <c r="B26" s="350" t="s">
        <v>200</v>
      </c>
      <c r="C26" s="522" t="s">
        <v>20</v>
      </c>
      <c r="D26" s="523">
        <v>44481</v>
      </c>
      <c r="E26" s="350">
        <v>17</v>
      </c>
      <c r="F26" s="350">
        <v>0</v>
      </c>
      <c r="G26" s="524">
        <v>17069</v>
      </c>
      <c r="H26" s="350"/>
      <c r="I26" s="350"/>
      <c r="J26" s="524"/>
      <c r="K26" s="524"/>
      <c r="L26" s="409"/>
      <c r="M26" s="525">
        <v>988.6</v>
      </c>
      <c r="N26" s="350" t="s">
        <v>54</v>
      </c>
      <c r="O26" s="525">
        <v>0</v>
      </c>
      <c r="P26" s="525">
        <v>0</v>
      </c>
      <c r="Q26" s="350"/>
      <c r="R26" s="525">
        <v>0</v>
      </c>
      <c r="S26" s="525">
        <v>0</v>
      </c>
      <c r="T26" s="350">
        <v>80926</v>
      </c>
      <c r="U26" s="350">
        <v>0</v>
      </c>
      <c r="V26" s="350"/>
      <c r="W26" s="350"/>
      <c r="X26" s="350"/>
      <c r="Y26" s="350"/>
      <c r="Z26" s="350">
        <v>12.7</v>
      </c>
      <c r="AA26" s="526"/>
      <c r="AB26" s="350"/>
      <c r="AC26" s="409"/>
      <c r="AD26" s="409"/>
      <c r="AE26" s="527"/>
      <c r="AF26" s="528"/>
      <c r="AG26" s="528"/>
      <c r="AH26" s="409">
        <v>0</v>
      </c>
      <c r="AI26" s="529">
        <v>0.31752</v>
      </c>
      <c r="AJ26" s="526"/>
      <c r="AK26" s="530"/>
      <c r="AL26" s="526"/>
      <c r="AM26" s="526"/>
      <c r="AN26" s="409"/>
      <c r="AO26" s="531"/>
      <c r="AP26" s="350"/>
      <c r="AQ26" s="350">
        <v>78733</v>
      </c>
      <c r="AR26" s="350"/>
      <c r="AS26" s="350"/>
      <c r="AT26" s="350"/>
      <c r="AU26" s="350"/>
      <c r="AV26" s="350"/>
      <c r="AW26" s="532"/>
    </row>
    <row r="27" spans="1:49" ht="12.75">
      <c r="A27" s="350">
        <v>11</v>
      </c>
      <c r="B27" s="350" t="s">
        <v>200</v>
      </c>
      <c r="C27" s="522" t="s">
        <v>67</v>
      </c>
      <c r="D27" s="523">
        <v>44495</v>
      </c>
      <c r="E27" s="350">
        <v>7</v>
      </c>
      <c r="F27" s="350">
        <v>326</v>
      </c>
      <c r="G27" s="524">
        <v>17395</v>
      </c>
      <c r="H27" s="350">
        <v>326</v>
      </c>
      <c r="I27" s="350">
        <v>0</v>
      </c>
      <c r="J27" s="524">
        <v>0</v>
      </c>
      <c r="K27" s="524">
        <v>0</v>
      </c>
      <c r="L27" s="409"/>
      <c r="M27" s="525">
        <v>1006.9</v>
      </c>
      <c r="N27" s="350" t="s">
        <v>54</v>
      </c>
      <c r="O27" s="525">
        <v>18.299999999999955</v>
      </c>
      <c r="P27" s="525">
        <v>18.299999999999955</v>
      </c>
      <c r="Q27" s="350">
        <v>0</v>
      </c>
      <c r="R27" s="525">
        <v>18.299999999999955</v>
      </c>
      <c r="S27" s="525">
        <v>18.299999999999955</v>
      </c>
      <c r="T27" s="350">
        <v>84429</v>
      </c>
      <c r="U27" s="350">
        <v>3503</v>
      </c>
      <c r="V27" s="350"/>
      <c r="W27" s="350">
        <v>0</v>
      </c>
      <c r="X27" s="350" t="s">
        <v>289</v>
      </c>
      <c r="Y27" s="350">
        <v>10.75</v>
      </c>
      <c r="Z27" s="350">
        <v>12.7</v>
      </c>
      <c r="AA27" s="526">
        <v>8.29</v>
      </c>
      <c r="AB27" s="350">
        <v>2382.8</v>
      </c>
      <c r="AC27" s="409">
        <v>5188.400000000003</v>
      </c>
      <c r="AD27" s="409">
        <v>22.37</v>
      </c>
      <c r="AE27" s="527">
        <v>11.3</v>
      </c>
      <c r="AF27" s="528">
        <v>0.818</v>
      </c>
      <c r="AG27" s="528">
        <v>0.846</v>
      </c>
      <c r="AH27" s="409">
        <v>0</v>
      </c>
      <c r="AI27" s="529">
        <v>0.31752</v>
      </c>
      <c r="AJ27" s="526"/>
      <c r="AK27" s="530">
        <v>0.45926</v>
      </c>
      <c r="AL27" s="526"/>
      <c r="AM27" s="526"/>
      <c r="AN27" s="409"/>
      <c r="AO27" s="531"/>
      <c r="AP27" s="350"/>
      <c r="AQ27" s="350">
        <v>82131</v>
      </c>
      <c r="AR27" s="350">
        <v>3398</v>
      </c>
      <c r="AS27" s="350"/>
      <c r="AT27" s="350">
        <v>0</v>
      </c>
      <c r="AU27" s="350" t="s">
        <v>289</v>
      </c>
      <c r="AV27" s="350"/>
      <c r="AW27" s="532"/>
    </row>
    <row r="28" spans="1:49" ht="12.75">
      <c r="A28" s="350">
        <v>11</v>
      </c>
      <c r="B28" s="350" t="s">
        <v>200</v>
      </c>
      <c r="C28" s="522" t="s">
        <v>69</v>
      </c>
      <c r="D28" s="523">
        <v>44524</v>
      </c>
      <c r="E28" s="350">
        <v>6</v>
      </c>
      <c r="F28" s="350">
        <v>695</v>
      </c>
      <c r="G28" s="350">
        <v>18091</v>
      </c>
      <c r="H28" s="350">
        <v>696</v>
      </c>
      <c r="I28" s="350">
        <v>0</v>
      </c>
      <c r="J28" s="524">
        <v>-1</v>
      </c>
      <c r="K28" s="524">
        <v>0</v>
      </c>
      <c r="L28" s="409"/>
      <c r="M28" s="525">
        <v>1071.5</v>
      </c>
      <c r="N28" s="350" t="s">
        <v>54</v>
      </c>
      <c r="O28" s="525">
        <v>64.60000000000002</v>
      </c>
      <c r="P28" s="525">
        <v>64.60000000000002</v>
      </c>
      <c r="Q28" s="350">
        <v>0</v>
      </c>
      <c r="R28" s="525">
        <v>64.60000000000002</v>
      </c>
      <c r="S28" s="525">
        <v>64.60000000000002</v>
      </c>
      <c r="T28" s="350">
        <v>90885</v>
      </c>
      <c r="U28" s="350">
        <v>6456</v>
      </c>
      <c r="V28" s="350"/>
      <c r="W28" s="350">
        <v>0</v>
      </c>
      <c r="X28" s="350" t="s">
        <v>289</v>
      </c>
      <c r="Y28" s="350">
        <v>9.28</v>
      </c>
      <c r="Z28" s="350">
        <v>12.7</v>
      </c>
      <c r="AA28" s="526">
        <v>29.67</v>
      </c>
      <c r="AB28" s="350">
        <v>2382.8</v>
      </c>
      <c r="AC28" s="409">
        <v>5188.400000000003</v>
      </c>
      <c r="AD28" s="409">
        <v>69.76</v>
      </c>
      <c r="AE28" s="527">
        <v>8.2</v>
      </c>
      <c r="AF28" s="528">
        <v>0.926</v>
      </c>
      <c r="AG28" s="528">
        <v>0.731</v>
      </c>
      <c r="AH28" s="409">
        <v>0</v>
      </c>
      <c r="AI28" s="529">
        <v>0.31752</v>
      </c>
      <c r="AJ28" s="526"/>
      <c r="AK28" s="530">
        <v>0.45926</v>
      </c>
      <c r="AL28" s="526"/>
      <c r="AM28" s="350"/>
      <c r="AN28" s="409"/>
      <c r="AO28" s="409"/>
      <c r="AP28" s="350"/>
      <c r="AQ28" s="350">
        <v>88413</v>
      </c>
      <c r="AR28" s="350">
        <v>6282</v>
      </c>
      <c r="AS28" s="350"/>
      <c r="AT28" s="350">
        <v>0</v>
      </c>
      <c r="AU28" s="350" t="s">
        <v>289</v>
      </c>
      <c r="AV28" s="350"/>
      <c r="AW28" s="532"/>
    </row>
    <row r="29" spans="1:49" ht="12.75">
      <c r="A29" s="350">
        <v>11</v>
      </c>
      <c r="B29" s="350" t="s">
        <v>200</v>
      </c>
      <c r="C29" s="522" t="s">
        <v>70</v>
      </c>
      <c r="D29" s="523">
        <v>44552</v>
      </c>
      <c r="E29" s="350">
        <v>6</v>
      </c>
      <c r="F29" s="350">
        <v>672</v>
      </c>
      <c r="G29" s="524">
        <v>18763</v>
      </c>
      <c r="H29" s="350">
        <v>672</v>
      </c>
      <c r="I29" s="350">
        <v>0</v>
      </c>
      <c r="J29" s="524">
        <v>0</v>
      </c>
      <c r="K29" s="524">
        <v>0</v>
      </c>
      <c r="L29" s="409"/>
      <c r="M29" s="525">
        <v>1139.7</v>
      </c>
      <c r="N29" s="350" t="s">
        <v>54</v>
      </c>
      <c r="O29" s="525">
        <v>68.20000000000005</v>
      </c>
      <c r="P29" s="525">
        <v>68.20000000000005</v>
      </c>
      <c r="Q29" s="350">
        <v>0</v>
      </c>
      <c r="R29" s="525">
        <v>68.20000000000005</v>
      </c>
      <c r="S29" s="525">
        <v>68.20000000000005</v>
      </c>
      <c r="T29" s="350">
        <v>96794</v>
      </c>
      <c r="U29" s="350">
        <v>5909</v>
      </c>
      <c r="V29" s="350"/>
      <c r="W29" s="350">
        <v>0</v>
      </c>
      <c r="X29" s="350" t="s">
        <v>289</v>
      </c>
      <c r="Y29" s="350">
        <v>8.79</v>
      </c>
      <c r="Z29" s="350">
        <v>12.7</v>
      </c>
      <c r="AA29" s="526">
        <v>31.32</v>
      </c>
      <c r="AB29" s="350">
        <v>2382.8</v>
      </c>
      <c r="AC29" s="409">
        <v>5188.400000000003</v>
      </c>
      <c r="AD29" s="409">
        <v>76.4</v>
      </c>
      <c r="AE29" s="527">
        <v>6.9</v>
      </c>
      <c r="AF29" s="528">
        <v>0.893</v>
      </c>
      <c r="AG29" s="528">
        <v>0.692</v>
      </c>
      <c r="AH29" s="409">
        <v>0</v>
      </c>
      <c r="AI29" s="529">
        <v>0.31752</v>
      </c>
      <c r="AJ29" s="526"/>
      <c r="AK29" s="530">
        <v>0.45926</v>
      </c>
      <c r="AL29" s="526"/>
      <c r="AM29" s="526"/>
      <c r="AN29" s="409"/>
      <c r="AO29" s="531"/>
      <c r="AP29" s="350"/>
      <c r="AQ29" s="350">
        <v>94099</v>
      </c>
      <c r="AR29" s="350">
        <v>5686</v>
      </c>
      <c r="AS29" s="350"/>
      <c r="AT29" s="350">
        <v>0</v>
      </c>
      <c r="AU29" s="350" t="s">
        <v>289</v>
      </c>
      <c r="AV29" s="350"/>
      <c r="AW29" s="532"/>
    </row>
    <row r="30" spans="1:49" ht="12.75">
      <c r="A30" s="350">
        <v>11</v>
      </c>
      <c r="B30" s="350" t="s">
        <v>200</v>
      </c>
      <c r="C30" s="522" t="s">
        <v>72</v>
      </c>
      <c r="D30" s="523">
        <v>44585</v>
      </c>
      <c r="E30" s="350">
        <v>7</v>
      </c>
      <c r="F30" s="350">
        <v>793</v>
      </c>
      <c r="G30" s="350">
        <v>19555</v>
      </c>
      <c r="H30" s="350">
        <v>792</v>
      </c>
      <c r="I30" s="350">
        <v>0</v>
      </c>
      <c r="J30" s="524">
        <v>1</v>
      </c>
      <c r="K30" s="524">
        <v>0</v>
      </c>
      <c r="L30" s="409"/>
      <c r="M30" s="525">
        <v>1253.8</v>
      </c>
      <c r="N30" s="350" t="s">
        <v>54</v>
      </c>
      <c r="O30" s="525">
        <v>114.09999999999991</v>
      </c>
      <c r="P30" s="525">
        <v>114.09999999999991</v>
      </c>
      <c r="Q30" s="350">
        <v>0</v>
      </c>
      <c r="R30" s="525">
        <v>114.09999999999991</v>
      </c>
      <c r="S30" s="525">
        <v>114.09999999999991</v>
      </c>
      <c r="T30" s="350">
        <v>104228</v>
      </c>
      <c r="U30" s="350">
        <v>7434</v>
      </c>
      <c r="V30" s="350"/>
      <c r="W30" s="350">
        <v>0</v>
      </c>
      <c r="X30" s="350" t="s">
        <v>289</v>
      </c>
      <c r="Y30" s="350">
        <v>9.39</v>
      </c>
      <c r="Z30" s="350">
        <v>12.7</v>
      </c>
      <c r="AA30" s="526">
        <v>52.4</v>
      </c>
      <c r="AB30" s="350">
        <v>2382.8</v>
      </c>
      <c r="AC30" s="409">
        <v>5188.400000000003</v>
      </c>
      <c r="AD30" s="409">
        <v>125.9</v>
      </c>
      <c r="AE30" s="527">
        <v>2.5</v>
      </c>
      <c r="AF30" s="528">
        <v>0.906</v>
      </c>
      <c r="AG30" s="528">
        <v>0.739</v>
      </c>
      <c r="AH30" s="409">
        <v>0</v>
      </c>
      <c r="AI30" s="529">
        <v>0.31752</v>
      </c>
      <c r="AJ30" s="526"/>
      <c r="AK30" s="530">
        <v>0.45926</v>
      </c>
      <c r="AL30" s="526"/>
      <c r="AM30" s="526"/>
      <c r="AN30" s="409"/>
      <c r="AO30" s="531"/>
      <c r="AP30" s="350"/>
      <c r="AQ30" s="350">
        <v>101336</v>
      </c>
      <c r="AR30" s="350">
        <v>7237</v>
      </c>
      <c r="AS30" s="350"/>
      <c r="AT30" s="350">
        <v>0</v>
      </c>
      <c r="AU30" s="350" t="s">
        <v>289</v>
      </c>
      <c r="AV30" s="350"/>
      <c r="AW30" s="532"/>
    </row>
    <row r="31" spans="1:49" ht="12.75">
      <c r="A31" s="350">
        <v>11</v>
      </c>
      <c r="B31" s="350" t="s">
        <v>200</v>
      </c>
      <c r="C31" s="522" t="s">
        <v>73</v>
      </c>
      <c r="D31" s="523">
        <v>44612</v>
      </c>
      <c r="E31" s="350">
        <v>7</v>
      </c>
      <c r="F31" s="350">
        <v>648</v>
      </c>
      <c r="G31" s="524">
        <v>20203</v>
      </c>
      <c r="H31" s="350">
        <v>648</v>
      </c>
      <c r="I31" s="350">
        <v>0</v>
      </c>
      <c r="J31" s="524">
        <v>0</v>
      </c>
      <c r="K31" s="524">
        <v>0</v>
      </c>
      <c r="L31" s="409"/>
      <c r="M31" s="525">
        <v>1340.6</v>
      </c>
      <c r="N31" s="350" t="s">
        <v>54</v>
      </c>
      <c r="O31" s="525">
        <v>86.79999999999995</v>
      </c>
      <c r="P31" s="525">
        <v>86.79999999999995</v>
      </c>
      <c r="Q31" s="350">
        <v>0</v>
      </c>
      <c r="R31" s="525">
        <v>86.79999999999995</v>
      </c>
      <c r="S31" s="525">
        <v>86.79999999999995</v>
      </c>
      <c r="T31" s="350">
        <v>109749</v>
      </c>
      <c r="U31" s="350">
        <v>5521</v>
      </c>
      <c r="V31" s="350"/>
      <c r="W31" s="350">
        <v>0</v>
      </c>
      <c r="X31" s="350" t="s">
        <v>289</v>
      </c>
      <c r="Y31" s="350">
        <v>8.52</v>
      </c>
      <c r="Z31" s="350">
        <v>12.7</v>
      </c>
      <c r="AA31" s="526">
        <v>39.86</v>
      </c>
      <c r="AB31" s="350">
        <v>2382.8</v>
      </c>
      <c r="AC31" s="409">
        <v>5188.400000000003</v>
      </c>
      <c r="AD31" s="409">
        <v>102.88</v>
      </c>
      <c r="AE31" s="527">
        <v>2.5</v>
      </c>
      <c r="AF31" s="528">
        <v>0.844</v>
      </c>
      <c r="AG31" s="528">
        <v>0.671</v>
      </c>
      <c r="AH31" s="409">
        <v>0</v>
      </c>
      <c r="AI31" s="529">
        <v>0.31752</v>
      </c>
      <c r="AJ31" s="526"/>
      <c r="AK31" s="530">
        <v>0.45926</v>
      </c>
      <c r="AL31" s="526"/>
      <c r="AM31" s="526"/>
      <c r="AN31" s="409"/>
      <c r="AO31" s="531"/>
      <c r="AP31" s="350"/>
      <c r="AQ31" s="350">
        <v>106693</v>
      </c>
      <c r="AR31" s="350">
        <v>5357</v>
      </c>
      <c r="AS31" s="350"/>
      <c r="AT31" s="350">
        <v>0</v>
      </c>
      <c r="AU31" s="350" t="s">
        <v>289</v>
      </c>
      <c r="AV31" s="350"/>
      <c r="AW31" s="532"/>
    </row>
    <row r="32" spans="1:49" ht="12.75">
      <c r="A32" s="544">
        <v>11</v>
      </c>
      <c r="B32" s="350" t="s">
        <v>200</v>
      </c>
      <c r="C32" s="522" t="s">
        <v>74</v>
      </c>
      <c r="D32" s="523">
        <v>44643</v>
      </c>
      <c r="E32" s="350">
        <v>7</v>
      </c>
      <c r="F32" s="350">
        <v>744</v>
      </c>
      <c r="G32" s="524">
        <v>20947</v>
      </c>
      <c r="H32" s="350">
        <v>744</v>
      </c>
      <c r="I32" s="350">
        <v>0</v>
      </c>
      <c r="J32" s="350">
        <v>0</v>
      </c>
      <c r="K32" s="524">
        <v>0</v>
      </c>
      <c r="L32" s="409"/>
      <c r="M32" s="525">
        <v>1443.5</v>
      </c>
      <c r="N32" s="350" t="s">
        <v>54</v>
      </c>
      <c r="O32" s="525">
        <v>102.90000000000009</v>
      </c>
      <c r="P32" s="525">
        <v>102.90000000000009</v>
      </c>
      <c r="Q32" s="350">
        <v>0</v>
      </c>
      <c r="R32" s="525">
        <v>102.90000000000009</v>
      </c>
      <c r="S32" s="525">
        <v>102.90000000000009</v>
      </c>
      <c r="T32" s="350">
        <v>116155</v>
      </c>
      <c r="U32" s="350">
        <v>6406</v>
      </c>
      <c r="V32" s="350"/>
      <c r="W32" s="350">
        <v>0</v>
      </c>
      <c r="X32" s="545" t="s">
        <v>289</v>
      </c>
      <c r="Y32" s="350">
        <v>8.61</v>
      </c>
      <c r="Z32" s="350">
        <v>12.7</v>
      </c>
      <c r="AA32" s="526">
        <v>47.26</v>
      </c>
      <c r="AB32" s="350">
        <v>2382.8</v>
      </c>
      <c r="AC32" s="409">
        <v>5188.400000000003</v>
      </c>
      <c r="AD32" s="409">
        <v>121.17</v>
      </c>
      <c r="AE32" s="527">
        <v>2.1</v>
      </c>
      <c r="AF32" s="528">
        <v>0.849</v>
      </c>
      <c r="AG32" s="528">
        <v>0.678</v>
      </c>
      <c r="AH32" s="409">
        <v>0</v>
      </c>
      <c r="AI32" s="529">
        <v>0.31752</v>
      </c>
      <c r="AJ32" s="526"/>
      <c r="AK32" s="530">
        <v>0.45926</v>
      </c>
      <c r="AL32" s="526"/>
      <c r="AM32" s="526"/>
      <c r="AN32" s="409"/>
      <c r="AO32" s="531"/>
      <c r="AP32" s="350"/>
      <c r="AQ32" s="350">
        <v>112901</v>
      </c>
      <c r="AR32" s="350">
        <v>6208</v>
      </c>
      <c r="AS32" s="350"/>
      <c r="AT32" s="350">
        <v>0</v>
      </c>
      <c r="AU32" s="350" t="s">
        <v>289</v>
      </c>
      <c r="AV32" s="350"/>
      <c r="AW32" s="532"/>
    </row>
    <row r="33" spans="1:49" ht="12.75">
      <c r="A33" s="544">
        <v>11</v>
      </c>
      <c r="B33" s="350" t="s">
        <v>200</v>
      </c>
      <c r="C33" s="522" t="s">
        <v>22</v>
      </c>
      <c r="D33" s="523">
        <v>44672</v>
      </c>
      <c r="E33" s="350">
        <v>9</v>
      </c>
      <c r="F33" s="350">
        <v>698</v>
      </c>
      <c r="G33" s="350">
        <v>21643</v>
      </c>
      <c r="H33" s="350">
        <v>696</v>
      </c>
      <c r="I33" s="350">
        <v>0</v>
      </c>
      <c r="J33" s="350">
        <v>2</v>
      </c>
      <c r="K33" s="524">
        <v>0</v>
      </c>
      <c r="L33" s="409"/>
      <c r="M33" s="525">
        <v>1508.1</v>
      </c>
      <c r="N33" s="350" t="s">
        <v>54</v>
      </c>
      <c r="O33" s="525">
        <v>64.6</v>
      </c>
      <c r="P33" s="525">
        <v>64.6</v>
      </c>
      <c r="Q33" s="350">
        <v>0</v>
      </c>
      <c r="R33" s="525">
        <v>64.6</v>
      </c>
      <c r="S33" s="525">
        <v>64.6</v>
      </c>
      <c r="T33" s="350">
        <v>122271</v>
      </c>
      <c r="U33" s="350">
        <v>6116</v>
      </c>
      <c r="V33" s="350"/>
      <c r="W33" s="350">
        <v>0</v>
      </c>
      <c r="X33" s="350" t="s">
        <v>289</v>
      </c>
      <c r="Y33" s="350">
        <v>8.79</v>
      </c>
      <c r="Z33" s="350">
        <v>12.7</v>
      </c>
      <c r="AA33" s="526">
        <v>29.67</v>
      </c>
      <c r="AB33" s="350">
        <v>2382.8</v>
      </c>
      <c r="AC33" s="409">
        <v>5188.400000000003</v>
      </c>
      <c r="AD33" s="409">
        <v>67.92</v>
      </c>
      <c r="AE33" s="527">
        <v>8.5</v>
      </c>
      <c r="AF33" s="528">
        <v>0.951</v>
      </c>
      <c r="AG33" s="528">
        <v>0.692</v>
      </c>
      <c r="AH33" s="409">
        <v>0</v>
      </c>
      <c r="AI33" s="529">
        <v>0.31752</v>
      </c>
      <c r="AJ33" s="526"/>
      <c r="AK33" s="530">
        <v>0.45926</v>
      </c>
      <c r="AL33" s="526"/>
      <c r="AM33" s="350"/>
      <c r="AN33" s="409"/>
      <c r="AO33" s="409"/>
      <c r="AP33" s="350"/>
      <c r="AQ33" s="350">
        <v>118832</v>
      </c>
      <c r="AR33" s="350">
        <v>5931</v>
      </c>
      <c r="AS33" s="350"/>
      <c r="AT33" s="350">
        <v>0</v>
      </c>
      <c r="AU33" s="350" t="s">
        <v>289</v>
      </c>
      <c r="AV33" s="350"/>
      <c r="AW33" s="532"/>
    </row>
    <row r="34" spans="1:49" ht="12.75">
      <c r="A34" s="350">
        <v>16</v>
      </c>
      <c r="B34" s="350" t="s">
        <v>217</v>
      </c>
      <c r="C34" s="522" t="s">
        <v>20</v>
      </c>
      <c r="D34" s="523">
        <v>44484</v>
      </c>
      <c r="E34" s="350">
        <v>14</v>
      </c>
      <c r="F34" s="350">
        <v>0</v>
      </c>
      <c r="G34" s="524">
        <v>0</v>
      </c>
      <c r="H34" s="350"/>
      <c r="I34" s="350"/>
      <c r="J34" s="350"/>
      <c r="K34" s="524"/>
      <c r="L34" s="409"/>
      <c r="M34" s="525">
        <v>0</v>
      </c>
      <c r="N34" s="350" t="s">
        <v>54</v>
      </c>
      <c r="O34" s="525">
        <v>0</v>
      </c>
      <c r="P34" s="525">
        <v>0</v>
      </c>
      <c r="Q34" s="350"/>
      <c r="R34" s="525">
        <v>0</v>
      </c>
      <c r="S34" s="525">
        <v>0</v>
      </c>
      <c r="T34" s="350">
        <v>0</v>
      </c>
      <c r="U34" s="350">
        <v>0</v>
      </c>
      <c r="V34" s="350"/>
      <c r="W34" s="350"/>
      <c r="X34" s="350"/>
      <c r="Y34" s="350"/>
      <c r="Z34" s="350">
        <v>10.7</v>
      </c>
      <c r="AA34" s="526"/>
      <c r="AB34" s="350"/>
      <c r="AC34" s="409"/>
      <c r="AD34" s="409"/>
      <c r="AE34" s="527"/>
      <c r="AF34" s="528"/>
      <c r="AG34" s="528"/>
      <c r="AH34" s="409">
        <v>122.5</v>
      </c>
      <c r="AI34" s="529">
        <v>0.26703</v>
      </c>
      <c r="AJ34" s="526"/>
      <c r="AK34" s="530"/>
      <c r="AL34" s="526"/>
      <c r="AM34" s="526"/>
      <c r="AN34" s="409"/>
      <c r="AO34" s="531"/>
      <c r="AP34" s="350"/>
      <c r="AQ34" s="350">
        <v>0</v>
      </c>
      <c r="AR34" s="350"/>
      <c r="AS34" s="350"/>
      <c r="AT34" s="350"/>
      <c r="AU34" s="350"/>
      <c r="AV34" s="350"/>
      <c r="AW34" s="532"/>
    </row>
    <row r="35" spans="1:49" ht="12.75">
      <c r="A35" s="350">
        <v>16</v>
      </c>
      <c r="B35" s="350" t="s">
        <v>217</v>
      </c>
      <c r="C35" s="522" t="s">
        <v>67</v>
      </c>
      <c r="D35" s="523">
        <v>44495</v>
      </c>
      <c r="E35" s="350">
        <v>0</v>
      </c>
      <c r="F35" s="350">
        <v>250</v>
      </c>
      <c r="G35" s="350">
        <v>251</v>
      </c>
      <c r="H35" s="350">
        <v>251</v>
      </c>
      <c r="I35" s="350">
        <v>0</v>
      </c>
      <c r="J35" s="524">
        <v>-1</v>
      </c>
      <c r="K35" s="524">
        <v>0</v>
      </c>
      <c r="L35" s="409"/>
      <c r="M35" s="525">
        <v>20.686</v>
      </c>
      <c r="N35" s="350" t="s">
        <v>54</v>
      </c>
      <c r="O35" s="525">
        <v>20.686</v>
      </c>
      <c r="P35" s="525">
        <v>20.686</v>
      </c>
      <c r="Q35" s="350">
        <v>0</v>
      </c>
      <c r="R35" s="525">
        <v>20.686</v>
      </c>
      <c r="S35" s="525">
        <v>20.686</v>
      </c>
      <c r="T35" s="350">
        <v>2894</v>
      </c>
      <c r="U35" s="350">
        <v>2894</v>
      </c>
      <c r="V35" s="350"/>
      <c r="W35" s="350">
        <v>0</v>
      </c>
      <c r="X35" s="350" t="s">
        <v>289</v>
      </c>
      <c r="Y35" s="350">
        <v>11.53</v>
      </c>
      <c r="Z35" s="350">
        <v>10.7</v>
      </c>
      <c r="AA35" s="526">
        <v>10.49</v>
      </c>
      <c r="AB35" s="350">
        <v>2382.8</v>
      </c>
      <c r="AC35" s="409">
        <v>4466.599999999998</v>
      </c>
      <c r="AD35" s="409">
        <v>14.86</v>
      </c>
      <c r="AE35" s="527">
        <v>11.1</v>
      </c>
      <c r="AF35" s="528">
        <v>1.392</v>
      </c>
      <c r="AG35" s="528">
        <v>1.078</v>
      </c>
      <c r="AH35" s="409">
        <v>122.5</v>
      </c>
      <c r="AI35" s="529">
        <v>0.26703</v>
      </c>
      <c r="AJ35" s="526"/>
      <c r="AK35" s="530">
        <v>0.53347</v>
      </c>
      <c r="AL35" s="526"/>
      <c r="AM35" s="350"/>
      <c r="AN35" s="409"/>
      <c r="AO35" s="409"/>
      <c r="AP35" s="350"/>
      <c r="AQ35" s="350">
        <v>2844</v>
      </c>
      <c r="AR35" s="350">
        <v>2844</v>
      </c>
      <c r="AS35" s="350"/>
      <c r="AT35" s="350">
        <v>0</v>
      </c>
      <c r="AU35" s="350" t="s">
        <v>289</v>
      </c>
      <c r="AV35" s="350"/>
      <c r="AW35" s="532"/>
    </row>
    <row r="36" spans="1:49" ht="12.75">
      <c r="A36" s="350">
        <v>16</v>
      </c>
      <c r="B36" s="350" t="s">
        <v>217</v>
      </c>
      <c r="C36" s="522" t="s">
        <v>69</v>
      </c>
      <c r="D36" s="523">
        <v>44526</v>
      </c>
      <c r="E36" s="350">
        <v>0</v>
      </c>
      <c r="F36" s="350">
        <v>744</v>
      </c>
      <c r="G36" s="524">
        <v>990</v>
      </c>
      <c r="H36" s="350">
        <v>739</v>
      </c>
      <c r="I36" s="350">
        <v>0</v>
      </c>
      <c r="J36" s="524">
        <v>5</v>
      </c>
      <c r="K36" s="524">
        <v>0</v>
      </c>
      <c r="L36" s="409"/>
      <c r="M36" s="525">
        <v>88.644</v>
      </c>
      <c r="N36" s="350" t="s">
        <v>54</v>
      </c>
      <c r="O36" s="525">
        <v>67.958</v>
      </c>
      <c r="P36" s="525">
        <v>67.958</v>
      </c>
      <c r="Q36" s="350">
        <v>0</v>
      </c>
      <c r="R36" s="525">
        <v>67.958</v>
      </c>
      <c r="S36" s="525">
        <v>67.958</v>
      </c>
      <c r="T36" s="350">
        <v>10142</v>
      </c>
      <c r="U36" s="350">
        <v>7248</v>
      </c>
      <c r="V36" s="350"/>
      <c r="W36" s="350">
        <v>0</v>
      </c>
      <c r="X36" s="350" t="s">
        <v>289</v>
      </c>
      <c r="Y36" s="350">
        <v>9.81</v>
      </c>
      <c r="Z36" s="350">
        <v>10.7</v>
      </c>
      <c r="AA36" s="526">
        <v>34.47</v>
      </c>
      <c r="AB36" s="350">
        <v>2382.8</v>
      </c>
      <c r="AC36" s="409">
        <v>4466.599999999998</v>
      </c>
      <c r="AD36" s="409">
        <v>66.01</v>
      </c>
      <c r="AE36" s="527">
        <v>7.7</v>
      </c>
      <c r="AF36" s="528">
        <v>1.03</v>
      </c>
      <c r="AG36" s="528">
        <v>0.917</v>
      </c>
      <c r="AH36" s="409">
        <v>122.5</v>
      </c>
      <c r="AI36" s="529">
        <v>0.26703</v>
      </c>
      <c r="AJ36" s="526"/>
      <c r="AK36" s="530">
        <v>0.53347</v>
      </c>
      <c r="AL36" s="526"/>
      <c r="AM36" s="526"/>
      <c r="AN36" s="409"/>
      <c r="AO36" s="531"/>
      <c r="AP36" s="350"/>
      <c r="AQ36" s="350">
        <v>10058</v>
      </c>
      <c r="AR36" s="350">
        <v>7214</v>
      </c>
      <c r="AS36" s="350"/>
      <c r="AT36" s="350">
        <v>0</v>
      </c>
      <c r="AU36" s="350" t="s">
        <v>289</v>
      </c>
      <c r="AV36" s="350"/>
      <c r="AW36" s="532"/>
    </row>
    <row r="37" spans="1:49" ht="12.75">
      <c r="A37" s="350">
        <v>16</v>
      </c>
      <c r="B37" s="350" t="s">
        <v>217</v>
      </c>
      <c r="C37" s="522" t="s">
        <v>70</v>
      </c>
      <c r="D37" s="523">
        <v>44553</v>
      </c>
      <c r="E37" s="350">
        <v>0</v>
      </c>
      <c r="F37" s="350">
        <v>648</v>
      </c>
      <c r="G37" s="350">
        <v>1635</v>
      </c>
      <c r="H37" s="350">
        <v>645</v>
      </c>
      <c r="I37" s="350">
        <v>0</v>
      </c>
      <c r="J37" s="524">
        <v>3</v>
      </c>
      <c r="K37" s="524">
        <v>0</v>
      </c>
      <c r="L37" s="409"/>
      <c r="M37" s="525">
        <v>150.718</v>
      </c>
      <c r="N37" s="350" t="s">
        <v>54</v>
      </c>
      <c r="O37" s="525">
        <v>62.073999999999984</v>
      </c>
      <c r="P37" s="525">
        <v>62.073999999999984</v>
      </c>
      <c r="Q37" s="350">
        <v>0</v>
      </c>
      <c r="R37" s="525">
        <v>62.073999999999984</v>
      </c>
      <c r="S37" s="525">
        <v>62.073999999999984</v>
      </c>
      <c r="T37" s="350">
        <v>17418</v>
      </c>
      <c r="U37" s="350">
        <v>7276</v>
      </c>
      <c r="V37" s="350"/>
      <c r="W37" s="350">
        <v>0</v>
      </c>
      <c r="X37" s="350" t="s">
        <v>289</v>
      </c>
      <c r="Y37" s="350">
        <v>11.28</v>
      </c>
      <c r="Z37" s="350">
        <v>10.7</v>
      </c>
      <c r="AA37" s="526">
        <v>31.48</v>
      </c>
      <c r="AB37" s="350">
        <v>2382.8</v>
      </c>
      <c r="AC37" s="409">
        <v>4466.599999999998</v>
      </c>
      <c r="AD37" s="409">
        <v>61.4</v>
      </c>
      <c r="AE37" s="527">
        <v>7</v>
      </c>
      <c r="AF37" s="528">
        <v>1.011</v>
      </c>
      <c r="AG37" s="528">
        <v>1.054</v>
      </c>
      <c r="AH37" s="409">
        <v>122.5</v>
      </c>
      <c r="AI37" s="529">
        <v>0.26703</v>
      </c>
      <c r="AJ37" s="526"/>
      <c r="AK37" s="530">
        <v>0.53347</v>
      </c>
      <c r="AL37" s="526"/>
      <c r="AM37" s="350"/>
      <c r="AN37" s="409"/>
      <c r="AO37" s="409"/>
      <c r="AP37" s="350"/>
      <c r="AQ37" s="350">
        <v>17283</v>
      </c>
      <c r="AR37" s="350">
        <v>7225</v>
      </c>
      <c r="AS37" s="350"/>
      <c r="AT37" s="350">
        <v>0</v>
      </c>
      <c r="AU37" s="350" t="s">
        <v>289</v>
      </c>
      <c r="AV37" s="350"/>
      <c r="AW37" s="532"/>
    </row>
    <row r="38" spans="1:49" ht="12.75">
      <c r="A38" s="350">
        <v>16</v>
      </c>
      <c r="B38" s="350" t="s">
        <v>217</v>
      </c>
      <c r="C38" s="522" t="s">
        <v>72</v>
      </c>
      <c r="D38" s="523">
        <v>44585</v>
      </c>
      <c r="E38" s="350">
        <v>0</v>
      </c>
      <c r="F38" s="350">
        <v>768</v>
      </c>
      <c r="G38" s="350">
        <v>2395</v>
      </c>
      <c r="H38" s="350">
        <v>760</v>
      </c>
      <c r="I38" s="350">
        <v>0</v>
      </c>
      <c r="J38" s="524">
        <v>8</v>
      </c>
      <c r="K38" s="524">
        <v>0</v>
      </c>
      <c r="L38" s="409"/>
      <c r="M38" s="525">
        <v>237.284</v>
      </c>
      <c r="N38" s="350" t="s">
        <v>54</v>
      </c>
      <c r="O38" s="525">
        <v>86.566</v>
      </c>
      <c r="P38" s="525">
        <v>86.566</v>
      </c>
      <c r="Q38" s="350">
        <v>0</v>
      </c>
      <c r="R38" s="525">
        <v>86.566</v>
      </c>
      <c r="S38" s="525">
        <v>86.566</v>
      </c>
      <c r="T38" s="350">
        <v>27870</v>
      </c>
      <c r="U38" s="350">
        <v>10452</v>
      </c>
      <c r="V38" s="350"/>
      <c r="W38" s="350">
        <v>0</v>
      </c>
      <c r="X38" s="350" t="s">
        <v>289</v>
      </c>
      <c r="Y38" s="350">
        <v>13.75</v>
      </c>
      <c r="Z38" s="350">
        <v>10.7</v>
      </c>
      <c r="AA38" s="526">
        <v>43.91</v>
      </c>
      <c r="AB38" s="350">
        <v>2382.8</v>
      </c>
      <c r="AC38" s="409">
        <v>4466.599999999998</v>
      </c>
      <c r="AD38" s="409">
        <v>101.22</v>
      </c>
      <c r="AE38" s="527">
        <v>2.7</v>
      </c>
      <c r="AF38" s="528">
        <v>0.855</v>
      </c>
      <c r="AG38" s="528">
        <v>1.285</v>
      </c>
      <c r="AH38" s="409">
        <v>122.5</v>
      </c>
      <c r="AI38" s="529">
        <v>0.26703</v>
      </c>
      <c r="AJ38" s="526"/>
      <c r="AK38" s="530">
        <v>0.53347</v>
      </c>
      <c r="AL38" s="531"/>
      <c r="AM38" s="531"/>
      <c r="AN38" s="533"/>
      <c r="AO38" s="531"/>
      <c r="AP38" s="350"/>
      <c r="AQ38" s="350">
        <v>27599</v>
      </c>
      <c r="AR38" s="350">
        <v>10316</v>
      </c>
      <c r="AS38" s="350"/>
      <c r="AT38" s="350">
        <v>0</v>
      </c>
      <c r="AU38" s="350" t="s">
        <v>289</v>
      </c>
      <c r="AV38" s="350"/>
      <c r="AW38" s="532"/>
    </row>
    <row r="39" spans="1:49" ht="12.75">
      <c r="A39" s="350">
        <v>16</v>
      </c>
      <c r="B39" s="350" t="s">
        <v>217</v>
      </c>
      <c r="C39" s="522" t="s">
        <v>73</v>
      </c>
      <c r="D39" s="523">
        <v>44614</v>
      </c>
      <c r="E39" s="350">
        <v>0</v>
      </c>
      <c r="F39" s="350">
        <v>696</v>
      </c>
      <c r="G39" s="350">
        <v>3090</v>
      </c>
      <c r="H39" s="350">
        <v>695</v>
      </c>
      <c r="I39" s="350">
        <v>0</v>
      </c>
      <c r="J39" s="524">
        <v>1</v>
      </c>
      <c r="K39" s="524">
        <v>0</v>
      </c>
      <c r="L39" s="409"/>
      <c r="M39" s="525">
        <v>316.874</v>
      </c>
      <c r="N39" s="350" t="s">
        <v>54</v>
      </c>
      <c r="O39" s="525">
        <v>79.59000000000003</v>
      </c>
      <c r="P39" s="525">
        <v>79.59000000000003</v>
      </c>
      <c r="Q39" s="350">
        <v>0</v>
      </c>
      <c r="R39" s="525">
        <v>79.59000000000003</v>
      </c>
      <c r="S39" s="525">
        <v>79.59000000000003</v>
      </c>
      <c r="T39" s="350">
        <v>37569</v>
      </c>
      <c r="U39" s="350">
        <v>9699</v>
      </c>
      <c r="V39" s="350"/>
      <c r="W39" s="350">
        <v>0</v>
      </c>
      <c r="X39" s="350" t="s">
        <v>289</v>
      </c>
      <c r="Y39" s="350">
        <v>13.96</v>
      </c>
      <c r="Z39" s="350">
        <v>10.7</v>
      </c>
      <c r="AA39" s="526">
        <v>40.37</v>
      </c>
      <c r="AB39" s="350">
        <v>2382.8</v>
      </c>
      <c r="AC39" s="409">
        <v>4466.599999999998</v>
      </c>
      <c r="AD39" s="409">
        <v>91.13</v>
      </c>
      <c r="AE39" s="527">
        <v>2.8</v>
      </c>
      <c r="AF39" s="528">
        <v>0.873</v>
      </c>
      <c r="AG39" s="528">
        <v>1.305</v>
      </c>
      <c r="AH39" s="409">
        <v>122.5</v>
      </c>
      <c r="AI39" s="529">
        <v>0.26703</v>
      </c>
      <c r="AJ39" s="526"/>
      <c r="AK39" s="530">
        <v>0.53347</v>
      </c>
      <c r="AL39" s="526"/>
      <c r="AM39" s="350"/>
      <c r="AN39" s="409"/>
      <c r="AO39" s="409"/>
      <c r="AP39" s="350"/>
      <c r="AQ39" s="350">
        <v>37176</v>
      </c>
      <c r="AR39" s="350">
        <v>9577</v>
      </c>
      <c r="AS39" s="350"/>
      <c r="AT39" s="350">
        <v>0</v>
      </c>
      <c r="AU39" s="350" t="s">
        <v>289</v>
      </c>
      <c r="AV39" s="350"/>
      <c r="AW39" s="532"/>
    </row>
    <row r="40" spans="1:49" ht="12.75">
      <c r="A40" s="350">
        <v>16</v>
      </c>
      <c r="B40" s="350" t="s">
        <v>217</v>
      </c>
      <c r="C40" s="522" t="s">
        <v>74</v>
      </c>
      <c r="D40" s="523">
        <v>44646</v>
      </c>
      <c r="E40" s="350">
        <v>0</v>
      </c>
      <c r="F40" s="350">
        <v>768</v>
      </c>
      <c r="G40" s="350">
        <v>3856</v>
      </c>
      <c r="H40" s="350">
        <v>766</v>
      </c>
      <c r="I40" s="350">
        <v>0</v>
      </c>
      <c r="J40" s="350">
        <v>2</v>
      </c>
      <c r="K40" s="524">
        <v>0</v>
      </c>
      <c r="L40" s="409"/>
      <c r="M40" s="525">
        <v>402.591</v>
      </c>
      <c r="N40" s="350" t="s">
        <v>54</v>
      </c>
      <c r="O40" s="525">
        <v>85.71699999999998</v>
      </c>
      <c r="P40" s="525">
        <v>85.71699999999998</v>
      </c>
      <c r="Q40" s="350">
        <v>0</v>
      </c>
      <c r="R40" s="525">
        <v>85.71699999999998</v>
      </c>
      <c r="S40" s="525">
        <v>85.71699999999998</v>
      </c>
      <c r="T40" s="350">
        <v>46786</v>
      </c>
      <c r="U40" s="350">
        <v>9217</v>
      </c>
      <c r="V40" s="350"/>
      <c r="W40" s="350">
        <v>0</v>
      </c>
      <c r="X40" s="350" t="s">
        <v>289</v>
      </c>
      <c r="Y40" s="350">
        <v>12.03</v>
      </c>
      <c r="Z40" s="350">
        <v>10.7</v>
      </c>
      <c r="AA40" s="526">
        <v>43.48</v>
      </c>
      <c r="AB40" s="350">
        <v>2382.8</v>
      </c>
      <c r="AC40" s="409">
        <v>4466.599999999998</v>
      </c>
      <c r="AD40" s="409">
        <v>105.85</v>
      </c>
      <c r="AE40" s="527">
        <v>2</v>
      </c>
      <c r="AF40" s="528">
        <v>0.81</v>
      </c>
      <c r="AG40" s="528">
        <v>1.124</v>
      </c>
      <c r="AH40" s="409">
        <v>122.5</v>
      </c>
      <c r="AI40" s="529">
        <v>0.26703</v>
      </c>
      <c r="AJ40" s="526"/>
      <c r="AK40" s="530">
        <v>0.53347</v>
      </c>
      <c r="AL40" s="526"/>
      <c r="AM40" s="350"/>
      <c r="AN40" s="409"/>
      <c r="AO40" s="409"/>
      <c r="AP40" s="350"/>
      <c r="AQ40" s="350">
        <v>46281</v>
      </c>
      <c r="AR40" s="350">
        <v>9105</v>
      </c>
      <c r="AS40" s="350"/>
      <c r="AT40" s="350">
        <v>0</v>
      </c>
      <c r="AU40" s="350" t="s">
        <v>289</v>
      </c>
      <c r="AV40" s="350"/>
      <c r="AW40" s="532"/>
    </row>
    <row r="41" spans="1:49" ht="12.75">
      <c r="A41" s="350">
        <v>16</v>
      </c>
      <c r="B41" s="350" t="s">
        <v>217</v>
      </c>
      <c r="C41" s="522" t="s">
        <v>22</v>
      </c>
      <c r="D41" s="523">
        <v>44672</v>
      </c>
      <c r="E41" s="350">
        <v>0</v>
      </c>
      <c r="F41" s="350">
        <v>624</v>
      </c>
      <c r="G41" s="350">
        <v>4482</v>
      </c>
      <c r="H41" s="350">
        <v>626</v>
      </c>
      <c r="I41" s="350">
        <v>0</v>
      </c>
      <c r="J41" s="350">
        <v>-2</v>
      </c>
      <c r="K41" s="524">
        <v>0</v>
      </c>
      <c r="L41" s="409"/>
      <c r="M41" s="525">
        <v>459.338</v>
      </c>
      <c r="N41" s="350" t="s">
        <v>54</v>
      </c>
      <c r="O41" s="525">
        <v>56.747000000000014</v>
      </c>
      <c r="P41" s="525">
        <v>56.747000000000014</v>
      </c>
      <c r="Q41" s="350">
        <v>0</v>
      </c>
      <c r="R41" s="525">
        <v>56.747000000000014</v>
      </c>
      <c r="S41" s="525">
        <v>56.747000000000014</v>
      </c>
      <c r="T41" s="350">
        <v>53599</v>
      </c>
      <c r="U41" s="350">
        <v>6813</v>
      </c>
      <c r="V41" s="350"/>
      <c r="W41" s="350">
        <v>0</v>
      </c>
      <c r="X41" s="350" t="s">
        <v>289</v>
      </c>
      <c r="Y41" s="350">
        <v>10.88</v>
      </c>
      <c r="Z41" s="350">
        <v>10.7</v>
      </c>
      <c r="AA41" s="526">
        <v>28.78</v>
      </c>
      <c r="AB41" s="350">
        <v>2382.8</v>
      </c>
      <c r="AC41" s="409">
        <v>4466.599999999998</v>
      </c>
      <c r="AD41" s="409">
        <v>48.38</v>
      </c>
      <c r="AE41" s="527">
        <v>9</v>
      </c>
      <c r="AF41" s="528">
        <v>1.173</v>
      </c>
      <c r="AG41" s="528">
        <v>1.017</v>
      </c>
      <c r="AH41" s="409">
        <v>122.5</v>
      </c>
      <c r="AI41" s="529">
        <v>0.26703</v>
      </c>
      <c r="AJ41" s="526"/>
      <c r="AK41" s="530">
        <v>0.53347</v>
      </c>
      <c r="AL41" s="526"/>
      <c r="AM41" s="350"/>
      <c r="AN41" s="409"/>
      <c r="AO41" s="409"/>
      <c r="AP41" s="350"/>
      <c r="AQ41" s="350">
        <v>53054</v>
      </c>
      <c r="AR41" s="350">
        <v>6773</v>
      </c>
      <c r="AS41" s="350"/>
      <c r="AT41" s="350">
        <v>0</v>
      </c>
      <c r="AU41" s="350" t="s">
        <v>289</v>
      </c>
      <c r="AV41" s="350"/>
      <c r="AW41" s="532"/>
    </row>
    <row r="42" spans="1:49" ht="12.75">
      <c r="A42" s="350">
        <v>66</v>
      </c>
      <c r="B42" s="350" t="s">
        <v>293</v>
      </c>
      <c r="C42" s="522" t="s">
        <v>20</v>
      </c>
      <c r="D42" s="523">
        <v>44480</v>
      </c>
      <c r="E42" s="350">
        <v>0</v>
      </c>
      <c r="F42" s="350">
        <v>0</v>
      </c>
      <c r="G42" s="350"/>
      <c r="H42" s="350"/>
      <c r="I42" s="350"/>
      <c r="J42" s="524"/>
      <c r="K42" s="524"/>
      <c r="L42" s="409"/>
      <c r="M42" s="525">
        <v>0</v>
      </c>
      <c r="N42" s="350" t="s">
        <v>54</v>
      </c>
      <c r="O42" s="525">
        <v>0</v>
      </c>
      <c r="P42" s="525">
        <v>0</v>
      </c>
      <c r="Q42" s="350"/>
      <c r="R42" s="525">
        <v>0</v>
      </c>
      <c r="S42" s="525">
        <v>0</v>
      </c>
      <c r="T42" s="350"/>
      <c r="U42" s="350">
        <v>0</v>
      </c>
      <c r="V42" s="350"/>
      <c r="W42" s="350"/>
      <c r="X42" s="350"/>
      <c r="Y42" s="350"/>
      <c r="Z42" s="350">
        <v>0.69</v>
      </c>
      <c r="AA42" s="526"/>
      <c r="AB42" s="350"/>
      <c r="AC42" s="409"/>
      <c r="AD42" s="409"/>
      <c r="AE42" s="527"/>
      <c r="AF42" s="528"/>
      <c r="AG42" s="528"/>
      <c r="AH42" s="409">
        <v>0</v>
      </c>
      <c r="AI42" s="529">
        <v>0.041</v>
      </c>
      <c r="AJ42" s="526"/>
      <c r="AK42" s="530"/>
      <c r="AL42" s="526"/>
      <c r="AM42" s="350"/>
      <c r="AN42" s="409"/>
      <c r="AO42" s="409"/>
      <c r="AP42" s="350"/>
      <c r="AQ42" s="350"/>
      <c r="AR42" s="350"/>
      <c r="AS42" s="350"/>
      <c r="AT42" s="350"/>
      <c r="AU42" s="350"/>
      <c r="AV42" s="350"/>
      <c r="AW42" s="532"/>
    </row>
    <row r="43" spans="1:49" ht="12.75">
      <c r="A43" s="350">
        <v>66</v>
      </c>
      <c r="B43" s="350" t="s">
        <v>293</v>
      </c>
      <c r="C43" s="522" t="s">
        <v>67</v>
      </c>
      <c r="D43" s="523">
        <v>44495</v>
      </c>
      <c r="E43" s="350">
        <v>14</v>
      </c>
      <c r="F43" s="350">
        <v>374</v>
      </c>
      <c r="G43" s="524"/>
      <c r="H43" s="350" t="s">
        <v>289</v>
      </c>
      <c r="I43" s="350">
        <v>0</v>
      </c>
      <c r="J43" s="524" t="s">
        <v>289</v>
      </c>
      <c r="K43" s="524">
        <v>0</v>
      </c>
      <c r="L43" s="409"/>
      <c r="M43" s="525">
        <v>338.9</v>
      </c>
      <c r="N43" s="350" t="s">
        <v>54</v>
      </c>
      <c r="O43" s="525">
        <v>0</v>
      </c>
      <c r="P43" s="525">
        <v>0</v>
      </c>
      <c r="Q43" s="350">
        <v>0</v>
      </c>
      <c r="R43" s="525">
        <v>0</v>
      </c>
      <c r="S43" s="525">
        <v>0</v>
      </c>
      <c r="T43" s="350">
        <v>11839</v>
      </c>
      <c r="U43" s="350">
        <v>0</v>
      </c>
      <c r="V43" s="350">
        <v>11980</v>
      </c>
      <c r="W43" s="350">
        <v>0</v>
      </c>
      <c r="X43" s="350"/>
      <c r="Y43" s="350"/>
      <c r="Z43" s="350">
        <v>0.69</v>
      </c>
      <c r="AA43" s="526"/>
      <c r="AB43" s="350">
        <v>3119.7</v>
      </c>
      <c r="AC43" s="409">
        <v>578.8</v>
      </c>
      <c r="AD43" s="409"/>
      <c r="AE43" s="527">
        <v>11.1</v>
      </c>
      <c r="AF43" s="528"/>
      <c r="AG43" s="528"/>
      <c r="AH43" s="409">
        <v>0</v>
      </c>
      <c r="AI43" s="529">
        <v>0.041</v>
      </c>
      <c r="AJ43" s="526"/>
      <c r="AK43" s="530">
        <v>5.38994</v>
      </c>
      <c r="AL43" s="526"/>
      <c r="AM43" s="526"/>
      <c r="AN43" s="409"/>
      <c r="AO43" s="531"/>
      <c r="AP43" s="350"/>
      <c r="AQ43" s="350"/>
      <c r="AR43" s="350">
        <v>0</v>
      </c>
      <c r="AS43" s="350"/>
      <c r="AT43" s="350">
        <v>0</v>
      </c>
      <c r="AU43" s="350"/>
      <c r="AV43" s="350"/>
      <c r="AW43" s="532"/>
    </row>
    <row r="44" spans="1:49" ht="12.75">
      <c r="A44" s="350">
        <v>66</v>
      </c>
      <c r="B44" s="350" t="s">
        <v>293</v>
      </c>
      <c r="C44" s="522" t="s">
        <v>69</v>
      </c>
      <c r="D44" s="523">
        <v>44523</v>
      </c>
      <c r="E44" s="350">
        <v>14</v>
      </c>
      <c r="F44" s="350">
        <v>672</v>
      </c>
      <c r="G44" s="524">
        <v>69383</v>
      </c>
      <c r="H44" s="350">
        <v>69383</v>
      </c>
      <c r="I44" s="350">
        <v>0</v>
      </c>
      <c r="J44" s="524">
        <v>-68711</v>
      </c>
      <c r="K44" s="524">
        <v>168</v>
      </c>
      <c r="L44" s="409"/>
      <c r="M44" s="525">
        <v>346</v>
      </c>
      <c r="N44" s="350" t="s">
        <v>54</v>
      </c>
      <c r="O44" s="525">
        <v>7.1</v>
      </c>
      <c r="P44" s="525">
        <v>7.1</v>
      </c>
      <c r="Q44" s="350">
        <v>2.76</v>
      </c>
      <c r="R44" s="525">
        <v>9.86</v>
      </c>
      <c r="S44" s="525">
        <v>9.86</v>
      </c>
      <c r="T44" s="350">
        <v>12142</v>
      </c>
      <c r="U44" s="350">
        <v>303</v>
      </c>
      <c r="V44" s="350">
        <v>12246</v>
      </c>
      <c r="W44" s="350">
        <v>266</v>
      </c>
      <c r="X44" s="350">
        <v>37</v>
      </c>
      <c r="Y44" s="350">
        <v>0.6</v>
      </c>
      <c r="Z44" s="350">
        <v>0.69</v>
      </c>
      <c r="AA44" s="526">
        <v>53.14</v>
      </c>
      <c r="AB44" s="350">
        <v>3119.7</v>
      </c>
      <c r="AC44" s="409">
        <v>578.8</v>
      </c>
      <c r="AD44" s="409">
        <v>8.18</v>
      </c>
      <c r="AE44" s="527">
        <v>8.2</v>
      </c>
      <c r="AF44" s="528">
        <v>1.205</v>
      </c>
      <c r="AG44" s="528">
        <v>0.87</v>
      </c>
      <c r="AH44" s="409">
        <v>0</v>
      </c>
      <c r="AI44" s="529">
        <v>0.041</v>
      </c>
      <c r="AJ44" s="526"/>
      <c r="AK44" s="530">
        <v>5.38994</v>
      </c>
      <c r="AL44" s="526"/>
      <c r="AM44" s="526"/>
      <c r="AN44" s="409"/>
      <c r="AO44" s="531"/>
      <c r="AP44" s="350"/>
      <c r="AQ44" s="350"/>
      <c r="AR44" s="350">
        <v>0</v>
      </c>
      <c r="AS44" s="350"/>
      <c r="AT44" s="350">
        <v>0</v>
      </c>
      <c r="AU44" s="350">
        <v>0</v>
      </c>
      <c r="AV44" s="350"/>
      <c r="AW44" s="532"/>
    </row>
    <row r="45" spans="1:49" ht="12.75">
      <c r="A45" s="350">
        <v>66</v>
      </c>
      <c r="B45" s="350" t="s">
        <v>293</v>
      </c>
      <c r="C45" s="522" t="s">
        <v>70</v>
      </c>
      <c r="D45" s="523">
        <v>44553</v>
      </c>
      <c r="E45" s="350">
        <v>12</v>
      </c>
      <c r="F45" s="350">
        <v>718</v>
      </c>
      <c r="G45" s="524">
        <v>70102</v>
      </c>
      <c r="H45" s="350">
        <v>719</v>
      </c>
      <c r="I45" s="350">
        <v>0</v>
      </c>
      <c r="J45" s="350">
        <v>-1</v>
      </c>
      <c r="K45" s="524">
        <v>0</v>
      </c>
      <c r="L45" s="409"/>
      <c r="M45" s="525">
        <v>355</v>
      </c>
      <c r="N45" s="350" t="s">
        <v>54</v>
      </c>
      <c r="O45" s="525">
        <v>9</v>
      </c>
      <c r="P45" s="525">
        <v>9</v>
      </c>
      <c r="Q45" s="350">
        <v>0</v>
      </c>
      <c r="R45" s="525">
        <v>9</v>
      </c>
      <c r="S45" s="525">
        <v>9</v>
      </c>
      <c r="T45" s="350">
        <v>12429</v>
      </c>
      <c r="U45" s="350">
        <v>287</v>
      </c>
      <c r="V45" s="350">
        <v>12549</v>
      </c>
      <c r="W45" s="350">
        <v>303</v>
      </c>
      <c r="X45" s="350">
        <v>-16</v>
      </c>
      <c r="Y45" s="350">
        <v>0.4</v>
      </c>
      <c r="Z45" s="350">
        <v>0.69</v>
      </c>
      <c r="AA45" s="526">
        <v>48.51</v>
      </c>
      <c r="AB45" s="350">
        <v>3119.7</v>
      </c>
      <c r="AC45" s="409">
        <v>578.8</v>
      </c>
      <c r="AD45" s="409">
        <v>10.62</v>
      </c>
      <c r="AE45" s="527">
        <v>6.1</v>
      </c>
      <c r="AF45" s="528">
        <v>0.847</v>
      </c>
      <c r="AG45" s="528">
        <v>0.58</v>
      </c>
      <c r="AH45" s="409">
        <v>0</v>
      </c>
      <c r="AI45" s="529">
        <v>0.041</v>
      </c>
      <c r="AJ45" s="526"/>
      <c r="AK45" s="530">
        <v>5.38994</v>
      </c>
      <c r="AL45" s="526"/>
      <c r="AM45" s="526"/>
      <c r="AN45" s="409"/>
      <c r="AO45" s="531"/>
      <c r="AP45" s="350"/>
      <c r="AQ45" s="350"/>
      <c r="AR45" s="350">
        <v>0</v>
      </c>
      <c r="AS45" s="350"/>
      <c r="AT45" s="350">
        <v>0</v>
      </c>
      <c r="AU45" s="350" t="s">
        <v>289</v>
      </c>
      <c r="AV45" s="350"/>
      <c r="AW45" s="532"/>
    </row>
    <row r="46" spans="1:49" ht="12.75">
      <c r="A46" s="350">
        <v>66</v>
      </c>
      <c r="B46" s="350" t="s">
        <v>293</v>
      </c>
      <c r="C46" s="522" t="s">
        <v>72</v>
      </c>
      <c r="D46" s="523">
        <v>44585</v>
      </c>
      <c r="E46" s="350">
        <v>20</v>
      </c>
      <c r="F46" s="350">
        <v>776</v>
      </c>
      <c r="G46" s="350">
        <v>70878</v>
      </c>
      <c r="H46" s="350">
        <v>776</v>
      </c>
      <c r="I46" s="350">
        <v>0</v>
      </c>
      <c r="J46" s="524">
        <v>0</v>
      </c>
      <c r="K46" s="524">
        <v>0</v>
      </c>
      <c r="L46" s="409"/>
      <c r="M46" s="525">
        <v>365</v>
      </c>
      <c r="N46" s="350" t="s">
        <v>54</v>
      </c>
      <c r="O46" s="525">
        <v>10</v>
      </c>
      <c r="P46" s="525">
        <v>10</v>
      </c>
      <c r="Q46" s="350">
        <v>0</v>
      </c>
      <c r="R46" s="525">
        <v>10</v>
      </c>
      <c r="S46" s="525">
        <v>10</v>
      </c>
      <c r="T46" s="350">
        <v>12705</v>
      </c>
      <c r="U46" s="350">
        <v>276</v>
      </c>
      <c r="V46" s="350">
        <v>12840</v>
      </c>
      <c r="W46" s="350">
        <v>291</v>
      </c>
      <c r="X46" s="350">
        <v>-15</v>
      </c>
      <c r="Y46" s="350">
        <v>0.36</v>
      </c>
      <c r="Z46" s="350">
        <v>0.69</v>
      </c>
      <c r="AA46" s="526">
        <v>53.89</v>
      </c>
      <c r="AB46" s="350">
        <v>3119.33</v>
      </c>
      <c r="AC46" s="409">
        <v>578.8</v>
      </c>
      <c r="AD46" s="409">
        <v>14.85</v>
      </c>
      <c r="AE46" s="527">
        <v>2.6</v>
      </c>
      <c r="AF46" s="528">
        <v>0.673</v>
      </c>
      <c r="AG46" s="528">
        <v>0.522</v>
      </c>
      <c r="AH46" s="409">
        <v>0</v>
      </c>
      <c r="AI46" s="529">
        <v>0.041</v>
      </c>
      <c r="AJ46" s="526"/>
      <c r="AK46" s="530">
        <v>5.38931</v>
      </c>
      <c r="AL46" s="526"/>
      <c r="AM46" s="350"/>
      <c r="AN46" s="409"/>
      <c r="AO46" s="409"/>
      <c r="AP46" s="350"/>
      <c r="AQ46" s="350"/>
      <c r="AR46" s="350">
        <v>0</v>
      </c>
      <c r="AS46" s="350"/>
      <c r="AT46" s="350">
        <v>0</v>
      </c>
      <c r="AU46" s="350" t="s">
        <v>289</v>
      </c>
      <c r="AV46" s="350"/>
      <c r="AW46" s="532"/>
    </row>
    <row r="47" spans="1:49" ht="12.75">
      <c r="A47" s="350">
        <v>66</v>
      </c>
      <c r="B47" s="350" t="s">
        <v>293</v>
      </c>
      <c r="C47" s="522" t="s">
        <v>73</v>
      </c>
      <c r="D47" s="523">
        <v>44614</v>
      </c>
      <c r="E47" s="350">
        <v>9</v>
      </c>
      <c r="F47" s="350">
        <v>685</v>
      </c>
      <c r="G47" s="350">
        <v>71561</v>
      </c>
      <c r="H47" s="350">
        <v>683</v>
      </c>
      <c r="I47" s="350">
        <v>0</v>
      </c>
      <c r="J47" s="524">
        <v>2</v>
      </c>
      <c r="K47" s="524">
        <v>0</v>
      </c>
      <c r="L47" s="409"/>
      <c r="M47" s="525">
        <v>374</v>
      </c>
      <c r="N47" s="350" t="s">
        <v>54</v>
      </c>
      <c r="O47" s="525">
        <v>9</v>
      </c>
      <c r="P47" s="525">
        <v>9</v>
      </c>
      <c r="Q47" s="350">
        <v>0</v>
      </c>
      <c r="R47" s="525">
        <v>9</v>
      </c>
      <c r="S47" s="525">
        <v>9</v>
      </c>
      <c r="T47" s="350">
        <v>12956</v>
      </c>
      <c r="U47" s="350">
        <v>251</v>
      </c>
      <c r="V47" s="350">
        <v>13104</v>
      </c>
      <c r="W47" s="350">
        <v>264</v>
      </c>
      <c r="X47" s="350">
        <v>-13</v>
      </c>
      <c r="Y47" s="350">
        <v>0.37</v>
      </c>
      <c r="Z47" s="350">
        <v>0.69</v>
      </c>
      <c r="AA47" s="526">
        <v>48.5</v>
      </c>
      <c r="AB47" s="350">
        <v>3119.33</v>
      </c>
      <c r="AC47" s="409">
        <v>578.8</v>
      </c>
      <c r="AD47" s="409">
        <v>12.77</v>
      </c>
      <c r="AE47" s="527">
        <v>3</v>
      </c>
      <c r="AF47" s="528">
        <v>0.705</v>
      </c>
      <c r="AG47" s="528">
        <v>0.536</v>
      </c>
      <c r="AH47" s="409">
        <v>0</v>
      </c>
      <c r="AI47" s="529">
        <v>0.041</v>
      </c>
      <c r="AJ47" s="526"/>
      <c r="AK47" s="530">
        <v>5.38931</v>
      </c>
      <c r="AL47" s="526"/>
      <c r="AM47" s="526"/>
      <c r="AN47" s="409"/>
      <c r="AO47" s="531"/>
      <c r="AP47" s="350"/>
      <c r="AQ47" s="350"/>
      <c r="AR47" s="350">
        <v>0</v>
      </c>
      <c r="AS47" s="350"/>
      <c r="AT47" s="350">
        <v>0</v>
      </c>
      <c r="AU47" s="350" t="s">
        <v>289</v>
      </c>
      <c r="AV47" s="350"/>
      <c r="AW47" s="532"/>
    </row>
    <row r="48" spans="1:49" ht="12.75">
      <c r="A48" s="350">
        <v>66</v>
      </c>
      <c r="B48" s="350" t="s">
        <v>293</v>
      </c>
      <c r="C48" s="522" t="s">
        <v>74</v>
      </c>
      <c r="D48" s="523">
        <v>44644</v>
      </c>
      <c r="E48" s="350">
        <v>14</v>
      </c>
      <c r="F48" s="350">
        <v>725</v>
      </c>
      <c r="G48" s="524">
        <v>72286</v>
      </c>
      <c r="H48" s="350">
        <v>725</v>
      </c>
      <c r="I48" s="350">
        <v>0</v>
      </c>
      <c r="J48" s="524">
        <v>0</v>
      </c>
      <c r="K48" s="524">
        <v>0</v>
      </c>
      <c r="L48" s="409"/>
      <c r="M48" s="525">
        <v>385</v>
      </c>
      <c r="N48" s="350" t="s">
        <v>54</v>
      </c>
      <c r="O48" s="525">
        <v>11</v>
      </c>
      <c r="P48" s="525">
        <v>11</v>
      </c>
      <c r="Q48" s="350">
        <v>0</v>
      </c>
      <c r="R48" s="525">
        <v>11</v>
      </c>
      <c r="S48" s="525">
        <v>11</v>
      </c>
      <c r="T48" s="350">
        <v>13226</v>
      </c>
      <c r="U48" s="350">
        <v>270</v>
      </c>
      <c r="V48" s="350">
        <v>13387</v>
      </c>
      <c r="W48" s="350">
        <v>283</v>
      </c>
      <c r="X48" s="350">
        <v>-13</v>
      </c>
      <c r="Y48" s="350">
        <v>0.37</v>
      </c>
      <c r="Z48" s="350">
        <v>0.69</v>
      </c>
      <c r="AA48" s="526">
        <v>59.28</v>
      </c>
      <c r="AB48" s="350">
        <v>3119.33</v>
      </c>
      <c r="AC48" s="409">
        <v>578.8</v>
      </c>
      <c r="AD48" s="409">
        <v>14.5</v>
      </c>
      <c r="AE48" s="527">
        <v>1.9</v>
      </c>
      <c r="AF48" s="528">
        <v>0.759</v>
      </c>
      <c r="AG48" s="528">
        <v>0.536</v>
      </c>
      <c r="AH48" s="409">
        <v>0</v>
      </c>
      <c r="AI48" s="529">
        <v>0.041</v>
      </c>
      <c r="AJ48" s="526"/>
      <c r="AK48" s="530">
        <v>5.38931</v>
      </c>
      <c r="AL48" s="526"/>
      <c r="AM48" s="526"/>
      <c r="AN48" s="409"/>
      <c r="AO48" s="531"/>
      <c r="AP48" s="350"/>
      <c r="AQ48" s="350"/>
      <c r="AR48" s="350">
        <v>0</v>
      </c>
      <c r="AS48" s="350"/>
      <c r="AT48" s="350">
        <v>0</v>
      </c>
      <c r="AU48" s="350" t="s">
        <v>289</v>
      </c>
      <c r="AV48" s="350"/>
      <c r="AW48" s="532"/>
    </row>
    <row r="49" spans="1:49" ht="12.75">
      <c r="A49" s="350">
        <v>66</v>
      </c>
      <c r="B49" s="350" t="s">
        <v>293</v>
      </c>
      <c r="C49" s="522" t="s">
        <v>22</v>
      </c>
      <c r="D49" s="523">
        <v>44672</v>
      </c>
      <c r="E49" s="350">
        <v>9</v>
      </c>
      <c r="F49" s="350">
        <v>667</v>
      </c>
      <c r="G49" s="350">
        <v>72953</v>
      </c>
      <c r="H49" s="350">
        <v>667</v>
      </c>
      <c r="I49" s="350">
        <v>0</v>
      </c>
      <c r="J49" s="350">
        <v>0</v>
      </c>
      <c r="K49" s="524">
        <v>0</v>
      </c>
      <c r="L49" s="409"/>
      <c r="M49" s="525">
        <v>391.45</v>
      </c>
      <c r="N49" s="350" t="s">
        <v>54</v>
      </c>
      <c r="O49" s="525">
        <v>6.45</v>
      </c>
      <c r="P49" s="525">
        <v>6.45</v>
      </c>
      <c r="Q49" s="350">
        <v>0</v>
      </c>
      <c r="R49" s="525">
        <v>6.45</v>
      </c>
      <c r="S49" s="525">
        <v>6.45</v>
      </c>
      <c r="T49" s="350">
        <v>13467</v>
      </c>
      <c r="U49" s="350">
        <v>241</v>
      </c>
      <c r="V49" s="350">
        <v>13643</v>
      </c>
      <c r="W49" s="350">
        <v>256</v>
      </c>
      <c r="X49" s="350">
        <v>-15</v>
      </c>
      <c r="Y49" s="350">
        <v>0.36</v>
      </c>
      <c r="Z49" s="350">
        <v>0.69</v>
      </c>
      <c r="AA49" s="526">
        <v>34.76</v>
      </c>
      <c r="AB49" s="350">
        <v>3119.33</v>
      </c>
      <c r="AC49" s="409">
        <v>578.8</v>
      </c>
      <c r="AD49" s="409">
        <v>7.62</v>
      </c>
      <c r="AE49" s="527">
        <v>8.8</v>
      </c>
      <c r="AF49" s="528">
        <v>0.846</v>
      </c>
      <c r="AG49" s="528">
        <v>0.522</v>
      </c>
      <c r="AH49" s="409">
        <v>0</v>
      </c>
      <c r="AI49" s="529">
        <v>0.041</v>
      </c>
      <c r="AJ49" s="526"/>
      <c r="AK49" s="530">
        <v>5.38931</v>
      </c>
      <c r="AL49" s="526"/>
      <c r="AM49" s="350"/>
      <c r="AN49" s="409"/>
      <c r="AO49" s="409"/>
      <c r="AP49" s="350"/>
      <c r="AQ49" s="350"/>
      <c r="AR49" s="350">
        <v>0</v>
      </c>
      <c r="AS49" s="350"/>
      <c r="AT49" s="350">
        <v>0</v>
      </c>
      <c r="AU49" s="350" t="s">
        <v>289</v>
      </c>
      <c r="AV49" s="350"/>
      <c r="AW49" s="532"/>
    </row>
  </sheetData>
  <sheetProtection/>
  <dataValidations count="1">
    <dataValidation type="whole" allowBlank="1" showInputMessage="1" showErrorMessage="1" sqref="C5">
      <formula1>-1</formula1>
      <formula2>-1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48"/>
  </sheetPr>
  <dimension ref="A1:CH297"/>
  <sheetViews>
    <sheetView zoomScalePageLayoutView="0" workbookViewId="0" topLeftCell="A1">
      <pane xSplit="2" ySplit="4" topLeftCell="C5" activePane="bottomRight" state="frozen"/>
      <selection pane="topLeft" activeCell="B6" sqref="B6:B17"/>
      <selection pane="topRight" activeCell="B6" sqref="B6:B17"/>
      <selection pane="bottomLeft" activeCell="B6" sqref="B6:B17"/>
      <selection pane="bottomRight" activeCell="CD2" sqref="CD2:CD4"/>
    </sheetView>
  </sheetViews>
  <sheetFormatPr defaultColWidth="9.140625" defaultRowHeight="15"/>
  <cols>
    <col min="1" max="1" width="5.00390625" style="245" customWidth="1"/>
    <col min="2" max="2" width="36.57421875" style="245" customWidth="1"/>
    <col min="3" max="3" width="10.8515625" style="274" customWidth="1"/>
    <col min="4" max="4" width="5.421875" style="245" customWidth="1"/>
    <col min="5" max="5" width="41.28125" style="245" customWidth="1"/>
    <col min="6" max="6" width="5.28125" style="245" customWidth="1"/>
    <col min="7" max="7" width="5.00390625" style="245" customWidth="1"/>
    <col min="8" max="8" width="19.421875" style="245" customWidth="1"/>
    <col min="9" max="9" width="15.140625" style="245" customWidth="1"/>
    <col min="10" max="10" width="6.7109375" style="270" customWidth="1"/>
    <col min="11" max="11" width="9.57421875" style="323" customWidth="1"/>
    <col min="12" max="12" width="2.7109375" style="267" customWidth="1"/>
    <col min="13" max="13" width="9.140625" style="249" customWidth="1"/>
    <col min="14" max="14" width="9.140625" style="250" customWidth="1"/>
    <col min="15" max="15" width="7.140625" style="245" customWidth="1"/>
    <col min="16" max="16" width="14.7109375" style="276" customWidth="1"/>
    <col min="17" max="17" width="9.8515625" style="245" customWidth="1"/>
    <col min="18" max="18" width="7.00390625" style="253" customWidth="1"/>
    <col min="19" max="19" width="17.00390625" style="245" customWidth="1"/>
    <col min="20" max="20" width="11.00390625" style="256" customWidth="1"/>
    <col min="21" max="21" width="14.7109375" style="245" customWidth="1"/>
    <col min="22" max="22" width="10.140625" style="256" bestFit="1" customWidth="1"/>
    <col min="23" max="23" width="9.140625" style="245" customWidth="1"/>
    <col min="24" max="24" width="13.57421875" style="245" customWidth="1"/>
    <col min="25" max="25" width="10.140625" style="257" customWidth="1"/>
    <col min="26" max="26" width="12.7109375" style="245" customWidth="1"/>
    <col min="27" max="27" width="10.421875" style="257" customWidth="1"/>
    <col min="28" max="28" width="13.421875" style="245" customWidth="1"/>
    <col min="29" max="29" width="10.28125" style="257" customWidth="1"/>
    <col min="30" max="30" width="10.00390625" style="245" customWidth="1"/>
    <col min="31" max="31" width="10.421875" style="249" customWidth="1"/>
    <col min="32" max="32" width="12.00390625" style="249" customWidth="1"/>
    <col min="33" max="33" width="9.7109375" style="258" customWidth="1"/>
    <col min="34" max="34" width="9.57421875" style="258" bestFit="1" customWidth="1"/>
    <col min="35" max="35" width="10.28125" style="258" customWidth="1"/>
    <col min="36" max="36" width="10.57421875" style="245" customWidth="1"/>
    <col min="37" max="37" width="9.140625" style="259" customWidth="1"/>
    <col min="38" max="38" width="9.140625" style="259" hidden="1" customWidth="1"/>
    <col min="39" max="39" width="9.140625" style="260" customWidth="1"/>
    <col min="40" max="40" width="8.7109375" style="261" customWidth="1"/>
    <col min="41" max="41" width="5.140625" style="259" customWidth="1"/>
    <col min="42" max="42" width="15.57421875" style="245" customWidth="1"/>
    <col min="43" max="43" width="11.57421875" style="253" customWidth="1"/>
    <col min="44" max="44" width="11.00390625" style="253" customWidth="1"/>
    <col min="45" max="45" width="9.7109375" style="245" customWidth="1"/>
    <col min="46" max="46" width="11.140625" style="253" customWidth="1"/>
    <col min="47" max="47" width="11.421875" style="253" customWidth="1"/>
    <col min="48" max="48" width="8.7109375" style="253" customWidth="1"/>
    <col min="49" max="49" width="9.140625" style="253" customWidth="1"/>
    <col min="50" max="50" width="11.421875" style="253" customWidth="1"/>
    <col min="51" max="51" width="5.7109375" style="253" customWidth="1"/>
    <col min="52" max="52" width="5.7109375" style="443" customWidth="1"/>
    <col min="53" max="53" width="11.421875" style="443" customWidth="1"/>
    <col min="54" max="54" width="13.28125" style="260" customWidth="1"/>
    <col min="55" max="56" width="9.140625" style="245" customWidth="1"/>
    <col min="57" max="57" width="11.28125" style="245" bestFit="1" customWidth="1"/>
    <col min="58" max="58" width="14.28125" style="260" customWidth="1"/>
    <col min="59" max="61" width="9.140625" style="267" customWidth="1"/>
    <col min="62" max="63" width="9.140625" style="245" customWidth="1"/>
    <col min="64" max="64" width="2.7109375" style="268" customWidth="1"/>
    <col min="65" max="65" width="10.140625" style="245" bestFit="1" customWidth="1"/>
    <col min="66" max="66" width="9.140625" style="249" customWidth="1"/>
    <col min="67" max="67" width="9.140625" style="245" customWidth="1"/>
    <col min="68" max="68" width="14.8515625" style="269" customWidth="1"/>
    <col min="69" max="69" width="7.421875" style="270" customWidth="1"/>
    <col min="70" max="70" width="3.140625" style="245" customWidth="1"/>
    <col min="71" max="72" width="9.140625" style="245" customWidth="1"/>
    <col min="73" max="73" width="2.28125" style="245" customWidth="1"/>
    <col min="74" max="74" width="9.140625" style="245" customWidth="1"/>
    <col min="75" max="75" width="4.00390625" style="245" customWidth="1"/>
    <col min="76" max="78" width="9.140625" style="245" customWidth="1"/>
    <col min="79" max="79" width="2.00390625" style="245" customWidth="1"/>
    <col min="80" max="80" width="18.140625" style="245" customWidth="1"/>
    <col min="81" max="16384" width="9.140625" style="245" customWidth="1"/>
  </cols>
  <sheetData>
    <row r="1" spans="1:86" ht="15">
      <c r="A1" s="243"/>
      <c r="B1" s="23" t="str">
        <f>CONCATENATE("Всего счетчиков на двоих - ",CE2+CE4,"(",CE2,"+",CE4,")")</f>
        <v>Всего счетчиков на двоих - 0(0+0)</v>
      </c>
      <c r="C1" s="244" t="str">
        <f>CONCATENATE(CF2,"+",CF4,"=",CF2+CF4,"дома и ",CG2+CH2,"+",CG4+CH4,"=",CG2+CH2+CG4+CH4," прочие")</f>
        <v>3+3=6дома и 2+2=4 прочие</v>
      </c>
      <c r="I1" s="245">
        <v>658</v>
      </c>
      <c r="J1" s="246"/>
      <c r="K1" s="247"/>
      <c r="L1" s="248"/>
      <c r="P1" s="251"/>
      <c r="Q1" s="252"/>
      <c r="R1" s="253">
        <v>18</v>
      </c>
      <c r="S1" s="245">
        <v>19</v>
      </c>
      <c r="T1" s="254"/>
      <c r="U1" s="255">
        <v>21</v>
      </c>
      <c r="V1" s="256" t="s">
        <v>81</v>
      </c>
      <c r="W1" s="245">
        <v>23</v>
      </c>
      <c r="X1" s="245">
        <v>24</v>
      </c>
      <c r="Y1" s="257" t="s">
        <v>82</v>
      </c>
      <c r="Z1" s="245">
        <v>26</v>
      </c>
      <c r="AA1" s="257" t="s">
        <v>83</v>
      </c>
      <c r="AB1" s="245">
        <v>28</v>
      </c>
      <c r="AC1" s="257" t="s">
        <v>84</v>
      </c>
      <c r="AE1" s="249">
        <v>31</v>
      </c>
      <c r="AI1" s="258" t="s">
        <v>85</v>
      </c>
      <c r="AK1" s="259">
        <v>37</v>
      </c>
      <c r="AL1" s="259">
        <v>38</v>
      </c>
      <c r="AM1" s="260">
        <v>39</v>
      </c>
      <c r="AN1" s="261">
        <v>40</v>
      </c>
      <c r="AO1" s="259">
        <v>41</v>
      </c>
      <c r="AP1" s="259" t="s">
        <v>86</v>
      </c>
      <c r="AQ1" s="253">
        <v>43</v>
      </c>
      <c r="AR1" s="253">
        <v>44</v>
      </c>
      <c r="AS1" s="245">
        <v>45</v>
      </c>
      <c r="AT1" s="253">
        <v>46</v>
      </c>
      <c r="AV1" s="262" t="s">
        <v>87</v>
      </c>
      <c r="AW1" s="263" t="s">
        <v>17</v>
      </c>
      <c r="AX1" s="264" t="s">
        <v>88</v>
      </c>
      <c r="AY1" s="264"/>
      <c r="AZ1" s="265">
        <v>52</v>
      </c>
      <c r="BA1" s="265">
        <v>53</v>
      </c>
      <c r="BB1" s="266">
        <v>48</v>
      </c>
      <c r="BF1" s="260">
        <v>58</v>
      </c>
      <c r="BM1" s="249">
        <v>65</v>
      </c>
      <c r="BN1" s="245">
        <v>66</v>
      </c>
      <c r="CC1" s="271" t="s">
        <v>89</v>
      </c>
      <c r="CD1" s="272"/>
      <c r="CE1" s="273" t="s">
        <v>90</v>
      </c>
      <c r="CF1" s="273" t="s">
        <v>91</v>
      </c>
      <c r="CG1" s="273" t="s">
        <v>12</v>
      </c>
      <c r="CH1" s="272" t="s">
        <v>19</v>
      </c>
    </row>
    <row r="2" spans="2:86" ht="15">
      <c r="B2" s="245">
        <v>2</v>
      </c>
      <c r="C2" s="274">
        <v>3</v>
      </c>
      <c r="D2" s="245">
        <v>4</v>
      </c>
      <c r="E2" s="245">
        <v>5</v>
      </c>
      <c r="F2" s="245">
        <v>6</v>
      </c>
      <c r="G2" s="245">
        <v>7</v>
      </c>
      <c r="H2" s="245">
        <v>8</v>
      </c>
      <c r="I2" s="245">
        <v>9</v>
      </c>
      <c r="J2" s="270">
        <v>10</v>
      </c>
      <c r="K2" s="247">
        <v>11</v>
      </c>
      <c r="L2" s="275">
        <v>12</v>
      </c>
      <c r="M2" s="249">
        <v>13</v>
      </c>
      <c r="N2" s="250">
        <v>14</v>
      </c>
      <c r="O2" s="245">
        <v>15</v>
      </c>
      <c r="Q2" s="245">
        <v>17</v>
      </c>
      <c r="R2" s="277" t="s">
        <v>76</v>
      </c>
      <c r="S2" s="278" t="s">
        <v>92</v>
      </c>
      <c r="T2" s="279"/>
      <c r="U2" s="280"/>
      <c r="V2" s="281" t="s">
        <v>93</v>
      </c>
      <c r="W2" s="282"/>
      <c r="X2" s="283"/>
      <c r="Y2" s="284"/>
      <c r="Z2" s="285" t="s">
        <v>94</v>
      </c>
      <c r="AA2" s="286"/>
      <c r="AB2" s="287"/>
      <c r="AC2" s="288"/>
      <c r="AD2" s="289"/>
      <c r="AE2" s="290"/>
      <c r="AG2" s="291" t="s">
        <v>95</v>
      </c>
      <c r="AH2" s="292" t="s">
        <v>96</v>
      </c>
      <c r="AI2" s="291" t="s">
        <v>97</v>
      </c>
      <c r="AJ2" s="291" t="s">
        <v>98</v>
      </c>
      <c r="AQ2" s="293" t="s">
        <v>99</v>
      </c>
      <c r="AR2" s="294" t="s">
        <v>100</v>
      </c>
      <c r="AS2" s="295" t="s">
        <v>101</v>
      </c>
      <c r="AT2" s="296" t="s">
        <v>102</v>
      </c>
      <c r="AU2" s="297" t="s">
        <v>103</v>
      </c>
      <c r="AV2" s="298" t="s">
        <v>104</v>
      </c>
      <c r="AW2" s="298" t="s">
        <v>104</v>
      </c>
      <c r="AX2" s="299"/>
      <c r="AY2" s="299" t="s">
        <v>105</v>
      </c>
      <c r="AZ2" s="300" t="s">
        <v>106</v>
      </c>
      <c r="BA2" s="300" t="s">
        <v>107</v>
      </c>
      <c r="BB2" s="260" t="s">
        <v>108</v>
      </c>
      <c r="BE2" s="260" t="s">
        <v>109</v>
      </c>
      <c r="CC2" s="272"/>
      <c r="CD2" s="301"/>
      <c r="CE2" s="302">
        <f>COUNTIF($AE$5:$AE$13,CD2)</f>
        <v>0</v>
      </c>
      <c r="CF2" s="303">
        <f>SUMPRODUCT(($AE$5:$AE$13=$CD$2)*($AZ$5:$AZ$13=1))</f>
        <v>3</v>
      </c>
      <c r="CG2" s="303">
        <f>SUMPRODUCT(($AE$5:$AE$13=$CD$2)*($AZ$5:$AZ$13=2))</f>
        <v>1</v>
      </c>
      <c r="CH2" s="303">
        <f>SUMPRODUCT(($AE$5:$AE$13=$CD$2)*($AZ$5:$AZ$13=3))</f>
        <v>1</v>
      </c>
    </row>
    <row r="3" spans="11:86" ht="15" hidden="1">
      <c r="K3" s="247"/>
      <c r="L3" s="275"/>
      <c r="R3" s="277"/>
      <c r="S3" s="304"/>
      <c r="T3" s="305"/>
      <c r="U3" s="306"/>
      <c r="V3" s="307"/>
      <c r="W3" s="308"/>
      <c r="X3" s="309"/>
      <c r="Y3" s="310"/>
      <c r="Z3" s="311"/>
      <c r="AA3" s="312"/>
      <c r="AB3" s="311"/>
      <c r="AC3" s="312"/>
      <c r="AD3" s="289"/>
      <c r="AQ3" s="313"/>
      <c r="AR3" s="314"/>
      <c r="AS3" s="315"/>
      <c r="AT3" s="316"/>
      <c r="AU3" s="317"/>
      <c r="AV3" s="317"/>
      <c r="AW3" s="318"/>
      <c r="AX3" s="299"/>
      <c r="AY3" s="299"/>
      <c r="AZ3" s="319"/>
      <c r="BA3" s="319"/>
      <c r="CC3" s="272"/>
      <c r="CD3" s="301"/>
      <c r="CE3" s="320"/>
      <c r="CF3" s="320"/>
      <c r="CG3" s="320"/>
      <c r="CH3" s="320"/>
    </row>
    <row r="4" spans="1:86" ht="15">
      <c r="A4" s="260" t="s">
        <v>110</v>
      </c>
      <c r="B4" s="321" t="s">
        <v>111</v>
      </c>
      <c r="C4" s="274" t="s">
        <v>112</v>
      </c>
      <c r="D4" s="249" t="s">
        <v>113</v>
      </c>
      <c r="E4" s="249" t="s">
        <v>114</v>
      </c>
      <c r="F4" s="249" t="s">
        <v>115</v>
      </c>
      <c r="G4" s="261" t="s">
        <v>116</v>
      </c>
      <c r="H4" s="249" t="s">
        <v>117</v>
      </c>
      <c r="I4" s="249" t="s">
        <v>118</v>
      </c>
      <c r="J4" s="322" t="s">
        <v>119</v>
      </c>
      <c r="K4" s="323" t="s">
        <v>6</v>
      </c>
      <c r="L4" s="324" t="s">
        <v>120</v>
      </c>
      <c r="M4" s="249" t="s">
        <v>3</v>
      </c>
      <c r="N4" s="250" t="s">
        <v>121</v>
      </c>
      <c r="O4" s="249" t="s">
        <v>122</v>
      </c>
      <c r="P4" s="325" t="s">
        <v>123</v>
      </c>
      <c r="Q4" s="326" t="s">
        <v>124</v>
      </c>
      <c r="R4" s="277" t="s">
        <v>125</v>
      </c>
      <c r="S4" s="304" t="s">
        <v>126</v>
      </c>
      <c r="T4" s="305" t="s">
        <v>127</v>
      </c>
      <c r="U4" s="327" t="s">
        <v>56</v>
      </c>
      <c r="V4" s="328" t="s">
        <v>127</v>
      </c>
      <c r="W4" s="314" t="s">
        <v>128</v>
      </c>
      <c r="X4" s="311" t="s">
        <v>59</v>
      </c>
      <c r="Y4" s="312" t="s">
        <v>127</v>
      </c>
      <c r="Z4" s="329" t="s">
        <v>56</v>
      </c>
      <c r="AA4" s="330" t="s">
        <v>127</v>
      </c>
      <c r="AB4" s="331" t="s">
        <v>59</v>
      </c>
      <c r="AC4" s="332" t="s">
        <v>127</v>
      </c>
      <c r="AD4" s="333" t="s">
        <v>129</v>
      </c>
      <c r="AE4" s="249" t="s">
        <v>130</v>
      </c>
      <c r="AF4" s="249" t="s">
        <v>131</v>
      </c>
      <c r="AG4" s="334" t="s">
        <v>132</v>
      </c>
      <c r="AH4" s="334" t="s">
        <v>133</v>
      </c>
      <c r="AI4" s="334" t="s">
        <v>134</v>
      </c>
      <c r="AJ4" s="334" t="s">
        <v>135</v>
      </c>
      <c r="AK4" s="335" t="s">
        <v>136</v>
      </c>
      <c r="AL4" s="326" t="s">
        <v>116</v>
      </c>
      <c r="AM4" s="336" t="s">
        <v>137</v>
      </c>
      <c r="AN4" s="336" t="s">
        <v>138</v>
      </c>
      <c r="AO4" s="244" t="s">
        <v>45</v>
      </c>
      <c r="AP4" s="249" t="s">
        <v>139</v>
      </c>
      <c r="AQ4" s="313" t="s">
        <v>140</v>
      </c>
      <c r="AR4" s="337" t="s">
        <v>140</v>
      </c>
      <c r="AS4" s="338" t="s">
        <v>140</v>
      </c>
      <c r="AT4" s="316" t="s">
        <v>140</v>
      </c>
      <c r="AU4" s="317" t="s">
        <v>140</v>
      </c>
      <c r="AV4" s="339" t="s">
        <v>141</v>
      </c>
      <c r="AW4" s="318" t="s">
        <v>80</v>
      </c>
      <c r="AX4" s="297" t="s">
        <v>142</v>
      </c>
      <c r="AY4" s="340" t="s">
        <v>51</v>
      </c>
      <c r="AZ4" s="341" t="s">
        <v>143</v>
      </c>
      <c r="BA4" s="342" t="s">
        <v>144</v>
      </c>
      <c r="BB4" s="261" t="s">
        <v>145</v>
      </c>
      <c r="BC4" s="260" t="s">
        <v>146</v>
      </c>
      <c r="BD4" s="260" t="s">
        <v>78</v>
      </c>
      <c r="BE4" s="336" t="s">
        <v>79</v>
      </c>
      <c r="BF4" s="260" t="s">
        <v>147</v>
      </c>
      <c r="BG4" s="343" t="s">
        <v>148</v>
      </c>
      <c r="BH4" s="343" t="s">
        <v>119</v>
      </c>
      <c r="BI4" s="343" t="s">
        <v>149</v>
      </c>
      <c r="BJ4" s="260" t="s">
        <v>150</v>
      </c>
      <c r="BK4" s="260" t="s">
        <v>151</v>
      </c>
      <c r="BP4" s="344" t="s">
        <v>152</v>
      </c>
      <c r="CC4" s="272"/>
      <c r="CD4" s="301"/>
      <c r="CE4" s="302">
        <f>COUNTIF($AE$5:$AE$13,CD4)</f>
        <v>0</v>
      </c>
      <c r="CF4" s="303">
        <f>SUMPRODUCT(($AE$5:$AE$13=$CD$4)*($AZ$5:$AZ$13=1))</f>
        <v>3</v>
      </c>
      <c r="CG4" s="303">
        <f>SUMPRODUCT(($AE$5:$AE$13=$CD$4)*($AZ$5:$AZ$13=2))</f>
        <v>1</v>
      </c>
      <c r="CH4" s="303">
        <f>SUMPRODUCT(($AE$5:$AE$13=$CD$4)*($AZ$5:$AZ$13=3))</f>
        <v>1</v>
      </c>
    </row>
    <row r="5" spans="1:81" s="373" customFormat="1" ht="15">
      <c r="A5" s="345">
        <v>15</v>
      </c>
      <c r="B5" s="350" t="s">
        <v>174</v>
      </c>
      <c r="C5" s="347"/>
      <c r="D5" s="348"/>
      <c r="E5" s="349"/>
      <c r="F5" s="375"/>
      <c r="G5" s="349"/>
      <c r="H5" s="359"/>
      <c r="I5" s="351"/>
      <c r="J5" s="352">
        <v>188.3</v>
      </c>
      <c r="K5" s="353">
        <v>3742.7500000000005</v>
      </c>
      <c r="L5" s="353">
        <v>188.3</v>
      </c>
      <c r="M5" s="348">
        <v>0.24359</v>
      </c>
      <c r="N5" s="354">
        <f>ROUND(M5*1000/25,1)</f>
        <v>9.7</v>
      </c>
      <c r="O5" s="348"/>
      <c r="P5" s="355">
        <v>44849</v>
      </c>
      <c r="Q5" s="356">
        <v>4</v>
      </c>
      <c r="R5" s="357" t="s">
        <v>54</v>
      </c>
      <c r="S5" s="383" t="s">
        <v>175</v>
      </c>
      <c r="T5" s="358" t="s">
        <v>176</v>
      </c>
      <c r="U5" s="345" t="s">
        <v>177</v>
      </c>
      <c r="V5" s="358" t="s">
        <v>178</v>
      </c>
      <c r="W5" s="345">
        <v>0.15</v>
      </c>
      <c r="X5" s="345" t="s">
        <v>177</v>
      </c>
      <c r="Y5" s="358" t="s">
        <v>179</v>
      </c>
      <c r="Z5" s="345" t="s">
        <v>180</v>
      </c>
      <c r="AA5" s="359" t="s">
        <v>181</v>
      </c>
      <c r="AB5" s="345" t="s">
        <v>180</v>
      </c>
      <c r="AC5" s="359" t="s">
        <v>182</v>
      </c>
      <c r="AD5" s="345"/>
      <c r="AE5" s="357"/>
      <c r="AF5" s="360"/>
      <c r="AG5" s="361"/>
      <c r="AH5" s="361"/>
      <c r="AI5" s="361"/>
      <c r="AJ5" s="361"/>
      <c r="AK5" s="362"/>
      <c r="AL5" s="379"/>
      <c r="AM5" s="364">
        <v>43402</v>
      </c>
      <c r="AN5" s="364">
        <v>43388</v>
      </c>
      <c r="AO5" s="363"/>
      <c r="AP5" s="365" t="s">
        <v>153</v>
      </c>
      <c r="AQ5" s="357">
        <v>5270862</v>
      </c>
      <c r="AR5" s="358" t="s">
        <v>183</v>
      </c>
      <c r="AS5" s="357">
        <v>5270802</v>
      </c>
      <c r="AT5" s="357">
        <v>5270896</v>
      </c>
      <c r="AU5" s="357">
        <v>5270893</v>
      </c>
      <c r="AV5" s="366">
        <v>-13</v>
      </c>
      <c r="AW5" s="357">
        <v>18</v>
      </c>
      <c r="AX5" s="367">
        <v>0</v>
      </c>
      <c r="AY5" s="367" t="s">
        <v>154</v>
      </c>
      <c r="AZ5" s="368">
        <v>1</v>
      </c>
      <c r="BA5" s="368"/>
      <c r="BB5" s="369" t="s">
        <v>291</v>
      </c>
      <c r="BC5" s="345"/>
      <c r="BD5" s="345"/>
      <c r="BE5" s="371"/>
      <c r="BF5" s="370"/>
      <c r="BG5" s="377">
        <v>3742.7500000000005</v>
      </c>
      <c r="BH5" s="377">
        <v>188.3</v>
      </c>
      <c r="BI5" s="377">
        <v>0</v>
      </c>
      <c r="BJ5" s="345">
        <v>121</v>
      </c>
      <c r="BK5" s="345">
        <v>0</v>
      </c>
      <c r="BL5" s="268"/>
      <c r="BN5" s="394" t="s">
        <v>184</v>
      </c>
      <c r="BP5" s="393" t="s">
        <v>121</v>
      </c>
      <c r="BQ5" s="372">
        <v>14</v>
      </c>
      <c r="BS5" s="373" t="s">
        <v>185</v>
      </c>
      <c r="BX5" s="373" t="s">
        <v>160</v>
      </c>
      <c r="CB5" s="384" t="s">
        <v>186</v>
      </c>
      <c r="CC5" s="373">
        <v>11</v>
      </c>
    </row>
    <row r="6" spans="1:81" s="373" customFormat="1" ht="15">
      <c r="A6" s="345">
        <v>10</v>
      </c>
      <c r="B6" s="350" t="s">
        <v>292</v>
      </c>
      <c r="C6" s="347"/>
      <c r="D6" s="348"/>
      <c r="E6" s="349"/>
      <c r="F6" s="375"/>
      <c r="G6" s="349"/>
      <c r="H6" s="348"/>
      <c r="I6" s="351"/>
      <c r="J6" s="376"/>
      <c r="K6" s="353">
        <v>3060</v>
      </c>
      <c r="L6" s="353"/>
      <c r="M6" s="348">
        <v>0.217</v>
      </c>
      <c r="N6" s="354">
        <f>M6*1000/25</f>
        <v>8.68</v>
      </c>
      <c r="O6" s="348"/>
      <c r="P6" s="355">
        <v>44775</v>
      </c>
      <c r="Q6" s="356">
        <v>4</v>
      </c>
      <c r="R6" s="395" t="s">
        <v>54</v>
      </c>
      <c r="S6" s="345" t="s">
        <v>187</v>
      </c>
      <c r="T6" s="358" t="s">
        <v>188</v>
      </c>
      <c r="U6" s="363" t="s">
        <v>189</v>
      </c>
      <c r="V6" s="358" t="s">
        <v>188</v>
      </c>
      <c r="W6" s="345"/>
      <c r="X6" s="363" t="s">
        <v>189</v>
      </c>
      <c r="Y6" s="359" t="s">
        <v>190</v>
      </c>
      <c r="Z6" s="363" t="s">
        <v>191</v>
      </c>
      <c r="AA6" s="345" t="s">
        <v>192</v>
      </c>
      <c r="AB6" s="363" t="s">
        <v>191</v>
      </c>
      <c r="AC6" s="359" t="s">
        <v>193</v>
      </c>
      <c r="AD6" s="361"/>
      <c r="AE6" s="357"/>
      <c r="AF6" s="360"/>
      <c r="AG6" s="391"/>
      <c r="AH6" s="396"/>
      <c r="AI6" s="391"/>
      <c r="AJ6" s="391"/>
      <c r="AK6" s="362"/>
      <c r="AL6" s="379"/>
      <c r="AM6" s="381"/>
      <c r="AN6" s="381"/>
      <c r="AO6" s="363"/>
      <c r="AP6" s="365" t="s">
        <v>153</v>
      </c>
      <c r="AQ6" s="358" t="s">
        <v>194</v>
      </c>
      <c r="AR6" s="358" t="s">
        <v>157</v>
      </c>
      <c r="AS6" s="392" t="s">
        <v>195</v>
      </c>
      <c r="AT6" s="358" t="s">
        <v>196</v>
      </c>
      <c r="AU6" s="358" t="s">
        <v>197</v>
      </c>
      <c r="AV6" s="366">
        <v>-13</v>
      </c>
      <c r="AW6" s="357">
        <v>20</v>
      </c>
      <c r="AX6" s="367">
        <v>0</v>
      </c>
      <c r="AY6" s="367" t="s">
        <v>154</v>
      </c>
      <c r="AZ6" s="368">
        <v>2</v>
      </c>
      <c r="BA6" s="368"/>
      <c r="BB6" s="369" t="s">
        <v>291</v>
      </c>
      <c r="BC6" s="370" t="s">
        <v>155</v>
      </c>
      <c r="BD6" s="345"/>
      <c r="BE6" s="371"/>
      <c r="BF6" s="370"/>
      <c r="BG6" s="377"/>
      <c r="BH6" s="377"/>
      <c r="BI6" s="377"/>
      <c r="BJ6" s="345"/>
      <c r="BK6" s="345"/>
      <c r="BL6" s="268"/>
      <c r="BN6" s="381" t="s">
        <v>294</v>
      </c>
      <c r="BO6" s="397"/>
      <c r="BP6" s="393" t="s">
        <v>122</v>
      </c>
      <c r="BQ6" s="372">
        <v>15</v>
      </c>
      <c r="BS6" s="373" t="s">
        <v>198</v>
      </c>
      <c r="BX6" s="373" t="s">
        <v>199</v>
      </c>
      <c r="CB6" s="384" t="s">
        <v>29</v>
      </c>
      <c r="CC6" s="373">
        <v>12</v>
      </c>
    </row>
    <row r="7" spans="1:86" ht="15">
      <c r="A7" s="373">
        <v>11</v>
      </c>
      <c r="B7" s="350" t="s">
        <v>200</v>
      </c>
      <c r="C7" s="347"/>
      <c r="D7" s="348"/>
      <c r="E7" s="349"/>
      <c r="F7" s="375"/>
      <c r="G7" s="398"/>
      <c r="H7" s="399"/>
      <c r="I7" s="400"/>
      <c r="J7" s="376">
        <v>-0.289</v>
      </c>
      <c r="K7" s="353">
        <v>5188.400000000003</v>
      </c>
      <c r="L7" s="353"/>
      <c r="M7" s="348">
        <v>0.31752</v>
      </c>
      <c r="N7" s="354">
        <v>12.7</v>
      </c>
      <c r="O7" s="348"/>
      <c r="P7" s="355">
        <v>45230</v>
      </c>
      <c r="Q7" s="356">
        <v>4</v>
      </c>
      <c r="R7" s="395" t="s">
        <v>54</v>
      </c>
      <c r="S7" s="363" t="s">
        <v>201</v>
      </c>
      <c r="T7" s="358" t="s">
        <v>202</v>
      </c>
      <c r="U7" s="363" t="s">
        <v>165</v>
      </c>
      <c r="V7" s="358" t="s">
        <v>203</v>
      </c>
      <c r="W7" s="345">
        <v>0.3</v>
      </c>
      <c r="X7" s="363" t="s">
        <v>165</v>
      </c>
      <c r="Y7" s="359" t="s">
        <v>204</v>
      </c>
      <c r="Z7" s="345" t="s">
        <v>205</v>
      </c>
      <c r="AA7" s="359" t="s">
        <v>206</v>
      </c>
      <c r="AB7" s="345" t="s">
        <v>205</v>
      </c>
      <c r="AC7" s="359" t="s">
        <v>207</v>
      </c>
      <c r="AD7" s="345" t="s">
        <v>166</v>
      </c>
      <c r="AE7" s="357"/>
      <c r="AF7" s="360"/>
      <c r="AG7" s="361"/>
      <c r="AH7" s="361"/>
      <c r="AI7" s="361"/>
      <c r="AJ7" s="361"/>
      <c r="AK7" s="362"/>
      <c r="AL7" s="363"/>
      <c r="AM7" s="364">
        <v>43774</v>
      </c>
      <c r="AN7" s="381"/>
      <c r="AO7" s="379"/>
      <c r="AP7" s="401" t="s">
        <v>153</v>
      </c>
      <c r="AQ7" s="358" t="s">
        <v>208</v>
      </c>
      <c r="AR7" s="358" t="s">
        <v>209</v>
      </c>
      <c r="AS7" s="361" t="s">
        <v>210</v>
      </c>
      <c r="AT7" s="358" t="s">
        <v>211</v>
      </c>
      <c r="AU7" s="358" t="s">
        <v>212</v>
      </c>
      <c r="AV7" s="366">
        <v>-13</v>
      </c>
      <c r="AW7" s="357">
        <v>18</v>
      </c>
      <c r="AX7" s="367">
        <v>0</v>
      </c>
      <c r="AY7" s="367" t="s">
        <v>154</v>
      </c>
      <c r="AZ7" s="368">
        <v>1</v>
      </c>
      <c r="BA7" s="368"/>
      <c r="BB7" s="369" t="s">
        <v>291</v>
      </c>
      <c r="BC7" s="370" t="s">
        <v>213</v>
      </c>
      <c r="BD7" s="345"/>
      <c r="BE7" s="371"/>
      <c r="BF7" s="369"/>
      <c r="BG7" s="377">
        <v>5188.400000000003</v>
      </c>
      <c r="BH7" s="377">
        <v>72.4</v>
      </c>
      <c r="BI7" s="377">
        <v>501.79999999999995</v>
      </c>
      <c r="BJ7" s="345">
        <v>98</v>
      </c>
      <c r="BK7" s="345">
        <v>8</v>
      </c>
      <c r="BM7" s="373"/>
      <c r="BN7" s="402" t="s">
        <v>214</v>
      </c>
      <c r="BO7" s="373"/>
      <c r="BP7" s="393" t="s">
        <v>123</v>
      </c>
      <c r="BQ7" s="372">
        <v>16</v>
      </c>
      <c r="BR7" s="373"/>
      <c r="BS7" s="373" t="s">
        <v>215</v>
      </c>
      <c r="BT7" s="373"/>
      <c r="BU7" s="373"/>
      <c r="BV7" s="373"/>
      <c r="BW7" s="373"/>
      <c r="BX7" s="245" t="s">
        <v>216</v>
      </c>
      <c r="BY7" s="373"/>
      <c r="BZ7" s="373"/>
      <c r="CA7" s="373"/>
      <c r="CB7" s="384" t="s">
        <v>77</v>
      </c>
      <c r="CC7" s="373">
        <v>13</v>
      </c>
      <c r="CD7" s="373"/>
      <c r="CE7" s="373"/>
      <c r="CF7" s="373"/>
      <c r="CG7" s="373"/>
      <c r="CH7" s="373"/>
    </row>
    <row r="8" spans="1:81" s="373" customFormat="1" ht="15">
      <c r="A8" s="345">
        <v>16</v>
      </c>
      <c r="B8" s="350" t="s">
        <v>217</v>
      </c>
      <c r="C8" s="347">
        <v>48</v>
      </c>
      <c r="D8" s="348"/>
      <c r="E8" s="403"/>
      <c r="F8" s="375"/>
      <c r="G8" s="403"/>
      <c r="H8" s="348"/>
      <c r="I8" s="351"/>
      <c r="J8" s="376">
        <v>231.122</v>
      </c>
      <c r="K8" s="353">
        <v>4466.599999999998</v>
      </c>
      <c r="L8" s="353">
        <v>122.5</v>
      </c>
      <c r="M8" s="348">
        <v>0.26703</v>
      </c>
      <c r="N8" s="354">
        <f>ROUND(M8*1000/25,1)</f>
        <v>10.7</v>
      </c>
      <c r="O8" s="348"/>
      <c r="P8" s="355">
        <v>45858</v>
      </c>
      <c r="Q8" s="356">
        <v>4</v>
      </c>
      <c r="R8" s="357" t="s">
        <v>54</v>
      </c>
      <c r="S8" s="383" t="s">
        <v>218</v>
      </c>
      <c r="T8" s="358" t="s">
        <v>219</v>
      </c>
      <c r="U8" s="345" t="s">
        <v>177</v>
      </c>
      <c r="V8" s="358" t="s">
        <v>220</v>
      </c>
      <c r="W8" s="345">
        <v>0.15</v>
      </c>
      <c r="X8" s="345" t="s">
        <v>177</v>
      </c>
      <c r="Y8" s="358" t="s">
        <v>221</v>
      </c>
      <c r="Z8" s="404" t="s">
        <v>222</v>
      </c>
      <c r="AA8" s="390" t="s">
        <v>223</v>
      </c>
      <c r="AB8" s="404" t="s">
        <v>222</v>
      </c>
      <c r="AC8" s="359" t="s">
        <v>224</v>
      </c>
      <c r="AD8" s="378"/>
      <c r="AE8" s="395"/>
      <c r="AF8" s="360"/>
      <c r="AG8" s="361"/>
      <c r="AH8" s="361"/>
      <c r="AI8" s="361"/>
      <c r="AJ8" s="361"/>
      <c r="AK8" s="362"/>
      <c r="AL8" s="379"/>
      <c r="AM8" s="364">
        <v>44447</v>
      </c>
      <c r="AN8" s="364">
        <v>44397</v>
      </c>
      <c r="AO8" s="363"/>
      <c r="AP8" s="405" t="s">
        <v>163</v>
      </c>
      <c r="AQ8" s="358" t="s">
        <v>225</v>
      </c>
      <c r="AR8" s="358" t="s">
        <v>226</v>
      </c>
      <c r="AS8" s="358" t="s">
        <v>227</v>
      </c>
      <c r="AT8" s="358" t="s">
        <v>228</v>
      </c>
      <c r="AU8" s="358" t="s">
        <v>229</v>
      </c>
      <c r="AV8" s="366">
        <v>-13</v>
      </c>
      <c r="AW8" s="357">
        <v>18</v>
      </c>
      <c r="AX8" s="367">
        <v>0</v>
      </c>
      <c r="AY8" s="367" t="s">
        <v>154</v>
      </c>
      <c r="AZ8" s="368">
        <v>1</v>
      </c>
      <c r="BA8" s="406"/>
      <c r="BB8" s="369" t="s">
        <v>291</v>
      </c>
      <c r="BC8" s="370" t="s">
        <v>155</v>
      </c>
      <c r="BD8" s="345"/>
      <c r="BE8" s="371" t="s">
        <v>230</v>
      </c>
      <c r="BF8" s="380">
        <v>44221</v>
      </c>
      <c r="BG8" s="377">
        <v>4466.599999999998</v>
      </c>
      <c r="BH8" s="377">
        <v>227.6</v>
      </c>
      <c r="BI8" s="377">
        <v>213.8</v>
      </c>
      <c r="BJ8" s="345">
        <v>102</v>
      </c>
      <c r="BK8" s="345">
        <v>4</v>
      </c>
      <c r="BL8" s="268"/>
      <c r="BN8" s="389" t="s">
        <v>231</v>
      </c>
      <c r="BP8" s="393" t="s">
        <v>232</v>
      </c>
      <c r="BQ8" s="372">
        <v>53</v>
      </c>
      <c r="BS8" s="373" t="s">
        <v>233</v>
      </c>
      <c r="CB8" s="384" t="s">
        <v>234</v>
      </c>
      <c r="CC8" s="373">
        <v>15</v>
      </c>
    </row>
    <row r="9" spans="1:81" s="373" customFormat="1" ht="15">
      <c r="A9" s="345">
        <v>66</v>
      </c>
      <c r="B9" s="346" t="s">
        <v>293</v>
      </c>
      <c r="C9" s="374"/>
      <c r="D9" s="385"/>
      <c r="E9" s="386"/>
      <c r="F9" s="375"/>
      <c r="G9" s="345"/>
      <c r="H9" s="387"/>
      <c r="I9" s="388"/>
      <c r="J9" s="376"/>
      <c r="K9" s="353">
        <v>578.8</v>
      </c>
      <c r="L9" s="377"/>
      <c r="M9" s="385">
        <v>0.041</v>
      </c>
      <c r="N9" s="551">
        <v>0.69</v>
      </c>
      <c r="O9" s="345"/>
      <c r="P9" s="355">
        <v>45940</v>
      </c>
      <c r="Q9" s="356">
        <v>4</v>
      </c>
      <c r="R9" s="357" t="s">
        <v>54</v>
      </c>
      <c r="S9" s="383" t="s">
        <v>235</v>
      </c>
      <c r="T9" s="358" t="s">
        <v>236</v>
      </c>
      <c r="U9" s="370" t="s">
        <v>237</v>
      </c>
      <c r="V9" s="358" t="s">
        <v>238</v>
      </c>
      <c r="W9" s="345" t="s">
        <v>239</v>
      </c>
      <c r="X9" s="363" t="s">
        <v>237</v>
      </c>
      <c r="Y9" s="413" t="s">
        <v>240</v>
      </c>
      <c r="Z9" s="381" t="s">
        <v>241</v>
      </c>
      <c r="AA9" s="413" t="s">
        <v>242</v>
      </c>
      <c r="AB9" s="381" t="s">
        <v>241</v>
      </c>
      <c r="AC9" s="413" t="s">
        <v>243</v>
      </c>
      <c r="AD9" s="345"/>
      <c r="AE9" s="357"/>
      <c r="AF9" s="360"/>
      <c r="AG9" s="361"/>
      <c r="AH9" s="361"/>
      <c r="AI9" s="361"/>
      <c r="AJ9" s="361"/>
      <c r="AK9" s="362"/>
      <c r="AL9" s="379"/>
      <c r="AM9" s="381"/>
      <c r="AN9" s="381"/>
      <c r="AO9" s="363"/>
      <c r="AP9" s="365" t="s">
        <v>172</v>
      </c>
      <c r="AQ9" s="358" t="s">
        <v>244</v>
      </c>
      <c r="AR9" s="358" t="s">
        <v>245</v>
      </c>
      <c r="AS9" s="358" t="s">
        <v>246</v>
      </c>
      <c r="AT9" s="358" t="s">
        <v>247</v>
      </c>
      <c r="AU9" s="358" t="s">
        <v>248</v>
      </c>
      <c r="AV9" s="366">
        <v>-15</v>
      </c>
      <c r="AW9" s="357">
        <v>18</v>
      </c>
      <c r="AX9" s="367">
        <v>0</v>
      </c>
      <c r="AY9" s="367" t="s">
        <v>154</v>
      </c>
      <c r="AZ9" s="368">
        <v>3</v>
      </c>
      <c r="BA9" s="368"/>
      <c r="BB9" s="370" t="s">
        <v>291</v>
      </c>
      <c r="BC9" s="345"/>
      <c r="BD9" s="345"/>
      <c r="BE9" s="345" t="s">
        <v>249</v>
      </c>
      <c r="BF9" s="380">
        <v>44222</v>
      </c>
      <c r="BG9" s="377"/>
      <c r="BH9" s="377"/>
      <c r="BI9" s="377"/>
      <c r="BJ9" s="345"/>
      <c r="BK9" s="345"/>
      <c r="BL9" s="268"/>
      <c r="BN9" s="389"/>
      <c r="BO9" s="397"/>
      <c r="BP9" s="269" t="s">
        <v>139</v>
      </c>
      <c r="BQ9" s="270">
        <v>42</v>
      </c>
      <c r="CB9" s="384" t="s">
        <v>54</v>
      </c>
      <c r="CC9" s="373">
        <v>16</v>
      </c>
    </row>
    <row r="10" spans="1:67" ht="15">
      <c r="A10" s="373"/>
      <c r="B10" s="414"/>
      <c r="C10" s="415"/>
      <c r="D10" s="373"/>
      <c r="E10" s="398"/>
      <c r="F10" s="408"/>
      <c r="G10" s="398"/>
      <c r="H10" s="416"/>
      <c r="I10" s="417"/>
      <c r="J10" s="372"/>
      <c r="K10" s="418"/>
      <c r="L10" s="419"/>
      <c r="M10" s="407"/>
      <c r="N10" s="420"/>
      <c r="O10" s="373"/>
      <c r="P10" s="421"/>
      <c r="Q10" s="422"/>
      <c r="R10" s="423"/>
      <c r="S10" s="373"/>
      <c r="T10" s="392"/>
      <c r="U10" s="424"/>
      <c r="V10" s="392"/>
      <c r="W10" s="373"/>
      <c r="X10" s="373"/>
      <c r="Y10" s="412"/>
      <c r="Z10" s="384"/>
      <c r="AA10" s="412"/>
      <c r="AB10" s="384"/>
      <c r="AC10" s="412"/>
      <c r="AD10" s="425"/>
      <c r="AE10" s="423"/>
      <c r="AF10" s="407"/>
      <c r="AG10" s="382"/>
      <c r="AH10" s="382"/>
      <c r="AI10" s="382"/>
      <c r="AJ10" s="373"/>
      <c r="AK10" s="384"/>
      <c r="AL10" s="384"/>
      <c r="AM10" s="426"/>
      <c r="AN10" s="427"/>
      <c r="AO10" s="384"/>
      <c r="AP10" s="428"/>
      <c r="AQ10" s="423"/>
      <c r="AR10" s="423"/>
      <c r="AS10" s="373"/>
      <c r="AT10" s="423"/>
      <c r="AU10" s="423"/>
      <c r="AV10" s="429"/>
      <c r="AW10" s="423"/>
      <c r="AX10" s="430"/>
      <c r="AY10" s="430"/>
      <c r="AZ10" s="411"/>
      <c r="BA10" s="411"/>
      <c r="BB10" s="424"/>
      <c r="BC10" s="424"/>
      <c r="BD10" s="373"/>
      <c r="BE10" s="373"/>
      <c r="BO10" s="373"/>
    </row>
    <row r="11" spans="1:67" ht="15">
      <c r="A11" s="373"/>
      <c r="B11" s="414"/>
      <c r="C11" s="415"/>
      <c r="D11" s="373"/>
      <c r="E11" s="398"/>
      <c r="F11" s="408"/>
      <c r="G11" s="398"/>
      <c r="H11" s="416"/>
      <c r="I11" s="417"/>
      <c r="J11" s="372"/>
      <c r="K11" s="418"/>
      <c r="L11" s="419"/>
      <c r="M11" s="407"/>
      <c r="N11" s="420"/>
      <c r="O11" s="373"/>
      <c r="P11" s="421"/>
      <c r="Q11" s="422"/>
      <c r="R11" s="423"/>
      <c r="S11" s="373"/>
      <c r="T11" s="392"/>
      <c r="U11" s="424"/>
      <c r="V11" s="392"/>
      <c r="W11" s="373"/>
      <c r="X11" s="373"/>
      <c r="Y11" s="412"/>
      <c r="Z11" s="384"/>
      <c r="AA11" s="412"/>
      <c r="AB11" s="384"/>
      <c r="AC11" s="412"/>
      <c r="AD11" s="425"/>
      <c r="AE11" s="423"/>
      <c r="AF11" s="407"/>
      <c r="AG11" s="382"/>
      <c r="AH11" s="382"/>
      <c r="AI11" s="382"/>
      <c r="AJ11" s="373"/>
      <c r="AK11" s="384"/>
      <c r="AL11" s="384"/>
      <c r="AM11" s="426"/>
      <c r="AN11" s="427"/>
      <c r="AO11" s="384"/>
      <c r="AP11" s="428"/>
      <c r="AQ11" s="423"/>
      <c r="AR11" s="423"/>
      <c r="AS11" s="373"/>
      <c r="AT11" s="423"/>
      <c r="AU11" s="423"/>
      <c r="AV11" s="429"/>
      <c r="AW11" s="423"/>
      <c r="AX11" s="430"/>
      <c r="AY11" s="430"/>
      <c r="AZ11" s="411"/>
      <c r="BA11" s="411"/>
      <c r="BB11" s="424"/>
      <c r="BC11" s="424"/>
      <c r="BD11" s="373"/>
      <c r="BE11" s="373"/>
      <c r="BO11" s="373"/>
    </row>
    <row r="12" spans="1:67" ht="15">
      <c r="A12" s="373"/>
      <c r="B12" s="414"/>
      <c r="C12" s="415"/>
      <c r="D12" s="373"/>
      <c r="E12" s="398"/>
      <c r="F12" s="408"/>
      <c r="G12" s="398"/>
      <c r="H12" s="416"/>
      <c r="I12" s="417"/>
      <c r="J12" s="372"/>
      <c r="K12" s="418"/>
      <c r="L12" s="419"/>
      <c r="M12" s="407"/>
      <c r="N12" s="420"/>
      <c r="O12" s="373"/>
      <c r="P12" s="431"/>
      <c r="Q12" s="422"/>
      <c r="R12" s="423"/>
      <c r="S12" s="373"/>
      <c r="T12" s="392"/>
      <c r="U12" s="424"/>
      <c r="V12" s="392"/>
      <c r="W12" s="373"/>
      <c r="X12" s="373"/>
      <c r="Y12" s="412"/>
      <c r="Z12" s="384"/>
      <c r="AA12" s="412"/>
      <c r="AB12" s="384"/>
      <c r="AC12" s="412"/>
      <c r="AD12" s="425"/>
      <c r="AE12" s="423"/>
      <c r="AF12" s="407"/>
      <c r="AG12" s="382"/>
      <c r="AH12" s="382"/>
      <c r="AI12" s="382"/>
      <c r="AJ12" s="373"/>
      <c r="AK12" s="384"/>
      <c r="AL12" s="384"/>
      <c r="AM12" s="426"/>
      <c r="AN12" s="427"/>
      <c r="AO12" s="384"/>
      <c r="AP12" s="428"/>
      <c r="AQ12" s="423"/>
      <c r="AR12" s="423"/>
      <c r="AS12" s="373"/>
      <c r="AT12" s="423"/>
      <c r="AU12" s="423"/>
      <c r="AV12" s="429"/>
      <c r="AW12" s="423"/>
      <c r="AX12" s="430"/>
      <c r="AY12" s="430"/>
      <c r="AZ12" s="411"/>
      <c r="BA12" s="411"/>
      <c r="BB12" s="424"/>
      <c r="BC12" s="424"/>
      <c r="BD12" s="373"/>
      <c r="BE12" s="373"/>
      <c r="BO12" s="373"/>
    </row>
    <row r="13" spans="1:67" ht="15">
      <c r="A13" s="373"/>
      <c r="B13" s="384"/>
      <c r="C13" s="415"/>
      <c r="D13" s="373"/>
      <c r="E13" s="398"/>
      <c r="F13" s="408"/>
      <c r="G13" s="398"/>
      <c r="H13" s="416"/>
      <c r="I13" s="417"/>
      <c r="J13" s="372"/>
      <c r="K13" s="418"/>
      <c r="L13" s="419"/>
      <c r="M13" s="407"/>
      <c r="N13" s="420"/>
      <c r="O13" s="373"/>
      <c r="P13" s="421"/>
      <c r="Q13" s="422"/>
      <c r="R13" s="423"/>
      <c r="S13" s="373"/>
      <c r="T13" s="392"/>
      <c r="U13" s="424"/>
      <c r="V13" s="432"/>
      <c r="W13" s="373"/>
      <c r="X13" s="373"/>
      <c r="Y13" s="412"/>
      <c r="Z13" s="384"/>
      <c r="AA13" s="412"/>
      <c r="AB13" s="384"/>
      <c r="AC13" s="412"/>
      <c r="AD13" s="373"/>
      <c r="AE13" s="423"/>
      <c r="AF13" s="407"/>
      <c r="AG13" s="382"/>
      <c r="AH13" s="382"/>
      <c r="AI13" s="382"/>
      <c r="AJ13" s="373"/>
      <c r="AK13" s="384"/>
      <c r="AL13" s="384"/>
      <c r="AM13" s="424"/>
      <c r="AN13" s="427"/>
      <c r="AO13" s="384"/>
      <c r="AP13" s="428"/>
      <c r="AQ13" s="423"/>
      <c r="AR13" s="423"/>
      <c r="AS13" s="373"/>
      <c r="AT13" s="423"/>
      <c r="AU13" s="423"/>
      <c r="AV13" s="433"/>
      <c r="AW13" s="423"/>
      <c r="AX13" s="430"/>
      <c r="AY13" s="434"/>
      <c r="AZ13" s="411"/>
      <c r="BA13" s="411"/>
      <c r="BB13" s="424"/>
      <c r="BC13" s="424"/>
      <c r="BD13" s="373"/>
      <c r="BE13" s="373"/>
      <c r="BO13" s="373"/>
    </row>
    <row r="14" spans="1:67" ht="15" hidden="1">
      <c r="A14" s="373"/>
      <c r="B14" s="384"/>
      <c r="C14" s="415"/>
      <c r="D14" s="373"/>
      <c r="E14" s="398"/>
      <c r="F14" s="408"/>
      <c r="G14" s="398"/>
      <c r="H14" s="416"/>
      <c r="I14" s="417"/>
      <c r="J14" s="372"/>
      <c r="K14" s="418"/>
      <c r="L14" s="419"/>
      <c r="M14" s="407"/>
      <c r="N14" s="420"/>
      <c r="O14" s="373"/>
      <c r="P14" s="421"/>
      <c r="Q14" s="422"/>
      <c r="R14" s="423"/>
      <c r="S14" s="373"/>
      <c r="T14" s="392"/>
      <c r="U14" s="424"/>
      <c r="V14" s="432"/>
      <c r="W14" s="373"/>
      <c r="X14" s="373"/>
      <c r="Y14" s="412"/>
      <c r="Z14" s="384"/>
      <c r="AA14" s="412"/>
      <c r="AB14" s="384"/>
      <c r="AC14" s="412"/>
      <c r="AD14" s="373"/>
      <c r="AE14" s="423"/>
      <c r="AF14" s="407"/>
      <c r="AG14" s="382"/>
      <c r="AH14" s="382"/>
      <c r="AI14" s="382"/>
      <c r="AJ14" s="373"/>
      <c r="AK14" s="384"/>
      <c r="AL14" s="384"/>
      <c r="AM14" s="424"/>
      <c r="AN14" s="427"/>
      <c r="AO14" s="384"/>
      <c r="AP14" s="428"/>
      <c r="AQ14" s="423"/>
      <c r="AR14" s="423"/>
      <c r="AS14" s="373"/>
      <c r="AT14" s="423"/>
      <c r="AU14" s="423"/>
      <c r="AV14" s="433"/>
      <c r="AW14" s="423"/>
      <c r="AX14" s="430"/>
      <c r="AY14" s="434"/>
      <c r="AZ14" s="411"/>
      <c r="BA14" s="411"/>
      <c r="BB14" s="424" t="s">
        <v>263</v>
      </c>
      <c r="BC14" s="424"/>
      <c r="BD14" s="373"/>
      <c r="BE14" s="373"/>
      <c r="BO14" s="373"/>
    </row>
    <row r="15" spans="1:68" ht="15">
      <c r="A15" s="424"/>
      <c r="B15" s="321"/>
      <c r="C15" s="415"/>
      <c r="D15" s="407"/>
      <c r="E15" s="407"/>
      <c r="F15" s="407"/>
      <c r="G15" s="427"/>
      <c r="H15" s="407"/>
      <c r="I15" s="407"/>
      <c r="J15" s="322"/>
      <c r="K15" s="418"/>
      <c r="L15" s="435"/>
      <c r="M15" s="407"/>
      <c r="N15" s="436"/>
      <c r="O15" s="407"/>
      <c r="P15" s="437"/>
      <c r="Q15" s="438"/>
      <c r="R15" s="427"/>
      <c r="S15" s="407"/>
      <c r="T15" s="392"/>
      <c r="U15" s="407"/>
      <c r="V15" s="392"/>
      <c r="W15" s="439"/>
      <c r="X15" s="373"/>
      <c r="Y15" s="412"/>
      <c r="Z15" s="373"/>
      <c r="AA15" s="412"/>
      <c r="AB15" s="373"/>
      <c r="AC15" s="412"/>
      <c r="AD15" s="440"/>
      <c r="AE15" s="407"/>
      <c r="AF15" s="407"/>
      <c r="AG15" s="441"/>
      <c r="AH15" s="441"/>
      <c r="AI15" s="441"/>
      <c r="AJ15" s="441"/>
      <c r="AK15" s="441"/>
      <c r="AL15" s="438"/>
      <c r="AM15" s="439"/>
      <c r="AN15" s="427"/>
      <c r="AO15" s="439"/>
      <c r="AP15" s="407"/>
      <c r="AQ15" s="423"/>
      <c r="AR15" s="423"/>
      <c r="AS15" s="384"/>
      <c r="AT15" s="423"/>
      <c r="AU15" s="423"/>
      <c r="AV15" s="552"/>
      <c r="AW15" s="427"/>
      <c r="AX15" s="423"/>
      <c r="AY15" s="439"/>
      <c r="AZ15" s="322"/>
      <c r="BA15" s="553"/>
      <c r="BB15" s="427"/>
      <c r="BC15" s="373"/>
      <c r="BD15" s="373"/>
      <c r="BE15" s="427"/>
      <c r="BP15" s="344" t="s">
        <v>152</v>
      </c>
    </row>
    <row r="16" spans="1:57" ht="15">
      <c r="A16" s="373"/>
      <c r="B16" s="408"/>
      <c r="C16" s="554"/>
      <c r="D16" s="416"/>
      <c r="E16" s="398"/>
      <c r="F16" s="398"/>
      <c r="G16" s="398"/>
      <c r="H16" s="416"/>
      <c r="I16" s="417"/>
      <c r="J16" s="555"/>
      <c r="K16" s="418"/>
      <c r="L16" s="418"/>
      <c r="M16" s="416"/>
      <c r="N16" s="555"/>
      <c r="O16" s="555"/>
      <c r="P16" s="421"/>
      <c r="Q16" s="422"/>
      <c r="R16" s="423"/>
      <c r="S16" s="384"/>
      <c r="T16" s="392"/>
      <c r="U16" s="373"/>
      <c r="V16" s="392"/>
      <c r="W16" s="373"/>
      <c r="X16" s="373"/>
      <c r="Y16" s="412"/>
      <c r="Z16" s="373"/>
      <c r="AA16" s="412"/>
      <c r="AB16" s="373"/>
      <c r="AC16" s="412"/>
      <c r="AD16" s="373"/>
      <c r="AE16" s="423"/>
      <c r="AF16" s="407"/>
      <c r="AG16" s="382"/>
      <c r="AH16" s="382"/>
      <c r="AI16" s="382"/>
      <c r="AJ16" s="382"/>
      <c r="AK16" s="556"/>
      <c r="AL16" s="384"/>
      <c r="AM16" s="427"/>
      <c r="AN16" s="427"/>
      <c r="AO16" s="384"/>
      <c r="AP16" s="557"/>
      <c r="AQ16" s="423"/>
      <c r="AR16" s="423"/>
      <c r="AS16" s="373"/>
      <c r="AT16" s="423"/>
      <c r="AU16" s="423"/>
      <c r="AV16" s="429"/>
      <c r="AW16" s="423"/>
      <c r="AX16" s="430"/>
      <c r="AY16" s="430"/>
      <c r="AZ16" s="411"/>
      <c r="BA16" s="411"/>
      <c r="BB16" s="424"/>
      <c r="BC16" s="373"/>
      <c r="BD16" s="373"/>
      <c r="BE16" s="373"/>
    </row>
    <row r="17" spans="1:62" ht="15">
      <c r="A17" s="373"/>
      <c r="B17" s="408"/>
      <c r="C17" s="554"/>
      <c r="D17" s="416"/>
      <c r="E17" s="398"/>
      <c r="F17" s="398"/>
      <c r="G17" s="398"/>
      <c r="H17" s="416"/>
      <c r="I17" s="417"/>
      <c r="J17" s="555"/>
      <c r="K17" s="418"/>
      <c r="L17" s="418"/>
      <c r="M17" s="416"/>
      <c r="N17" s="555"/>
      <c r="O17" s="555"/>
      <c r="P17" s="421"/>
      <c r="Q17" s="422"/>
      <c r="R17" s="423"/>
      <c r="S17" s="373"/>
      <c r="T17" s="392"/>
      <c r="U17" s="373"/>
      <c r="V17" s="392"/>
      <c r="W17" s="373"/>
      <c r="X17" s="373"/>
      <c r="Y17" s="412"/>
      <c r="Z17" s="373"/>
      <c r="AA17" s="412"/>
      <c r="AB17" s="373"/>
      <c r="AC17" s="412"/>
      <c r="AD17" s="425"/>
      <c r="AE17" s="423"/>
      <c r="AF17" s="407"/>
      <c r="AG17" s="558"/>
      <c r="AH17" s="558"/>
      <c r="AI17" s="558"/>
      <c r="AJ17" s="558"/>
      <c r="AK17" s="558"/>
      <c r="AL17" s="384"/>
      <c r="AM17" s="427"/>
      <c r="AN17" s="427"/>
      <c r="AO17" s="384"/>
      <c r="AP17" s="557"/>
      <c r="AQ17" s="423"/>
      <c r="AR17" s="423"/>
      <c r="AS17" s="373"/>
      <c r="AT17" s="423"/>
      <c r="AU17" s="423"/>
      <c r="AV17" s="429"/>
      <c r="AW17" s="423"/>
      <c r="AX17" s="430"/>
      <c r="AY17" s="430"/>
      <c r="AZ17" s="411"/>
      <c r="BA17" s="411"/>
      <c r="BB17" s="424"/>
      <c r="BC17" s="373"/>
      <c r="BD17" s="373"/>
      <c r="BE17" s="373"/>
      <c r="BF17" s="424"/>
      <c r="BG17" s="419"/>
      <c r="BH17" s="419"/>
      <c r="BI17" s="419"/>
      <c r="BJ17" s="373"/>
    </row>
    <row r="18" spans="1:62" ht="15">
      <c r="A18" s="373"/>
      <c r="B18" s="408"/>
      <c r="C18" s="554"/>
      <c r="D18" s="416"/>
      <c r="E18" s="398"/>
      <c r="F18" s="398"/>
      <c r="G18" s="398"/>
      <c r="H18" s="416"/>
      <c r="I18" s="417"/>
      <c r="J18" s="372"/>
      <c r="K18" s="418"/>
      <c r="L18" s="418"/>
      <c r="M18" s="416"/>
      <c r="N18" s="555"/>
      <c r="O18" s="555"/>
      <c r="P18" s="421"/>
      <c r="Q18" s="422"/>
      <c r="R18" s="423"/>
      <c r="S18" s="373"/>
      <c r="T18" s="392"/>
      <c r="U18" s="373"/>
      <c r="V18" s="392"/>
      <c r="W18" s="382"/>
      <c r="X18" s="373"/>
      <c r="Y18" s="412"/>
      <c r="Z18" s="373"/>
      <c r="AA18" s="412"/>
      <c r="AB18" s="373"/>
      <c r="AC18" s="412"/>
      <c r="AD18" s="373"/>
      <c r="AE18" s="423"/>
      <c r="AF18" s="407"/>
      <c r="AG18" s="559"/>
      <c r="AH18" s="559"/>
      <c r="AI18" s="559"/>
      <c r="AJ18" s="560"/>
      <c r="AK18" s="556"/>
      <c r="AL18" s="384"/>
      <c r="AM18" s="427"/>
      <c r="AN18" s="427"/>
      <c r="AO18" s="384"/>
      <c r="AP18" s="557"/>
      <c r="AQ18" s="423"/>
      <c r="AR18" s="423"/>
      <c r="AS18" s="373"/>
      <c r="AT18" s="423"/>
      <c r="AU18" s="423"/>
      <c r="AV18" s="429"/>
      <c r="AW18" s="423"/>
      <c r="AX18" s="430"/>
      <c r="AY18" s="430"/>
      <c r="AZ18" s="411"/>
      <c r="BA18" s="411"/>
      <c r="BB18" s="424"/>
      <c r="BC18" s="373"/>
      <c r="BD18" s="373"/>
      <c r="BE18" s="373"/>
      <c r="BF18" s="424"/>
      <c r="BG18" s="419"/>
      <c r="BH18" s="419"/>
      <c r="BI18" s="419"/>
      <c r="BJ18" s="373"/>
    </row>
    <row r="19" spans="1:62" ht="15">
      <c r="A19" s="373"/>
      <c r="B19" s="408"/>
      <c r="C19" s="415"/>
      <c r="D19" s="373"/>
      <c r="E19" s="398"/>
      <c r="F19" s="398"/>
      <c r="G19" s="373"/>
      <c r="H19" s="416"/>
      <c r="I19" s="417"/>
      <c r="J19" s="372"/>
      <c r="K19" s="418"/>
      <c r="L19" s="419"/>
      <c r="M19" s="416"/>
      <c r="N19" s="555"/>
      <c r="O19" s="373"/>
      <c r="P19" s="421"/>
      <c r="Q19" s="422"/>
      <c r="R19" s="423"/>
      <c r="S19" s="373"/>
      <c r="T19" s="392"/>
      <c r="U19" s="373"/>
      <c r="V19" s="392"/>
      <c r="W19" s="382"/>
      <c r="X19" s="373"/>
      <c r="Y19" s="373"/>
      <c r="Z19" s="373"/>
      <c r="AA19" s="412"/>
      <c r="AB19" s="373"/>
      <c r="AC19" s="412"/>
      <c r="AD19" s="425"/>
      <c r="AE19" s="423"/>
      <c r="AF19" s="407"/>
      <c r="AG19" s="382"/>
      <c r="AH19" s="382"/>
      <c r="AI19" s="382"/>
      <c r="AJ19" s="382"/>
      <c r="AK19" s="556"/>
      <c r="AL19" s="384"/>
      <c r="AM19" s="427"/>
      <c r="AN19" s="427"/>
      <c r="AO19" s="384"/>
      <c r="AP19" s="557"/>
      <c r="AQ19" s="423"/>
      <c r="AR19" s="423"/>
      <c r="AS19" s="373"/>
      <c r="AT19" s="423"/>
      <c r="AU19" s="423"/>
      <c r="AV19" s="429"/>
      <c r="AW19" s="423"/>
      <c r="AX19" s="430"/>
      <c r="AY19" s="430"/>
      <c r="AZ19" s="411"/>
      <c r="BA19" s="411"/>
      <c r="BB19" s="424"/>
      <c r="BC19" s="373"/>
      <c r="BD19" s="373"/>
      <c r="BE19" s="373"/>
      <c r="BF19" s="424"/>
      <c r="BG19" s="419"/>
      <c r="BH19" s="419"/>
      <c r="BI19" s="419"/>
      <c r="BJ19" s="373"/>
    </row>
    <row r="20" spans="2:69" s="373" customFormat="1" ht="15">
      <c r="B20" s="408"/>
      <c r="C20" s="415"/>
      <c r="E20" s="398"/>
      <c r="F20" s="398"/>
      <c r="H20" s="416"/>
      <c r="I20" s="417"/>
      <c r="J20" s="372"/>
      <c r="K20" s="418"/>
      <c r="L20" s="419"/>
      <c r="M20" s="416"/>
      <c r="N20" s="555"/>
      <c r="P20" s="421"/>
      <c r="Q20" s="422"/>
      <c r="R20" s="423"/>
      <c r="T20" s="392"/>
      <c r="V20" s="392"/>
      <c r="W20" s="382"/>
      <c r="Y20" s="412"/>
      <c r="AA20" s="412"/>
      <c r="AC20" s="412"/>
      <c r="AD20" s="425"/>
      <c r="AE20" s="423"/>
      <c r="AF20" s="407"/>
      <c r="AG20" s="382"/>
      <c r="AH20" s="382"/>
      <c r="AI20" s="382"/>
      <c r="AJ20" s="382"/>
      <c r="AK20" s="556"/>
      <c r="AL20" s="384"/>
      <c r="AM20" s="427"/>
      <c r="AN20" s="427"/>
      <c r="AO20" s="384"/>
      <c r="AP20" s="557"/>
      <c r="AQ20" s="423"/>
      <c r="AR20" s="423"/>
      <c r="AT20" s="423"/>
      <c r="AU20" s="423"/>
      <c r="AV20" s="429"/>
      <c r="AW20" s="423"/>
      <c r="AX20" s="430"/>
      <c r="AY20" s="430"/>
      <c r="AZ20" s="411"/>
      <c r="BA20" s="411"/>
      <c r="BB20" s="424"/>
      <c r="BF20" s="424"/>
      <c r="BG20" s="419"/>
      <c r="BH20" s="419"/>
      <c r="BI20" s="419"/>
      <c r="BL20" s="268"/>
      <c r="BN20" s="407"/>
      <c r="BP20" s="393"/>
      <c r="BQ20" s="372"/>
    </row>
    <row r="21" spans="1:62" ht="15">
      <c r="A21" s="373"/>
      <c r="B21" s="408"/>
      <c r="C21" s="554"/>
      <c r="D21" s="416"/>
      <c r="E21" s="398"/>
      <c r="F21" s="398"/>
      <c r="G21" s="398"/>
      <c r="H21" s="416"/>
      <c r="I21" s="417"/>
      <c r="J21" s="555"/>
      <c r="K21" s="418"/>
      <c r="L21" s="418"/>
      <c r="M21" s="416"/>
      <c r="N21" s="555"/>
      <c r="O21" s="416"/>
      <c r="P21" s="421"/>
      <c r="Q21" s="422"/>
      <c r="R21" s="423"/>
      <c r="S21" s="373"/>
      <c r="T21" s="392"/>
      <c r="U21" s="373"/>
      <c r="V21" s="392"/>
      <c r="W21" s="373"/>
      <c r="X21" s="373"/>
      <c r="Y21" s="412"/>
      <c r="Z21" s="373"/>
      <c r="AA21" s="392"/>
      <c r="AB21" s="373"/>
      <c r="AC21" s="392"/>
      <c r="AD21" s="425"/>
      <c r="AE21" s="423"/>
      <c r="AF21" s="407"/>
      <c r="AG21" s="382"/>
      <c r="AH21" s="382"/>
      <c r="AI21" s="382"/>
      <c r="AJ21" s="382"/>
      <c r="AK21" s="556"/>
      <c r="AL21" s="384"/>
      <c r="AM21" s="427"/>
      <c r="AN21" s="427"/>
      <c r="AO21" s="384"/>
      <c r="AP21" s="557"/>
      <c r="AQ21" s="423"/>
      <c r="AR21" s="423"/>
      <c r="AS21" s="373"/>
      <c r="AT21" s="423"/>
      <c r="AU21" s="423"/>
      <c r="AV21" s="429"/>
      <c r="AW21" s="423"/>
      <c r="AX21" s="430"/>
      <c r="AY21" s="430"/>
      <c r="AZ21" s="411"/>
      <c r="BA21" s="411"/>
      <c r="BB21" s="424"/>
      <c r="BC21" s="373"/>
      <c r="BD21" s="373"/>
      <c r="BE21" s="373"/>
      <c r="BF21" s="424"/>
      <c r="BG21" s="419"/>
      <c r="BH21" s="419"/>
      <c r="BI21" s="419"/>
      <c r="BJ21" s="373"/>
    </row>
    <row r="22" spans="1:62" ht="15">
      <c r="A22" s="373"/>
      <c r="B22" s="408"/>
      <c r="C22" s="554"/>
      <c r="D22" s="416"/>
      <c r="E22" s="398"/>
      <c r="F22" s="398"/>
      <c r="G22" s="398"/>
      <c r="H22" s="416"/>
      <c r="I22" s="417"/>
      <c r="J22" s="555"/>
      <c r="K22" s="418"/>
      <c r="L22" s="418"/>
      <c r="M22" s="416"/>
      <c r="N22" s="555"/>
      <c r="O22" s="416"/>
      <c r="P22" s="421"/>
      <c r="Q22" s="422"/>
      <c r="R22" s="423"/>
      <c r="S22" s="373"/>
      <c r="T22" s="392"/>
      <c r="U22" s="373"/>
      <c r="V22" s="392"/>
      <c r="W22" s="373"/>
      <c r="X22" s="384"/>
      <c r="Y22" s="412"/>
      <c r="Z22" s="384"/>
      <c r="AA22" s="412"/>
      <c r="AB22" s="384"/>
      <c r="AC22" s="412"/>
      <c r="AD22" s="382"/>
      <c r="AE22" s="423"/>
      <c r="AF22" s="407"/>
      <c r="AG22" s="559"/>
      <c r="AH22" s="559"/>
      <c r="AI22" s="559"/>
      <c r="AJ22" s="559"/>
      <c r="AK22" s="556"/>
      <c r="AL22" s="384"/>
      <c r="AM22" s="427"/>
      <c r="AN22" s="427"/>
      <c r="AO22" s="384"/>
      <c r="AP22" s="557"/>
      <c r="AQ22" s="423"/>
      <c r="AR22" s="423"/>
      <c r="AS22" s="373"/>
      <c r="AT22" s="423"/>
      <c r="AU22" s="423"/>
      <c r="AV22" s="429"/>
      <c r="AW22" s="423"/>
      <c r="AX22" s="430"/>
      <c r="AY22" s="430"/>
      <c r="AZ22" s="411"/>
      <c r="BA22" s="411"/>
      <c r="BB22" s="424"/>
      <c r="BC22" s="373"/>
      <c r="BD22" s="373"/>
      <c r="BE22" s="373"/>
      <c r="BF22" s="424"/>
      <c r="BG22" s="419"/>
      <c r="BH22" s="419"/>
      <c r="BI22" s="419"/>
      <c r="BJ22" s="373"/>
    </row>
    <row r="23" spans="2:69" s="373" customFormat="1" ht="15">
      <c r="B23" s="408"/>
      <c r="C23" s="554"/>
      <c r="D23" s="416"/>
      <c r="E23" s="398"/>
      <c r="F23" s="398"/>
      <c r="G23" s="398"/>
      <c r="H23" s="416"/>
      <c r="I23" s="417"/>
      <c r="J23" s="555"/>
      <c r="K23" s="418"/>
      <c r="L23" s="418"/>
      <c r="M23" s="416"/>
      <c r="N23" s="555"/>
      <c r="O23" s="416"/>
      <c r="P23" s="421"/>
      <c r="Q23" s="422"/>
      <c r="R23" s="423"/>
      <c r="S23" s="384"/>
      <c r="T23" s="392"/>
      <c r="V23" s="392"/>
      <c r="Y23" s="412"/>
      <c r="AA23" s="412"/>
      <c r="AC23" s="412"/>
      <c r="AD23" s="425"/>
      <c r="AE23" s="423"/>
      <c r="AF23" s="407"/>
      <c r="AG23" s="382"/>
      <c r="AH23" s="382"/>
      <c r="AI23" s="382"/>
      <c r="AJ23" s="382"/>
      <c r="AK23" s="556"/>
      <c r="AL23" s="384"/>
      <c r="AM23" s="427"/>
      <c r="AN23" s="427"/>
      <c r="AO23" s="384"/>
      <c r="AP23" s="557"/>
      <c r="AQ23" s="423"/>
      <c r="AR23" s="423"/>
      <c r="AT23" s="423"/>
      <c r="AU23" s="423"/>
      <c r="AV23" s="429"/>
      <c r="AW23" s="423"/>
      <c r="AX23" s="430"/>
      <c r="AY23" s="430"/>
      <c r="AZ23" s="411"/>
      <c r="BA23" s="411"/>
      <c r="BB23" s="424"/>
      <c r="BF23" s="424"/>
      <c r="BG23" s="419"/>
      <c r="BH23" s="419"/>
      <c r="BI23" s="419"/>
      <c r="BL23" s="268"/>
      <c r="BN23" s="407"/>
      <c r="BP23" s="393"/>
      <c r="BQ23" s="372"/>
    </row>
    <row r="24" spans="1:62" ht="15">
      <c r="A24" s="373"/>
      <c r="B24" s="408"/>
      <c r="C24" s="554"/>
      <c r="D24" s="416"/>
      <c r="E24" s="398"/>
      <c r="F24" s="398"/>
      <c r="G24" s="398"/>
      <c r="H24" s="416"/>
      <c r="I24" s="417"/>
      <c r="J24" s="372"/>
      <c r="K24" s="418"/>
      <c r="L24" s="418"/>
      <c r="M24" s="416"/>
      <c r="N24" s="555"/>
      <c r="O24" s="416"/>
      <c r="P24" s="421"/>
      <c r="Q24" s="422"/>
      <c r="R24" s="423"/>
      <c r="S24" s="373"/>
      <c r="T24" s="392"/>
      <c r="U24" s="384"/>
      <c r="V24" s="392"/>
      <c r="W24" s="373"/>
      <c r="X24" s="373"/>
      <c r="Y24" s="412"/>
      <c r="Z24" s="384"/>
      <c r="AA24" s="373"/>
      <c r="AB24" s="384"/>
      <c r="AC24" s="412"/>
      <c r="AD24" s="382"/>
      <c r="AE24" s="423"/>
      <c r="AF24" s="407"/>
      <c r="AG24" s="559"/>
      <c r="AH24" s="561"/>
      <c r="AI24" s="559"/>
      <c r="AJ24" s="559"/>
      <c r="AK24" s="556"/>
      <c r="AL24" s="384"/>
      <c r="AM24" s="427"/>
      <c r="AN24" s="427"/>
      <c r="AO24" s="384"/>
      <c r="AP24" s="557"/>
      <c r="AQ24" s="423"/>
      <c r="AR24" s="423"/>
      <c r="AS24" s="373"/>
      <c r="AT24" s="423"/>
      <c r="AU24" s="423"/>
      <c r="AV24" s="429"/>
      <c r="AW24" s="423"/>
      <c r="AX24" s="430"/>
      <c r="AY24" s="430"/>
      <c r="AZ24" s="411"/>
      <c r="BA24" s="411"/>
      <c r="BB24" s="424"/>
      <c r="BC24" s="373"/>
      <c r="BD24" s="373"/>
      <c r="BE24" s="373"/>
      <c r="BF24" s="424"/>
      <c r="BG24" s="419"/>
      <c r="BH24" s="419"/>
      <c r="BI24" s="419"/>
      <c r="BJ24" s="373"/>
    </row>
    <row r="25" spans="2:69" s="373" customFormat="1" ht="15">
      <c r="B25" s="408"/>
      <c r="C25" s="554"/>
      <c r="D25" s="416"/>
      <c r="E25" s="398"/>
      <c r="F25" s="398"/>
      <c r="G25" s="398"/>
      <c r="H25" s="416"/>
      <c r="I25" s="417"/>
      <c r="J25" s="555"/>
      <c r="K25" s="418"/>
      <c r="L25" s="418"/>
      <c r="M25" s="416"/>
      <c r="N25" s="555"/>
      <c r="O25" s="416"/>
      <c r="P25" s="421"/>
      <c r="Q25" s="422"/>
      <c r="R25" s="423"/>
      <c r="S25" s="384"/>
      <c r="T25" s="392"/>
      <c r="V25" s="392"/>
      <c r="Y25" s="412"/>
      <c r="AA25" s="412"/>
      <c r="AC25" s="412"/>
      <c r="AE25" s="423"/>
      <c r="AF25" s="407"/>
      <c r="AG25" s="382"/>
      <c r="AH25" s="382"/>
      <c r="AI25" s="382"/>
      <c r="AJ25" s="382"/>
      <c r="AK25" s="556"/>
      <c r="AL25" s="384"/>
      <c r="AM25" s="427"/>
      <c r="AN25" s="427"/>
      <c r="AO25" s="384"/>
      <c r="AP25" s="557"/>
      <c r="AQ25" s="423"/>
      <c r="AR25" s="423"/>
      <c r="AT25" s="423"/>
      <c r="AU25" s="423"/>
      <c r="AV25" s="429"/>
      <c r="AW25" s="423"/>
      <c r="AX25" s="430"/>
      <c r="AY25" s="430"/>
      <c r="AZ25" s="411"/>
      <c r="BA25" s="411"/>
      <c r="BB25" s="260"/>
      <c r="BC25" s="245"/>
      <c r="BF25" s="424"/>
      <c r="BG25" s="419"/>
      <c r="BH25" s="419"/>
      <c r="BI25" s="419"/>
      <c r="BL25" s="268"/>
      <c r="BN25" s="407"/>
      <c r="BP25" s="393"/>
      <c r="BQ25" s="372"/>
    </row>
    <row r="26" spans="2:69" s="373" customFormat="1" ht="15">
      <c r="B26" s="408"/>
      <c r="C26" s="554"/>
      <c r="D26" s="416"/>
      <c r="E26" s="398"/>
      <c r="F26" s="398"/>
      <c r="G26" s="398"/>
      <c r="H26" s="416"/>
      <c r="I26" s="417"/>
      <c r="J26" s="562"/>
      <c r="K26" s="563"/>
      <c r="L26" s="563"/>
      <c r="M26" s="420"/>
      <c r="N26" s="564"/>
      <c r="O26" s="420"/>
      <c r="P26" s="421"/>
      <c r="Q26" s="422"/>
      <c r="R26" s="423"/>
      <c r="S26" s="384"/>
      <c r="T26" s="392"/>
      <c r="V26" s="392"/>
      <c r="Y26" s="412"/>
      <c r="AA26" s="407"/>
      <c r="AC26" s="412"/>
      <c r="AD26" s="425"/>
      <c r="AE26" s="423"/>
      <c r="AF26" s="407"/>
      <c r="AG26" s="382"/>
      <c r="AH26" s="382"/>
      <c r="AI26" s="382"/>
      <c r="AJ26" s="382"/>
      <c r="AK26" s="556"/>
      <c r="AL26" s="384"/>
      <c r="AM26" s="427"/>
      <c r="AN26" s="427"/>
      <c r="AO26" s="384"/>
      <c r="AP26" s="557"/>
      <c r="AQ26" s="423"/>
      <c r="AR26" s="423"/>
      <c r="AT26" s="423"/>
      <c r="AU26" s="423"/>
      <c r="AV26" s="429"/>
      <c r="AW26" s="423"/>
      <c r="AX26" s="430"/>
      <c r="AY26" s="430"/>
      <c r="AZ26" s="411"/>
      <c r="BA26" s="411"/>
      <c r="BB26" s="260"/>
      <c r="BC26" s="245"/>
      <c r="BF26" s="424"/>
      <c r="BG26" s="419"/>
      <c r="BH26" s="419"/>
      <c r="BI26" s="419"/>
      <c r="BL26" s="268"/>
      <c r="BN26" s="407"/>
      <c r="BP26" s="393"/>
      <c r="BQ26" s="372"/>
    </row>
    <row r="27" spans="2:69" s="373" customFormat="1" ht="15">
      <c r="B27" s="408"/>
      <c r="C27" s="554"/>
      <c r="D27" s="416"/>
      <c r="E27" s="565"/>
      <c r="F27" s="398"/>
      <c r="G27" s="565"/>
      <c r="H27" s="566"/>
      <c r="I27" s="417"/>
      <c r="J27" s="562"/>
      <c r="K27" s="563"/>
      <c r="L27" s="563"/>
      <c r="M27" s="416"/>
      <c r="N27" s="564"/>
      <c r="O27" s="420"/>
      <c r="P27" s="421"/>
      <c r="Q27" s="422"/>
      <c r="R27" s="423"/>
      <c r="S27" s="384"/>
      <c r="T27" s="392"/>
      <c r="V27" s="392"/>
      <c r="Y27" s="412"/>
      <c r="AA27" s="412"/>
      <c r="AC27" s="412"/>
      <c r="AE27" s="423"/>
      <c r="AF27" s="407"/>
      <c r="AG27" s="382"/>
      <c r="AH27" s="382"/>
      <c r="AI27" s="382"/>
      <c r="AJ27" s="382"/>
      <c r="AK27" s="556"/>
      <c r="AL27" s="384"/>
      <c r="AM27" s="427"/>
      <c r="AN27" s="427"/>
      <c r="AO27" s="384"/>
      <c r="AP27" s="557"/>
      <c r="AQ27" s="423"/>
      <c r="AR27" s="423"/>
      <c r="AT27" s="423"/>
      <c r="AU27" s="423"/>
      <c r="AV27" s="429"/>
      <c r="AW27" s="423"/>
      <c r="AX27" s="430"/>
      <c r="AY27" s="430"/>
      <c r="AZ27" s="411"/>
      <c r="BA27" s="411"/>
      <c r="BB27" s="260"/>
      <c r="BC27" s="245"/>
      <c r="BF27" s="424"/>
      <c r="BG27" s="419"/>
      <c r="BH27" s="419"/>
      <c r="BI27" s="419"/>
      <c r="BL27" s="268"/>
      <c r="BN27" s="407"/>
      <c r="BP27" s="393"/>
      <c r="BQ27" s="372"/>
    </row>
    <row r="28" spans="2:69" s="373" customFormat="1" ht="15">
      <c r="B28" s="408"/>
      <c r="C28" s="554"/>
      <c r="D28" s="416"/>
      <c r="E28" s="398"/>
      <c r="F28" s="398"/>
      <c r="G28" s="398"/>
      <c r="H28" s="416"/>
      <c r="I28" s="417"/>
      <c r="J28" s="372"/>
      <c r="K28" s="418"/>
      <c r="L28" s="418"/>
      <c r="M28" s="416"/>
      <c r="N28" s="555"/>
      <c r="O28" s="416"/>
      <c r="P28" s="421"/>
      <c r="Q28" s="422"/>
      <c r="R28" s="423"/>
      <c r="S28" s="384"/>
      <c r="T28" s="392"/>
      <c r="V28" s="392"/>
      <c r="Y28" s="412"/>
      <c r="AA28" s="412"/>
      <c r="AC28" s="412"/>
      <c r="AE28" s="423"/>
      <c r="AF28" s="407"/>
      <c r="AG28" s="382"/>
      <c r="AH28" s="382"/>
      <c r="AI28" s="382"/>
      <c r="AJ28" s="382"/>
      <c r="AK28" s="556"/>
      <c r="AL28" s="384"/>
      <c r="AM28" s="427"/>
      <c r="AN28" s="427"/>
      <c r="AO28" s="384"/>
      <c r="AP28" s="557"/>
      <c r="AQ28" s="423"/>
      <c r="AR28" s="423"/>
      <c r="AT28" s="423"/>
      <c r="AU28" s="423"/>
      <c r="AV28" s="429"/>
      <c r="AW28" s="423"/>
      <c r="AX28" s="430"/>
      <c r="AY28" s="430"/>
      <c r="AZ28" s="411"/>
      <c r="BA28" s="411"/>
      <c r="BB28" s="260"/>
      <c r="BC28" s="245"/>
      <c r="BF28" s="424"/>
      <c r="BG28" s="419"/>
      <c r="BH28" s="419"/>
      <c r="BI28" s="419"/>
      <c r="BL28" s="268"/>
      <c r="BN28" s="407"/>
      <c r="BP28" s="393"/>
      <c r="BQ28" s="372"/>
    </row>
    <row r="29" spans="2:69" s="373" customFormat="1" ht="15">
      <c r="B29" s="408"/>
      <c r="C29" s="554"/>
      <c r="D29" s="416"/>
      <c r="E29" s="567"/>
      <c r="F29" s="398"/>
      <c r="G29" s="567"/>
      <c r="H29" s="416"/>
      <c r="I29" s="417"/>
      <c r="J29" s="372"/>
      <c r="K29" s="418"/>
      <c r="L29" s="418"/>
      <c r="M29" s="416"/>
      <c r="N29" s="555"/>
      <c r="O29" s="416"/>
      <c r="P29" s="421"/>
      <c r="Q29" s="422"/>
      <c r="R29" s="423"/>
      <c r="S29" s="384"/>
      <c r="T29" s="392"/>
      <c r="V29" s="392"/>
      <c r="Y29" s="412"/>
      <c r="AA29" s="412"/>
      <c r="AC29" s="412"/>
      <c r="AD29" s="425"/>
      <c r="AE29" s="423"/>
      <c r="AF29" s="407"/>
      <c r="AG29" s="382"/>
      <c r="AH29" s="382"/>
      <c r="AI29" s="382"/>
      <c r="AJ29" s="382"/>
      <c r="AK29" s="556"/>
      <c r="AL29" s="384"/>
      <c r="AM29" s="427"/>
      <c r="AN29" s="427"/>
      <c r="AO29" s="384"/>
      <c r="AP29" s="557"/>
      <c r="AQ29" s="423"/>
      <c r="AR29" s="423"/>
      <c r="AT29" s="423"/>
      <c r="AU29" s="423"/>
      <c r="AV29" s="429"/>
      <c r="AW29" s="423"/>
      <c r="AX29" s="430"/>
      <c r="AY29" s="430"/>
      <c r="AZ29" s="411"/>
      <c r="BA29" s="411"/>
      <c r="BB29" s="260"/>
      <c r="BC29" s="245"/>
      <c r="BF29" s="424"/>
      <c r="BG29" s="419"/>
      <c r="BH29" s="419"/>
      <c r="BI29" s="419"/>
      <c r="BL29" s="268"/>
      <c r="BN29" s="407"/>
      <c r="BP29" s="393"/>
      <c r="BQ29" s="372"/>
    </row>
    <row r="30" spans="2:69" s="373" customFormat="1" ht="15">
      <c r="B30" s="408"/>
      <c r="C30" s="554"/>
      <c r="D30" s="416"/>
      <c r="E30" s="565"/>
      <c r="F30" s="398"/>
      <c r="G30" s="565"/>
      <c r="H30" s="566"/>
      <c r="I30" s="417"/>
      <c r="J30" s="555"/>
      <c r="K30" s="418"/>
      <c r="L30" s="418"/>
      <c r="M30" s="416"/>
      <c r="N30" s="555"/>
      <c r="O30" s="416"/>
      <c r="P30" s="421"/>
      <c r="Q30" s="422"/>
      <c r="R30" s="423"/>
      <c r="S30" s="384"/>
      <c r="T30" s="392"/>
      <c r="V30" s="392"/>
      <c r="Y30" s="392"/>
      <c r="AA30" s="412"/>
      <c r="AC30" s="412"/>
      <c r="AD30" s="425"/>
      <c r="AE30" s="423"/>
      <c r="AF30" s="407"/>
      <c r="AG30" s="382"/>
      <c r="AH30" s="382"/>
      <c r="AI30" s="382"/>
      <c r="AJ30" s="382"/>
      <c r="AK30" s="556"/>
      <c r="AL30" s="384"/>
      <c r="AM30" s="427"/>
      <c r="AN30" s="427"/>
      <c r="AO30" s="384"/>
      <c r="AP30" s="557"/>
      <c r="AQ30" s="423"/>
      <c r="AR30" s="423"/>
      <c r="AT30" s="423"/>
      <c r="AU30" s="423"/>
      <c r="AV30" s="429"/>
      <c r="AW30" s="423"/>
      <c r="AX30" s="430"/>
      <c r="AY30" s="430"/>
      <c r="AZ30" s="411"/>
      <c r="BA30" s="411"/>
      <c r="BB30" s="260"/>
      <c r="BC30" s="245"/>
      <c r="BF30" s="424"/>
      <c r="BG30" s="419"/>
      <c r="BH30" s="419"/>
      <c r="BI30" s="419"/>
      <c r="BL30" s="268"/>
      <c r="BN30" s="407"/>
      <c r="BP30" s="393"/>
      <c r="BQ30" s="372"/>
    </row>
    <row r="31" spans="2:69" s="373" customFormat="1" ht="15">
      <c r="B31" s="408"/>
      <c r="C31" s="554"/>
      <c r="D31" s="416"/>
      <c r="E31" s="398"/>
      <c r="F31" s="398"/>
      <c r="G31" s="398"/>
      <c r="H31" s="416"/>
      <c r="I31" s="417"/>
      <c r="J31" s="555"/>
      <c r="K31" s="418"/>
      <c r="L31" s="418"/>
      <c r="M31" s="416"/>
      <c r="N31" s="555"/>
      <c r="O31" s="416"/>
      <c r="P31" s="421"/>
      <c r="Q31" s="422"/>
      <c r="R31" s="423"/>
      <c r="S31" s="384"/>
      <c r="T31" s="392"/>
      <c r="V31" s="392"/>
      <c r="Y31" s="412"/>
      <c r="Z31" s="384"/>
      <c r="AB31" s="384"/>
      <c r="AC31" s="412"/>
      <c r="AD31" s="568"/>
      <c r="AE31" s="423"/>
      <c r="AF31" s="407"/>
      <c r="AG31" s="382"/>
      <c r="AH31" s="382"/>
      <c r="AI31" s="382"/>
      <c r="AJ31" s="382"/>
      <c r="AK31" s="556"/>
      <c r="AL31" s="384"/>
      <c r="AM31" s="427"/>
      <c r="AN31" s="427"/>
      <c r="AO31" s="384"/>
      <c r="AP31" s="557"/>
      <c r="AQ31" s="423"/>
      <c r="AR31" s="423"/>
      <c r="AT31" s="423"/>
      <c r="AU31" s="423"/>
      <c r="AV31" s="429"/>
      <c r="AW31" s="423"/>
      <c r="AX31" s="430"/>
      <c r="AY31" s="430"/>
      <c r="AZ31" s="411"/>
      <c r="BA31" s="411"/>
      <c r="BB31" s="260"/>
      <c r="BC31" s="245"/>
      <c r="BF31" s="424"/>
      <c r="BG31" s="419"/>
      <c r="BH31" s="419"/>
      <c r="BI31" s="419"/>
      <c r="BL31" s="268"/>
      <c r="BN31" s="407"/>
      <c r="BP31" s="393"/>
      <c r="BQ31" s="372"/>
    </row>
    <row r="32" spans="2:69" s="373" customFormat="1" ht="15">
      <c r="B32" s="408"/>
      <c r="C32" s="554"/>
      <c r="D32" s="416"/>
      <c r="E32" s="398"/>
      <c r="F32" s="398"/>
      <c r="G32" s="398"/>
      <c r="H32" s="416"/>
      <c r="I32" s="417"/>
      <c r="J32" s="372"/>
      <c r="K32" s="418"/>
      <c r="L32" s="418"/>
      <c r="M32" s="416"/>
      <c r="N32" s="555"/>
      <c r="O32" s="416"/>
      <c r="P32" s="421"/>
      <c r="Q32" s="422"/>
      <c r="R32" s="423"/>
      <c r="S32" s="384"/>
      <c r="T32" s="392"/>
      <c r="V32" s="392"/>
      <c r="AA32" s="412"/>
      <c r="AC32" s="412"/>
      <c r="AD32" s="425"/>
      <c r="AE32" s="423"/>
      <c r="AF32" s="407"/>
      <c r="AG32" s="382"/>
      <c r="AH32" s="382"/>
      <c r="AI32" s="382"/>
      <c r="AJ32" s="382"/>
      <c r="AK32" s="556"/>
      <c r="AL32" s="384"/>
      <c r="AM32" s="427"/>
      <c r="AN32" s="427"/>
      <c r="AO32" s="384"/>
      <c r="AP32" s="557"/>
      <c r="AQ32" s="423"/>
      <c r="AR32" s="423"/>
      <c r="AT32" s="423"/>
      <c r="AU32" s="423"/>
      <c r="AV32" s="429"/>
      <c r="AW32" s="423"/>
      <c r="AX32" s="434"/>
      <c r="AY32" s="430"/>
      <c r="AZ32" s="411"/>
      <c r="BA32" s="411"/>
      <c r="BB32" s="260"/>
      <c r="BC32" s="245"/>
      <c r="BF32" s="424"/>
      <c r="BG32" s="419"/>
      <c r="BH32" s="419"/>
      <c r="BI32" s="419"/>
      <c r="BL32" s="268"/>
      <c r="BN32" s="407"/>
      <c r="BP32" s="393"/>
      <c r="BQ32" s="372"/>
    </row>
    <row r="33" spans="2:69" s="373" customFormat="1" ht="15">
      <c r="B33" s="408"/>
      <c r="C33" s="554"/>
      <c r="D33" s="416"/>
      <c r="E33" s="565"/>
      <c r="F33" s="398"/>
      <c r="G33" s="565"/>
      <c r="H33" s="566"/>
      <c r="I33" s="417"/>
      <c r="J33" s="555"/>
      <c r="K33" s="418"/>
      <c r="L33" s="418"/>
      <c r="M33" s="416"/>
      <c r="N33" s="555"/>
      <c r="O33" s="416"/>
      <c r="P33" s="421"/>
      <c r="Q33" s="422"/>
      <c r="R33" s="423"/>
      <c r="T33" s="392"/>
      <c r="U33" s="384"/>
      <c r="V33" s="392"/>
      <c r="Y33" s="412"/>
      <c r="AA33" s="412"/>
      <c r="AC33" s="412"/>
      <c r="AD33" s="425"/>
      <c r="AE33" s="423"/>
      <c r="AF33" s="407"/>
      <c r="AG33" s="382"/>
      <c r="AH33" s="382"/>
      <c r="AI33" s="382"/>
      <c r="AJ33" s="382"/>
      <c r="AK33" s="556"/>
      <c r="AL33" s="384"/>
      <c r="AM33" s="427"/>
      <c r="AN33" s="427"/>
      <c r="AO33" s="384"/>
      <c r="AP33" s="557"/>
      <c r="AQ33" s="423"/>
      <c r="AR33" s="423"/>
      <c r="AT33" s="423"/>
      <c r="AU33" s="423"/>
      <c r="AV33" s="429"/>
      <c r="AW33" s="423"/>
      <c r="AX33" s="430"/>
      <c r="AY33" s="430"/>
      <c r="AZ33" s="411"/>
      <c r="BA33" s="411"/>
      <c r="BB33" s="260"/>
      <c r="BC33" s="245"/>
      <c r="BF33" s="424"/>
      <c r="BG33" s="419"/>
      <c r="BH33" s="419"/>
      <c r="BI33" s="419"/>
      <c r="BL33" s="268"/>
      <c r="BM33" s="442"/>
      <c r="BN33" s="427"/>
      <c r="BP33" s="393"/>
      <c r="BQ33" s="372"/>
    </row>
    <row r="34" spans="1:68" ht="15">
      <c r="A34" s="373"/>
      <c r="B34" s="408"/>
      <c r="C34" s="554"/>
      <c r="D34" s="416"/>
      <c r="E34" s="565"/>
      <c r="F34" s="398"/>
      <c r="G34" s="565"/>
      <c r="H34" s="566"/>
      <c r="I34" s="417"/>
      <c r="J34" s="555"/>
      <c r="K34" s="418"/>
      <c r="L34" s="418"/>
      <c r="M34" s="416"/>
      <c r="N34" s="555"/>
      <c r="O34" s="416"/>
      <c r="P34" s="421"/>
      <c r="Q34" s="422"/>
      <c r="R34" s="423"/>
      <c r="S34" s="384"/>
      <c r="T34" s="392"/>
      <c r="U34" s="373"/>
      <c r="V34" s="392"/>
      <c r="W34" s="373"/>
      <c r="X34" s="373"/>
      <c r="Y34" s="412"/>
      <c r="Z34" s="373"/>
      <c r="AA34" s="412"/>
      <c r="AB34" s="373"/>
      <c r="AC34" s="412"/>
      <c r="AD34" s="425"/>
      <c r="AE34" s="423"/>
      <c r="AF34" s="407"/>
      <c r="AG34" s="382"/>
      <c r="AH34" s="382"/>
      <c r="AI34" s="382"/>
      <c r="AJ34" s="382"/>
      <c r="AK34" s="556"/>
      <c r="AL34" s="384"/>
      <c r="AM34" s="427"/>
      <c r="AN34" s="427"/>
      <c r="AO34" s="384"/>
      <c r="AP34" s="557"/>
      <c r="AQ34" s="423"/>
      <c r="AR34" s="423"/>
      <c r="AS34" s="373"/>
      <c r="AT34" s="423"/>
      <c r="AU34" s="423"/>
      <c r="AV34" s="429"/>
      <c r="AW34" s="423"/>
      <c r="AX34" s="430"/>
      <c r="AY34" s="430"/>
      <c r="AZ34" s="411"/>
      <c r="BA34" s="411"/>
      <c r="BD34" s="373"/>
      <c r="BE34" s="373"/>
      <c r="BF34" s="424"/>
      <c r="BG34" s="419"/>
      <c r="BH34" s="419"/>
      <c r="BI34" s="419"/>
      <c r="BJ34" s="373"/>
      <c r="BM34" s="373"/>
      <c r="BN34" s="407"/>
      <c r="BO34" s="373"/>
      <c r="BP34" s="393"/>
    </row>
    <row r="35" spans="1:69" ht="15">
      <c r="A35" s="373"/>
      <c r="B35" s="408"/>
      <c r="C35" s="554"/>
      <c r="D35" s="416"/>
      <c r="E35" s="565"/>
      <c r="F35" s="398"/>
      <c r="G35" s="565"/>
      <c r="H35" s="566"/>
      <c r="I35" s="417"/>
      <c r="J35" s="555"/>
      <c r="K35" s="418"/>
      <c r="L35" s="418"/>
      <c r="M35" s="416"/>
      <c r="N35" s="555"/>
      <c r="O35" s="416"/>
      <c r="P35" s="421"/>
      <c r="Q35" s="422"/>
      <c r="R35" s="423"/>
      <c r="S35" s="384"/>
      <c r="T35" s="392"/>
      <c r="U35" s="373"/>
      <c r="V35" s="392"/>
      <c r="W35" s="373"/>
      <c r="X35" s="373"/>
      <c r="Y35" s="412"/>
      <c r="Z35" s="373"/>
      <c r="AA35" s="412"/>
      <c r="AB35" s="373"/>
      <c r="AC35" s="412"/>
      <c r="AD35" s="373"/>
      <c r="AE35" s="423"/>
      <c r="AF35" s="407"/>
      <c r="AG35" s="382"/>
      <c r="AH35" s="382"/>
      <c r="AI35" s="382"/>
      <c r="AJ35" s="382"/>
      <c r="AK35" s="556"/>
      <c r="AL35" s="384"/>
      <c r="AM35" s="427"/>
      <c r="AN35" s="427"/>
      <c r="AO35" s="384"/>
      <c r="AP35" s="557"/>
      <c r="AQ35" s="423"/>
      <c r="AR35" s="423"/>
      <c r="AS35" s="373"/>
      <c r="AT35" s="423"/>
      <c r="AU35" s="423"/>
      <c r="AV35" s="429"/>
      <c r="AW35" s="423"/>
      <c r="AX35" s="430"/>
      <c r="AY35" s="430"/>
      <c r="AZ35" s="411"/>
      <c r="BA35" s="411"/>
      <c r="BD35" s="373"/>
      <c r="BE35" s="373"/>
      <c r="BF35" s="424"/>
      <c r="BG35" s="419"/>
      <c r="BH35" s="419"/>
      <c r="BI35" s="419"/>
      <c r="BJ35" s="373"/>
      <c r="BM35" s="373"/>
      <c r="BN35" s="407"/>
      <c r="BO35" s="373"/>
      <c r="BP35" s="393" t="s">
        <v>128</v>
      </c>
      <c r="BQ35" s="270">
        <v>38</v>
      </c>
    </row>
    <row r="36" spans="1:68" ht="15">
      <c r="A36" s="373"/>
      <c r="B36" s="408"/>
      <c r="C36" s="554"/>
      <c r="D36" s="416"/>
      <c r="E36" s="565"/>
      <c r="F36" s="398"/>
      <c r="G36" s="565"/>
      <c r="H36" s="566"/>
      <c r="I36" s="417"/>
      <c r="J36" s="555"/>
      <c r="K36" s="418"/>
      <c r="L36" s="418"/>
      <c r="M36" s="416"/>
      <c r="N36" s="555"/>
      <c r="O36" s="416"/>
      <c r="P36" s="421"/>
      <c r="Q36" s="422"/>
      <c r="R36" s="423"/>
      <c r="S36" s="373"/>
      <c r="T36" s="392"/>
      <c r="U36" s="373"/>
      <c r="V36" s="392"/>
      <c r="W36" s="373"/>
      <c r="X36" s="373"/>
      <c r="Y36" s="412"/>
      <c r="Z36" s="373"/>
      <c r="AA36" s="392"/>
      <c r="AB36" s="373"/>
      <c r="AC36" s="392"/>
      <c r="AD36" s="425"/>
      <c r="AE36" s="423"/>
      <c r="AF36" s="407"/>
      <c r="AG36" s="382"/>
      <c r="AH36" s="382"/>
      <c r="AI36" s="382"/>
      <c r="AJ36" s="382"/>
      <c r="AK36" s="556"/>
      <c r="AL36" s="384"/>
      <c r="AM36" s="427"/>
      <c r="AN36" s="427"/>
      <c r="AO36" s="384"/>
      <c r="AP36" s="557"/>
      <c r="AQ36" s="423"/>
      <c r="AR36" s="423"/>
      <c r="AS36" s="373"/>
      <c r="AT36" s="423"/>
      <c r="AU36" s="423"/>
      <c r="AV36" s="429"/>
      <c r="AW36" s="423"/>
      <c r="AX36" s="430"/>
      <c r="AY36" s="430"/>
      <c r="AZ36" s="411"/>
      <c r="BA36" s="411"/>
      <c r="BD36" s="373"/>
      <c r="BE36" s="373"/>
      <c r="BF36" s="424"/>
      <c r="BG36" s="419"/>
      <c r="BH36" s="419"/>
      <c r="BI36" s="419"/>
      <c r="BJ36" s="373"/>
      <c r="BM36" s="373"/>
      <c r="BN36" s="407"/>
      <c r="BO36" s="373"/>
      <c r="BP36" s="393"/>
    </row>
    <row r="37" spans="1:62" ht="15">
      <c r="A37" s="373"/>
      <c r="B37" s="408"/>
      <c r="C37" s="554"/>
      <c r="D37" s="416"/>
      <c r="E37" s="565"/>
      <c r="F37" s="398"/>
      <c r="G37" s="565"/>
      <c r="H37" s="566"/>
      <c r="I37" s="417"/>
      <c r="J37" s="555"/>
      <c r="K37" s="418"/>
      <c r="L37" s="418"/>
      <c r="M37" s="416"/>
      <c r="N37" s="555"/>
      <c r="O37" s="416"/>
      <c r="P37" s="421"/>
      <c r="Q37" s="422"/>
      <c r="R37" s="423"/>
      <c r="S37" s="384"/>
      <c r="T37" s="392"/>
      <c r="U37" s="373"/>
      <c r="V37" s="392"/>
      <c r="W37" s="373"/>
      <c r="X37" s="373"/>
      <c r="Y37" s="412"/>
      <c r="Z37" s="373"/>
      <c r="AA37" s="392"/>
      <c r="AB37" s="373"/>
      <c r="AC37" s="392"/>
      <c r="AD37" s="425"/>
      <c r="AE37" s="423"/>
      <c r="AF37" s="407"/>
      <c r="AG37" s="382"/>
      <c r="AH37" s="382"/>
      <c r="AI37" s="382"/>
      <c r="AJ37" s="382"/>
      <c r="AK37" s="556"/>
      <c r="AL37" s="384"/>
      <c r="AM37" s="427"/>
      <c r="AN37" s="427"/>
      <c r="AO37" s="384"/>
      <c r="AP37" s="557"/>
      <c r="AQ37" s="423"/>
      <c r="AR37" s="423"/>
      <c r="AS37" s="373"/>
      <c r="AT37" s="423"/>
      <c r="AU37" s="423"/>
      <c r="AV37" s="429"/>
      <c r="AW37" s="423"/>
      <c r="AX37" s="430"/>
      <c r="AY37" s="430"/>
      <c r="AZ37" s="411"/>
      <c r="BA37" s="411"/>
      <c r="BB37" s="424"/>
      <c r="BC37" s="373"/>
      <c r="BD37" s="373"/>
      <c r="BE37" s="373"/>
      <c r="BF37" s="424"/>
      <c r="BG37" s="419"/>
      <c r="BH37" s="419"/>
      <c r="BI37" s="419"/>
      <c r="BJ37" s="373"/>
    </row>
    <row r="38" spans="1:53" ht="15">
      <c r="A38" s="373"/>
      <c r="B38" s="408"/>
      <c r="C38" s="554"/>
      <c r="D38" s="416"/>
      <c r="E38" s="398"/>
      <c r="F38" s="398"/>
      <c r="G38" s="398"/>
      <c r="H38" s="416"/>
      <c r="I38" s="417"/>
      <c r="J38" s="372"/>
      <c r="K38" s="418"/>
      <c r="L38" s="418"/>
      <c r="M38" s="416"/>
      <c r="N38" s="555"/>
      <c r="O38" s="416"/>
      <c r="P38" s="421"/>
      <c r="Q38" s="422"/>
      <c r="R38" s="423"/>
      <c r="S38" s="373"/>
      <c r="T38" s="392"/>
      <c r="U38" s="373"/>
      <c r="V38" s="392"/>
      <c r="W38" s="373"/>
      <c r="X38" s="373"/>
      <c r="Y38" s="392"/>
      <c r="Z38" s="384"/>
      <c r="AA38" s="412"/>
      <c r="AB38" s="384"/>
      <c r="AC38" s="412"/>
      <c r="AD38" s="425"/>
      <c r="AE38" s="423"/>
      <c r="AF38" s="407"/>
      <c r="AG38" s="382"/>
      <c r="AH38" s="382"/>
      <c r="AI38" s="382"/>
      <c r="AJ38" s="382"/>
      <c r="AK38" s="556"/>
      <c r="AL38" s="384"/>
      <c r="AM38" s="427"/>
      <c r="AN38" s="427"/>
      <c r="AO38" s="384"/>
      <c r="AP38" s="557"/>
      <c r="AQ38" s="423"/>
      <c r="AR38" s="423"/>
      <c r="AS38" s="373"/>
      <c r="AT38" s="423"/>
      <c r="AU38" s="423"/>
      <c r="AV38" s="429"/>
      <c r="AW38" s="423"/>
      <c r="AX38" s="434"/>
      <c r="AY38" s="430"/>
      <c r="AZ38" s="411"/>
      <c r="BA38" s="411"/>
    </row>
    <row r="39" spans="1:55" ht="15">
      <c r="A39" s="373"/>
      <c r="B39" s="408"/>
      <c r="C39" s="554"/>
      <c r="D39" s="416"/>
      <c r="E39" s="398"/>
      <c r="F39" s="398"/>
      <c r="G39" s="398"/>
      <c r="H39" s="416"/>
      <c r="I39" s="417"/>
      <c r="J39" s="555"/>
      <c r="K39" s="418"/>
      <c r="L39" s="418"/>
      <c r="M39" s="420"/>
      <c r="N39" s="564"/>
      <c r="O39" s="420"/>
      <c r="P39" s="421"/>
      <c r="Q39" s="422"/>
      <c r="R39" s="423"/>
      <c r="S39" s="373"/>
      <c r="T39" s="392"/>
      <c r="U39" s="384"/>
      <c r="V39" s="392"/>
      <c r="W39" s="410"/>
      <c r="X39" s="384"/>
      <c r="Y39" s="412"/>
      <c r="Z39" s="384"/>
      <c r="AA39" s="373"/>
      <c r="AB39" s="384"/>
      <c r="AC39" s="412"/>
      <c r="AD39" s="425"/>
      <c r="AE39" s="423"/>
      <c r="AF39" s="407"/>
      <c r="AG39" s="559"/>
      <c r="AH39" s="559"/>
      <c r="AI39" s="559"/>
      <c r="AJ39" s="559"/>
      <c r="AK39" s="556"/>
      <c r="AL39" s="384"/>
      <c r="AM39" s="427"/>
      <c r="AN39" s="427"/>
      <c r="AO39" s="384"/>
      <c r="AP39" s="557"/>
      <c r="AQ39" s="423"/>
      <c r="AR39" s="423"/>
      <c r="AS39" s="373"/>
      <c r="AT39" s="423"/>
      <c r="AU39" s="423"/>
      <c r="AV39" s="429"/>
      <c r="AW39" s="423"/>
      <c r="AX39" s="430"/>
      <c r="AY39" s="430"/>
      <c r="AZ39" s="411"/>
      <c r="BA39" s="411"/>
      <c r="BB39" s="424"/>
      <c r="BC39" s="373"/>
    </row>
    <row r="40" spans="1:55" ht="15">
      <c r="A40" s="373"/>
      <c r="B40" s="408"/>
      <c r="C40" s="554"/>
      <c r="D40" s="416"/>
      <c r="E40" s="398"/>
      <c r="F40" s="398"/>
      <c r="G40" s="398"/>
      <c r="H40" s="412"/>
      <c r="I40" s="417"/>
      <c r="J40" s="555"/>
      <c r="K40" s="418"/>
      <c r="L40" s="418"/>
      <c r="M40" s="416"/>
      <c r="N40" s="555"/>
      <c r="O40" s="416"/>
      <c r="P40" s="421"/>
      <c r="Q40" s="422"/>
      <c r="R40" s="423"/>
      <c r="S40" s="373"/>
      <c r="T40" s="392"/>
      <c r="U40" s="373"/>
      <c r="V40" s="392"/>
      <c r="W40" s="373"/>
      <c r="X40" s="373"/>
      <c r="Y40" s="412"/>
      <c r="Z40" s="373"/>
      <c r="AA40" s="412"/>
      <c r="AB40" s="373"/>
      <c r="AC40" s="412"/>
      <c r="AD40" s="425"/>
      <c r="AE40" s="423"/>
      <c r="AF40" s="407"/>
      <c r="AG40" s="382"/>
      <c r="AH40" s="382"/>
      <c r="AI40" s="382"/>
      <c r="AJ40" s="382"/>
      <c r="AK40" s="556"/>
      <c r="AL40" s="384"/>
      <c r="AM40" s="427"/>
      <c r="AN40" s="427"/>
      <c r="AO40" s="384"/>
      <c r="AP40" s="557"/>
      <c r="AQ40" s="423"/>
      <c r="AR40" s="423"/>
      <c r="AS40" s="373"/>
      <c r="AT40" s="423"/>
      <c r="AU40" s="423"/>
      <c r="AV40" s="429"/>
      <c r="AW40" s="423"/>
      <c r="AX40" s="430"/>
      <c r="AY40" s="430"/>
      <c r="AZ40" s="411"/>
      <c r="BA40" s="411"/>
      <c r="BB40" s="424"/>
      <c r="BC40" s="373"/>
    </row>
    <row r="41" spans="1:53" ht="15">
      <c r="A41" s="373"/>
      <c r="B41" s="408"/>
      <c r="C41" s="554"/>
      <c r="D41" s="416"/>
      <c r="E41" s="398"/>
      <c r="F41" s="398"/>
      <c r="G41" s="398"/>
      <c r="H41" s="412"/>
      <c r="I41" s="417"/>
      <c r="J41" s="555"/>
      <c r="K41" s="418"/>
      <c r="L41" s="418"/>
      <c r="M41" s="416"/>
      <c r="N41" s="555"/>
      <c r="O41" s="416"/>
      <c r="P41" s="421"/>
      <c r="Q41" s="422"/>
      <c r="R41" s="423"/>
      <c r="S41" s="373"/>
      <c r="T41" s="392"/>
      <c r="U41" s="384"/>
      <c r="V41" s="392"/>
      <c r="W41" s="373"/>
      <c r="X41" s="373"/>
      <c r="Y41" s="412"/>
      <c r="Z41" s="373"/>
      <c r="AA41" s="412"/>
      <c r="AB41" s="373"/>
      <c r="AC41" s="412"/>
      <c r="AD41" s="425"/>
      <c r="AE41" s="423"/>
      <c r="AF41" s="407"/>
      <c r="AG41" s="382"/>
      <c r="AH41" s="382"/>
      <c r="AI41" s="382"/>
      <c r="AJ41" s="382"/>
      <c r="AK41" s="556"/>
      <c r="AL41" s="384"/>
      <c r="AM41" s="427"/>
      <c r="AN41" s="427"/>
      <c r="AO41" s="384"/>
      <c r="AP41" s="557"/>
      <c r="AQ41" s="423"/>
      <c r="AR41" s="423"/>
      <c r="AS41" s="373"/>
      <c r="AT41" s="423"/>
      <c r="AU41" s="423"/>
      <c r="AV41" s="429"/>
      <c r="AW41" s="423"/>
      <c r="AX41" s="430"/>
      <c r="AY41" s="430"/>
      <c r="AZ41" s="411"/>
      <c r="BA41" s="411"/>
    </row>
    <row r="42" spans="1:53" ht="15">
      <c r="A42" s="373"/>
      <c r="B42" s="408"/>
      <c r="C42" s="554"/>
      <c r="D42" s="416"/>
      <c r="E42" s="398"/>
      <c r="F42" s="398"/>
      <c r="G42" s="398"/>
      <c r="H42" s="416"/>
      <c r="I42" s="417"/>
      <c r="J42" s="555"/>
      <c r="K42" s="418"/>
      <c r="L42" s="418"/>
      <c r="M42" s="416"/>
      <c r="N42" s="555"/>
      <c r="O42" s="416"/>
      <c r="P42" s="421"/>
      <c r="Q42" s="422"/>
      <c r="R42" s="423"/>
      <c r="S42" s="373"/>
      <c r="T42" s="392"/>
      <c r="U42" s="373"/>
      <c r="V42" s="392"/>
      <c r="W42" s="373"/>
      <c r="X42" s="373"/>
      <c r="Y42" s="412"/>
      <c r="Z42" s="373"/>
      <c r="AA42" s="373"/>
      <c r="AB42" s="373"/>
      <c r="AC42" s="373"/>
      <c r="AD42" s="425"/>
      <c r="AE42" s="423"/>
      <c r="AF42" s="407"/>
      <c r="AG42" s="382"/>
      <c r="AH42" s="382"/>
      <c r="AI42" s="382"/>
      <c r="AJ42" s="382"/>
      <c r="AK42" s="556"/>
      <c r="AL42" s="384"/>
      <c r="AM42" s="427"/>
      <c r="AN42" s="427"/>
      <c r="AO42" s="384"/>
      <c r="AP42" s="557"/>
      <c r="AQ42" s="423"/>
      <c r="AR42" s="423"/>
      <c r="AS42" s="373"/>
      <c r="AT42" s="423"/>
      <c r="AU42" s="423"/>
      <c r="AV42" s="429"/>
      <c r="AW42" s="423"/>
      <c r="AX42" s="430"/>
      <c r="AY42" s="430"/>
      <c r="AZ42" s="411"/>
      <c r="BA42" s="411"/>
    </row>
    <row r="43" spans="1:53" ht="15">
      <c r="A43" s="373"/>
      <c r="B43" s="408"/>
      <c r="C43" s="415"/>
      <c r="D43" s="373"/>
      <c r="E43" s="398"/>
      <c r="F43" s="398"/>
      <c r="G43" s="373"/>
      <c r="H43" s="412"/>
      <c r="I43" s="417"/>
      <c r="J43" s="372"/>
      <c r="K43" s="418"/>
      <c r="L43" s="419"/>
      <c r="M43" s="569"/>
      <c r="N43" s="564"/>
      <c r="O43" s="373"/>
      <c r="P43" s="421"/>
      <c r="Q43" s="422"/>
      <c r="R43" s="423"/>
      <c r="S43" s="384"/>
      <c r="T43" s="392"/>
      <c r="U43" s="373"/>
      <c r="V43" s="373"/>
      <c r="W43" s="373"/>
      <c r="X43" s="373"/>
      <c r="Y43" s="373"/>
      <c r="Z43" s="373"/>
      <c r="AA43" s="382"/>
      <c r="AB43" s="373"/>
      <c r="AC43" s="382"/>
      <c r="AD43" s="425"/>
      <c r="AE43" s="423"/>
      <c r="AF43" s="407"/>
      <c r="AG43" s="382"/>
      <c r="AH43" s="382"/>
      <c r="AI43" s="382"/>
      <c r="AJ43" s="382"/>
      <c r="AK43" s="556"/>
      <c r="AL43" s="384"/>
      <c r="AM43" s="427"/>
      <c r="AN43" s="427"/>
      <c r="AO43" s="384"/>
      <c r="AP43" s="557"/>
      <c r="AQ43" s="423"/>
      <c r="AR43" s="423"/>
      <c r="AS43" s="373"/>
      <c r="AT43" s="423"/>
      <c r="AU43" s="423"/>
      <c r="AV43" s="429"/>
      <c r="AW43" s="423"/>
      <c r="AX43" s="430"/>
      <c r="AY43" s="430"/>
      <c r="AZ43" s="411"/>
      <c r="BA43" s="411"/>
    </row>
    <row r="44" spans="1:53" ht="15">
      <c r="A44" s="373"/>
      <c r="B44" s="408"/>
      <c r="C44" s="554"/>
      <c r="D44" s="416"/>
      <c r="E44" s="398"/>
      <c r="F44" s="398"/>
      <c r="G44" s="398"/>
      <c r="H44" s="416"/>
      <c r="I44" s="417"/>
      <c r="J44" s="555"/>
      <c r="K44" s="570"/>
      <c r="L44" s="571"/>
      <c r="M44" s="416"/>
      <c r="N44" s="555"/>
      <c r="O44" s="555"/>
      <c r="P44" s="421"/>
      <c r="Q44" s="422"/>
      <c r="R44" s="423"/>
      <c r="S44" s="373"/>
      <c r="T44" s="392"/>
      <c r="U44" s="373"/>
      <c r="V44" s="392"/>
      <c r="W44" s="373"/>
      <c r="X44" s="373"/>
      <c r="Y44" s="412"/>
      <c r="Z44" s="373"/>
      <c r="AA44" s="423"/>
      <c r="AB44" s="373"/>
      <c r="AC44" s="423"/>
      <c r="AD44" s="425"/>
      <c r="AE44" s="423"/>
      <c r="AF44" s="407"/>
      <c r="AG44" s="382"/>
      <c r="AH44" s="382"/>
      <c r="AI44" s="382"/>
      <c r="AJ44" s="382"/>
      <c r="AK44" s="556"/>
      <c r="AL44" s="384"/>
      <c r="AM44" s="427"/>
      <c r="AN44" s="427"/>
      <c r="AO44" s="384"/>
      <c r="AP44" s="557"/>
      <c r="AQ44" s="423"/>
      <c r="AR44" s="423"/>
      <c r="AS44" s="384"/>
      <c r="AT44" s="423"/>
      <c r="AU44" s="423"/>
      <c r="AV44" s="429"/>
      <c r="AW44" s="423"/>
      <c r="AX44" s="430"/>
      <c r="AY44" s="430"/>
      <c r="AZ44" s="411"/>
      <c r="BA44" s="411"/>
    </row>
    <row r="45" spans="1:53" ht="15">
      <c r="A45" s="373"/>
      <c r="B45" s="408"/>
      <c r="C45" s="554"/>
      <c r="D45" s="416"/>
      <c r="E45" s="398"/>
      <c r="F45" s="398"/>
      <c r="G45" s="398"/>
      <c r="H45" s="416"/>
      <c r="I45" s="417"/>
      <c r="J45" s="372"/>
      <c r="K45" s="418"/>
      <c r="L45" s="418"/>
      <c r="M45" s="416"/>
      <c r="N45" s="555"/>
      <c r="O45" s="416"/>
      <c r="P45" s="421"/>
      <c r="Q45" s="422"/>
      <c r="R45" s="423"/>
      <c r="S45" s="373"/>
      <c r="T45" s="392"/>
      <c r="U45" s="373"/>
      <c r="V45" s="392"/>
      <c r="W45" s="373"/>
      <c r="X45" s="373"/>
      <c r="Y45" s="412"/>
      <c r="Z45" s="384"/>
      <c r="AA45" s="384"/>
      <c r="AB45" s="384"/>
      <c r="AC45" s="373"/>
      <c r="AD45" s="568"/>
      <c r="AE45" s="423"/>
      <c r="AF45" s="407"/>
      <c r="AG45" s="382"/>
      <c r="AH45" s="382"/>
      <c r="AI45" s="382"/>
      <c r="AJ45" s="382"/>
      <c r="AK45" s="556"/>
      <c r="AL45" s="384"/>
      <c r="AM45" s="427"/>
      <c r="AN45" s="427"/>
      <c r="AO45" s="384"/>
      <c r="AP45" s="557"/>
      <c r="AQ45" s="423"/>
      <c r="AR45" s="423"/>
      <c r="AS45" s="423"/>
      <c r="AT45" s="423"/>
      <c r="AU45" s="423"/>
      <c r="AV45" s="429"/>
      <c r="AW45" s="423"/>
      <c r="AX45" s="430"/>
      <c r="AY45" s="430"/>
      <c r="AZ45" s="411"/>
      <c r="BA45" s="411"/>
    </row>
    <row r="46" spans="1:53" ht="15">
      <c r="A46" s="373"/>
      <c r="B46" s="408"/>
      <c r="C46" s="554"/>
      <c r="D46" s="416"/>
      <c r="E46" s="398"/>
      <c r="F46" s="398"/>
      <c r="G46" s="398"/>
      <c r="H46" s="416"/>
      <c r="I46" s="572"/>
      <c r="J46" s="564"/>
      <c r="K46" s="570"/>
      <c r="L46" s="571"/>
      <c r="M46" s="420"/>
      <c r="N46" s="564"/>
      <c r="O46" s="420"/>
      <c r="P46" s="421"/>
      <c r="Q46" s="422"/>
      <c r="R46" s="423"/>
      <c r="S46" s="373"/>
      <c r="T46" s="392"/>
      <c r="U46" s="373"/>
      <c r="V46" s="392"/>
      <c r="W46" s="373"/>
      <c r="X46" s="373"/>
      <c r="Y46" s="412"/>
      <c r="Z46" s="373"/>
      <c r="AA46" s="412"/>
      <c r="AB46" s="373"/>
      <c r="AC46" s="412"/>
      <c r="AD46" s="425"/>
      <c r="AE46" s="423"/>
      <c r="AF46" s="407"/>
      <c r="AG46" s="382"/>
      <c r="AH46" s="382"/>
      <c r="AI46" s="382"/>
      <c r="AJ46" s="382"/>
      <c r="AK46" s="556"/>
      <c r="AL46" s="384"/>
      <c r="AM46" s="427"/>
      <c r="AN46" s="427"/>
      <c r="AO46" s="384"/>
      <c r="AP46" s="557"/>
      <c r="AQ46" s="423"/>
      <c r="AR46" s="423"/>
      <c r="AS46" s="373"/>
      <c r="AT46" s="423"/>
      <c r="AU46" s="423"/>
      <c r="AV46" s="429"/>
      <c r="AW46" s="423"/>
      <c r="AX46" s="430"/>
      <c r="AY46" s="430"/>
      <c r="AZ46" s="411"/>
      <c r="BA46" s="411"/>
    </row>
    <row r="47" spans="1:53" ht="15">
      <c r="A47" s="373"/>
      <c r="B47" s="408"/>
      <c r="C47" s="415"/>
      <c r="D47" s="373"/>
      <c r="E47" s="398"/>
      <c r="F47" s="398"/>
      <c r="G47" s="373"/>
      <c r="H47" s="416"/>
      <c r="I47" s="415"/>
      <c r="J47" s="372"/>
      <c r="K47" s="418"/>
      <c r="L47" s="419"/>
      <c r="M47" s="569"/>
      <c r="N47" s="573"/>
      <c r="O47" s="373"/>
      <c r="P47" s="421"/>
      <c r="Q47" s="422"/>
      <c r="R47" s="423"/>
      <c r="S47" s="373"/>
      <c r="T47" s="392"/>
      <c r="U47" s="373"/>
      <c r="V47" s="392"/>
      <c r="W47" s="373"/>
      <c r="X47" s="373"/>
      <c r="Y47" s="412"/>
      <c r="Z47" s="373"/>
      <c r="AA47" s="392"/>
      <c r="AB47" s="373"/>
      <c r="AC47" s="392"/>
      <c r="AD47" s="425"/>
      <c r="AE47" s="423"/>
      <c r="AF47" s="407"/>
      <c r="AG47" s="382"/>
      <c r="AH47" s="382"/>
      <c r="AI47" s="382"/>
      <c r="AJ47" s="382"/>
      <c r="AK47" s="556"/>
      <c r="AL47" s="384"/>
      <c r="AM47" s="427"/>
      <c r="AN47" s="427"/>
      <c r="AO47" s="384"/>
      <c r="AP47" s="557"/>
      <c r="AQ47" s="423"/>
      <c r="AR47" s="423"/>
      <c r="AS47" s="373"/>
      <c r="AT47" s="423"/>
      <c r="AU47" s="423"/>
      <c r="AV47" s="429"/>
      <c r="AW47" s="423"/>
      <c r="AX47" s="430"/>
      <c r="AY47" s="430"/>
      <c r="AZ47" s="411"/>
      <c r="BA47" s="411"/>
    </row>
    <row r="48" spans="1:53" ht="15">
      <c r="A48" s="373"/>
      <c r="B48" s="408"/>
      <c r="C48" s="415"/>
      <c r="D48" s="373"/>
      <c r="E48" s="398"/>
      <c r="F48" s="398"/>
      <c r="G48" s="373"/>
      <c r="H48" s="407"/>
      <c r="I48" s="417"/>
      <c r="J48" s="372"/>
      <c r="K48" s="418"/>
      <c r="L48" s="419"/>
      <c r="M48" s="569"/>
      <c r="N48" s="573"/>
      <c r="O48" s="373"/>
      <c r="P48" s="421"/>
      <c r="Q48" s="422"/>
      <c r="R48" s="423"/>
      <c r="S48" s="384"/>
      <c r="T48" s="392"/>
      <c r="U48" s="373"/>
      <c r="V48" s="392"/>
      <c r="W48" s="373"/>
      <c r="X48" s="373"/>
      <c r="Y48" s="412"/>
      <c r="Z48" s="373"/>
      <c r="AA48" s="412"/>
      <c r="AB48" s="373"/>
      <c r="AC48" s="412"/>
      <c r="AD48" s="425"/>
      <c r="AE48" s="423"/>
      <c r="AF48" s="407"/>
      <c r="AG48" s="382"/>
      <c r="AH48" s="382"/>
      <c r="AI48" s="382"/>
      <c r="AJ48" s="382"/>
      <c r="AK48" s="556"/>
      <c r="AL48" s="384"/>
      <c r="AM48" s="427"/>
      <c r="AN48" s="427"/>
      <c r="AO48" s="384"/>
      <c r="AP48" s="557"/>
      <c r="AQ48" s="423"/>
      <c r="AR48" s="423"/>
      <c r="AS48" s="373"/>
      <c r="AT48" s="423"/>
      <c r="AU48" s="423"/>
      <c r="AV48" s="429"/>
      <c r="AW48" s="423"/>
      <c r="AX48" s="430"/>
      <c r="AY48" s="430"/>
      <c r="AZ48" s="411"/>
      <c r="BA48" s="411"/>
    </row>
    <row r="49" spans="1:53" ht="15">
      <c r="A49" s="373"/>
      <c r="B49" s="408"/>
      <c r="C49" s="415"/>
      <c r="D49" s="407"/>
      <c r="E49" s="398"/>
      <c r="F49" s="398"/>
      <c r="G49" s="373"/>
      <c r="H49" s="416"/>
      <c r="I49" s="417"/>
      <c r="J49" s="372"/>
      <c r="K49" s="418"/>
      <c r="L49" s="419"/>
      <c r="M49" s="569"/>
      <c r="N49" s="573"/>
      <c r="O49" s="373"/>
      <c r="P49" s="421"/>
      <c r="Q49" s="422"/>
      <c r="R49" s="423"/>
      <c r="S49" s="384"/>
      <c r="T49" s="392"/>
      <c r="U49" s="373"/>
      <c r="V49" s="392"/>
      <c r="W49" s="373"/>
      <c r="X49" s="373"/>
      <c r="Y49" s="412"/>
      <c r="Z49" s="373"/>
      <c r="AA49" s="412"/>
      <c r="AB49" s="373"/>
      <c r="AC49" s="412"/>
      <c r="AD49" s="425"/>
      <c r="AE49" s="423"/>
      <c r="AF49" s="407"/>
      <c r="AG49" s="382"/>
      <c r="AH49" s="382"/>
      <c r="AI49" s="382"/>
      <c r="AJ49" s="382"/>
      <c r="AK49" s="556"/>
      <c r="AL49" s="384"/>
      <c r="AM49" s="427"/>
      <c r="AN49" s="427"/>
      <c r="AO49" s="384"/>
      <c r="AP49" s="557"/>
      <c r="AQ49" s="423"/>
      <c r="AR49" s="423"/>
      <c r="AS49" s="373"/>
      <c r="AT49" s="423"/>
      <c r="AU49" s="423"/>
      <c r="AV49" s="429"/>
      <c r="AW49" s="423"/>
      <c r="AX49" s="430"/>
      <c r="AY49" s="430"/>
      <c r="AZ49" s="411"/>
      <c r="BA49" s="411"/>
    </row>
    <row r="50" spans="1:53" ht="15">
      <c r="A50" s="373"/>
      <c r="B50" s="408"/>
      <c r="C50" s="554"/>
      <c r="D50" s="416"/>
      <c r="E50" s="398"/>
      <c r="F50" s="398"/>
      <c r="G50" s="398"/>
      <c r="H50" s="416"/>
      <c r="I50" s="417"/>
      <c r="J50" s="555"/>
      <c r="K50" s="570"/>
      <c r="L50" s="571"/>
      <c r="M50" s="416"/>
      <c r="N50" s="555"/>
      <c r="O50" s="555"/>
      <c r="P50" s="421"/>
      <c r="Q50" s="422"/>
      <c r="R50" s="423"/>
      <c r="S50" s="373"/>
      <c r="T50" s="392"/>
      <c r="U50" s="373"/>
      <c r="V50" s="392"/>
      <c r="W50" s="373"/>
      <c r="X50" s="373"/>
      <c r="Y50" s="412"/>
      <c r="Z50" s="373"/>
      <c r="AA50" s="412"/>
      <c r="AB50" s="373"/>
      <c r="AC50" s="412"/>
      <c r="AD50" s="373"/>
      <c r="AE50" s="423"/>
      <c r="AF50" s="407"/>
      <c r="AG50" s="382"/>
      <c r="AH50" s="382"/>
      <c r="AI50" s="382"/>
      <c r="AJ50" s="382"/>
      <c r="AK50" s="556"/>
      <c r="AL50" s="384"/>
      <c r="AM50" s="427"/>
      <c r="AN50" s="427"/>
      <c r="AO50" s="384"/>
      <c r="AP50" s="557"/>
      <c r="AQ50" s="423"/>
      <c r="AR50" s="423"/>
      <c r="AS50" s="373"/>
      <c r="AT50" s="423"/>
      <c r="AU50" s="423"/>
      <c r="AV50" s="429"/>
      <c r="AW50" s="423"/>
      <c r="AX50" s="430"/>
      <c r="AY50" s="430"/>
      <c r="AZ50" s="411"/>
      <c r="BA50" s="411"/>
    </row>
    <row r="51" spans="1:53" ht="15">
      <c r="A51" s="373"/>
      <c r="B51" s="408"/>
      <c r="C51" s="554"/>
      <c r="D51" s="416"/>
      <c r="E51" s="398"/>
      <c r="F51" s="398"/>
      <c r="G51" s="398"/>
      <c r="H51" s="416"/>
      <c r="I51" s="417"/>
      <c r="J51" s="372"/>
      <c r="K51" s="418"/>
      <c r="L51" s="418"/>
      <c r="M51" s="416"/>
      <c r="N51" s="555"/>
      <c r="O51" s="416"/>
      <c r="P51" s="421"/>
      <c r="Q51" s="422"/>
      <c r="R51" s="423"/>
      <c r="S51" s="373"/>
      <c r="T51" s="392"/>
      <c r="U51" s="373"/>
      <c r="V51" s="392"/>
      <c r="W51" s="373"/>
      <c r="X51" s="373"/>
      <c r="Y51" s="412"/>
      <c r="Z51" s="373"/>
      <c r="AA51" s="412"/>
      <c r="AB51" s="373"/>
      <c r="AC51" s="412"/>
      <c r="AD51" s="425"/>
      <c r="AE51" s="423"/>
      <c r="AF51" s="407"/>
      <c r="AG51" s="382"/>
      <c r="AH51" s="382"/>
      <c r="AI51" s="382"/>
      <c r="AJ51" s="382"/>
      <c r="AK51" s="556"/>
      <c r="AL51" s="384"/>
      <c r="AM51" s="427"/>
      <c r="AN51" s="427"/>
      <c r="AO51" s="384"/>
      <c r="AP51" s="557"/>
      <c r="AQ51" s="423"/>
      <c r="AR51" s="423"/>
      <c r="AS51" s="373"/>
      <c r="AT51" s="423"/>
      <c r="AU51" s="423"/>
      <c r="AV51" s="429"/>
      <c r="AW51" s="423"/>
      <c r="AX51" s="430"/>
      <c r="AY51" s="430"/>
      <c r="AZ51" s="411"/>
      <c r="BA51" s="411"/>
    </row>
    <row r="52" spans="1:53" ht="15">
      <c r="A52" s="373"/>
      <c r="B52" s="408"/>
      <c r="C52" s="574"/>
      <c r="D52" s="574"/>
      <c r="E52" s="574"/>
      <c r="F52" s="398"/>
      <c r="G52" s="398"/>
      <c r="H52" s="416"/>
      <c r="I52" s="417"/>
      <c r="J52" s="372"/>
      <c r="K52" s="418"/>
      <c r="L52" s="418"/>
      <c r="M52" s="416"/>
      <c r="N52" s="555"/>
      <c r="O52" s="416"/>
      <c r="P52" s="421"/>
      <c r="Q52" s="422"/>
      <c r="R52" s="423"/>
      <c r="S52" s="373"/>
      <c r="T52" s="392"/>
      <c r="U52" s="384"/>
      <c r="V52" s="392"/>
      <c r="W52" s="373"/>
      <c r="X52" s="384"/>
      <c r="Y52" s="412"/>
      <c r="Z52" s="373"/>
      <c r="AA52" s="412"/>
      <c r="AB52" s="373"/>
      <c r="AC52" s="412"/>
      <c r="AD52" s="373"/>
      <c r="AE52" s="423"/>
      <c r="AF52" s="407"/>
      <c r="AG52" s="382"/>
      <c r="AH52" s="382"/>
      <c r="AI52" s="382"/>
      <c r="AJ52" s="382"/>
      <c r="AK52" s="556"/>
      <c r="AL52" s="384"/>
      <c r="AM52" s="427"/>
      <c r="AN52" s="427"/>
      <c r="AO52" s="384"/>
      <c r="AP52" s="557"/>
      <c r="AQ52" s="423"/>
      <c r="AR52" s="423"/>
      <c r="AS52" s="373"/>
      <c r="AT52" s="423"/>
      <c r="AU52" s="575"/>
      <c r="AV52" s="429"/>
      <c r="AW52" s="423"/>
      <c r="AX52" s="434"/>
      <c r="AY52" s="430"/>
      <c r="AZ52" s="411"/>
      <c r="BA52" s="411"/>
    </row>
    <row r="53" spans="1:53" ht="15">
      <c r="A53" s="373"/>
      <c r="B53" s="408"/>
      <c r="C53" s="554"/>
      <c r="D53" s="416"/>
      <c r="E53" s="565"/>
      <c r="F53" s="398"/>
      <c r="G53" s="565"/>
      <c r="H53" s="566"/>
      <c r="I53" s="417"/>
      <c r="J53" s="372"/>
      <c r="K53" s="418"/>
      <c r="L53" s="418"/>
      <c r="M53" s="416"/>
      <c r="N53" s="555"/>
      <c r="O53" s="416"/>
      <c r="P53" s="421"/>
      <c r="Q53" s="422"/>
      <c r="R53" s="423"/>
      <c r="S53" s="373"/>
      <c r="T53" s="392"/>
      <c r="U53" s="384"/>
      <c r="V53" s="392"/>
      <c r="W53" s="373"/>
      <c r="X53" s="373"/>
      <c r="Y53" s="412"/>
      <c r="Z53" s="373"/>
      <c r="AA53" s="373"/>
      <c r="AB53" s="373"/>
      <c r="AC53" s="412"/>
      <c r="AD53" s="373"/>
      <c r="AE53" s="423"/>
      <c r="AF53" s="407"/>
      <c r="AG53" s="559"/>
      <c r="AH53" s="559"/>
      <c r="AI53" s="559"/>
      <c r="AJ53" s="559"/>
      <c r="AK53" s="556"/>
      <c r="AL53" s="384"/>
      <c r="AM53" s="427"/>
      <c r="AN53" s="427"/>
      <c r="AO53" s="384"/>
      <c r="AP53" s="557"/>
      <c r="AQ53" s="423"/>
      <c r="AR53" s="423"/>
      <c r="AS53" s="373"/>
      <c r="AT53" s="423"/>
      <c r="AU53" s="423"/>
      <c r="AV53" s="429"/>
      <c r="AW53" s="423"/>
      <c r="AX53" s="430"/>
      <c r="AY53" s="430"/>
      <c r="AZ53" s="411"/>
      <c r="BA53" s="411"/>
    </row>
    <row r="54" spans="1:53" ht="15">
      <c r="A54" s="373"/>
      <c r="B54" s="408"/>
      <c r="C54" s="554"/>
      <c r="D54" s="416"/>
      <c r="E54" s="398"/>
      <c r="F54" s="398"/>
      <c r="G54" s="398"/>
      <c r="H54" s="416"/>
      <c r="I54" s="417"/>
      <c r="J54" s="372"/>
      <c r="K54" s="418"/>
      <c r="L54" s="418"/>
      <c r="M54" s="416"/>
      <c r="N54" s="555"/>
      <c r="O54" s="416"/>
      <c r="P54" s="421"/>
      <c r="Q54" s="422"/>
      <c r="R54" s="423"/>
      <c r="S54" s="373"/>
      <c r="T54" s="392"/>
      <c r="U54" s="373"/>
      <c r="V54" s="392"/>
      <c r="W54" s="373"/>
      <c r="X54" s="373"/>
      <c r="Y54" s="412"/>
      <c r="Z54" s="373"/>
      <c r="AA54" s="412"/>
      <c r="AB54" s="373"/>
      <c r="AC54" s="412"/>
      <c r="AD54" s="382"/>
      <c r="AE54" s="423"/>
      <c r="AF54" s="407"/>
      <c r="AG54" s="559"/>
      <c r="AH54" s="559"/>
      <c r="AI54" s="559"/>
      <c r="AJ54" s="559"/>
      <c r="AK54" s="556"/>
      <c r="AL54" s="384"/>
      <c r="AM54" s="427"/>
      <c r="AN54" s="427"/>
      <c r="AO54" s="384"/>
      <c r="AP54" s="576"/>
      <c r="AQ54" s="423"/>
      <c r="AR54" s="423"/>
      <c r="AS54" s="373"/>
      <c r="AT54" s="423"/>
      <c r="AU54" s="423"/>
      <c r="AV54" s="429"/>
      <c r="AW54" s="423"/>
      <c r="AX54" s="430"/>
      <c r="AY54" s="430"/>
      <c r="AZ54" s="411"/>
      <c r="BA54" s="411"/>
    </row>
    <row r="55" spans="1:53" ht="15">
      <c r="A55" s="373"/>
      <c r="B55" s="408"/>
      <c r="C55" s="415"/>
      <c r="D55" s="373"/>
      <c r="E55" s="398"/>
      <c r="F55" s="398"/>
      <c r="G55" s="373"/>
      <c r="H55" s="416"/>
      <c r="I55" s="417"/>
      <c r="J55" s="372"/>
      <c r="K55" s="418"/>
      <c r="L55" s="419"/>
      <c r="M55" s="569"/>
      <c r="N55" s="555"/>
      <c r="O55" s="373"/>
      <c r="P55" s="421"/>
      <c r="Q55" s="422"/>
      <c r="R55" s="423"/>
      <c r="S55" s="373"/>
      <c r="T55" s="392"/>
      <c r="U55" s="384"/>
      <c r="V55" s="392"/>
      <c r="W55" s="373"/>
      <c r="X55" s="384"/>
      <c r="Y55" s="412"/>
      <c r="Z55" s="384"/>
      <c r="AA55" s="412"/>
      <c r="AB55" s="384"/>
      <c r="AC55" s="412"/>
      <c r="AD55" s="373"/>
      <c r="AE55" s="423"/>
      <c r="AF55" s="407"/>
      <c r="AG55" s="382"/>
      <c r="AH55" s="382"/>
      <c r="AI55" s="382"/>
      <c r="AJ55" s="382"/>
      <c r="AK55" s="556"/>
      <c r="AL55" s="384"/>
      <c r="AM55" s="427"/>
      <c r="AN55" s="427"/>
      <c r="AO55" s="384"/>
      <c r="AP55" s="557"/>
      <c r="AQ55" s="423"/>
      <c r="AR55" s="423"/>
      <c r="AS55" s="373"/>
      <c r="AT55" s="423"/>
      <c r="AU55" s="423"/>
      <c r="AV55" s="429"/>
      <c r="AW55" s="423"/>
      <c r="AX55" s="430"/>
      <c r="AY55" s="430"/>
      <c r="AZ55" s="411"/>
      <c r="BA55" s="411"/>
    </row>
    <row r="56" spans="1:53" ht="15">
      <c r="A56" s="373"/>
      <c r="B56" s="408"/>
      <c r="C56" s="554"/>
      <c r="D56" s="416"/>
      <c r="E56" s="398"/>
      <c r="F56" s="398"/>
      <c r="G56" s="398"/>
      <c r="H56" s="416"/>
      <c r="I56" s="417"/>
      <c r="J56" s="555"/>
      <c r="K56" s="570"/>
      <c r="L56" s="571"/>
      <c r="M56" s="420"/>
      <c r="N56" s="564"/>
      <c r="O56" s="564"/>
      <c r="P56" s="421"/>
      <c r="Q56" s="422"/>
      <c r="R56" s="423"/>
      <c r="S56" s="373"/>
      <c r="T56" s="392"/>
      <c r="U56" s="373"/>
      <c r="V56" s="392"/>
      <c r="W56" s="373"/>
      <c r="X56" s="373"/>
      <c r="Y56" s="412"/>
      <c r="Z56" s="373"/>
      <c r="AA56" s="392"/>
      <c r="AB56" s="373"/>
      <c r="AC56" s="392"/>
      <c r="AD56" s="425"/>
      <c r="AE56" s="423"/>
      <c r="AF56" s="407"/>
      <c r="AG56" s="382"/>
      <c r="AH56" s="382"/>
      <c r="AI56" s="382"/>
      <c r="AJ56" s="382"/>
      <c r="AK56" s="556"/>
      <c r="AL56" s="384"/>
      <c r="AM56" s="427"/>
      <c r="AN56" s="427"/>
      <c r="AO56" s="384"/>
      <c r="AP56" s="557"/>
      <c r="AQ56" s="423"/>
      <c r="AR56" s="423"/>
      <c r="AS56" s="373"/>
      <c r="AT56" s="423"/>
      <c r="AU56" s="423"/>
      <c r="AV56" s="429"/>
      <c r="AW56" s="423"/>
      <c r="AX56" s="430"/>
      <c r="AY56" s="430"/>
      <c r="AZ56" s="411"/>
      <c r="BA56" s="411"/>
    </row>
    <row r="57" spans="1:53" ht="15">
      <c r="A57" s="373"/>
      <c r="B57" s="577"/>
      <c r="C57" s="415"/>
      <c r="D57" s="407"/>
      <c r="E57" s="393"/>
      <c r="F57" s="398"/>
      <c r="G57" s="407"/>
      <c r="H57" s="407"/>
      <c r="I57" s="415"/>
      <c r="J57" s="372"/>
      <c r="K57" s="418"/>
      <c r="L57" s="435"/>
      <c r="M57" s="407"/>
      <c r="N57" s="564"/>
      <c r="O57" s="407"/>
      <c r="P57" s="421"/>
      <c r="Q57" s="422"/>
      <c r="R57" s="423"/>
      <c r="S57" s="407"/>
      <c r="T57" s="392"/>
      <c r="U57" s="407"/>
      <c r="V57" s="392"/>
      <c r="W57" s="373"/>
      <c r="X57" s="373"/>
      <c r="Y57" s="412"/>
      <c r="Z57" s="373"/>
      <c r="AA57" s="412"/>
      <c r="AB57" s="373"/>
      <c r="AC57" s="412"/>
      <c r="AD57" s="373"/>
      <c r="AE57" s="423"/>
      <c r="AF57" s="407"/>
      <c r="AG57" s="578"/>
      <c r="AH57" s="578"/>
      <c r="AI57" s="578"/>
      <c r="AJ57" s="578"/>
      <c r="AK57" s="578"/>
      <c r="AL57" s="438"/>
      <c r="AM57" s="439"/>
      <c r="AN57" s="427"/>
      <c r="AO57" s="438"/>
      <c r="AP57" s="576"/>
      <c r="AQ57" s="423"/>
      <c r="AR57" s="423"/>
      <c r="AS57" s="384"/>
      <c r="AT57" s="423"/>
      <c r="AU57" s="579"/>
      <c r="AV57" s="429"/>
      <c r="AW57" s="423"/>
      <c r="AX57" s="430"/>
      <c r="AY57" s="430"/>
      <c r="AZ57" s="411"/>
      <c r="BA57" s="411"/>
    </row>
    <row r="58" spans="1:53" ht="15">
      <c r="A58" s="373"/>
      <c r="B58" s="580"/>
      <c r="C58" s="554"/>
      <c r="D58" s="416"/>
      <c r="E58" s="398"/>
      <c r="F58" s="398"/>
      <c r="G58" s="398"/>
      <c r="H58" s="412"/>
      <c r="I58" s="417"/>
      <c r="J58" s="555"/>
      <c r="K58" s="570"/>
      <c r="L58" s="571"/>
      <c r="M58" s="420"/>
      <c r="N58" s="564"/>
      <c r="O58" s="420"/>
      <c r="P58" s="421"/>
      <c r="Q58" s="422"/>
      <c r="R58" s="423"/>
      <c r="S58" s="407"/>
      <c r="T58" s="392"/>
      <c r="U58" s="407"/>
      <c r="V58" s="392"/>
      <c r="W58" s="373"/>
      <c r="X58" s="373"/>
      <c r="Y58" s="412"/>
      <c r="Z58" s="373"/>
      <c r="AA58" s="412"/>
      <c r="AB58" s="373"/>
      <c r="AC58" s="412"/>
      <c r="AD58" s="373"/>
      <c r="AE58" s="423"/>
      <c r="AF58" s="407"/>
      <c r="AG58" s="382"/>
      <c r="AH58" s="382"/>
      <c r="AI58" s="382"/>
      <c r="AJ58" s="382"/>
      <c r="AK58" s="556"/>
      <c r="AL58" s="384"/>
      <c r="AM58" s="427"/>
      <c r="AN58" s="427"/>
      <c r="AO58" s="384"/>
      <c r="AP58" s="444"/>
      <c r="AQ58" s="423"/>
      <c r="AR58" s="423"/>
      <c r="AS58" s="373"/>
      <c r="AT58" s="423"/>
      <c r="AU58" s="423"/>
      <c r="AV58" s="429"/>
      <c r="AW58" s="423"/>
      <c r="AX58" s="430"/>
      <c r="AY58" s="430"/>
      <c r="AZ58" s="411"/>
      <c r="BA58" s="411"/>
    </row>
    <row r="59" spans="5:53" ht="15">
      <c r="E59" s="565"/>
      <c r="F59" s="398"/>
      <c r="I59" s="417"/>
      <c r="N59" s="564"/>
      <c r="P59" s="421"/>
      <c r="Q59" s="422"/>
      <c r="R59" s="423"/>
      <c r="AB59" s="373"/>
      <c r="AE59" s="423"/>
      <c r="AP59" s="557"/>
      <c r="AV59" s="429"/>
      <c r="AW59" s="423"/>
      <c r="AX59" s="430"/>
      <c r="AY59" s="430"/>
      <c r="BA59" s="411"/>
    </row>
    <row r="60" spans="9:16" ht="15">
      <c r="I60" s="373"/>
      <c r="P60" s="421"/>
    </row>
    <row r="61" spans="1:53" ht="15">
      <c r="A61" s="373"/>
      <c r="E61" s="398"/>
      <c r="F61" s="398"/>
      <c r="I61" s="417"/>
      <c r="N61" s="564"/>
      <c r="P61" s="421"/>
      <c r="Q61" s="422"/>
      <c r="R61" s="423"/>
      <c r="Z61" s="373"/>
      <c r="AB61" s="373"/>
      <c r="AD61" s="425"/>
      <c r="AE61" s="423"/>
      <c r="AP61" s="557"/>
      <c r="AV61" s="429"/>
      <c r="AW61" s="423"/>
      <c r="AX61" s="430"/>
      <c r="AY61" s="430"/>
      <c r="BA61" s="411"/>
    </row>
    <row r="62" spans="1:53" ht="15">
      <c r="A62" s="373"/>
      <c r="F62" s="398"/>
      <c r="I62" s="415"/>
      <c r="N62" s="564"/>
      <c r="P62" s="421"/>
      <c r="Q62" s="422"/>
      <c r="R62" s="423"/>
      <c r="S62" s="373"/>
      <c r="U62" s="384"/>
      <c r="X62" s="384"/>
      <c r="Z62" s="384"/>
      <c r="AB62" s="384"/>
      <c r="AD62" s="373"/>
      <c r="AE62" s="423"/>
      <c r="AP62" s="557"/>
      <c r="AV62" s="429"/>
      <c r="AW62" s="423"/>
      <c r="AX62" s="430"/>
      <c r="AY62" s="430"/>
      <c r="BA62" s="411"/>
    </row>
    <row r="63" spans="1:53" ht="15">
      <c r="A63" s="373"/>
      <c r="F63" s="398"/>
      <c r="I63" s="415"/>
      <c r="N63" s="564"/>
      <c r="P63" s="421"/>
      <c r="Q63" s="422"/>
      <c r="R63" s="423"/>
      <c r="S63" s="373"/>
      <c r="U63" s="384"/>
      <c r="X63" s="384"/>
      <c r="Z63" s="384"/>
      <c r="AB63" s="384"/>
      <c r="AD63" s="373"/>
      <c r="AE63" s="423"/>
      <c r="AP63" s="557"/>
      <c r="AV63" s="429"/>
      <c r="AW63" s="423"/>
      <c r="AX63" s="430"/>
      <c r="AY63" s="430"/>
      <c r="BA63" s="411"/>
    </row>
    <row r="64" spans="1:53" ht="15">
      <c r="A64" s="373"/>
      <c r="F64" s="398"/>
      <c r="I64" s="415"/>
      <c r="N64" s="564"/>
      <c r="P64" s="421"/>
      <c r="Q64" s="422"/>
      <c r="R64" s="423"/>
      <c r="S64" s="373"/>
      <c r="U64" s="373"/>
      <c r="Z64" s="373"/>
      <c r="AB64" s="373"/>
      <c r="AD64" s="425"/>
      <c r="AE64" s="423"/>
      <c r="AV64" s="429"/>
      <c r="AW64" s="423"/>
      <c r="AX64" s="430"/>
      <c r="AY64" s="430"/>
      <c r="BA64" s="411"/>
    </row>
    <row r="65" ht="15">
      <c r="I65" s="373"/>
    </row>
    <row r="66" spans="1:42" ht="14.25">
      <c r="A66" s="581"/>
      <c r="B66" s="384"/>
      <c r="C66" s="245"/>
      <c r="F66" s="398"/>
      <c r="I66" s="373"/>
      <c r="J66" s="582"/>
      <c r="L66" s="583"/>
      <c r="M66" s="584"/>
      <c r="N66" s="420"/>
      <c r="AP66" s="582"/>
    </row>
    <row r="67" spans="1:42" ht="14.25">
      <c r="A67" s="424"/>
      <c r="B67" s="384"/>
      <c r="C67" s="245"/>
      <c r="F67" s="408"/>
      <c r="I67" s="373"/>
      <c r="J67" s="582"/>
      <c r="L67" s="583"/>
      <c r="N67" s="420"/>
      <c r="AP67" s="582"/>
    </row>
    <row r="68" spans="1:42" ht="14.25">
      <c r="A68" s="581"/>
      <c r="B68" s="384"/>
      <c r="C68" s="245"/>
      <c r="F68" s="408"/>
      <c r="I68" s="373"/>
      <c r="J68" s="582"/>
      <c r="L68" s="583"/>
      <c r="N68" s="420"/>
      <c r="AP68" s="582"/>
    </row>
    <row r="69" spans="1:50" ht="14.25">
      <c r="A69" s="424"/>
      <c r="B69" s="384"/>
      <c r="C69" s="245"/>
      <c r="F69" s="408"/>
      <c r="I69" s="373"/>
      <c r="J69" s="582"/>
      <c r="L69" s="583"/>
      <c r="N69" s="420"/>
      <c r="AP69" s="582"/>
      <c r="AX69" s="585"/>
    </row>
    <row r="70" spans="1:50" ht="14.25">
      <c r="A70" s="581"/>
      <c r="B70" s="384"/>
      <c r="C70" s="245"/>
      <c r="F70" s="408"/>
      <c r="I70" s="373"/>
      <c r="J70" s="582"/>
      <c r="L70" s="583"/>
      <c r="N70" s="420"/>
      <c r="AP70" s="582"/>
      <c r="AX70" s="585"/>
    </row>
    <row r="71" spans="1:42" ht="14.25">
      <c r="A71" s="424"/>
      <c r="B71" s="384"/>
      <c r="C71" s="245"/>
      <c r="F71" s="408"/>
      <c r="I71" s="373"/>
      <c r="J71" s="582"/>
      <c r="L71" s="583"/>
      <c r="N71" s="420"/>
      <c r="AP71" s="582"/>
    </row>
    <row r="72" spans="1:50" ht="14.25">
      <c r="A72" s="581"/>
      <c r="B72" s="384"/>
      <c r="C72" s="245"/>
      <c r="F72" s="408"/>
      <c r="I72" s="373"/>
      <c r="J72" s="582"/>
      <c r="L72" s="583"/>
      <c r="N72" s="420"/>
      <c r="AP72" s="582"/>
      <c r="AX72" s="585"/>
    </row>
    <row r="73" spans="1:42" ht="14.25">
      <c r="A73" s="424"/>
      <c r="B73" s="384"/>
      <c r="C73" s="245"/>
      <c r="F73" s="408"/>
      <c r="I73" s="373"/>
      <c r="J73" s="582"/>
      <c r="L73" s="583"/>
      <c r="N73" s="420"/>
      <c r="AP73" s="582"/>
    </row>
    <row r="74" spans="1:42" ht="14.25">
      <c r="A74" s="581"/>
      <c r="B74" s="384"/>
      <c r="C74" s="245"/>
      <c r="F74" s="408"/>
      <c r="I74" s="373"/>
      <c r="J74" s="582"/>
      <c r="L74" s="583"/>
      <c r="N74" s="420"/>
      <c r="AP74" s="582"/>
    </row>
    <row r="75" spans="1:42" ht="14.25">
      <c r="A75" s="424"/>
      <c r="B75" s="384"/>
      <c r="C75" s="245"/>
      <c r="F75" s="408"/>
      <c r="I75" s="373"/>
      <c r="J75" s="582"/>
      <c r="L75" s="583"/>
      <c r="N75" s="420"/>
      <c r="AP75" s="582"/>
    </row>
    <row r="76" spans="1:42" ht="14.25">
      <c r="A76" s="581"/>
      <c r="B76" s="384"/>
      <c r="C76" s="245"/>
      <c r="F76" s="408"/>
      <c r="I76" s="373"/>
      <c r="J76" s="582"/>
      <c r="L76" s="583"/>
      <c r="N76" s="420"/>
      <c r="AP76" s="557"/>
    </row>
    <row r="77" spans="1:42" ht="14.25">
      <c r="A77" s="424"/>
      <c r="B77" s="384"/>
      <c r="C77" s="245"/>
      <c r="F77" s="408"/>
      <c r="I77" s="373"/>
      <c r="J77" s="582"/>
      <c r="L77" s="583"/>
      <c r="N77" s="420"/>
      <c r="AP77" s="557"/>
    </row>
    <row r="78" spans="1:42" ht="14.25">
      <c r="A78" s="581"/>
      <c r="B78" s="384"/>
      <c r="C78" s="245"/>
      <c r="F78" s="408"/>
      <c r="I78" s="373"/>
      <c r="J78" s="582"/>
      <c r="L78" s="583"/>
      <c r="N78" s="420"/>
      <c r="AP78" s="582"/>
    </row>
    <row r="79" spans="1:42" ht="14.25">
      <c r="A79" s="424"/>
      <c r="B79" s="384"/>
      <c r="C79" s="245"/>
      <c r="F79" s="408"/>
      <c r="I79" s="373"/>
      <c r="J79" s="582"/>
      <c r="L79" s="583"/>
      <c r="N79" s="420"/>
      <c r="AP79" s="582"/>
    </row>
    <row r="80" spans="1:42" ht="14.25">
      <c r="A80" s="581"/>
      <c r="B80" s="384"/>
      <c r="C80" s="245"/>
      <c r="F80" s="408"/>
      <c r="I80" s="373"/>
      <c r="J80" s="582"/>
      <c r="L80" s="583"/>
      <c r="N80" s="420"/>
      <c r="AP80" s="582"/>
    </row>
    <row r="81" spans="1:42" ht="14.25">
      <c r="A81" s="424"/>
      <c r="B81" s="384"/>
      <c r="C81" s="245"/>
      <c r="F81" s="408"/>
      <c r="I81" s="373"/>
      <c r="J81" s="582"/>
      <c r="L81" s="583"/>
      <c r="N81" s="420"/>
      <c r="AP81" s="582"/>
    </row>
    <row r="82" spans="1:50" ht="14.25">
      <c r="A82" s="581"/>
      <c r="B82" s="384"/>
      <c r="C82" s="245"/>
      <c r="F82" s="408"/>
      <c r="I82" s="373"/>
      <c r="J82" s="582"/>
      <c r="L82" s="583"/>
      <c r="N82" s="420"/>
      <c r="AP82" s="582"/>
      <c r="AX82" s="585"/>
    </row>
    <row r="83" spans="1:42" ht="14.25">
      <c r="A83" s="424"/>
      <c r="B83" s="384"/>
      <c r="C83" s="245"/>
      <c r="F83" s="408"/>
      <c r="I83" s="373"/>
      <c r="J83" s="582"/>
      <c r="L83" s="583"/>
      <c r="N83" s="420"/>
      <c r="AP83" s="557"/>
    </row>
    <row r="84" spans="1:42" ht="14.25">
      <c r="A84" s="581"/>
      <c r="B84" s="384"/>
      <c r="C84" s="245"/>
      <c r="F84" s="408"/>
      <c r="I84" s="373"/>
      <c r="J84" s="582"/>
      <c r="L84" s="583"/>
      <c r="N84" s="420"/>
      <c r="AP84" s="557"/>
    </row>
    <row r="85" spans="1:42" ht="14.25">
      <c r="A85" s="424"/>
      <c r="B85" s="384"/>
      <c r="C85" s="245"/>
      <c r="F85" s="408"/>
      <c r="I85" s="373"/>
      <c r="J85" s="582"/>
      <c r="L85" s="583"/>
      <c r="N85" s="420"/>
      <c r="AP85" s="557"/>
    </row>
    <row r="86" spans="1:42" ht="14.25">
      <c r="A86" s="581"/>
      <c r="B86" s="384"/>
      <c r="C86" s="245"/>
      <c r="F86" s="408"/>
      <c r="I86" s="373"/>
      <c r="J86" s="582"/>
      <c r="L86" s="583"/>
      <c r="N86" s="420"/>
      <c r="AP86" s="582"/>
    </row>
    <row r="87" spans="1:55" ht="14.25">
      <c r="A87" s="424"/>
      <c r="B87" s="384"/>
      <c r="C87" s="373"/>
      <c r="D87" s="373"/>
      <c r="E87" s="373"/>
      <c r="F87" s="408"/>
      <c r="G87" s="373"/>
      <c r="H87" s="373"/>
      <c r="I87" s="373"/>
      <c r="J87" s="582"/>
      <c r="K87" s="418"/>
      <c r="L87" s="583"/>
      <c r="M87" s="407"/>
      <c r="N87" s="420"/>
      <c r="O87" s="373"/>
      <c r="P87" s="421"/>
      <c r="Q87" s="373"/>
      <c r="R87" s="423"/>
      <c r="S87" s="373"/>
      <c r="T87" s="392"/>
      <c r="U87" s="373"/>
      <c r="V87" s="392"/>
      <c r="W87" s="373"/>
      <c r="X87" s="373"/>
      <c r="Y87" s="412"/>
      <c r="Z87" s="373"/>
      <c r="AA87" s="412"/>
      <c r="AB87" s="373"/>
      <c r="AC87" s="412"/>
      <c r="AD87" s="373"/>
      <c r="AE87" s="407"/>
      <c r="AF87" s="407"/>
      <c r="AG87" s="382"/>
      <c r="AH87" s="382"/>
      <c r="AI87" s="382"/>
      <c r="AJ87" s="373"/>
      <c r="AK87" s="384"/>
      <c r="AL87" s="384"/>
      <c r="AM87" s="424"/>
      <c r="AN87" s="427"/>
      <c r="AO87" s="384"/>
      <c r="AP87" s="582"/>
      <c r="AQ87" s="423"/>
      <c r="AR87" s="423"/>
      <c r="AS87" s="373"/>
      <c r="AT87" s="423"/>
      <c r="AU87" s="423"/>
      <c r="AV87" s="423"/>
      <c r="AX87" s="423"/>
      <c r="AY87" s="423"/>
      <c r="BA87" s="411"/>
      <c r="BB87" s="424"/>
      <c r="BC87" s="373"/>
    </row>
    <row r="88" spans="1:53" ht="14.25">
      <c r="A88" s="581"/>
      <c r="B88" s="384"/>
      <c r="C88" s="373"/>
      <c r="D88" s="373"/>
      <c r="E88" s="373"/>
      <c r="F88" s="408"/>
      <c r="G88" s="373"/>
      <c r="H88" s="373"/>
      <c r="I88" s="373"/>
      <c r="J88" s="582"/>
      <c r="K88" s="418"/>
      <c r="L88" s="583"/>
      <c r="M88" s="407"/>
      <c r="N88" s="420"/>
      <c r="O88" s="373"/>
      <c r="P88" s="421"/>
      <c r="Q88" s="373"/>
      <c r="R88" s="423"/>
      <c r="S88" s="373"/>
      <c r="T88" s="392"/>
      <c r="U88" s="373"/>
      <c r="V88" s="392"/>
      <c r="W88" s="373"/>
      <c r="X88" s="373"/>
      <c r="Y88" s="412"/>
      <c r="Z88" s="373"/>
      <c r="AA88" s="412"/>
      <c r="AB88" s="373"/>
      <c r="AC88" s="412"/>
      <c r="AD88" s="373"/>
      <c r="AF88" s="407"/>
      <c r="AG88" s="382"/>
      <c r="AH88" s="382"/>
      <c r="AI88" s="382"/>
      <c r="AJ88" s="373"/>
      <c r="AK88" s="384"/>
      <c r="AL88" s="384"/>
      <c r="AM88" s="424"/>
      <c r="AN88" s="427"/>
      <c r="AO88" s="384"/>
      <c r="AP88" s="582"/>
      <c r="AQ88" s="423"/>
      <c r="AR88" s="423"/>
      <c r="AS88" s="373"/>
      <c r="AT88" s="423"/>
      <c r="AU88" s="423"/>
      <c r="AV88" s="423"/>
      <c r="AX88" s="423"/>
      <c r="AY88" s="423"/>
      <c r="BA88" s="411"/>
    </row>
    <row r="89" spans="1:42" ht="14.25">
      <c r="A89" s="424"/>
      <c r="B89" s="384"/>
      <c r="C89" s="245"/>
      <c r="F89" s="408"/>
      <c r="I89" s="373"/>
      <c r="J89" s="582"/>
      <c r="L89" s="583"/>
      <c r="N89" s="420"/>
      <c r="AP89" s="582"/>
    </row>
    <row r="90" spans="1:50" ht="14.25">
      <c r="A90" s="581"/>
      <c r="B90" s="384"/>
      <c r="C90" s="245"/>
      <c r="F90" s="408"/>
      <c r="I90" s="373"/>
      <c r="J90" s="582"/>
      <c r="L90" s="583"/>
      <c r="N90" s="420"/>
      <c r="AP90" s="582"/>
      <c r="AX90" s="585"/>
    </row>
    <row r="91" spans="1:50" ht="14.25">
      <c r="A91" s="424"/>
      <c r="B91" s="384"/>
      <c r="C91" s="245"/>
      <c r="F91" s="408"/>
      <c r="I91" s="373"/>
      <c r="J91" s="582"/>
      <c r="L91" s="583"/>
      <c r="N91" s="420"/>
      <c r="AP91" s="582"/>
      <c r="AX91" s="585"/>
    </row>
    <row r="92" spans="1:50" ht="14.25">
      <c r="A92" s="581"/>
      <c r="B92" s="384"/>
      <c r="C92" s="245"/>
      <c r="F92" s="408"/>
      <c r="I92" s="373"/>
      <c r="J92" s="582"/>
      <c r="L92" s="583"/>
      <c r="N92" s="420"/>
      <c r="AP92" s="582"/>
      <c r="AX92" s="585"/>
    </row>
    <row r="93" spans="1:50" ht="14.25">
      <c r="A93" s="424"/>
      <c r="B93" s="384"/>
      <c r="C93" s="245"/>
      <c r="F93" s="408"/>
      <c r="I93" s="373"/>
      <c r="J93" s="582"/>
      <c r="L93" s="583"/>
      <c r="N93" s="420"/>
      <c r="AP93" s="582"/>
      <c r="AX93" s="585"/>
    </row>
    <row r="94" spans="1:50" ht="14.25">
      <c r="A94" s="581"/>
      <c r="B94" s="384"/>
      <c r="C94" s="245"/>
      <c r="F94" s="408"/>
      <c r="I94" s="373"/>
      <c r="J94" s="582"/>
      <c r="L94" s="583"/>
      <c r="N94" s="420"/>
      <c r="AP94" s="582"/>
      <c r="AX94" s="585"/>
    </row>
    <row r="95" spans="1:42" ht="14.25">
      <c r="A95" s="424"/>
      <c r="B95" s="384"/>
      <c r="C95" s="245"/>
      <c r="F95" s="408"/>
      <c r="I95" s="373"/>
      <c r="J95" s="582"/>
      <c r="L95" s="583"/>
      <c r="N95" s="420"/>
      <c r="AP95" s="582"/>
    </row>
    <row r="96" spans="1:50" ht="14.25">
      <c r="A96" s="581"/>
      <c r="B96" s="384"/>
      <c r="C96" s="245"/>
      <c r="F96" s="408"/>
      <c r="I96" s="373"/>
      <c r="J96" s="582"/>
      <c r="L96" s="583"/>
      <c r="N96" s="420"/>
      <c r="AP96" s="582"/>
      <c r="AX96" s="585"/>
    </row>
    <row r="97" spans="1:42" ht="14.25">
      <c r="A97" s="424"/>
      <c r="B97" s="384"/>
      <c r="C97" s="245"/>
      <c r="F97" s="408"/>
      <c r="I97" s="373"/>
      <c r="J97" s="582"/>
      <c r="L97" s="583"/>
      <c r="N97" s="420"/>
      <c r="AP97" s="582"/>
    </row>
    <row r="98" spans="1:42" ht="14.25">
      <c r="A98" s="581"/>
      <c r="B98" s="384"/>
      <c r="C98" s="245"/>
      <c r="F98" s="408"/>
      <c r="I98" s="373"/>
      <c r="J98" s="582"/>
      <c r="L98" s="583"/>
      <c r="N98" s="420"/>
      <c r="AP98" s="582"/>
    </row>
    <row r="99" spans="1:55" ht="14.25">
      <c r="A99" s="424"/>
      <c r="B99" s="384"/>
      <c r="C99" s="245"/>
      <c r="F99" s="408"/>
      <c r="I99" s="373"/>
      <c r="J99" s="582"/>
      <c r="L99" s="583"/>
      <c r="N99" s="420"/>
      <c r="AP99" s="582"/>
      <c r="BB99" s="424"/>
      <c r="BC99" s="373"/>
    </row>
    <row r="100" spans="1:55" ht="14.25">
      <c r="A100" s="581"/>
      <c r="B100" s="384"/>
      <c r="C100" s="245"/>
      <c r="F100" s="408"/>
      <c r="I100" s="373"/>
      <c r="J100" s="582"/>
      <c r="L100" s="583"/>
      <c r="N100" s="420"/>
      <c r="AP100" s="582"/>
      <c r="BB100" s="424"/>
      <c r="BC100" s="373"/>
    </row>
    <row r="101" spans="1:55" ht="14.25">
      <c r="A101" s="424"/>
      <c r="B101" s="384"/>
      <c r="C101" s="245"/>
      <c r="F101" s="408"/>
      <c r="I101" s="373"/>
      <c r="J101" s="582"/>
      <c r="L101" s="583"/>
      <c r="N101" s="420"/>
      <c r="AP101" s="582"/>
      <c r="BB101" s="424"/>
      <c r="BC101" s="373"/>
    </row>
    <row r="102" spans="1:42" ht="14.25">
      <c r="A102" s="581"/>
      <c r="B102" s="384"/>
      <c r="C102" s="245"/>
      <c r="F102" s="408"/>
      <c r="I102" s="373"/>
      <c r="J102" s="582"/>
      <c r="L102" s="583"/>
      <c r="N102" s="420"/>
      <c r="AP102" s="582"/>
    </row>
    <row r="103" spans="1:42" ht="14.25">
      <c r="A103" s="424"/>
      <c r="B103" s="384"/>
      <c r="C103" s="245"/>
      <c r="F103" s="408"/>
      <c r="I103" s="373"/>
      <c r="J103" s="582"/>
      <c r="L103" s="583"/>
      <c r="N103" s="420"/>
      <c r="AP103" s="582"/>
    </row>
    <row r="104" spans="1:42" ht="14.25">
      <c r="A104" s="581"/>
      <c r="B104" s="384"/>
      <c r="C104" s="245"/>
      <c r="F104" s="408"/>
      <c r="I104" s="373"/>
      <c r="J104" s="582"/>
      <c r="L104" s="583"/>
      <c r="N104" s="420"/>
      <c r="AP104" s="582"/>
    </row>
    <row r="105" spans="1:50" ht="14.25">
      <c r="A105" s="424"/>
      <c r="B105" s="384"/>
      <c r="C105" s="245"/>
      <c r="F105" s="408"/>
      <c r="I105" s="373"/>
      <c r="J105" s="582"/>
      <c r="L105" s="583"/>
      <c r="N105" s="420"/>
      <c r="AP105" s="582"/>
      <c r="AX105" s="585"/>
    </row>
    <row r="106" spans="1:50" ht="14.25">
      <c r="A106" s="581"/>
      <c r="B106" s="384"/>
      <c r="C106" s="245"/>
      <c r="F106" s="408"/>
      <c r="I106" s="373"/>
      <c r="J106" s="582"/>
      <c r="L106" s="583"/>
      <c r="N106" s="420"/>
      <c r="AP106" s="582"/>
      <c r="AX106" s="585"/>
    </row>
    <row r="107" spans="1:42" ht="14.25">
      <c r="A107" s="424"/>
      <c r="B107" s="384"/>
      <c r="C107" s="245"/>
      <c r="F107" s="408"/>
      <c r="I107" s="373"/>
      <c r="J107" s="582"/>
      <c r="L107" s="583"/>
      <c r="N107" s="420"/>
      <c r="AP107" s="582"/>
    </row>
    <row r="108" spans="1:55" ht="14.25">
      <c r="A108" s="581"/>
      <c r="B108" s="384"/>
      <c r="C108" s="245"/>
      <c r="F108" s="408"/>
      <c r="J108" s="582"/>
      <c r="L108" s="583"/>
      <c r="N108" s="420"/>
      <c r="AP108" s="582"/>
      <c r="BB108" s="424"/>
      <c r="BC108" s="373"/>
    </row>
    <row r="109" spans="1:42" ht="14.25">
      <c r="A109" s="424"/>
      <c r="B109" s="384"/>
      <c r="C109" s="245"/>
      <c r="F109" s="408"/>
      <c r="J109" s="582"/>
      <c r="L109" s="583"/>
      <c r="N109" s="420"/>
      <c r="AP109" s="582"/>
    </row>
    <row r="110" spans="1:50" ht="14.25">
      <c r="A110" s="581"/>
      <c r="B110" s="384"/>
      <c r="C110" s="245"/>
      <c r="F110" s="408"/>
      <c r="J110" s="582"/>
      <c r="L110" s="583"/>
      <c r="N110" s="420"/>
      <c r="AP110" s="582"/>
      <c r="AX110" s="585"/>
    </row>
    <row r="111" spans="1:42" ht="14.25">
      <c r="A111" s="424"/>
      <c r="B111" s="384"/>
      <c r="C111" s="245"/>
      <c r="F111" s="408"/>
      <c r="J111" s="582"/>
      <c r="L111" s="583"/>
      <c r="N111" s="420"/>
      <c r="AP111" s="582"/>
    </row>
    <row r="112" spans="1:50" ht="14.25">
      <c r="A112" s="581"/>
      <c r="B112" s="384"/>
      <c r="C112" s="245"/>
      <c r="F112" s="408"/>
      <c r="J112" s="582"/>
      <c r="L112" s="583"/>
      <c r="N112" s="420"/>
      <c r="AP112" s="582"/>
      <c r="AX112" s="585"/>
    </row>
    <row r="113" spans="1:55" ht="14.25">
      <c r="A113" s="424"/>
      <c r="B113" s="384"/>
      <c r="C113" s="245"/>
      <c r="F113" s="408"/>
      <c r="J113" s="582"/>
      <c r="L113" s="583"/>
      <c r="N113" s="420"/>
      <c r="AP113" s="582"/>
      <c r="BB113" s="424"/>
      <c r="BC113" s="373"/>
    </row>
    <row r="114" spans="1:55" ht="14.25">
      <c r="A114" s="581"/>
      <c r="B114" s="384"/>
      <c r="C114" s="245"/>
      <c r="F114" s="408"/>
      <c r="J114" s="582"/>
      <c r="L114" s="583"/>
      <c r="N114" s="420"/>
      <c r="AP114" s="582"/>
      <c r="AX114" s="585"/>
      <c r="BB114" s="424"/>
      <c r="BC114" s="424"/>
    </row>
    <row r="115" spans="1:50" ht="14.25">
      <c r="A115" s="424"/>
      <c r="B115" s="384"/>
      <c r="C115" s="245"/>
      <c r="F115" s="408"/>
      <c r="J115" s="582"/>
      <c r="L115" s="583"/>
      <c r="N115" s="420"/>
      <c r="AP115" s="582"/>
      <c r="AX115" s="585"/>
    </row>
    <row r="116" spans="1:42" ht="14.25">
      <c r="A116" s="581"/>
      <c r="B116" s="384"/>
      <c r="C116" s="245"/>
      <c r="F116" s="408"/>
      <c r="J116" s="582"/>
      <c r="L116" s="583"/>
      <c r="N116" s="420"/>
      <c r="AP116" s="557"/>
    </row>
    <row r="117" spans="1:42" ht="14.25">
      <c r="A117" s="424"/>
      <c r="B117" s="384"/>
      <c r="C117" s="245"/>
      <c r="F117" s="408"/>
      <c r="J117" s="582"/>
      <c r="L117" s="583"/>
      <c r="N117" s="420"/>
      <c r="R117" s="423"/>
      <c r="AP117" s="557"/>
    </row>
    <row r="118" spans="1:42" ht="14.25">
      <c r="A118" s="581"/>
      <c r="B118" s="384"/>
      <c r="C118" s="245"/>
      <c r="F118" s="408"/>
      <c r="J118" s="582"/>
      <c r="L118" s="583"/>
      <c r="N118" s="420"/>
      <c r="AP118" s="582"/>
    </row>
    <row r="119" spans="1:42" ht="14.25">
      <c r="A119" s="581"/>
      <c r="B119" s="586"/>
      <c r="C119" s="245"/>
      <c r="F119" s="408"/>
      <c r="J119" s="582"/>
      <c r="L119" s="583"/>
      <c r="N119" s="420"/>
      <c r="AP119" s="557"/>
    </row>
    <row r="120" spans="1:53" ht="14.25">
      <c r="A120" s="424"/>
      <c r="B120" s="586"/>
      <c r="C120" s="373"/>
      <c r="D120" s="373"/>
      <c r="E120" s="373"/>
      <c r="F120" s="408"/>
      <c r="G120" s="373"/>
      <c r="H120" s="373"/>
      <c r="I120" s="373"/>
      <c r="J120" s="582"/>
      <c r="K120" s="418"/>
      <c r="L120" s="583"/>
      <c r="M120" s="407"/>
      <c r="N120" s="420"/>
      <c r="O120" s="373"/>
      <c r="P120" s="421"/>
      <c r="Q120" s="373"/>
      <c r="R120" s="423"/>
      <c r="S120" s="373"/>
      <c r="T120" s="392"/>
      <c r="U120" s="373"/>
      <c r="V120" s="392"/>
      <c r="W120" s="373"/>
      <c r="X120" s="373"/>
      <c r="Y120" s="412"/>
      <c r="Z120" s="373"/>
      <c r="AA120" s="412"/>
      <c r="AB120" s="373"/>
      <c r="AC120" s="412"/>
      <c r="AD120" s="373"/>
      <c r="AE120" s="407"/>
      <c r="AF120" s="407"/>
      <c r="AG120" s="382"/>
      <c r="AH120" s="382"/>
      <c r="AI120" s="382"/>
      <c r="AJ120" s="373"/>
      <c r="AK120" s="384"/>
      <c r="AL120" s="384"/>
      <c r="AM120" s="424"/>
      <c r="AN120" s="427"/>
      <c r="AO120" s="384"/>
      <c r="AP120" s="582"/>
      <c r="AQ120" s="423"/>
      <c r="AR120" s="423"/>
      <c r="AS120" s="373"/>
      <c r="AT120" s="423"/>
      <c r="AU120" s="423"/>
      <c r="AV120" s="423"/>
      <c r="AX120" s="423"/>
      <c r="AY120" s="423"/>
      <c r="BA120" s="411"/>
    </row>
    <row r="121" spans="1:42" ht="14.25">
      <c r="A121" s="581"/>
      <c r="B121" s="586"/>
      <c r="C121" s="245"/>
      <c r="F121" s="408"/>
      <c r="J121" s="582"/>
      <c r="L121" s="583"/>
      <c r="N121" s="420"/>
      <c r="AP121" s="582"/>
    </row>
    <row r="122" spans="1:50" ht="14.25">
      <c r="A122" s="424"/>
      <c r="B122" s="384"/>
      <c r="C122" s="245"/>
      <c r="F122" s="408"/>
      <c r="J122" s="582"/>
      <c r="L122" s="583"/>
      <c r="M122" s="582"/>
      <c r="N122" s="420"/>
      <c r="AP122" s="582"/>
      <c r="AX122" s="585"/>
    </row>
    <row r="123" spans="1:50" ht="14.25">
      <c r="A123" s="581"/>
      <c r="B123" s="384"/>
      <c r="C123" s="245"/>
      <c r="F123" s="408"/>
      <c r="J123" s="582"/>
      <c r="L123" s="583"/>
      <c r="N123" s="420"/>
      <c r="AP123" s="582"/>
      <c r="AX123" s="585"/>
    </row>
    <row r="124" spans="1:42" ht="14.25">
      <c r="A124" s="424"/>
      <c r="B124" s="384"/>
      <c r="C124" s="245"/>
      <c r="F124" s="408"/>
      <c r="J124" s="582"/>
      <c r="L124" s="583"/>
      <c r="N124" s="420"/>
      <c r="AP124" s="582"/>
    </row>
    <row r="125" spans="1:42" ht="14.25">
      <c r="A125" s="581"/>
      <c r="B125" s="384"/>
      <c r="C125" s="245"/>
      <c r="F125" s="408"/>
      <c r="J125" s="582"/>
      <c r="L125" s="583"/>
      <c r="N125" s="420"/>
      <c r="AP125" s="582"/>
    </row>
    <row r="126" spans="1:42" ht="14.25">
      <c r="A126" s="424"/>
      <c r="B126" s="384"/>
      <c r="C126" s="245"/>
      <c r="F126" s="408"/>
      <c r="J126" s="582"/>
      <c r="L126" s="583"/>
      <c r="N126" s="420"/>
      <c r="AP126" s="582"/>
    </row>
    <row r="127" spans="1:42" ht="14.25">
      <c r="A127" s="581"/>
      <c r="B127" s="384"/>
      <c r="C127" s="245"/>
      <c r="F127" s="408"/>
      <c r="J127" s="582"/>
      <c r="L127" s="583"/>
      <c r="N127" s="420"/>
      <c r="AP127" s="582"/>
    </row>
    <row r="128" spans="1:42" ht="14.25">
      <c r="A128" s="424"/>
      <c r="B128" s="384"/>
      <c r="C128" s="245"/>
      <c r="F128" s="408"/>
      <c r="J128" s="582"/>
      <c r="L128" s="583"/>
      <c r="N128" s="420"/>
      <c r="AP128" s="582"/>
    </row>
    <row r="129" spans="1:55" ht="14.25">
      <c r="A129" s="581"/>
      <c r="B129" s="384"/>
      <c r="C129" s="245"/>
      <c r="F129" s="408"/>
      <c r="J129" s="582"/>
      <c r="L129" s="583"/>
      <c r="N129" s="420"/>
      <c r="AP129" s="582"/>
      <c r="BB129" s="424"/>
      <c r="BC129" s="373"/>
    </row>
    <row r="130" spans="1:55" ht="14.25">
      <c r="A130" s="424"/>
      <c r="B130" s="384"/>
      <c r="C130" s="245"/>
      <c r="F130" s="408"/>
      <c r="J130" s="582"/>
      <c r="L130" s="583"/>
      <c r="N130" s="420"/>
      <c r="AP130" s="557"/>
      <c r="BB130" s="424"/>
      <c r="BC130" s="373"/>
    </row>
    <row r="131" spans="1:55" ht="13.5" customHeight="1">
      <c r="A131" s="581"/>
      <c r="B131" s="384"/>
      <c r="C131" s="245"/>
      <c r="F131" s="408"/>
      <c r="J131" s="582"/>
      <c r="L131" s="583"/>
      <c r="N131" s="420"/>
      <c r="AP131" s="557"/>
      <c r="BB131" s="424"/>
      <c r="BC131" s="373"/>
    </row>
    <row r="132" spans="1:42" ht="14.25">
      <c r="A132" s="424"/>
      <c r="B132" s="384"/>
      <c r="C132" s="245"/>
      <c r="F132" s="408"/>
      <c r="J132" s="582"/>
      <c r="L132" s="583"/>
      <c r="N132" s="420"/>
      <c r="AP132" s="582"/>
    </row>
    <row r="133" spans="6:50" ht="15">
      <c r="F133" s="408"/>
      <c r="N133" s="420"/>
      <c r="AX133" s="585"/>
    </row>
    <row r="134" spans="1:42" ht="14.25">
      <c r="A134" s="424"/>
      <c r="B134" s="384"/>
      <c r="C134" s="245"/>
      <c r="F134" s="408"/>
      <c r="J134" s="582"/>
      <c r="L134" s="583"/>
      <c r="N134" s="420"/>
      <c r="AP134" s="582"/>
    </row>
    <row r="135" spans="1:42" ht="14.25">
      <c r="A135" s="581"/>
      <c r="B135" s="384"/>
      <c r="C135" s="245"/>
      <c r="F135" s="408"/>
      <c r="J135" s="582"/>
      <c r="L135" s="583"/>
      <c r="N135" s="420"/>
      <c r="AP135" s="582"/>
    </row>
    <row r="136" spans="1:42" ht="14.25">
      <c r="A136" s="424"/>
      <c r="B136" s="384"/>
      <c r="C136" s="245"/>
      <c r="F136" s="408"/>
      <c r="J136" s="582"/>
      <c r="L136" s="583"/>
      <c r="N136" s="420"/>
      <c r="AP136" s="582"/>
    </row>
    <row r="137" spans="1:42" ht="14.25">
      <c r="A137" s="581"/>
      <c r="B137" s="384"/>
      <c r="C137" s="245"/>
      <c r="F137" s="408"/>
      <c r="J137" s="582"/>
      <c r="L137" s="583"/>
      <c r="N137" s="420"/>
      <c r="AP137" s="582"/>
    </row>
    <row r="138" spans="1:42" ht="14.25">
      <c r="A138" s="424"/>
      <c r="B138" s="384"/>
      <c r="C138" s="245"/>
      <c r="F138" s="408"/>
      <c r="J138" s="582"/>
      <c r="L138" s="583"/>
      <c r="N138" s="420"/>
      <c r="AP138" s="582"/>
    </row>
    <row r="139" spans="1:42" ht="14.25">
      <c r="A139" s="581"/>
      <c r="B139" s="384"/>
      <c r="C139" s="245"/>
      <c r="F139" s="408"/>
      <c r="J139" s="582"/>
      <c r="L139" s="583"/>
      <c r="N139" s="420"/>
      <c r="AP139" s="582"/>
    </row>
    <row r="140" spans="1:42" ht="14.25">
      <c r="A140" s="424"/>
      <c r="B140" s="384"/>
      <c r="C140" s="245"/>
      <c r="F140" s="408"/>
      <c r="J140" s="582"/>
      <c r="L140" s="583"/>
      <c r="M140" s="584"/>
      <c r="N140" s="420"/>
      <c r="AP140" s="582"/>
    </row>
    <row r="141" spans="1:42" ht="14.25">
      <c r="A141" s="581"/>
      <c r="B141" s="384"/>
      <c r="C141" s="245"/>
      <c r="F141" s="408"/>
      <c r="J141" s="582"/>
      <c r="L141" s="583"/>
      <c r="N141" s="420"/>
      <c r="AP141" s="582"/>
    </row>
    <row r="142" spans="1:42" ht="14.25">
      <c r="A142" s="424"/>
      <c r="B142" s="384"/>
      <c r="C142" s="245"/>
      <c r="F142" s="408"/>
      <c r="J142" s="582"/>
      <c r="L142" s="583"/>
      <c r="N142" s="420"/>
      <c r="AP142" s="582"/>
    </row>
    <row r="143" spans="1:42" ht="14.25">
      <c r="A143" s="581"/>
      <c r="B143" s="384"/>
      <c r="C143" s="245"/>
      <c r="F143" s="408"/>
      <c r="J143" s="582"/>
      <c r="L143" s="583"/>
      <c r="N143" s="420"/>
      <c r="AP143" s="582"/>
    </row>
    <row r="144" spans="1:42" ht="14.25">
      <c r="A144" s="424"/>
      <c r="B144" s="384"/>
      <c r="C144" s="245"/>
      <c r="F144" s="408"/>
      <c r="J144" s="582"/>
      <c r="L144" s="583"/>
      <c r="M144" s="323"/>
      <c r="N144" s="420"/>
      <c r="AP144" s="582"/>
    </row>
    <row r="145" spans="1:42" ht="14.25">
      <c r="A145" s="424"/>
      <c r="B145" s="384"/>
      <c r="C145" s="373"/>
      <c r="F145" s="408"/>
      <c r="J145" s="582"/>
      <c r="L145" s="583"/>
      <c r="N145" s="420"/>
      <c r="AP145" s="557"/>
    </row>
    <row r="146" spans="1:42" ht="14.25">
      <c r="A146" s="424"/>
      <c r="B146" s="384"/>
      <c r="C146" s="373"/>
      <c r="F146" s="408"/>
      <c r="J146" s="582"/>
      <c r="L146" s="583"/>
      <c r="N146" s="420"/>
      <c r="AP146" s="557"/>
    </row>
    <row r="147" spans="1:42" ht="14.25">
      <c r="A147" s="424"/>
      <c r="B147" s="384"/>
      <c r="C147" s="373"/>
      <c r="F147" s="408"/>
      <c r="J147" s="582"/>
      <c r="L147" s="583"/>
      <c r="N147" s="420"/>
      <c r="AP147" s="557"/>
    </row>
    <row r="148" spans="1:42" ht="14.25">
      <c r="A148" s="424"/>
      <c r="B148" s="384"/>
      <c r="C148" s="373"/>
      <c r="F148" s="408"/>
      <c r="J148" s="582"/>
      <c r="L148" s="583"/>
      <c r="N148" s="420"/>
      <c r="AP148" s="557"/>
    </row>
    <row r="149" spans="1:42" ht="14.25">
      <c r="A149" s="424"/>
      <c r="B149" s="384"/>
      <c r="C149" s="373"/>
      <c r="F149" s="408"/>
      <c r="J149" s="582"/>
      <c r="L149" s="583"/>
      <c r="N149" s="420"/>
      <c r="AP149" s="557"/>
    </row>
    <row r="150" spans="1:53" ht="14.25">
      <c r="A150" s="424"/>
      <c r="B150" s="384"/>
      <c r="C150" s="587"/>
      <c r="D150" s="588"/>
      <c r="E150" s="589"/>
      <c r="F150" s="408"/>
      <c r="G150" s="373"/>
      <c r="H150" s="590"/>
      <c r="I150" s="591"/>
      <c r="J150" s="582"/>
      <c r="K150" s="418"/>
      <c r="L150" s="583"/>
      <c r="M150" s="588"/>
      <c r="N150" s="420"/>
      <c r="O150" s="373"/>
      <c r="P150" s="592"/>
      <c r="Q150" s="593"/>
      <c r="R150" s="423"/>
      <c r="S150" s="373"/>
      <c r="T150" s="392"/>
      <c r="U150" s="373"/>
      <c r="V150" s="392"/>
      <c r="W150" s="373"/>
      <c r="X150" s="373"/>
      <c r="Y150" s="412"/>
      <c r="Z150" s="373"/>
      <c r="AA150" s="412"/>
      <c r="AB150" s="373"/>
      <c r="AC150" s="412"/>
      <c r="AD150" s="373"/>
      <c r="AE150" s="423"/>
      <c r="AF150" s="407"/>
      <c r="AG150" s="382"/>
      <c r="AH150" s="382"/>
      <c r="AI150" s="382"/>
      <c r="AJ150" s="382"/>
      <c r="AK150" s="556"/>
      <c r="AL150" s="384"/>
      <c r="AM150" s="427"/>
      <c r="AN150" s="427"/>
      <c r="AO150" s="384"/>
      <c r="AP150" s="444"/>
      <c r="AQ150" s="423"/>
      <c r="AR150" s="423"/>
      <c r="AS150" s="373"/>
      <c r="AT150" s="423"/>
      <c r="AU150" s="423"/>
      <c r="AV150" s="433"/>
      <c r="AX150" s="430"/>
      <c r="AY150" s="430"/>
      <c r="BA150" s="411"/>
    </row>
    <row r="151" spans="1:53" ht="14.25">
      <c r="A151" s="424"/>
      <c r="B151" s="384"/>
      <c r="C151" s="594"/>
      <c r="D151" s="416"/>
      <c r="E151" s="398"/>
      <c r="F151" s="408"/>
      <c r="G151" s="398"/>
      <c r="H151" s="412"/>
      <c r="I151" s="412"/>
      <c r="J151" s="582"/>
      <c r="K151" s="418"/>
      <c r="L151" s="583"/>
      <c r="M151" s="569"/>
      <c r="N151" s="420"/>
      <c r="O151" s="416"/>
      <c r="P151" s="421"/>
      <c r="Q151" s="422"/>
      <c r="R151" s="423"/>
      <c r="S151" s="373"/>
      <c r="T151" s="392"/>
      <c r="U151" s="373"/>
      <c r="V151" s="392"/>
      <c r="W151" s="373"/>
      <c r="X151" s="373"/>
      <c r="Y151" s="412"/>
      <c r="Z151" s="373"/>
      <c r="AA151" s="412"/>
      <c r="AB151" s="373"/>
      <c r="AC151" s="412"/>
      <c r="AD151" s="373"/>
      <c r="AE151" s="423"/>
      <c r="AF151" s="407"/>
      <c r="AG151" s="382"/>
      <c r="AH151" s="382"/>
      <c r="AI151" s="382"/>
      <c r="AJ151" s="382"/>
      <c r="AK151" s="556"/>
      <c r="AL151" s="384"/>
      <c r="AM151" s="427"/>
      <c r="AN151" s="427"/>
      <c r="AO151" s="384"/>
      <c r="AP151" s="444"/>
      <c r="AQ151" s="423"/>
      <c r="AR151" s="423"/>
      <c r="AS151" s="373"/>
      <c r="AT151" s="423"/>
      <c r="AU151" s="423"/>
      <c r="AV151" s="433"/>
      <c r="AX151" s="430"/>
      <c r="AY151" s="430"/>
      <c r="BA151" s="411"/>
    </row>
    <row r="152" spans="1:53" ht="14.25">
      <c r="A152" s="424"/>
      <c r="B152" s="384"/>
      <c r="C152" s="587"/>
      <c r="D152" s="588"/>
      <c r="E152" s="589"/>
      <c r="F152" s="408"/>
      <c r="G152" s="373"/>
      <c r="H152" s="590"/>
      <c r="I152" s="591"/>
      <c r="J152" s="582"/>
      <c r="K152" s="418"/>
      <c r="L152" s="583"/>
      <c r="M152" s="588"/>
      <c r="N152" s="420"/>
      <c r="O152" s="373"/>
      <c r="P152" s="592"/>
      <c r="Q152" s="593"/>
      <c r="R152" s="423"/>
      <c r="S152" s="373"/>
      <c r="T152" s="392"/>
      <c r="U152" s="373"/>
      <c r="V152" s="392"/>
      <c r="W152" s="373"/>
      <c r="X152" s="373"/>
      <c r="Y152" s="412"/>
      <c r="Z152" s="373"/>
      <c r="AA152" s="412"/>
      <c r="AB152" s="373"/>
      <c r="AC152" s="412"/>
      <c r="AD152" s="373"/>
      <c r="AE152" s="423"/>
      <c r="AF152" s="407"/>
      <c r="AG152" s="382"/>
      <c r="AH152" s="382"/>
      <c r="AI152" s="382"/>
      <c r="AJ152" s="382"/>
      <c r="AK152" s="556"/>
      <c r="AL152" s="384"/>
      <c r="AM152" s="427"/>
      <c r="AN152" s="427"/>
      <c r="AO152" s="384"/>
      <c r="AP152" s="444"/>
      <c r="AQ152" s="423"/>
      <c r="AR152" s="423"/>
      <c r="AS152" s="373"/>
      <c r="AT152" s="423"/>
      <c r="AU152" s="423"/>
      <c r="AV152" s="433"/>
      <c r="AX152" s="430"/>
      <c r="AY152" s="430"/>
      <c r="BA152" s="411"/>
    </row>
    <row r="153" spans="1:42" ht="14.25">
      <c r="A153" s="424"/>
      <c r="B153" s="384"/>
      <c r="C153" s="373"/>
      <c r="F153" s="408"/>
      <c r="J153" s="582"/>
      <c r="L153" s="583"/>
      <c r="N153" s="420"/>
      <c r="AP153" s="557"/>
    </row>
    <row r="154" spans="1:42" ht="14.25">
      <c r="A154" s="424"/>
      <c r="B154" s="384"/>
      <c r="C154" s="373"/>
      <c r="F154" s="408"/>
      <c r="J154" s="582"/>
      <c r="L154" s="583"/>
      <c r="N154" s="420"/>
      <c r="AP154" s="557"/>
    </row>
    <row r="155" spans="1:42" ht="14.25">
      <c r="A155" s="424"/>
      <c r="B155" s="384"/>
      <c r="C155" s="373"/>
      <c r="F155" s="408"/>
      <c r="J155" s="582"/>
      <c r="L155" s="583"/>
      <c r="N155" s="420"/>
      <c r="AP155" s="557"/>
    </row>
    <row r="156" spans="1:42" ht="14.25">
      <c r="A156" s="424"/>
      <c r="B156" s="384"/>
      <c r="C156" s="373"/>
      <c r="F156" s="408"/>
      <c r="J156" s="582"/>
      <c r="L156" s="583"/>
      <c r="N156" s="420"/>
      <c r="AP156" s="557"/>
    </row>
    <row r="157" spans="1:42" ht="14.25">
      <c r="A157" s="424"/>
      <c r="B157" s="384"/>
      <c r="C157" s="373"/>
      <c r="F157" s="408"/>
      <c r="J157" s="582"/>
      <c r="L157" s="583"/>
      <c r="N157" s="420"/>
      <c r="AP157" s="557"/>
    </row>
    <row r="158" spans="1:42" ht="14.25">
      <c r="A158" s="424"/>
      <c r="B158" s="384"/>
      <c r="C158" s="373"/>
      <c r="F158" s="408"/>
      <c r="J158" s="582"/>
      <c r="L158" s="583"/>
      <c r="N158" s="420"/>
      <c r="AP158" s="557"/>
    </row>
    <row r="159" spans="1:53" ht="14.25">
      <c r="A159" s="595"/>
      <c r="B159" s="384"/>
      <c r="C159" s="373"/>
      <c r="D159" s="416"/>
      <c r="E159" s="398"/>
      <c r="F159" s="408"/>
      <c r="G159" s="398"/>
      <c r="H159" s="416"/>
      <c r="I159" s="412"/>
      <c r="J159" s="582"/>
      <c r="K159" s="596"/>
      <c r="L159" s="583"/>
      <c r="M159" s="416"/>
      <c r="N159" s="420"/>
      <c r="O159" s="416"/>
      <c r="P159" s="421"/>
      <c r="Q159" s="422"/>
      <c r="R159" s="423"/>
      <c r="S159" s="373"/>
      <c r="T159" s="392"/>
      <c r="U159" s="373"/>
      <c r="V159" s="392"/>
      <c r="W159" s="373"/>
      <c r="X159" s="373"/>
      <c r="Y159" s="412"/>
      <c r="Z159" s="373"/>
      <c r="AA159" s="412"/>
      <c r="AB159" s="373"/>
      <c r="AC159" s="412"/>
      <c r="AD159" s="373"/>
      <c r="AF159" s="407"/>
      <c r="AG159" s="382"/>
      <c r="AH159" s="382"/>
      <c r="AI159" s="382"/>
      <c r="AJ159" s="382"/>
      <c r="AK159" s="556"/>
      <c r="AL159" s="384"/>
      <c r="AM159" s="427"/>
      <c r="AN159" s="427"/>
      <c r="AO159" s="384"/>
      <c r="AP159" s="444"/>
      <c r="AQ159" s="423"/>
      <c r="AR159" s="423"/>
      <c r="AS159" s="373"/>
      <c r="AT159" s="423"/>
      <c r="AU159" s="423"/>
      <c r="AV159" s="433"/>
      <c r="AX159" s="430"/>
      <c r="AY159" s="430"/>
      <c r="BA159" s="411"/>
    </row>
    <row r="160" spans="1:42" ht="14.25">
      <c r="A160" s="424"/>
      <c r="B160" s="384"/>
      <c r="C160" s="373"/>
      <c r="F160" s="408"/>
      <c r="J160" s="582"/>
      <c r="L160" s="583"/>
      <c r="N160" s="420"/>
      <c r="AP160" s="582"/>
    </row>
    <row r="161" spans="1:42" ht="14.25">
      <c r="A161" s="424"/>
      <c r="B161" s="384"/>
      <c r="C161" s="373"/>
      <c r="F161" s="408"/>
      <c r="J161" s="582"/>
      <c r="L161" s="583"/>
      <c r="N161" s="420"/>
      <c r="AP161" s="582"/>
    </row>
    <row r="162" spans="1:42" ht="14.25">
      <c r="A162" s="424"/>
      <c r="B162" s="384"/>
      <c r="C162" s="373"/>
      <c r="F162" s="408"/>
      <c r="J162" s="582"/>
      <c r="L162" s="583"/>
      <c r="N162" s="420"/>
      <c r="AP162" s="582"/>
    </row>
    <row r="163" spans="1:53" ht="14.25">
      <c r="A163" s="424"/>
      <c r="B163" s="384"/>
      <c r="C163" s="587"/>
      <c r="D163" s="588"/>
      <c r="E163" s="589"/>
      <c r="F163" s="408"/>
      <c r="G163" s="373"/>
      <c r="H163" s="590"/>
      <c r="I163" s="591"/>
      <c r="J163" s="582"/>
      <c r="K163" s="418"/>
      <c r="L163" s="583"/>
      <c r="M163" s="588"/>
      <c r="N163" s="420"/>
      <c r="O163" s="373"/>
      <c r="P163" s="592"/>
      <c r="Q163" s="593"/>
      <c r="R163" s="423"/>
      <c r="S163" s="373"/>
      <c r="T163" s="392"/>
      <c r="U163" s="373"/>
      <c r="V163" s="392"/>
      <c r="W163" s="373"/>
      <c r="X163" s="373"/>
      <c r="Y163" s="412"/>
      <c r="Z163" s="373"/>
      <c r="AA163" s="412"/>
      <c r="AB163" s="373"/>
      <c r="AC163" s="412"/>
      <c r="AD163" s="373"/>
      <c r="AF163" s="407"/>
      <c r="AG163" s="382"/>
      <c r="AH163" s="382"/>
      <c r="AI163" s="382"/>
      <c r="AJ163" s="382"/>
      <c r="AK163" s="556"/>
      <c r="AL163" s="384"/>
      <c r="AM163" s="427"/>
      <c r="AN163" s="427"/>
      <c r="AO163" s="384"/>
      <c r="AP163" s="444"/>
      <c r="AQ163" s="423"/>
      <c r="AR163" s="423"/>
      <c r="AS163" s="373"/>
      <c r="AT163" s="423"/>
      <c r="AU163" s="423"/>
      <c r="AV163" s="433"/>
      <c r="AX163" s="430"/>
      <c r="AY163" s="430"/>
      <c r="BA163" s="411"/>
    </row>
    <row r="164" spans="1:53" ht="14.25">
      <c r="A164" s="424"/>
      <c r="B164" s="384"/>
      <c r="C164" s="587"/>
      <c r="D164" s="588"/>
      <c r="E164" s="589"/>
      <c r="F164" s="408"/>
      <c r="G164" s="373"/>
      <c r="H164" s="590"/>
      <c r="I164" s="591"/>
      <c r="J164" s="582"/>
      <c r="K164" s="418"/>
      <c r="L164" s="583"/>
      <c r="M164" s="588"/>
      <c r="N164" s="420"/>
      <c r="O164" s="373"/>
      <c r="P164" s="592"/>
      <c r="Q164" s="593"/>
      <c r="R164" s="423"/>
      <c r="S164" s="373"/>
      <c r="T164" s="392"/>
      <c r="U164" s="373"/>
      <c r="V164" s="392"/>
      <c r="W164" s="373"/>
      <c r="X164" s="373"/>
      <c r="Y164" s="412"/>
      <c r="Z164" s="373"/>
      <c r="AA164" s="412"/>
      <c r="AB164" s="373"/>
      <c r="AC164" s="412"/>
      <c r="AD164" s="373"/>
      <c r="AF164" s="407"/>
      <c r="AG164" s="382"/>
      <c r="AH164" s="382"/>
      <c r="AI164" s="382"/>
      <c r="AJ164" s="382"/>
      <c r="AK164" s="556"/>
      <c r="AL164" s="384"/>
      <c r="AM164" s="427"/>
      <c r="AN164" s="427"/>
      <c r="AO164" s="384"/>
      <c r="AP164" s="444"/>
      <c r="AQ164" s="423"/>
      <c r="AR164" s="423"/>
      <c r="AS164" s="373"/>
      <c r="AT164" s="423"/>
      <c r="AU164" s="423"/>
      <c r="AV164" s="433"/>
      <c r="AX164" s="430"/>
      <c r="AY164" s="430"/>
      <c r="BA164" s="411"/>
    </row>
    <row r="165" spans="1:42" ht="14.25">
      <c r="A165" s="424"/>
      <c r="B165" s="384"/>
      <c r="C165" s="245"/>
      <c r="F165" s="408"/>
      <c r="J165" s="582"/>
      <c r="L165" s="583"/>
      <c r="N165" s="420"/>
      <c r="AP165" s="582"/>
    </row>
    <row r="166" spans="1:42" ht="14.25">
      <c r="A166" s="424"/>
      <c r="B166" s="384"/>
      <c r="C166" s="245"/>
      <c r="F166" s="408"/>
      <c r="J166" s="582"/>
      <c r="L166" s="583"/>
      <c r="N166" s="420"/>
      <c r="AP166" s="582"/>
    </row>
    <row r="167" spans="1:42" ht="14.25">
      <c r="A167" s="424"/>
      <c r="B167" s="384"/>
      <c r="C167" s="245"/>
      <c r="F167" s="408"/>
      <c r="J167" s="582"/>
      <c r="L167" s="583"/>
      <c r="N167" s="420"/>
      <c r="AP167" s="582"/>
    </row>
    <row r="168" spans="1:42" ht="14.25">
      <c r="A168" s="424"/>
      <c r="B168" s="384"/>
      <c r="C168" s="245"/>
      <c r="F168" s="408"/>
      <c r="J168" s="582"/>
      <c r="L168" s="583"/>
      <c r="N168" s="420"/>
      <c r="AP168" s="582"/>
    </row>
    <row r="169" spans="1:42" ht="14.25">
      <c r="A169" s="424"/>
      <c r="B169" s="384"/>
      <c r="C169" s="245"/>
      <c r="F169" s="408"/>
      <c r="J169" s="582"/>
      <c r="L169" s="583"/>
      <c r="N169" s="420"/>
      <c r="AP169" s="557"/>
    </row>
    <row r="170" spans="1:53" ht="14.25">
      <c r="A170" s="424"/>
      <c r="B170" s="384"/>
      <c r="C170" s="594"/>
      <c r="D170" s="416"/>
      <c r="E170" s="567"/>
      <c r="F170" s="408"/>
      <c r="G170" s="567"/>
      <c r="H170" s="416"/>
      <c r="I170" s="412"/>
      <c r="J170" s="582"/>
      <c r="K170" s="418"/>
      <c r="L170" s="583"/>
      <c r="M170" s="416"/>
      <c r="N170" s="420"/>
      <c r="O170" s="416"/>
      <c r="P170" s="421"/>
      <c r="Q170" s="422"/>
      <c r="R170" s="423"/>
      <c r="S170" s="373"/>
      <c r="T170" s="392"/>
      <c r="U170" s="373"/>
      <c r="V170" s="392"/>
      <c r="W170" s="373"/>
      <c r="X170" s="373"/>
      <c r="Y170" s="412"/>
      <c r="Z170" s="373"/>
      <c r="AA170" s="412"/>
      <c r="AB170" s="373"/>
      <c r="AC170" s="412"/>
      <c r="AD170" s="373"/>
      <c r="AF170" s="407"/>
      <c r="AG170" s="382"/>
      <c r="AH170" s="382"/>
      <c r="AI170" s="382"/>
      <c r="AJ170" s="382"/>
      <c r="AK170" s="556"/>
      <c r="AL170" s="384"/>
      <c r="AM170" s="427"/>
      <c r="AN170" s="427"/>
      <c r="AO170" s="384"/>
      <c r="AP170" s="557"/>
      <c r="AQ170" s="423"/>
      <c r="AR170" s="423"/>
      <c r="AS170" s="373"/>
      <c r="AT170" s="423"/>
      <c r="AU170" s="423"/>
      <c r="AV170" s="433"/>
      <c r="AX170" s="430"/>
      <c r="AY170" s="430"/>
      <c r="BA170" s="411"/>
    </row>
    <row r="171" spans="1:53" ht="14.25">
      <c r="A171" s="424"/>
      <c r="B171" s="384"/>
      <c r="C171" s="587"/>
      <c r="D171" s="588"/>
      <c r="E171" s="589"/>
      <c r="F171" s="408"/>
      <c r="G171" s="373"/>
      <c r="H171" s="590"/>
      <c r="I171" s="591"/>
      <c r="J171" s="582"/>
      <c r="K171" s="418"/>
      <c r="L171" s="583"/>
      <c r="M171" s="588"/>
      <c r="N171" s="420"/>
      <c r="O171" s="373"/>
      <c r="P171" s="592"/>
      <c r="Q171" s="593"/>
      <c r="R171" s="423"/>
      <c r="S171" s="373"/>
      <c r="T171" s="392"/>
      <c r="U171" s="373"/>
      <c r="V171" s="392"/>
      <c r="W171" s="373"/>
      <c r="X171" s="373"/>
      <c r="Y171" s="412"/>
      <c r="Z171" s="373"/>
      <c r="AA171" s="412"/>
      <c r="AB171" s="373"/>
      <c r="AC171" s="412"/>
      <c r="AD171" s="373"/>
      <c r="AF171" s="407"/>
      <c r="AG171" s="382"/>
      <c r="AH171" s="382"/>
      <c r="AI171" s="382"/>
      <c r="AJ171" s="382"/>
      <c r="AK171" s="556"/>
      <c r="AL171" s="384"/>
      <c r="AM171" s="427"/>
      <c r="AN171" s="427"/>
      <c r="AO171" s="384"/>
      <c r="AP171" s="444"/>
      <c r="AQ171" s="423"/>
      <c r="AR171" s="423"/>
      <c r="AS171" s="373"/>
      <c r="AT171" s="423"/>
      <c r="AU171" s="423"/>
      <c r="AV171" s="433"/>
      <c r="AX171" s="430"/>
      <c r="AY171" s="430"/>
      <c r="BA171" s="411"/>
    </row>
    <row r="172" spans="1:53" ht="14.25">
      <c r="A172" s="424"/>
      <c r="B172" s="384"/>
      <c r="C172" s="597"/>
      <c r="D172" s="416"/>
      <c r="E172" s="598"/>
      <c r="F172" s="408"/>
      <c r="G172" s="598"/>
      <c r="H172" s="599"/>
      <c r="I172" s="412"/>
      <c r="J172" s="582"/>
      <c r="K172" s="596"/>
      <c r="L172" s="583"/>
      <c r="M172" s="420"/>
      <c r="N172" s="420"/>
      <c r="O172" s="420"/>
      <c r="P172" s="421"/>
      <c r="Q172" s="422"/>
      <c r="R172" s="423"/>
      <c r="S172" s="373"/>
      <c r="T172" s="392"/>
      <c r="U172" s="373"/>
      <c r="V172" s="392"/>
      <c r="W172" s="373"/>
      <c r="X172" s="373"/>
      <c r="Y172" s="412"/>
      <c r="Z172" s="373"/>
      <c r="AA172" s="412"/>
      <c r="AB172" s="373"/>
      <c r="AC172" s="412"/>
      <c r="AD172" s="373"/>
      <c r="AF172" s="407"/>
      <c r="AG172" s="382"/>
      <c r="AH172" s="382"/>
      <c r="AI172" s="382"/>
      <c r="AJ172" s="382"/>
      <c r="AK172" s="556"/>
      <c r="AL172" s="384"/>
      <c r="AM172" s="427"/>
      <c r="AN172" s="427"/>
      <c r="AO172" s="384"/>
      <c r="AP172" s="444"/>
      <c r="AQ172" s="423"/>
      <c r="AR172" s="423"/>
      <c r="AS172" s="373"/>
      <c r="AT172" s="423"/>
      <c r="AU172" s="423"/>
      <c r="AV172" s="433"/>
      <c r="AX172" s="430"/>
      <c r="AY172" s="430"/>
      <c r="BA172" s="411"/>
    </row>
    <row r="173" spans="1:42" ht="14.25">
      <c r="A173" s="424"/>
      <c r="B173" s="384"/>
      <c r="C173" s="245"/>
      <c r="F173" s="408"/>
      <c r="J173" s="582"/>
      <c r="L173" s="583"/>
      <c r="N173" s="420"/>
      <c r="AP173" s="557"/>
    </row>
    <row r="174" spans="1:42" ht="14.25">
      <c r="A174" s="424"/>
      <c r="B174" s="384"/>
      <c r="C174" s="245"/>
      <c r="F174" s="408"/>
      <c r="J174" s="582"/>
      <c r="L174" s="583"/>
      <c r="N174" s="420"/>
      <c r="AP174" s="557"/>
    </row>
    <row r="175" spans="1:42" ht="14.25">
      <c r="A175" s="424"/>
      <c r="B175" s="384"/>
      <c r="C175" s="245"/>
      <c r="F175" s="408"/>
      <c r="J175" s="582"/>
      <c r="L175" s="583"/>
      <c r="N175" s="420"/>
      <c r="AP175" s="557"/>
    </row>
    <row r="176" spans="1:42" ht="14.25">
      <c r="A176" s="424"/>
      <c r="B176" s="384"/>
      <c r="C176" s="245"/>
      <c r="F176" s="408"/>
      <c r="J176" s="582"/>
      <c r="L176" s="583"/>
      <c r="N176" s="420"/>
      <c r="AP176" s="557"/>
    </row>
    <row r="177" spans="1:42" ht="14.25">
      <c r="A177" s="424"/>
      <c r="B177" s="384"/>
      <c r="C177" s="245"/>
      <c r="F177" s="408"/>
      <c r="J177" s="582"/>
      <c r="L177" s="583"/>
      <c r="N177" s="420"/>
      <c r="AP177" s="557"/>
    </row>
    <row r="178" spans="1:42" ht="14.25">
      <c r="A178" s="424"/>
      <c r="B178" s="384"/>
      <c r="C178" s="245"/>
      <c r="F178" s="408"/>
      <c r="J178" s="582"/>
      <c r="L178" s="583"/>
      <c r="N178" s="420"/>
      <c r="AP178" s="557"/>
    </row>
    <row r="179" spans="1:42" ht="14.25">
      <c r="A179" s="424"/>
      <c r="B179" s="384"/>
      <c r="C179" s="594"/>
      <c r="F179" s="408"/>
      <c r="J179" s="582"/>
      <c r="L179" s="583"/>
      <c r="M179" s="600"/>
      <c r="N179" s="420"/>
      <c r="AP179" s="582"/>
    </row>
    <row r="180" spans="1:42" ht="14.25">
      <c r="A180" s="424"/>
      <c r="B180" s="384"/>
      <c r="C180" s="245"/>
      <c r="F180" s="408"/>
      <c r="J180" s="582"/>
      <c r="L180" s="583"/>
      <c r="N180" s="420"/>
      <c r="AP180" s="582"/>
    </row>
    <row r="181" spans="1:42" ht="14.25">
      <c r="A181" s="424"/>
      <c r="B181" s="384"/>
      <c r="C181" s="245"/>
      <c r="F181" s="408"/>
      <c r="J181" s="582"/>
      <c r="L181" s="583"/>
      <c r="N181" s="420"/>
      <c r="AP181" s="582"/>
    </row>
    <row r="182" spans="1:42" ht="14.25">
      <c r="A182" s="424"/>
      <c r="B182" s="384"/>
      <c r="C182" s="245"/>
      <c r="F182" s="408"/>
      <c r="J182" s="582"/>
      <c r="L182" s="583"/>
      <c r="N182" s="420"/>
      <c r="AP182" s="582"/>
    </row>
    <row r="183" spans="1:42" ht="14.25">
      <c r="A183" s="424"/>
      <c r="B183" s="384"/>
      <c r="C183" s="245"/>
      <c r="F183" s="408"/>
      <c r="J183" s="582"/>
      <c r="L183" s="583"/>
      <c r="N183" s="420"/>
      <c r="AP183" s="582"/>
    </row>
    <row r="184" spans="1:42" ht="14.25">
      <c r="A184" s="424"/>
      <c r="B184" s="384"/>
      <c r="C184" s="245"/>
      <c r="F184" s="408"/>
      <c r="J184" s="582"/>
      <c r="L184" s="583"/>
      <c r="N184" s="420"/>
      <c r="AP184" s="582"/>
    </row>
    <row r="185" spans="1:42" ht="14.25">
      <c r="A185" s="424"/>
      <c r="B185" s="384"/>
      <c r="C185" s="245"/>
      <c r="F185" s="408"/>
      <c r="J185" s="582"/>
      <c r="L185" s="583"/>
      <c r="N185" s="420"/>
      <c r="AP185" s="557"/>
    </row>
    <row r="186" spans="1:42" ht="14.25">
      <c r="A186" s="424"/>
      <c r="B186" s="384"/>
      <c r="C186" s="245"/>
      <c r="F186" s="408"/>
      <c r="J186" s="582"/>
      <c r="L186" s="583"/>
      <c r="N186" s="420"/>
      <c r="AP186" s="582"/>
    </row>
    <row r="187" spans="1:42" ht="14.25">
      <c r="A187" s="424"/>
      <c r="B187" s="384"/>
      <c r="C187" s="245"/>
      <c r="F187" s="408"/>
      <c r="J187" s="582"/>
      <c r="L187" s="583"/>
      <c r="N187" s="420"/>
      <c r="AP187" s="582"/>
    </row>
    <row r="188" spans="1:42" ht="14.25">
      <c r="A188" s="424"/>
      <c r="B188" s="384"/>
      <c r="C188" s="245"/>
      <c r="F188" s="408"/>
      <c r="J188" s="582"/>
      <c r="L188" s="583"/>
      <c r="N188" s="420"/>
      <c r="AP188" s="582"/>
    </row>
    <row r="189" spans="1:42" ht="14.25">
      <c r="A189" s="424"/>
      <c r="B189" s="384"/>
      <c r="C189" s="245"/>
      <c r="F189" s="408"/>
      <c r="J189" s="582"/>
      <c r="L189" s="583"/>
      <c r="N189" s="420"/>
      <c r="AP189" s="601"/>
    </row>
    <row r="190" spans="1:42" ht="14.25">
      <c r="A190" s="424"/>
      <c r="B190" s="384"/>
      <c r="C190" s="245"/>
      <c r="F190" s="408"/>
      <c r="J190" s="582"/>
      <c r="L190" s="583"/>
      <c r="N190" s="420"/>
      <c r="AP190" s="582"/>
    </row>
    <row r="191" spans="1:42" ht="14.25">
      <c r="A191" s="424"/>
      <c r="B191" s="384"/>
      <c r="C191" s="245"/>
      <c r="F191" s="408"/>
      <c r="J191" s="582"/>
      <c r="L191" s="583"/>
      <c r="N191" s="420"/>
      <c r="AP191" s="582"/>
    </row>
    <row r="192" spans="1:42" ht="14.25">
      <c r="A192" s="424"/>
      <c r="B192" s="384"/>
      <c r="C192" s="245"/>
      <c r="F192" s="408"/>
      <c r="J192" s="582"/>
      <c r="L192" s="583"/>
      <c r="N192" s="420"/>
      <c r="AP192" s="582"/>
    </row>
    <row r="193" spans="1:42" ht="14.25">
      <c r="A193" s="424"/>
      <c r="B193" s="384"/>
      <c r="C193" s="245"/>
      <c r="F193" s="408"/>
      <c r="J193" s="582"/>
      <c r="L193" s="583"/>
      <c r="N193" s="420"/>
      <c r="AP193" s="582"/>
    </row>
    <row r="194" spans="1:42" ht="14.25">
      <c r="A194" s="424"/>
      <c r="B194" s="384"/>
      <c r="C194" s="245"/>
      <c r="F194" s="408"/>
      <c r="J194" s="582"/>
      <c r="L194" s="583"/>
      <c r="N194" s="420"/>
      <c r="AP194" s="582"/>
    </row>
    <row r="195" spans="1:42" ht="14.25">
      <c r="A195" s="424"/>
      <c r="B195" s="384"/>
      <c r="C195" s="245"/>
      <c r="F195" s="408"/>
      <c r="J195" s="582"/>
      <c r="L195" s="583"/>
      <c r="N195" s="420"/>
      <c r="AP195" s="582"/>
    </row>
    <row r="196" spans="1:42" ht="14.25">
      <c r="A196" s="424"/>
      <c r="B196" s="384"/>
      <c r="C196" s="245"/>
      <c r="F196" s="408"/>
      <c r="J196" s="582"/>
      <c r="L196" s="583"/>
      <c r="N196" s="420"/>
      <c r="AP196" s="582"/>
    </row>
    <row r="197" spans="1:42" ht="14.25">
      <c r="A197" s="424"/>
      <c r="B197" s="384"/>
      <c r="C197" s="245"/>
      <c r="F197" s="408"/>
      <c r="J197" s="582"/>
      <c r="L197" s="583"/>
      <c r="N197" s="420"/>
      <c r="AP197" s="582"/>
    </row>
    <row r="198" spans="1:42" ht="14.25">
      <c r="A198" s="424"/>
      <c r="B198" s="384"/>
      <c r="C198" s="245"/>
      <c r="F198" s="408"/>
      <c r="J198" s="582"/>
      <c r="L198" s="583"/>
      <c r="N198" s="420"/>
      <c r="AP198" s="582"/>
    </row>
    <row r="199" spans="1:42" ht="14.25">
      <c r="A199" s="424"/>
      <c r="B199" s="384"/>
      <c r="C199" s="245"/>
      <c r="F199" s="408"/>
      <c r="J199" s="582"/>
      <c r="L199" s="583"/>
      <c r="N199" s="420"/>
      <c r="AP199" s="582"/>
    </row>
    <row r="200" spans="1:42" ht="14.25">
      <c r="A200" s="424"/>
      <c r="B200" s="384"/>
      <c r="C200" s="245"/>
      <c r="F200" s="408"/>
      <c r="J200" s="582"/>
      <c r="L200" s="583"/>
      <c r="N200" s="420"/>
      <c r="AP200" s="582"/>
    </row>
    <row r="201" spans="1:42" ht="14.25">
      <c r="A201" s="424"/>
      <c r="B201" s="384"/>
      <c r="C201" s="245"/>
      <c r="F201" s="408"/>
      <c r="J201" s="582"/>
      <c r="L201" s="583"/>
      <c r="N201" s="420"/>
      <c r="AP201" s="582"/>
    </row>
    <row r="202" spans="1:42" ht="14.25">
      <c r="A202" s="424"/>
      <c r="B202" s="384"/>
      <c r="C202" s="245"/>
      <c r="F202" s="408"/>
      <c r="J202" s="582"/>
      <c r="L202" s="583"/>
      <c r="N202" s="420"/>
      <c r="AP202" s="582"/>
    </row>
    <row r="203" spans="1:42" ht="14.25">
      <c r="A203" s="424"/>
      <c r="B203" s="384"/>
      <c r="C203" s="245"/>
      <c r="F203" s="408"/>
      <c r="J203" s="582"/>
      <c r="L203" s="583"/>
      <c r="N203" s="420"/>
      <c r="AP203" s="582"/>
    </row>
    <row r="204" spans="1:42" ht="14.25">
      <c r="A204" s="424"/>
      <c r="B204" s="384"/>
      <c r="C204" s="245"/>
      <c r="F204" s="408"/>
      <c r="J204" s="582"/>
      <c r="L204" s="583"/>
      <c r="N204" s="420"/>
      <c r="AP204" s="582"/>
    </row>
    <row r="205" spans="1:42" ht="14.25">
      <c r="A205" s="424"/>
      <c r="B205" s="384"/>
      <c r="C205" s="245"/>
      <c r="F205" s="408"/>
      <c r="J205" s="582"/>
      <c r="L205" s="583"/>
      <c r="N205" s="420"/>
      <c r="AP205" s="582"/>
    </row>
    <row r="206" spans="1:42" ht="14.25">
      <c r="A206" s="424"/>
      <c r="B206" s="384"/>
      <c r="C206" s="245"/>
      <c r="F206" s="408"/>
      <c r="J206" s="582"/>
      <c r="L206" s="583"/>
      <c r="N206" s="420"/>
      <c r="AP206" s="582"/>
    </row>
    <row r="207" spans="1:42" ht="14.25">
      <c r="A207" s="424"/>
      <c r="B207" s="384"/>
      <c r="C207" s="245"/>
      <c r="F207" s="408"/>
      <c r="J207" s="582"/>
      <c r="L207" s="583"/>
      <c r="N207" s="420"/>
      <c r="AP207" s="582"/>
    </row>
    <row r="208" spans="1:42" ht="14.25">
      <c r="A208" s="424"/>
      <c r="B208" s="384"/>
      <c r="C208" s="245"/>
      <c r="F208" s="408"/>
      <c r="J208" s="582"/>
      <c r="L208" s="583"/>
      <c r="N208" s="420"/>
      <c r="AP208" s="582"/>
    </row>
    <row r="209" spans="1:42" ht="14.25">
      <c r="A209" s="424"/>
      <c r="B209" s="384"/>
      <c r="C209" s="245"/>
      <c r="F209" s="408"/>
      <c r="J209" s="582"/>
      <c r="L209" s="583"/>
      <c r="N209" s="420"/>
      <c r="AP209" s="582"/>
    </row>
    <row r="210" spans="1:42" ht="14.25">
      <c r="A210" s="424"/>
      <c r="B210" s="384"/>
      <c r="C210" s="245"/>
      <c r="F210" s="408"/>
      <c r="J210" s="582"/>
      <c r="L210" s="583"/>
      <c r="N210" s="420"/>
      <c r="AP210" s="582"/>
    </row>
    <row r="211" spans="1:42" ht="14.25">
      <c r="A211" s="424"/>
      <c r="B211" s="384"/>
      <c r="C211" s="245"/>
      <c r="F211" s="408"/>
      <c r="J211" s="582"/>
      <c r="L211" s="583"/>
      <c r="N211" s="420"/>
      <c r="AP211" s="582"/>
    </row>
    <row r="212" spans="1:42" ht="14.25">
      <c r="A212" s="424"/>
      <c r="B212" s="384"/>
      <c r="C212" s="245"/>
      <c r="F212" s="408"/>
      <c r="J212" s="582"/>
      <c r="L212" s="583"/>
      <c r="N212" s="420"/>
      <c r="AP212" s="582"/>
    </row>
    <row r="213" spans="1:42" ht="14.25">
      <c r="A213" s="424"/>
      <c r="B213" s="384"/>
      <c r="C213" s="245"/>
      <c r="F213" s="408"/>
      <c r="J213" s="582"/>
      <c r="L213" s="583"/>
      <c r="N213" s="420"/>
      <c r="AP213" s="582"/>
    </row>
    <row r="214" spans="1:42" ht="14.25">
      <c r="A214" s="424"/>
      <c r="B214" s="384"/>
      <c r="C214" s="245"/>
      <c r="F214" s="408"/>
      <c r="J214" s="582"/>
      <c r="L214" s="583"/>
      <c r="N214" s="420"/>
      <c r="AP214" s="582"/>
    </row>
    <row r="215" spans="1:42" ht="14.25">
      <c r="A215" s="424"/>
      <c r="B215" s="384"/>
      <c r="C215" s="245"/>
      <c r="F215" s="408"/>
      <c r="J215" s="582"/>
      <c r="L215" s="583"/>
      <c r="N215" s="420"/>
      <c r="AP215" s="582"/>
    </row>
    <row r="216" spans="1:42" ht="14.25">
      <c r="A216" s="424"/>
      <c r="B216" s="384"/>
      <c r="C216" s="245"/>
      <c r="F216" s="408"/>
      <c r="J216" s="582"/>
      <c r="L216" s="583"/>
      <c r="N216" s="420"/>
      <c r="AP216" s="582"/>
    </row>
    <row r="217" spans="1:55" ht="14.25">
      <c r="A217" s="424"/>
      <c r="B217" s="384"/>
      <c r="C217" s="245"/>
      <c r="F217" s="408"/>
      <c r="J217" s="582"/>
      <c r="L217" s="583"/>
      <c r="N217" s="420"/>
      <c r="AP217" s="582"/>
      <c r="BB217" s="424"/>
      <c r="BC217" s="373"/>
    </row>
    <row r="218" spans="1:55" ht="14.25">
      <c r="A218" s="424"/>
      <c r="B218" s="384"/>
      <c r="C218" s="245"/>
      <c r="F218" s="408"/>
      <c r="J218" s="582"/>
      <c r="L218" s="583"/>
      <c r="N218" s="420"/>
      <c r="AP218" s="582"/>
      <c r="BB218" s="424"/>
      <c r="BC218" s="373"/>
    </row>
    <row r="219" spans="1:55" ht="14.25">
      <c r="A219" s="424"/>
      <c r="B219" s="384"/>
      <c r="C219" s="245"/>
      <c r="F219" s="408"/>
      <c r="J219" s="582"/>
      <c r="L219" s="583"/>
      <c r="N219" s="420"/>
      <c r="AP219" s="557"/>
      <c r="BB219" s="424"/>
      <c r="BC219" s="373"/>
    </row>
    <row r="220" spans="1:55" ht="14.25">
      <c r="A220" s="424"/>
      <c r="B220" s="384"/>
      <c r="C220" s="245"/>
      <c r="F220" s="408"/>
      <c r="J220" s="582"/>
      <c r="L220" s="583"/>
      <c r="N220" s="420"/>
      <c r="AP220" s="582"/>
      <c r="BB220" s="424"/>
      <c r="BC220" s="444"/>
    </row>
    <row r="221" spans="1:42" ht="14.25">
      <c r="A221" s="424"/>
      <c r="B221" s="384"/>
      <c r="C221" s="245"/>
      <c r="F221" s="408"/>
      <c r="J221" s="582"/>
      <c r="L221" s="583"/>
      <c r="N221" s="420"/>
      <c r="AP221" s="582"/>
    </row>
    <row r="222" spans="1:42" ht="14.25">
      <c r="A222" s="424"/>
      <c r="B222" s="384"/>
      <c r="C222" s="245"/>
      <c r="F222" s="408"/>
      <c r="J222" s="582"/>
      <c r="L222" s="583"/>
      <c r="N222" s="420"/>
      <c r="AP222" s="582"/>
    </row>
    <row r="223" spans="1:42" ht="14.25">
      <c r="A223" s="424"/>
      <c r="B223" s="384"/>
      <c r="C223" s="245"/>
      <c r="F223" s="408"/>
      <c r="J223" s="582"/>
      <c r="L223" s="583"/>
      <c r="N223" s="420"/>
      <c r="AP223" s="582"/>
    </row>
    <row r="224" spans="1:42" ht="14.25">
      <c r="A224" s="424"/>
      <c r="B224" s="384"/>
      <c r="C224" s="245"/>
      <c r="F224" s="408"/>
      <c r="J224" s="582"/>
      <c r="L224" s="583"/>
      <c r="N224" s="420"/>
      <c r="AP224" s="582"/>
    </row>
    <row r="225" spans="1:42" ht="14.25">
      <c r="A225" s="424"/>
      <c r="B225" s="384"/>
      <c r="C225" s="245"/>
      <c r="F225" s="408"/>
      <c r="J225" s="582"/>
      <c r="L225" s="583"/>
      <c r="N225" s="420"/>
      <c r="AP225" s="582"/>
    </row>
    <row r="226" spans="1:42" ht="14.25">
      <c r="A226" s="424"/>
      <c r="B226" s="384"/>
      <c r="C226" s="245"/>
      <c r="F226" s="408"/>
      <c r="J226" s="582"/>
      <c r="L226" s="583"/>
      <c r="N226" s="420"/>
      <c r="AP226" s="582"/>
    </row>
    <row r="227" spans="1:42" ht="14.25">
      <c r="A227" s="424"/>
      <c r="B227" s="384"/>
      <c r="C227" s="245"/>
      <c r="F227" s="408"/>
      <c r="J227" s="582"/>
      <c r="L227" s="583"/>
      <c r="N227" s="420"/>
      <c r="AP227" s="557"/>
    </row>
    <row r="228" spans="1:42" ht="14.25">
      <c r="A228" s="424"/>
      <c r="B228" s="384"/>
      <c r="C228" s="245"/>
      <c r="F228" s="408"/>
      <c r="J228" s="582"/>
      <c r="L228" s="583"/>
      <c r="N228" s="420"/>
      <c r="AP228" s="582"/>
    </row>
    <row r="229" spans="1:42" ht="14.25">
      <c r="A229" s="424"/>
      <c r="B229" s="384"/>
      <c r="C229" s="245"/>
      <c r="F229" s="408"/>
      <c r="J229" s="582"/>
      <c r="L229" s="583"/>
      <c r="N229" s="420"/>
      <c r="AP229" s="582"/>
    </row>
    <row r="230" spans="1:42" ht="14.25">
      <c r="A230" s="424"/>
      <c r="B230" s="384"/>
      <c r="C230" s="245"/>
      <c r="F230" s="408"/>
      <c r="J230" s="582"/>
      <c r="L230" s="583"/>
      <c r="N230" s="420"/>
      <c r="AP230" s="582"/>
    </row>
    <row r="231" spans="1:69" s="373" customFormat="1" ht="15">
      <c r="A231" s="384"/>
      <c r="B231" s="384"/>
      <c r="C231" s="415"/>
      <c r="E231" s="565"/>
      <c r="F231" s="398"/>
      <c r="I231" s="417"/>
      <c r="J231" s="602"/>
      <c r="K231" s="418"/>
      <c r="L231" s="419"/>
      <c r="M231" s="407"/>
      <c r="N231" s="564"/>
      <c r="P231" s="421"/>
      <c r="Q231" s="422"/>
      <c r="R231" s="423"/>
      <c r="S231" s="384"/>
      <c r="T231" s="392"/>
      <c r="V231" s="392"/>
      <c r="Y231" s="412"/>
      <c r="AA231" s="412"/>
      <c r="AC231" s="412"/>
      <c r="AD231" s="603"/>
      <c r="AE231" s="423"/>
      <c r="AF231" s="407"/>
      <c r="AG231" s="382"/>
      <c r="AH231" s="382"/>
      <c r="AI231" s="382"/>
      <c r="AK231" s="384"/>
      <c r="AL231" s="384"/>
      <c r="AM231" s="426"/>
      <c r="AN231" s="604"/>
      <c r="AO231" s="384"/>
      <c r="AP231" s="557"/>
      <c r="AQ231" s="423"/>
      <c r="AR231" s="423"/>
      <c r="AS231" s="605"/>
      <c r="AT231" s="423"/>
      <c r="AU231" s="423"/>
      <c r="AV231" s="429"/>
      <c r="AW231" s="423"/>
      <c r="AX231" s="430"/>
      <c r="AY231" s="430"/>
      <c r="AZ231" s="411"/>
      <c r="BA231" s="411"/>
      <c r="BB231" s="424"/>
      <c r="BF231" s="424"/>
      <c r="BG231" s="419"/>
      <c r="BH231" s="419"/>
      <c r="BI231" s="419"/>
      <c r="BL231" s="268"/>
      <c r="BN231" s="407"/>
      <c r="BP231" s="393"/>
      <c r="BQ231" s="372"/>
    </row>
    <row r="232" spans="1:42" ht="14.25">
      <c r="A232" s="424"/>
      <c r="B232" s="384"/>
      <c r="C232" s="245"/>
      <c r="F232" s="408"/>
      <c r="J232" s="582"/>
      <c r="L232" s="583"/>
      <c r="N232" s="420"/>
      <c r="AP232" s="582"/>
    </row>
    <row r="233" spans="1:42" ht="14.25">
      <c r="A233" s="424"/>
      <c r="B233" s="384"/>
      <c r="C233" s="245"/>
      <c r="F233" s="408"/>
      <c r="J233" s="582"/>
      <c r="L233" s="583"/>
      <c r="N233" s="420"/>
      <c r="AP233" s="582"/>
    </row>
    <row r="234" spans="1:42" ht="14.25">
      <c r="A234" s="424"/>
      <c r="B234" s="384"/>
      <c r="C234" s="245"/>
      <c r="F234" s="408"/>
      <c r="J234" s="582"/>
      <c r="L234" s="583"/>
      <c r="N234" s="420"/>
      <c r="AP234" s="582"/>
    </row>
    <row r="235" spans="1:50" ht="14.25">
      <c r="A235" s="424"/>
      <c r="B235" s="384"/>
      <c r="C235" s="245"/>
      <c r="F235" s="408"/>
      <c r="J235" s="582"/>
      <c r="L235" s="583"/>
      <c r="N235" s="420"/>
      <c r="AP235" s="582"/>
      <c r="AX235" s="585"/>
    </row>
    <row r="236" spans="1:42" ht="14.25">
      <c r="A236" s="424"/>
      <c r="B236" s="384"/>
      <c r="C236" s="245"/>
      <c r="F236" s="408"/>
      <c r="J236" s="582"/>
      <c r="L236" s="583"/>
      <c r="N236" s="420"/>
      <c r="AP236" s="582"/>
    </row>
    <row r="237" spans="1:69" s="373" customFormat="1" ht="12.75" customHeight="1">
      <c r="A237" s="424"/>
      <c r="B237" s="384"/>
      <c r="F237" s="408"/>
      <c r="J237" s="582"/>
      <c r="K237" s="418"/>
      <c r="L237" s="583"/>
      <c r="M237" s="407"/>
      <c r="N237" s="420"/>
      <c r="P237" s="421"/>
      <c r="R237" s="423"/>
      <c r="T237" s="392"/>
      <c r="V237" s="392"/>
      <c r="Y237" s="412"/>
      <c r="AA237" s="412"/>
      <c r="AC237" s="412"/>
      <c r="AE237" s="407"/>
      <c r="AF237" s="407"/>
      <c r="AG237" s="382"/>
      <c r="AH237" s="382"/>
      <c r="AI237" s="382"/>
      <c r="AK237" s="384"/>
      <c r="AL237" s="384"/>
      <c r="AM237" s="424"/>
      <c r="AN237" s="427"/>
      <c r="AO237" s="384"/>
      <c r="AP237" s="582"/>
      <c r="AQ237" s="423"/>
      <c r="AR237" s="423"/>
      <c r="AT237" s="423"/>
      <c r="AU237" s="423"/>
      <c r="AV237" s="423"/>
      <c r="AW237" s="423"/>
      <c r="AX237" s="423"/>
      <c r="AY237" s="423"/>
      <c r="AZ237" s="411"/>
      <c r="BA237" s="411"/>
      <c r="BB237" s="424"/>
      <c r="BF237" s="424"/>
      <c r="BG237" s="419"/>
      <c r="BH237" s="419"/>
      <c r="BI237" s="419"/>
      <c r="BL237" s="268"/>
      <c r="BN237" s="407"/>
      <c r="BP237" s="393"/>
      <c r="BQ237" s="372"/>
    </row>
    <row r="238" spans="1:42" ht="14.25">
      <c r="A238" s="424"/>
      <c r="B238" s="384"/>
      <c r="C238" s="245"/>
      <c r="F238" s="408"/>
      <c r="J238" s="582"/>
      <c r="L238" s="583"/>
      <c r="N238" s="420"/>
      <c r="AP238" s="582"/>
    </row>
    <row r="239" spans="1:42" ht="14.25">
      <c r="A239" s="424"/>
      <c r="B239" s="384"/>
      <c r="C239" s="245"/>
      <c r="F239" s="408"/>
      <c r="J239" s="582"/>
      <c r="L239" s="583"/>
      <c r="N239" s="420"/>
      <c r="AP239" s="582"/>
    </row>
    <row r="240" spans="1:42" ht="14.25">
      <c r="A240" s="424"/>
      <c r="B240" s="384"/>
      <c r="C240" s="245"/>
      <c r="F240" s="408"/>
      <c r="J240" s="582"/>
      <c r="L240" s="583"/>
      <c r="N240" s="420"/>
      <c r="AP240" s="582"/>
    </row>
    <row r="241" spans="1:42" ht="14.25">
      <c r="A241" s="424"/>
      <c r="B241" s="384"/>
      <c r="C241" s="245"/>
      <c r="F241" s="408"/>
      <c r="J241" s="582"/>
      <c r="L241" s="583"/>
      <c r="N241" s="420"/>
      <c r="AP241" s="582"/>
    </row>
    <row r="242" spans="1:50" ht="14.25">
      <c r="A242" s="424"/>
      <c r="B242" s="384"/>
      <c r="C242" s="245"/>
      <c r="F242" s="408"/>
      <c r="J242" s="582"/>
      <c r="L242" s="583"/>
      <c r="N242" s="420"/>
      <c r="AP242" s="582"/>
      <c r="AX242" s="585"/>
    </row>
    <row r="243" spans="1:50" ht="14.25">
      <c r="A243" s="424"/>
      <c r="B243" s="384"/>
      <c r="C243" s="245"/>
      <c r="F243" s="408"/>
      <c r="J243" s="582"/>
      <c r="L243" s="583"/>
      <c r="N243" s="420"/>
      <c r="AP243" s="582"/>
      <c r="AX243" s="585"/>
    </row>
    <row r="244" spans="1:42" ht="14.25">
      <c r="A244" s="424"/>
      <c r="B244" s="384"/>
      <c r="C244" s="245"/>
      <c r="F244" s="408"/>
      <c r="J244" s="582"/>
      <c r="L244" s="583"/>
      <c r="N244" s="420"/>
      <c r="AP244" s="582"/>
    </row>
    <row r="245" spans="1:42" ht="14.25">
      <c r="A245" s="424"/>
      <c r="B245" s="384"/>
      <c r="C245" s="245"/>
      <c r="F245" s="408"/>
      <c r="J245" s="582"/>
      <c r="L245" s="583"/>
      <c r="N245" s="420"/>
      <c r="AP245" s="582"/>
    </row>
    <row r="246" spans="1:42" ht="14.25">
      <c r="A246" s="424"/>
      <c r="B246" s="384"/>
      <c r="C246" s="245"/>
      <c r="F246" s="408"/>
      <c r="J246" s="582"/>
      <c r="L246" s="583"/>
      <c r="N246" s="420"/>
      <c r="AP246" s="582"/>
    </row>
    <row r="247" spans="1:42" ht="14.25">
      <c r="A247" s="424"/>
      <c r="B247" s="384"/>
      <c r="C247" s="245"/>
      <c r="F247" s="408"/>
      <c r="J247" s="582"/>
      <c r="L247" s="583"/>
      <c r="N247" s="420"/>
      <c r="AP247" s="582"/>
    </row>
    <row r="248" spans="1:42" ht="14.25">
      <c r="A248" s="424"/>
      <c r="B248" s="384"/>
      <c r="C248" s="606"/>
      <c r="F248" s="408"/>
      <c r="J248" s="582"/>
      <c r="L248" s="583"/>
      <c r="N248" s="420"/>
      <c r="AP248" s="582"/>
    </row>
    <row r="249" spans="1:42" ht="14.25">
      <c r="A249" s="424"/>
      <c r="B249" s="384"/>
      <c r="C249" s="245"/>
      <c r="F249" s="408"/>
      <c r="J249" s="582"/>
      <c r="L249" s="583"/>
      <c r="N249" s="420"/>
      <c r="AP249" s="582"/>
    </row>
    <row r="250" spans="1:42" ht="14.25">
      <c r="A250" s="424"/>
      <c r="B250" s="384"/>
      <c r="C250" s="245"/>
      <c r="F250" s="408"/>
      <c r="J250" s="582"/>
      <c r="L250" s="583"/>
      <c r="N250" s="420"/>
      <c r="AP250" s="582"/>
    </row>
    <row r="251" spans="1:42" ht="14.25">
      <c r="A251" s="424"/>
      <c r="B251" s="384"/>
      <c r="C251" s="245"/>
      <c r="F251" s="408"/>
      <c r="J251" s="582"/>
      <c r="L251" s="583"/>
      <c r="N251" s="420"/>
      <c r="AP251" s="582"/>
    </row>
    <row r="252" spans="1:42" ht="14.25">
      <c r="A252" s="424"/>
      <c r="B252" s="384"/>
      <c r="C252" s="245"/>
      <c r="F252" s="408"/>
      <c r="J252" s="582"/>
      <c r="L252" s="583"/>
      <c r="N252" s="420"/>
      <c r="AP252" s="582"/>
    </row>
    <row r="253" spans="1:42" ht="14.25">
      <c r="A253" s="424"/>
      <c r="B253" s="384"/>
      <c r="C253" s="245"/>
      <c r="F253" s="408"/>
      <c r="J253" s="582"/>
      <c r="L253" s="583"/>
      <c r="N253" s="420"/>
      <c r="AP253" s="582"/>
    </row>
    <row r="254" spans="1:42" ht="14.25">
      <c r="A254" s="424"/>
      <c r="B254" s="384"/>
      <c r="C254" s="245"/>
      <c r="F254" s="408"/>
      <c r="J254" s="582"/>
      <c r="L254" s="583"/>
      <c r="N254" s="420"/>
      <c r="AP254" s="582"/>
    </row>
    <row r="255" spans="1:42" ht="14.25">
      <c r="A255" s="424"/>
      <c r="B255" s="384"/>
      <c r="C255" s="245"/>
      <c r="F255" s="408"/>
      <c r="J255" s="582"/>
      <c r="L255" s="583"/>
      <c r="N255" s="420"/>
      <c r="AP255" s="582"/>
    </row>
    <row r="256" spans="1:42" ht="14.25">
      <c r="A256" s="424"/>
      <c r="B256" s="384"/>
      <c r="C256" s="245"/>
      <c r="F256" s="408"/>
      <c r="J256" s="582"/>
      <c r="L256" s="583"/>
      <c r="N256" s="420"/>
      <c r="AP256" s="582"/>
    </row>
    <row r="257" spans="1:42" ht="14.25">
      <c r="A257" s="424"/>
      <c r="B257" s="384"/>
      <c r="C257" s="245"/>
      <c r="F257" s="408"/>
      <c r="J257" s="582"/>
      <c r="L257" s="583"/>
      <c r="N257" s="420"/>
      <c r="AP257" s="582"/>
    </row>
    <row r="258" spans="1:42" ht="14.25">
      <c r="A258" s="424"/>
      <c r="B258" s="384"/>
      <c r="C258" s="245"/>
      <c r="F258" s="408"/>
      <c r="J258" s="582"/>
      <c r="L258" s="583"/>
      <c r="N258" s="420"/>
      <c r="AP258" s="582"/>
    </row>
    <row r="259" spans="1:42" ht="14.25">
      <c r="A259" s="424"/>
      <c r="B259" s="384"/>
      <c r="C259" s="245"/>
      <c r="F259" s="408"/>
      <c r="J259" s="582"/>
      <c r="L259" s="583"/>
      <c r="N259" s="420"/>
      <c r="AP259" s="582"/>
    </row>
    <row r="260" spans="1:42" ht="14.25">
      <c r="A260" s="424"/>
      <c r="B260" s="384"/>
      <c r="C260" s="245"/>
      <c r="F260" s="408"/>
      <c r="J260" s="582"/>
      <c r="L260" s="583"/>
      <c r="N260" s="420"/>
      <c r="AP260" s="582"/>
    </row>
    <row r="261" spans="1:42" ht="14.25">
      <c r="A261" s="424"/>
      <c r="B261" s="384"/>
      <c r="C261" s="245"/>
      <c r="F261" s="408"/>
      <c r="J261" s="582"/>
      <c r="L261" s="583"/>
      <c r="N261" s="420"/>
      <c r="AP261" s="582"/>
    </row>
    <row r="262" spans="1:42" ht="14.25">
      <c r="A262" s="424"/>
      <c r="B262" s="384"/>
      <c r="C262" s="245"/>
      <c r="F262" s="408"/>
      <c r="J262" s="582"/>
      <c r="L262" s="583"/>
      <c r="N262" s="420"/>
      <c r="AP262" s="582"/>
    </row>
    <row r="263" spans="1:42" ht="14.25">
      <c r="A263" s="424"/>
      <c r="B263" s="384"/>
      <c r="C263" s="245"/>
      <c r="F263" s="408"/>
      <c r="J263" s="582"/>
      <c r="L263" s="583"/>
      <c r="N263" s="420"/>
      <c r="AP263" s="601"/>
    </row>
    <row r="264" spans="1:42" ht="14.25">
      <c r="A264" s="424"/>
      <c r="B264" s="384"/>
      <c r="C264" s="245"/>
      <c r="F264" s="408"/>
      <c r="J264" s="582"/>
      <c r="L264" s="583"/>
      <c r="N264" s="420"/>
      <c r="AP264" s="582"/>
    </row>
    <row r="265" spans="1:42" ht="14.25">
      <c r="A265" s="424"/>
      <c r="B265" s="384"/>
      <c r="C265" s="245"/>
      <c r="F265" s="408"/>
      <c r="J265" s="582"/>
      <c r="L265" s="583"/>
      <c r="N265" s="420"/>
      <c r="AP265" s="582"/>
    </row>
    <row r="266" spans="1:42" ht="14.25">
      <c r="A266" s="424"/>
      <c r="B266" s="384"/>
      <c r="C266" s="245"/>
      <c r="F266" s="408"/>
      <c r="J266" s="582"/>
      <c r="L266" s="583"/>
      <c r="N266" s="420"/>
      <c r="AP266" s="582"/>
    </row>
    <row r="267" spans="1:42" ht="14.25">
      <c r="A267" s="424"/>
      <c r="B267" s="384"/>
      <c r="C267" s="245"/>
      <c r="F267" s="408"/>
      <c r="J267" s="582"/>
      <c r="L267" s="583"/>
      <c r="N267" s="420"/>
      <c r="AP267" s="582"/>
    </row>
    <row r="268" spans="1:42" ht="14.25">
      <c r="A268" s="424"/>
      <c r="B268" s="384"/>
      <c r="C268" s="245"/>
      <c r="F268" s="408"/>
      <c r="J268" s="582"/>
      <c r="L268" s="583"/>
      <c r="N268" s="420"/>
      <c r="AP268" s="582"/>
    </row>
    <row r="269" spans="1:42" ht="14.25">
      <c r="A269" s="424"/>
      <c r="B269" s="384"/>
      <c r="C269" s="245"/>
      <c r="F269" s="408"/>
      <c r="J269" s="582"/>
      <c r="L269" s="583"/>
      <c r="N269" s="420"/>
      <c r="AP269" s="582"/>
    </row>
    <row r="270" spans="1:42" ht="14.25">
      <c r="A270" s="424"/>
      <c r="B270" s="384"/>
      <c r="C270" s="245"/>
      <c r="F270" s="408"/>
      <c r="J270" s="582"/>
      <c r="L270" s="607"/>
      <c r="N270" s="420"/>
      <c r="AP270" s="582"/>
    </row>
    <row r="271" spans="1:53" ht="14.25">
      <c r="A271" s="424"/>
      <c r="B271" s="384"/>
      <c r="C271" s="587"/>
      <c r="D271" s="588"/>
      <c r="E271" s="589"/>
      <c r="F271" s="408"/>
      <c r="G271" s="373"/>
      <c r="H271" s="590"/>
      <c r="I271" s="591"/>
      <c r="J271" s="582"/>
      <c r="K271" s="418"/>
      <c r="L271" s="583"/>
      <c r="M271" s="588"/>
      <c r="N271" s="420"/>
      <c r="O271" s="373"/>
      <c r="P271" s="592"/>
      <c r="Q271" s="593"/>
      <c r="R271" s="423"/>
      <c r="S271" s="373"/>
      <c r="T271" s="392"/>
      <c r="U271" s="373"/>
      <c r="V271" s="392"/>
      <c r="W271" s="373"/>
      <c r="X271" s="373"/>
      <c r="Y271" s="412"/>
      <c r="Z271" s="373"/>
      <c r="AA271" s="412"/>
      <c r="AB271" s="373"/>
      <c r="AC271" s="412"/>
      <c r="AD271" s="373"/>
      <c r="AF271" s="407"/>
      <c r="AG271" s="382"/>
      <c r="AH271" s="382"/>
      <c r="AI271" s="382"/>
      <c r="AJ271" s="382"/>
      <c r="AK271" s="556"/>
      <c r="AL271" s="384"/>
      <c r="AM271" s="427"/>
      <c r="AN271" s="427"/>
      <c r="AO271" s="384"/>
      <c r="AP271" s="444"/>
      <c r="AQ271" s="423"/>
      <c r="AR271" s="423"/>
      <c r="AS271" s="373"/>
      <c r="AT271" s="423"/>
      <c r="AU271" s="423"/>
      <c r="AV271" s="433"/>
      <c r="AX271" s="430"/>
      <c r="AY271" s="430"/>
      <c r="BA271" s="411"/>
    </row>
    <row r="272" spans="1:53" ht="14.25">
      <c r="A272" s="424"/>
      <c r="B272" s="384"/>
      <c r="C272" s="587"/>
      <c r="D272" s="588"/>
      <c r="E272" s="589"/>
      <c r="F272" s="408"/>
      <c r="G272" s="373"/>
      <c r="H272" s="590"/>
      <c r="I272" s="591"/>
      <c r="J272" s="582"/>
      <c r="K272" s="418"/>
      <c r="L272" s="583"/>
      <c r="M272" s="588"/>
      <c r="N272" s="420"/>
      <c r="O272" s="373"/>
      <c r="P272" s="592"/>
      <c r="Q272" s="593"/>
      <c r="R272" s="423"/>
      <c r="S272" s="373"/>
      <c r="T272" s="392"/>
      <c r="U272" s="373"/>
      <c r="V272" s="392"/>
      <c r="W272" s="373"/>
      <c r="X272" s="373"/>
      <c r="Y272" s="412"/>
      <c r="Z272" s="373"/>
      <c r="AA272" s="412"/>
      <c r="AB272" s="373"/>
      <c r="AC272" s="412"/>
      <c r="AD272" s="373"/>
      <c r="AF272" s="407"/>
      <c r="AG272" s="382"/>
      <c r="AH272" s="382"/>
      <c r="AI272" s="382"/>
      <c r="AJ272" s="382"/>
      <c r="AK272" s="556"/>
      <c r="AL272" s="384"/>
      <c r="AM272" s="427"/>
      <c r="AN272" s="427"/>
      <c r="AO272" s="384"/>
      <c r="AP272" s="444"/>
      <c r="AQ272" s="423"/>
      <c r="AR272" s="423"/>
      <c r="AS272" s="373"/>
      <c r="AT272" s="423"/>
      <c r="AU272" s="423"/>
      <c r="AV272" s="433"/>
      <c r="AX272" s="430"/>
      <c r="AY272" s="430"/>
      <c r="BA272" s="411"/>
    </row>
    <row r="273" spans="1:53" ht="14.25">
      <c r="A273" s="424"/>
      <c r="B273" s="384"/>
      <c r="C273" s="608"/>
      <c r="D273" s="588"/>
      <c r="E273" s="589"/>
      <c r="F273" s="408"/>
      <c r="G273" s="373"/>
      <c r="H273" s="590"/>
      <c r="I273" s="591"/>
      <c r="J273" s="582"/>
      <c r="K273" s="418"/>
      <c r="L273" s="583"/>
      <c r="M273" s="609"/>
      <c r="N273" s="420"/>
      <c r="O273" s="373"/>
      <c r="P273" s="592"/>
      <c r="Q273" s="422"/>
      <c r="R273" s="423"/>
      <c r="S273" s="373"/>
      <c r="T273" s="392"/>
      <c r="U273" s="373"/>
      <c r="V273" s="392"/>
      <c r="W273" s="373"/>
      <c r="X273" s="373"/>
      <c r="Y273" s="412"/>
      <c r="Z273" s="407"/>
      <c r="AA273" s="412"/>
      <c r="AB273" s="407"/>
      <c r="AC273" s="412"/>
      <c r="AD273" s="373"/>
      <c r="AF273" s="407"/>
      <c r="AG273" s="382"/>
      <c r="AH273" s="382"/>
      <c r="AI273" s="382"/>
      <c r="AJ273" s="382"/>
      <c r="AK273" s="556"/>
      <c r="AL273" s="384"/>
      <c r="AM273" s="427"/>
      <c r="AN273" s="427"/>
      <c r="AO273" s="384"/>
      <c r="AP273" s="444"/>
      <c r="AQ273" s="423"/>
      <c r="AR273" s="423"/>
      <c r="AS273" s="373"/>
      <c r="AT273" s="423"/>
      <c r="AU273" s="423"/>
      <c r="AV273" s="433"/>
      <c r="AX273" s="430"/>
      <c r="AY273" s="430"/>
      <c r="BA273" s="411"/>
    </row>
    <row r="274" spans="1:14" ht="15">
      <c r="A274" s="424"/>
      <c r="B274" s="384"/>
      <c r="F274" s="408"/>
      <c r="N274" s="420"/>
    </row>
    <row r="275" spans="1:50" ht="15">
      <c r="A275" s="424"/>
      <c r="F275" s="408"/>
      <c r="M275" s="584"/>
      <c r="N275" s="420"/>
      <c r="AP275" s="557"/>
      <c r="AX275" s="585"/>
    </row>
    <row r="276" spans="6:50" ht="15">
      <c r="F276" s="408"/>
      <c r="N276" s="420"/>
      <c r="AX276" s="585"/>
    </row>
    <row r="277" spans="6:50" ht="15">
      <c r="F277" s="408"/>
      <c r="N277" s="420"/>
      <c r="AX277" s="585"/>
    </row>
    <row r="278" spans="6:14" ht="15">
      <c r="F278" s="408"/>
      <c r="N278" s="420"/>
    </row>
    <row r="279" spans="6:14" ht="15">
      <c r="F279" s="408"/>
      <c r="N279" s="420"/>
    </row>
    <row r="280" spans="6:14" ht="15">
      <c r="F280" s="408"/>
      <c r="N280" s="420"/>
    </row>
    <row r="281" spans="6:14" ht="15">
      <c r="F281" s="408"/>
      <c r="N281" s="420"/>
    </row>
    <row r="282" spans="6:14" ht="15">
      <c r="F282" s="408"/>
      <c r="N282" s="420"/>
    </row>
    <row r="283" spans="6:14" ht="15">
      <c r="F283" s="408"/>
      <c r="N283" s="420"/>
    </row>
    <row r="284" spans="6:14" ht="15">
      <c r="F284" s="408"/>
      <c r="N284" s="420"/>
    </row>
    <row r="285" spans="6:14" ht="15">
      <c r="F285" s="408"/>
      <c r="N285" s="420"/>
    </row>
    <row r="286" spans="6:14" ht="15">
      <c r="F286" s="408"/>
      <c r="N286" s="420"/>
    </row>
    <row r="287" spans="1:53" ht="15">
      <c r="A287" s="445"/>
      <c r="B287" s="445"/>
      <c r="C287" s="446"/>
      <c r="D287" s="445"/>
      <c r="E287" s="445"/>
      <c r="F287" s="408"/>
      <c r="G287" s="445"/>
      <c r="H287" s="445"/>
      <c r="I287" s="445"/>
      <c r="J287" s="447"/>
      <c r="K287" s="448"/>
      <c r="L287" s="449"/>
      <c r="M287" s="327"/>
      <c r="N287" s="450"/>
      <c r="O287" s="445"/>
      <c r="P287" s="451"/>
      <c r="Q287" s="445"/>
      <c r="R287" s="337"/>
      <c r="S287" s="445"/>
      <c r="T287" s="328"/>
      <c r="U287" s="445"/>
      <c r="V287" s="328"/>
      <c r="W287" s="445"/>
      <c r="X287" s="445"/>
      <c r="Y287" s="452"/>
      <c r="Z287" s="445"/>
      <c r="AA287" s="452"/>
      <c r="AB287" s="445"/>
      <c r="AC287" s="452"/>
      <c r="AD287" s="445"/>
      <c r="AE287" s="327"/>
      <c r="AF287" s="327"/>
      <c r="AG287" s="453"/>
      <c r="AH287" s="453"/>
      <c r="AI287" s="453"/>
      <c r="AJ287" s="445"/>
      <c r="AK287" s="454"/>
      <c r="AL287" s="454"/>
      <c r="AM287" s="455"/>
      <c r="AN287" s="456"/>
      <c r="AO287" s="454"/>
      <c r="AP287" s="445"/>
      <c r="AQ287" s="337"/>
      <c r="AR287" s="337"/>
      <c r="AS287" s="445"/>
      <c r="AT287" s="337"/>
      <c r="AU287" s="337"/>
      <c r="AV287" s="337"/>
      <c r="AW287" s="337"/>
      <c r="AX287" s="337"/>
      <c r="AY287" s="337"/>
      <c r="AZ287" s="457"/>
      <c r="BA287" s="457"/>
    </row>
    <row r="288" spans="48:49" ht="15">
      <c r="AV288" s="253">
        <v>-15</v>
      </c>
      <c r="AW288" s="253">
        <v>20</v>
      </c>
    </row>
    <row r="296" spans="48:49" ht="15">
      <c r="AV296" s="253">
        <v>-13</v>
      </c>
      <c r="AW296" s="253">
        <v>18</v>
      </c>
    </row>
    <row r="297" spans="48:52" ht="15">
      <c r="AV297" s="253">
        <v>-13</v>
      </c>
      <c r="AW297" s="253">
        <v>18</v>
      </c>
      <c r="AZ297" s="443">
        <v>1</v>
      </c>
    </row>
  </sheetData>
  <sheetProtection selectLockedCells="1" selectUnlockedCells="1"/>
  <conditionalFormatting sqref="P16:P64 P231 P5:P9">
    <cfRule type="expression" priority="1" dxfId="53" stopIfTrue="1">
      <formula>YEAR(TODAY())&gt;=YEAR(P5)</formula>
    </cfRule>
  </conditionalFormatting>
  <hyperlinks>
    <hyperlink ref="B1" location="'БАЗА ДАННЫХ'!CH1" display="'БАЗА ДАННЫХ'!CH1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>
    <tabColor indexed="45"/>
  </sheetPr>
  <dimension ref="A1:BV28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C1" sqref="C1:H1"/>
    </sheetView>
  </sheetViews>
  <sheetFormatPr defaultColWidth="9.140625" defaultRowHeight="15"/>
  <cols>
    <col min="1" max="1" width="9.421875" style="164" customWidth="1"/>
    <col min="2" max="2" width="8.421875" style="195" customWidth="1"/>
    <col min="3" max="3" width="7.421875" style="195" customWidth="1"/>
    <col min="4" max="4" width="5.28125" style="100" customWidth="1"/>
    <col min="5" max="5" width="7.57421875" style="100" customWidth="1"/>
    <col min="6" max="6" width="6.7109375" style="100" customWidth="1"/>
    <col min="7" max="7" width="7.00390625" style="100" customWidth="1"/>
    <col min="8" max="8" width="7.421875" style="100" customWidth="1"/>
    <col min="9" max="9" width="6.57421875" style="100" customWidth="1"/>
    <col min="10" max="10" width="6.28125" style="196" customWidth="1"/>
    <col min="11" max="11" width="6.140625" style="100" customWidth="1"/>
    <col min="12" max="12" width="19.00390625" style="197" customWidth="1"/>
    <col min="13" max="13" width="8.421875" style="201" customWidth="1"/>
    <col min="14" max="14" width="7.00390625" style="201" hidden="1" customWidth="1"/>
    <col min="15" max="15" width="7.28125" style="201" customWidth="1"/>
    <col min="16" max="16" width="8.140625" style="206" customWidth="1"/>
    <col min="17" max="17" width="9.8515625" style="200" hidden="1" customWidth="1"/>
    <col min="18" max="18" width="7.7109375" style="100" customWidth="1"/>
    <col min="19" max="19" width="10.140625" style="100" customWidth="1"/>
    <col min="20" max="20" width="8.7109375" style="100" customWidth="1"/>
    <col min="21" max="21" width="8.28125" style="100" customWidth="1"/>
    <col min="22" max="22" width="7.57421875" style="100" customWidth="1"/>
    <col min="23" max="23" width="8.421875" style="201" customWidth="1"/>
    <col min="24" max="24" width="8.7109375" style="201" customWidth="1"/>
    <col min="25" max="25" width="7.140625" style="201" customWidth="1"/>
    <col min="26" max="26" width="8.140625" style="201" customWidth="1"/>
    <col min="27" max="27" width="8.7109375" style="201" customWidth="1"/>
    <col min="28" max="28" width="7.421875" style="164" customWidth="1"/>
    <col min="29" max="29" width="7.7109375" style="164" customWidth="1"/>
    <col min="30" max="30" width="8.8515625" style="201" customWidth="1"/>
    <col min="31" max="31" width="7.8515625" style="201" customWidth="1"/>
    <col min="32" max="32" width="10.140625" style="201" customWidth="1"/>
    <col min="33" max="33" width="8.57421875" style="202" customWidth="1"/>
    <col min="34" max="34" width="10.28125" style="201" customWidth="1"/>
    <col min="35" max="35" width="9.28125" style="203" customWidth="1"/>
    <col min="36" max="36" width="10.57421875" style="203" bestFit="1" customWidth="1"/>
    <col min="37" max="37" width="7.57421875" style="164" customWidth="1"/>
    <col min="38" max="38" width="9.421875" style="164" customWidth="1"/>
    <col min="39" max="39" width="8.421875" style="204" customWidth="1"/>
    <col min="40" max="40" width="10.140625" style="164" bestFit="1" customWidth="1"/>
    <col min="41" max="41" width="10.57421875" style="164" bestFit="1" customWidth="1"/>
    <col min="42" max="42" width="10.140625" style="164" bestFit="1" customWidth="1"/>
    <col min="43" max="43" width="9.8515625" style="164" bestFit="1" customWidth="1"/>
    <col min="44" max="44" width="9.57421875" style="164" bestFit="1" customWidth="1"/>
    <col min="45" max="45" width="11.8515625" style="164" customWidth="1"/>
    <col min="46" max="46" width="10.421875" style="164" customWidth="1"/>
    <col min="47" max="47" width="12.140625" style="164" customWidth="1"/>
    <col min="48" max="48" width="14.57421875" style="164" customWidth="1"/>
    <col min="49" max="49" width="13.8515625" style="164" customWidth="1"/>
    <col min="50" max="50" width="10.57421875" style="164" customWidth="1"/>
    <col min="51" max="51" width="9.140625" style="164" customWidth="1"/>
    <col min="52" max="53" width="10.140625" style="164" bestFit="1" customWidth="1"/>
    <col min="54" max="54" width="9.140625" style="164" customWidth="1"/>
    <col min="55" max="55" width="10.140625" style="164" bestFit="1" customWidth="1"/>
    <col min="56" max="56" width="9.140625" style="164" customWidth="1"/>
    <col min="57" max="57" width="13.00390625" style="164" customWidth="1"/>
    <col min="58" max="58" width="9.140625" style="164" customWidth="1"/>
    <col min="59" max="59" width="9.8515625" style="164" customWidth="1"/>
    <col min="60" max="61" width="9.140625" style="164" customWidth="1"/>
    <col min="62" max="62" width="9.8515625" style="204" customWidth="1"/>
    <col min="63" max="63" width="9.28125" style="164" customWidth="1"/>
    <col min="64" max="64" width="7.7109375" style="164" customWidth="1"/>
    <col min="65" max="65" width="8.28125" style="164" customWidth="1"/>
    <col min="66" max="66" width="8.421875" style="164" customWidth="1"/>
    <col min="67" max="67" width="9.140625" style="164" customWidth="1"/>
    <col min="68" max="68" width="13.421875" style="164" bestFit="1" customWidth="1"/>
    <col min="69" max="71" width="9.140625" style="164" customWidth="1"/>
    <col min="72" max="72" width="11.28125" style="164" customWidth="1"/>
    <col min="73" max="16384" width="9.140625" style="164" customWidth="1"/>
  </cols>
  <sheetData>
    <row r="1" spans="1:74" s="20" customFormat="1" ht="17.25" customHeight="1">
      <c r="A1" s="1"/>
      <c r="B1" s="752">
        <f>INDEX('БАЗА ДАННЫХ'!$A$4:$B$370,MATCH($C$1,'БАЗА ДАННЫХ'!$B$4:$B$370,0),1)</f>
        <v>10</v>
      </c>
      <c r="C1" s="779" t="s">
        <v>292</v>
      </c>
      <c r="D1" s="779"/>
      <c r="E1" s="779"/>
      <c r="F1" s="780"/>
      <c r="G1" s="780"/>
      <c r="H1" s="780"/>
      <c r="I1" s="679"/>
      <c r="J1" s="2"/>
      <c r="K1" s="3"/>
      <c r="L1" s="4" t="str">
        <f>VLOOKUP($B$1,'БАЗА ДАННЫХ'!$A$4:$BL$380,19,0)</f>
        <v>КМ-5-2-2</v>
      </c>
      <c r="M1" s="5" t="str">
        <f>IF(VLOOKUP($B$1,'БАЗА ДАННЫХ'!$A$4:$BL$380,24,0)=0,"Водомера нет",VLOOKUP($B$1,'БАЗА ДАННЫХ'!$A$4:$BL$380,24,0))</f>
        <v>ПРЭ 32/32-В1</v>
      </c>
      <c r="N1" s="6"/>
      <c r="O1" s="680" t="str">
        <f>IF(P2="свидетельство","Была поверка в этом году",IF(VALUE(20&amp;D3)=YEAR(P2),"ПОВЕРИТЬ!-Поверка просрочена!",IF(YEAR(P2)=VALUE(20&amp;D3)+VLOOKUP(B1,'БАЗА ДАННЫХ'!A5:BL380,17,0),"Была поверка в этом году","Поверка действующая")))</f>
        <v>Поверка действующая</v>
      </c>
      <c r="P1" s="681"/>
      <c r="Q1" s="7" t="s">
        <v>0</v>
      </c>
      <c r="R1" s="682" t="s">
        <v>1</v>
      </c>
      <c r="S1" s="682" t="s">
        <v>2</v>
      </c>
      <c r="T1" s="683" t="s">
        <v>3</v>
      </c>
      <c r="U1" s="684"/>
      <c r="V1" s="685"/>
      <c r="W1" s="686"/>
      <c r="X1" s="687"/>
      <c r="Y1" s="687"/>
      <c r="Z1" s="687"/>
      <c r="AA1" s="687"/>
      <c r="AB1" s="685"/>
      <c r="AC1" s="685"/>
      <c r="AD1" s="688" t="s">
        <v>4</v>
      </c>
      <c r="AE1" s="689">
        <v>2382.8</v>
      </c>
      <c r="AF1" s="689">
        <v>2382.8</v>
      </c>
      <c r="AG1" s="753" t="str">
        <f>VLOOKUP($B$1,'БАЗА ДАННЫХ'!$A$4:$BL$380,52,FALSE)&amp;" группа"</f>
        <v>2 группа</v>
      </c>
      <c r="AH1" s="754" t="s">
        <v>5</v>
      </c>
      <c r="AI1" s="755" t="s">
        <v>6</v>
      </c>
      <c r="AJ1" s="756" t="s">
        <v>7</v>
      </c>
      <c r="AK1" s="757" t="s">
        <v>8</v>
      </c>
      <c r="AL1" s="19">
        <v>0</v>
      </c>
      <c r="AM1" s="690" t="s">
        <v>9</v>
      </c>
      <c r="AN1" s="86">
        <f>COUNTA(AO2:AO5)/2</f>
        <v>0</v>
      </c>
      <c r="AO1" s="9"/>
      <c r="AP1" s="9"/>
      <c r="AQ1" s="10"/>
      <c r="AR1" s="11"/>
      <c r="AS1" s="9"/>
      <c r="AT1" s="8"/>
      <c r="AU1" s="12"/>
      <c r="AV1" s="153"/>
      <c r="AW1" s="13"/>
      <c r="AX1" s="14"/>
      <c r="AY1" s="14"/>
      <c r="AZ1" s="14"/>
      <c r="BA1" s="15"/>
      <c r="BB1" s="14"/>
      <c r="BC1" s="14"/>
      <c r="BD1" s="16"/>
      <c r="BE1" s="17"/>
      <c r="BF1" s="18"/>
      <c r="BG1" s="19"/>
      <c r="BH1" s="18"/>
      <c r="BI1" s="19"/>
      <c r="BJ1" s="691" t="s">
        <v>10</v>
      </c>
      <c r="BK1" s="692">
        <v>13</v>
      </c>
      <c r="BL1" s="692">
        <v>12</v>
      </c>
      <c r="BM1" s="693"/>
      <c r="BN1" s="694"/>
      <c r="BO1" s="21"/>
      <c r="BP1" s="690" t="s">
        <v>11</v>
      </c>
      <c r="BQ1" s="21"/>
      <c r="BR1" s="21"/>
      <c r="BS1" s="21"/>
      <c r="BT1" s="21"/>
      <c r="BU1" s="21"/>
      <c r="BV1" s="21"/>
    </row>
    <row r="2" spans="1:74" s="44" customFormat="1" ht="13.5" customHeight="1" thickBot="1">
      <c r="A2" s="14"/>
      <c r="B2" s="758">
        <f ca="1">TODAY()</f>
        <v>44774</v>
      </c>
      <c r="C2" s="22"/>
      <c r="D2" s="759"/>
      <c r="E2" s="24"/>
      <c r="F2" s="695"/>
      <c r="G2" s="25"/>
      <c r="H2" s="26"/>
      <c r="I2" s="51"/>
      <c r="J2" s="695"/>
      <c r="K2" s="51"/>
      <c r="L2" s="27"/>
      <c r="M2" s="28"/>
      <c r="N2" s="696"/>
      <c r="O2" s="697"/>
      <c r="P2" s="698">
        <f>VLOOKUP(B1,'БАЗА ДАННЫХ'!A4:BL380,16,0)</f>
        <v>44775</v>
      </c>
      <c r="Q2" s="29">
        <f>VLOOKUP($B$1,'БАЗА ДАННЫХ'!$A$4:$BL$380,12,FALSE)</f>
        <v>0</v>
      </c>
      <c r="R2" s="30">
        <f>S2*24</f>
        <v>208.32</v>
      </c>
      <c r="S2" s="31">
        <f>VLOOKUP($B$1,'БАЗА ДАННЫХ'!$A$4:$BL$380,14,FALSE)</f>
        <v>8.68</v>
      </c>
      <c r="T2" s="32">
        <f>VLOOKUP($B$1,'БАЗА ДАННЫХ'!$A$4:$BL$380,13,FALSE)</f>
        <v>0.217</v>
      </c>
      <c r="U2" s="695"/>
      <c r="V2" s="33"/>
      <c r="W2" s="34"/>
      <c r="X2" s="34"/>
      <c r="Y2" s="34"/>
      <c r="Z2" s="34"/>
      <c r="AA2" s="34"/>
      <c r="AB2" s="35"/>
      <c r="AC2" s="35"/>
      <c r="AD2" s="699" t="s">
        <v>12</v>
      </c>
      <c r="AE2" s="171">
        <v>3119.7</v>
      </c>
      <c r="AF2" s="689">
        <v>3119.33</v>
      </c>
      <c r="AG2" s="760">
        <f>VLOOKUP($AG$1,$AD$1:$AF$4,2,FALSE)</f>
        <v>3119.7</v>
      </c>
      <c r="AH2" s="36"/>
      <c r="AI2" s="753">
        <f>VLOOKUP($B$1,'БАЗА ДАННЫХ'!$A$4:$BL$380,11,FALSE)</f>
        <v>3060</v>
      </c>
      <c r="AJ2" s="761">
        <f>VLOOKUP($B$1,'БАЗА ДАННЫХ'!$A$4:$BL$380,49,FALSE)</f>
        <v>20</v>
      </c>
      <c r="AK2" s="761">
        <f>VLOOKUP($B$1,'БАЗА ДАННЫХ'!$A$4:$BL$380,48,FALSE)</f>
        <v>-13</v>
      </c>
      <c r="AL2" s="37"/>
      <c r="AM2" s="38"/>
      <c r="AN2" s="640"/>
      <c r="AO2" s="24"/>
      <c r="AP2" s="39"/>
      <c r="AQ2" s="9"/>
      <c r="AR2" s="9"/>
      <c r="AS2" s="9"/>
      <c r="AT2" s="40"/>
      <c r="AU2" s="41"/>
      <c r="AV2" s="42"/>
      <c r="AW2" s="42"/>
      <c r="AX2" s="24"/>
      <c r="AY2" s="39"/>
      <c r="AZ2" s="14"/>
      <c r="BA2" s="43"/>
      <c r="BB2" s="13"/>
      <c r="BC2" s="13"/>
      <c r="BD2" s="16"/>
      <c r="BE2" s="10"/>
      <c r="BF2" s="8"/>
      <c r="BG2" s="8"/>
      <c r="BH2" s="8"/>
      <c r="BI2" s="8"/>
      <c r="BJ2" s="700"/>
      <c r="BK2" s="701" t="s">
        <v>13</v>
      </c>
      <c r="BL2" s="701" t="s">
        <v>13</v>
      </c>
      <c r="BM2" s="781" t="s">
        <v>14</v>
      </c>
      <c r="BN2" s="702" t="s">
        <v>15</v>
      </c>
      <c r="BO2" s="45"/>
      <c r="BP2" s="703">
        <f>SUM(BP3+6,-BQ2)</f>
        <v>15</v>
      </c>
      <c r="BQ2" s="45">
        <v>0</v>
      </c>
      <c r="BR2" s="45"/>
      <c r="BS2" s="45"/>
      <c r="BT2" s="45"/>
      <c r="BU2" s="46"/>
      <c r="BV2" s="45"/>
    </row>
    <row r="3" spans="1:74" s="44" customFormat="1" ht="15.75">
      <c r="A3" s="47"/>
      <c r="B3" s="182"/>
      <c r="C3" s="762" t="s">
        <v>16</v>
      </c>
      <c r="D3" s="763">
        <v>21</v>
      </c>
      <c r="E3" s="764">
        <f>D3+1</f>
        <v>22</v>
      </c>
      <c r="F3" s="704"/>
      <c r="G3" s="48"/>
      <c r="H3" s="49"/>
      <c r="I3" s="51"/>
      <c r="J3" s="695"/>
      <c r="K3" s="695"/>
      <c r="L3" s="765"/>
      <c r="M3" s="696"/>
      <c r="N3" s="696"/>
      <c r="O3" s="766" t="s">
        <v>17</v>
      </c>
      <c r="P3" s="686"/>
      <c r="Q3" s="705" t="s">
        <v>18</v>
      </c>
      <c r="R3" s="50"/>
      <c r="S3" s="51"/>
      <c r="T3" s="52"/>
      <c r="U3" s="47"/>
      <c r="V3" s="51"/>
      <c r="W3" s="696"/>
      <c r="X3" s="696"/>
      <c r="Y3" s="696"/>
      <c r="Z3" s="696"/>
      <c r="AA3" s="696"/>
      <c r="AB3" s="21"/>
      <c r="AC3" s="21"/>
      <c r="AD3" s="699" t="s">
        <v>19</v>
      </c>
      <c r="AE3" s="706">
        <v>3119.7</v>
      </c>
      <c r="AF3" s="689">
        <v>3119.33</v>
      </c>
      <c r="AG3" s="760">
        <f>VLOOKUP($AG$1,$AD$1:$AF$4,3,FALSE)</f>
        <v>3119.33</v>
      </c>
      <c r="AH3" s="36"/>
      <c r="AI3" s="767">
        <f>VLOOKUP($B$1,'БАЗА ДАННЫХ'!$A$4:$BL$380,10,FALSE)</f>
        <v>0</v>
      </c>
      <c r="AJ3" s="767"/>
      <c r="AK3" s="45"/>
      <c r="AL3" s="37"/>
      <c r="AM3" s="14"/>
      <c r="AN3" s="122"/>
      <c r="AO3" s="24"/>
      <c r="AP3" s="39"/>
      <c r="AQ3" s="53"/>
      <c r="AR3" s="122"/>
      <c r="AS3" s="67"/>
      <c r="AT3" s="55"/>
      <c r="AU3" s="56"/>
      <c r="AV3" s="57"/>
      <c r="AW3" s="58"/>
      <c r="AX3" s="24"/>
      <c r="AY3" s="39"/>
      <c r="AZ3" s="53"/>
      <c r="BA3" s="43"/>
      <c r="BB3" s="59"/>
      <c r="BC3" s="19"/>
      <c r="BD3" s="60"/>
      <c r="BE3" s="61"/>
      <c r="BF3" s="62"/>
      <c r="BG3" s="62"/>
      <c r="BH3" s="62"/>
      <c r="BI3" s="62"/>
      <c r="BJ3" s="707" t="s">
        <v>20</v>
      </c>
      <c r="BK3" s="708"/>
      <c r="BL3" s="709" t="str">
        <f>IF(ISERROR(IF(VLOOKUP($BJ3,$B$6:$D$19,3,FALSE)&gt;$BL$1,"&lt;"&amp;VLOOKUP($BJ3,$B$6:$D$19,2,FALSE),"&lt;"&amp;VLOOKUP($BJ3,$B$6:$D$19,2,FALSE)+1)),"",IF(VLOOKUP($BJ3,$B$6:$D$19,3,FALSE)&gt;$BL$1,"&lt;"&amp;VLOOKUP($BJ3,$B$6:$D$19,2,FALSE),"&lt;"&amp;VLOOKUP($BJ3,$B$6:$D$19,2,FALSE)+1))</f>
        <v>&lt;44481</v>
      </c>
      <c r="BM3" s="782"/>
      <c r="BN3" s="710" t="s">
        <v>21</v>
      </c>
      <c r="BO3" s="45"/>
      <c r="BP3" s="711">
        <f ca="1">COUNTIF(INDIRECT(CONCATENATE(BQ3,$D$3,"_",$E$3)&amp;"!$A3:$A1200"),$B$1)</f>
        <v>9</v>
      </c>
      <c r="BQ3" s="45" t="str">
        <f>IF(B1&gt;900,"АРХИВ_М","АРХИВ")</f>
        <v>АРХИВ</v>
      </c>
      <c r="BR3" s="45"/>
      <c r="BS3" s="45"/>
      <c r="BT3" s="45"/>
      <c r="BU3" s="46"/>
      <c r="BV3" s="45"/>
    </row>
    <row r="4" spans="1:74" s="44" customFormat="1" ht="12.75">
      <c r="A4" s="833"/>
      <c r="B4" s="24" t="s">
        <v>22</v>
      </c>
      <c r="C4" s="17" t="s">
        <v>13</v>
      </c>
      <c r="D4" s="838" t="s">
        <v>23</v>
      </c>
      <c r="E4" s="40" t="s">
        <v>24</v>
      </c>
      <c r="F4" s="180"/>
      <c r="G4" s="40" t="s">
        <v>25</v>
      </c>
      <c r="H4" s="40" t="s">
        <v>26</v>
      </c>
      <c r="I4" s="713" t="s">
        <v>27</v>
      </c>
      <c r="J4" s="40" t="s">
        <v>28</v>
      </c>
      <c r="K4" s="40" t="s">
        <v>29</v>
      </c>
      <c r="L4" s="40" t="s">
        <v>30</v>
      </c>
      <c r="M4" s="40" t="s">
        <v>31</v>
      </c>
      <c r="N4" s="40">
        <v>2</v>
      </c>
      <c r="O4" s="40" t="str">
        <f>IF(AND(SUM(J6:J19)&gt;360,O3&lt;&gt;"По нагрузке"),"Простой более 15 суток!","Простой")</f>
        <v>Простой</v>
      </c>
      <c r="P4" s="839" t="s">
        <v>32</v>
      </c>
      <c r="Q4" s="42">
        <f>IF(Q5=0,1,IF(LEN(Q5*100)-FIND(",",Q5*100)&lt;2,2,LEN(Q5*100)-FIND(",",Q5*100)))</f>
        <v>1</v>
      </c>
      <c r="R4" s="713" t="s">
        <v>33</v>
      </c>
      <c r="S4" s="714"/>
      <c r="T4" s="713" t="s">
        <v>34</v>
      </c>
      <c r="U4" s="714"/>
      <c r="V4" s="712" t="s">
        <v>35</v>
      </c>
      <c r="W4" s="713" t="s">
        <v>36</v>
      </c>
      <c r="X4" s="768"/>
      <c r="Y4" s="769" t="s">
        <v>37</v>
      </c>
      <c r="Z4" s="770"/>
      <c r="AA4" s="712" t="s">
        <v>35</v>
      </c>
      <c r="AB4" s="715" t="s">
        <v>38</v>
      </c>
      <c r="AC4" s="715" t="s">
        <v>39</v>
      </c>
      <c r="AD4" s="771" t="s">
        <v>40</v>
      </c>
      <c r="AE4" s="6"/>
      <c r="AF4" s="716"/>
      <c r="AG4" s="716"/>
      <c r="AH4" s="716"/>
      <c r="AI4" s="717" t="s">
        <v>41</v>
      </c>
      <c r="AJ4" s="717" t="str">
        <f>IF(ISBLANK(VLOOKUP(LARGE($C$5:$C$19,1),'[5]Температуры'!$A$4:$B$5000,2,FALSE)),"Не все данные","Наружная")</f>
        <v>Наружная</v>
      </c>
      <c r="AK4" s="717" t="s">
        <v>42</v>
      </c>
      <c r="AL4" s="717" t="s">
        <v>43</v>
      </c>
      <c r="AM4" s="717" t="s">
        <v>44</v>
      </c>
      <c r="AN4" s="718" t="s">
        <v>45</v>
      </c>
      <c r="AO4" s="24"/>
      <c r="AP4" s="39"/>
      <c r="AQ4" s="9"/>
      <c r="AR4" s="9"/>
      <c r="AS4" s="63"/>
      <c r="AT4" s="64"/>
      <c r="AU4" s="37"/>
      <c r="AV4" s="37"/>
      <c r="AW4" s="42"/>
      <c r="AX4" s="24"/>
      <c r="AY4" s="39"/>
      <c r="AZ4" s="9"/>
      <c r="BA4" s="43"/>
      <c r="BB4" s="9"/>
      <c r="BC4" s="9"/>
      <c r="BD4" s="9"/>
      <c r="BE4" s="8"/>
      <c r="BF4" s="8"/>
      <c r="BG4" s="8"/>
      <c r="BH4" s="8"/>
      <c r="BI4" s="8"/>
      <c r="BJ4" s="719"/>
      <c r="BK4" s="701" t="s">
        <v>13</v>
      </c>
      <c r="BL4" s="701" t="s">
        <v>13</v>
      </c>
      <c r="BM4" s="720" t="s">
        <v>46</v>
      </c>
      <c r="BN4" s="721"/>
      <c r="BO4" s="45"/>
      <c r="BP4" s="48">
        <f>SUM(COUNTA($C$6:$C$19),-BP3,IF(BJ25="нет",0,0),BQ2)</f>
        <v>0</v>
      </c>
      <c r="BQ4" s="49"/>
      <c r="BR4" s="45"/>
      <c r="BS4" s="45"/>
      <c r="BT4" s="45"/>
      <c r="BU4" s="46"/>
      <c r="BV4" s="45"/>
    </row>
    <row r="5" spans="1:73" s="45" customFormat="1" ht="13.5" thickBot="1">
      <c r="A5" s="19"/>
      <c r="B5" s="42" t="s">
        <v>47</v>
      </c>
      <c r="C5" s="840">
        <f ca="1">INDIRECT(CONCATENATE("АРХИВ",D3,"_",E3)&amp;"!C2")</f>
        <v>44481</v>
      </c>
      <c r="D5" s="841">
        <f ca="1">INDIRECT(CONCATENATE("АРХИВ",D3,"_",E3)&amp;"!C3")</f>
        <v>17</v>
      </c>
      <c r="E5" s="40" t="s">
        <v>48</v>
      </c>
      <c r="F5" s="13" t="str">
        <f>VLOOKUP($B$1,'БАЗА ДАННЫХ'!A4:BL380,51,FALSE)</f>
        <v>часы+</v>
      </c>
      <c r="G5" s="40" t="s">
        <v>49</v>
      </c>
      <c r="H5" s="40" t="s">
        <v>50</v>
      </c>
      <c r="I5" s="713" t="s">
        <v>51</v>
      </c>
      <c r="J5" s="40" t="s">
        <v>52</v>
      </c>
      <c r="K5" s="40" t="str">
        <f>L5</f>
        <v>Гкал</v>
      </c>
      <c r="L5" s="40" t="str">
        <f>VLOOKUP($B$1,'БАЗА ДАННЫХ'!A4:BL380,18,FALSE)</f>
        <v>Гкал</v>
      </c>
      <c r="M5" s="40" t="s">
        <v>53</v>
      </c>
      <c r="N5" s="40" t="s">
        <v>54</v>
      </c>
      <c r="O5" s="40" t="s">
        <v>54</v>
      </c>
      <c r="P5" s="842" t="s">
        <v>55</v>
      </c>
      <c r="Q5" s="843">
        <f>VLOOKUP($B$1,'БАЗА ДАННЫХ'!$A$4:$BL$380,50,FALSE)</f>
        <v>0</v>
      </c>
      <c r="R5" s="40" t="s">
        <v>56</v>
      </c>
      <c r="S5" s="722" t="s">
        <v>35</v>
      </c>
      <c r="T5" s="723" t="s">
        <v>56</v>
      </c>
      <c r="U5" s="724" t="s">
        <v>35</v>
      </c>
      <c r="V5" s="772" t="s">
        <v>57</v>
      </c>
      <c r="W5" s="773" t="s">
        <v>58</v>
      </c>
      <c r="X5" s="722" t="s">
        <v>35</v>
      </c>
      <c r="Y5" s="773" t="s">
        <v>59</v>
      </c>
      <c r="Z5" s="722" t="s">
        <v>35</v>
      </c>
      <c r="AA5" s="723" t="s">
        <v>57</v>
      </c>
      <c r="AB5" s="725" t="s">
        <v>60</v>
      </c>
      <c r="AC5" s="725" t="s">
        <v>61</v>
      </c>
      <c r="AD5" s="726" t="s">
        <v>62</v>
      </c>
      <c r="AE5" s="727" t="s">
        <v>63</v>
      </c>
      <c r="AF5" s="728" t="s">
        <v>64</v>
      </c>
      <c r="AG5" s="728" t="s">
        <v>65</v>
      </c>
      <c r="AH5" s="728" t="s">
        <v>6</v>
      </c>
      <c r="AI5" s="729" t="s">
        <v>54</v>
      </c>
      <c r="AJ5" s="729" t="s">
        <v>46</v>
      </c>
      <c r="AK5" s="729" t="s">
        <v>39</v>
      </c>
      <c r="AL5" s="729" t="s">
        <v>39</v>
      </c>
      <c r="AM5" s="729" t="s">
        <v>66</v>
      </c>
      <c r="AN5" s="730">
        <f>IF(VLOOKUP(B1,'БАЗА ДАННЫХ'!A5:BB380,41,0)=0,"",VLOOKUP(B1,'БАЗА ДАННЫХ'!A5:BB380,41,0))</f>
      </c>
      <c r="AO5" s="24"/>
      <c r="AP5" s="39"/>
      <c r="AQ5" s="53"/>
      <c r="AR5" s="65"/>
      <c r="AS5" s="60"/>
      <c r="AT5" s="66"/>
      <c r="AU5" s="56"/>
      <c r="AV5" s="67"/>
      <c r="AW5" s="58"/>
      <c r="AX5" s="24"/>
      <c r="AY5" s="39"/>
      <c r="AZ5" s="53"/>
      <c r="BA5" s="43"/>
      <c r="BB5" s="59"/>
      <c r="BC5" s="19"/>
      <c r="BD5" s="60"/>
      <c r="BE5" s="68"/>
      <c r="BF5" s="62"/>
      <c r="BG5" s="62"/>
      <c r="BH5" s="62"/>
      <c r="BI5" s="62"/>
      <c r="BJ5" s="707" t="s">
        <v>67</v>
      </c>
      <c r="BK5" s="709" t="str">
        <f>IF(ISERROR(IF(VLOOKUP($BJ3,$B$5:$D$19,3,FALSE)&gt;$BK$1,"&gt;="&amp;VLOOKUP($BJ3,$B$6:$D$19,2,FALSE)+1,"&gt;="&amp;VLOOKUP($BJ3,$B$6:$D$19,2,FALSE))),"",IF(VLOOKUP($BJ3,$B$6:$D$19,3,FALSE)&gt;$BK$1,"&gt;="&amp;VLOOKUP($BJ3,$B$6:$D$19,2,FALSE)+1,"&gt;="&amp;VLOOKUP($BJ3,$B$6:$D$19,2,FALSE)))</f>
        <v>&gt;=44482</v>
      </c>
      <c r="BL5" s="709" t="str">
        <f>IF(ISERROR(IF(VLOOKUP($BJ5,$B$6:$D$19,3,FALSE)&lt;$BL$1,"&lt;"&amp;VLOOKUP($BJ5,$B$6:$D$19,2,FALSE),"&lt;"&amp;VLOOKUP($BJ5,$B$6:$D$19,2,FALSE)+1)),"",IF(VLOOKUP($BJ5,$B$6:$D$19,3,FALSE)&lt;$BL$1,"&lt;"&amp;VLOOKUP($BJ5,$B$6:$D$19,2,FALSE),"&lt;"&amp;VLOOKUP($BJ5,$B$6:$D$19,2,FALSE)+1))</f>
        <v>&lt;44496</v>
      </c>
      <c r="BM5" s="731" t="e">
        <f>IF(BL5="","",ROUND(DAVERAGE('[5]Температуры'!$A$4:$B$5000,'[5]Температуры'!$B$4,$BK4:$BL5),1))</f>
        <v>#VALUE!</v>
      </c>
      <c r="BN5" s="694" t="str">
        <f>IF(BL5="","",IF(ISBLANK(VLOOKUP(VLOOKUP($BJ5,$B$5:$D$19,2,FALSE),'[5]Температуры'!$A$4:$B$5000,2,FALSE)),"Не все данные","Нормально"))</f>
        <v>Нормально</v>
      </c>
      <c r="BP5" s="49">
        <f>SUM(-COUNTBLANK($D$6:$D$19),14,5)</f>
        <v>14</v>
      </c>
      <c r="BU5" s="46"/>
    </row>
    <row r="6" spans="2:74" s="69" customFormat="1" ht="12.75">
      <c r="B6" s="182" t="s">
        <v>20</v>
      </c>
      <c r="C6" s="24">
        <v>44481</v>
      </c>
      <c r="D6" s="225">
        <v>17</v>
      </c>
      <c r="E6" s="131">
        <v>0</v>
      </c>
      <c r="F6" s="225">
        <v>2662</v>
      </c>
      <c r="G6" s="131"/>
      <c r="H6" s="844"/>
      <c r="I6" s="225"/>
      <c r="J6" s="225"/>
      <c r="K6" s="845"/>
      <c r="L6" s="43">
        <v>200.5</v>
      </c>
      <c r="M6" s="846">
        <v>0</v>
      </c>
      <c r="N6" s="59">
        <v>0</v>
      </c>
      <c r="O6" s="59"/>
      <c r="P6" s="199">
        <v>0</v>
      </c>
      <c r="Q6" s="800">
        <v>0</v>
      </c>
      <c r="R6" s="70">
        <v>20503</v>
      </c>
      <c r="S6" s="71">
        <v>0</v>
      </c>
      <c r="T6" s="72"/>
      <c r="U6" s="71"/>
      <c r="V6" s="71"/>
      <c r="W6" s="72">
        <v>20514</v>
      </c>
      <c r="X6" s="71"/>
      <c r="Y6" s="71"/>
      <c r="Z6" s="71"/>
      <c r="AA6" s="71"/>
      <c r="AB6" s="86"/>
      <c r="AC6" s="732"/>
      <c r="AD6" s="73"/>
      <c r="AE6" s="74"/>
      <c r="AF6" s="774"/>
      <c r="AG6" s="59"/>
      <c r="AH6" s="76"/>
      <c r="AI6" s="59"/>
      <c r="AJ6" s="78"/>
      <c r="AK6" s="79"/>
      <c r="AL6" s="80"/>
      <c r="AM6" s="120"/>
      <c r="AN6" s="733"/>
      <c r="AO6" s="81"/>
      <c r="AP6" s="82" t="s">
        <v>68</v>
      </c>
      <c r="AQ6" s="9"/>
      <c r="AR6" s="9"/>
      <c r="AS6" s="83"/>
      <c r="AT6" s="64"/>
      <c r="AU6" s="37"/>
      <c r="AV6" s="84"/>
      <c r="AW6" s="42"/>
      <c r="AX6" s="85"/>
      <c r="AY6" s="86"/>
      <c r="AZ6" s="9"/>
      <c r="BA6" s="87"/>
      <c r="BB6" s="9"/>
      <c r="BC6" s="9"/>
      <c r="BD6" s="9"/>
      <c r="BE6" s="68"/>
      <c r="BF6" s="8"/>
      <c r="BG6" s="8"/>
      <c r="BH6" s="8"/>
      <c r="BI6" s="8"/>
      <c r="BJ6" s="734"/>
      <c r="BK6" s="701" t="s">
        <v>13</v>
      </c>
      <c r="BL6" s="701" t="s">
        <v>13</v>
      </c>
      <c r="BM6" s="735"/>
      <c r="BN6" s="736"/>
      <c r="BO6" s="97"/>
      <c r="BP6" s="97"/>
      <c r="BQ6" s="97"/>
      <c r="BR6" s="97"/>
      <c r="BS6" s="88"/>
      <c r="BT6" s="88"/>
      <c r="BU6" s="46"/>
      <c r="BV6" s="45"/>
    </row>
    <row r="7" spans="1:74" s="69" customFormat="1" ht="12.75">
      <c r="A7" s="89"/>
      <c r="B7" s="182" t="s">
        <v>67</v>
      </c>
      <c r="C7" s="24">
        <v>44496</v>
      </c>
      <c r="D7" s="39">
        <v>9</v>
      </c>
      <c r="E7" s="131">
        <v>352</v>
      </c>
      <c r="F7" s="225">
        <v>3015</v>
      </c>
      <c r="G7" s="71">
        <v>353</v>
      </c>
      <c r="H7" s="844">
        <v>0</v>
      </c>
      <c r="I7" s="225">
        <v>-1</v>
      </c>
      <c r="J7" s="225">
        <v>0</v>
      </c>
      <c r="K7" s="845"/>
      <c r="L7" s="43">
        <v>209.5</v>
      </c>
      <c r="M7" s="846">
        <v>9</v>
      </c>
      <c r="N7" s="59">
        <v>9</v>
      </c>
      <c r="O7" s="59">
        <v>0</v>
      </c>
      <c r="P7" s="847">
        <v>9</v>
      </c>
      <c r="Q7" s="848">
        <v>9</v>
      </c>
      <c r="R7" s="70">
        <v>22317</v>
      </c>
      <c r="S7" s="71">
        <v>1814</v>
      </c>
      <c r="T7" s="72"/>
      <c r="U7" s="71"/>
      <c r="V7" s="71"/>
      <c r="W7" s="71">
        <v>22335</v>
      </c>
      <c r="X7" s="71">
        <v>1821</v>
      </c>
      <c r="Y7" s="71"/>
      <c r="Z7" s="71">
        <v>0</v>
      </c>
      <c r="AA7" s="71"/>
      <c r="AB7" s="131">
        <f aca="true" t="shared" si="0" ref="AB7:AB19">IF(W7="","",S7-X7)</f>
        <v>-7</v>
      </c>
      <c r="AC7" s="132">
        <f aca="true" t="shared" si="1" ref="AC7:AC19">IF(OR(AB7=0,AB7=""),"",AB7/((S7+X7)/2))</f>
        <v>-0.0038514442916093533</v>
      </c>
      <c r="AD7" s="73">
        <v>5.14</v>
      </c>
      <c r="AE7" s="91">
        <f aca="true" t="shared" si="2" ref="AE7:AE19">IF(U7=0,"",ROUND(V7*100/S7,2))</f>
      </c>
      <c r="AF7" s="774">
        <v>9.18</v>
      </c>
      <c r="AG7" s="59">
        <v>3119.7</v>
      </c>
      <c r="AH7" s="76">
        <v>3060</v>
      </c>
      <c r="AI7" s="59">
        <v>19.64</v>
      </c>
      <c r="AJ7" s="78">
        <v>11</v>
      </c>
      <c r="AK7" s="79">
        <v>0.458</v>
      </c>
      <c r="AL7" s="80">
        <v>0.592</v>
      </c>
      <c r="AM7" s="120">
        <f aca="true" t="shared" si="3" ref="AM7:AM19">IF(P7=0,"",ROUND((P7+AN7)/S7*1000,1))</f>
        <v>5</v>
      </c>
      <c r="AN7" s="737"/>
      <c r="AO7" s="92">
        <f>IF($Q7=0,"",ROUND(Q7*AG7/($AI$2+$AI$3),2))</f>
        <v>9.18</v>
      </c>
      <c r="AP7" s="13">
        <f>IF($Q7=0,"",ROUND($Q7*$AG7/$AQ7-$AI$2,3))</f>
        <v>-1603.709</v>
      </c>
      <c r="AQ7" s="13">
        <v>19.28</v>
      </c>
      <c r="AR7" s="13"/>
      <c r="AS7" s="14"/>
      <c r="AT7" s="14"/>
      <c r="AU7" s="16"/>
      <c r="AV7" s="37"/>
      <c r="AW7" s="58"/>
      <c r="AX7" s="94"/>
      <c r="AY7" s="86"/>
      <c r="AZ7" s="53"/>
      <c r="BA7" s="87"/>
      <c r="BB7" s="59"/>
      <c r="BC7" s="19"/>
      <c r="BD7" s="60"/>
      <c r="BE7" s="68"/>
      <c r="BF7" s="62"/>
      <c r="BG7" s="62"/>
      <c r="BH7" s="62"/>
      <c r="BI7" s="62"/>
      <c r="BJ7" s="707" t="s">
        <v>69</v>
      </c>
      <c r="BK7" s="709" t="str">
        <f>IF(ISERROR(IF(OR(BJ5="тариф"&amp;$E$3,BJ5="Год."&amp;$D$3),IF(VLOOKUP($BJ3,$B$6:$D$19,3,0)&gt;$BK$1,"&gt;="&amp;VLOOKUP($BJ3,$B$6:$D$19,2,0)+1,"&gt;="&amp;VLOOKUP($BJ3,$B$6:$D$19,2,0)),IF(VLOOKUP($BJ5,$B$6:$D$19,3,0)&gt;$BK$1,"&gt;="&amp;VLOOKUP($BJ5,$B$6:$D$19,2,0)+1,"&gt;="&amp;VLOOKUP($BJ5,$B$6:$D$19,2,0)))),"",IF(OR(BJ5="тариф"&amp;E3,BJ5="Год."&amp;D3),IF(VLOOKUP($BJ3,$B$6:$D$19,3,0)&gt;$BK$1,"&gt;="&amp;VLOOKUP($BJ3,$B$6:$D$19,2,0)+1,"&gt;="&amp;VLOOKUP($BJ3,$B$6:$D$19,2,0)),IF(VLOOKUP($BJ5,$B$6:$D$19,3,0)&gt;$BK$1,"&gt;="&amp;VLOOKUP($BJ5,$B$6:$D$19,2,0)+1,"&gt;="&amp;VLOOKUP($BJ5,$B$6:$D$19,2,0))))</f>
        <v>&gt;=44496</v>
      </c>
      <c r="BL7" s="709" t="str">
        <f>IF(ISERROR(IF(VLOOKUP($BJ7,$B$6:$D$19,3,FALSE)&lt;$BL$1,"&lt;"&amp;VLOOKUP($BJ7,$B$6:$D$19,2,FALSE),"&lt;"&amp;VLOOKUP($BJ7,$B$6:$D$19,2,FALSE)+1)),"",IF(VLOOKUP($BJ7,$B$6:$D$19,3,FALSE)&lt;$BL$1,"&lt;"&amp;VLOOKUP($BJ7,$B$6:$D$19,2,FALSE),"&lt;"&amp;VLOOKUP($BJ7,$B$6:$D$19,2,FALSE)+1))</f>
        <v>&lt;44524</v>
      </c>
      <c r="BM7" s="731" t="e">
        <f>IF(BL7="","",ROUND(DAVERAGE('[5]Температуры'!$A$4:$B$5000,'[5]Температуры'!$B$4,$BK6:$BL7),1))</f>
        <v>#VALUE!</v>
      </c>
      <c r="BN7" s="694" t="str">
        <f>IF(BL7="","",IF(ISBLANK(VLOOKUP(VLOOKUP($BJ7,$B$5:$D$19,2,FALSE),'[5]Температуры'!$A$4:$B$5000,2,FALSE)),"Не все данные","Нормально"))</f>
        <v>Нормально</v>
      </c>
      <c r="BO7" s="88"/>
      <c r="BP7" s="738"/>
      <c r="BQ7" s="97"/>
      <c r="BR7" s="97"/>
      <c r="BS7" s="88"/>
      <c r="BT7" s="88"/>
      <c r="BU7" s="46"/>
      <c r="BV7" s="45"/>
    </row>
    <row r="8" spans="1:74" s="97" customFormat="1" ht="12.75">
      <c r="A8" s="677">
        <v>0.3125</v>
      </c>
      <c r="B8" s="182" t="s">
        <v>69</v>
      </c>
      <c r="C8" s="24">
        <v>44524</v>
      </c>
      <c r="D8" s="39">
        <v>9</v>
      </c>
      <c r="E8" s="131">
        <v>672</v>
      </c>
      <c r="F8" s="225">
        <v>3687</v>
      </c>
      <c r="G8" s="71">
        <v>672</v>
      </c>
      <c r="H8" s="844">
        <v>0</v>
      </c>
      <c r="I8" s="225">
        <v>0</v>
      </c>
      <c r="J8" s="225">
        <v>0</v>
      </c>
      <c r="K8" s="845"/>
      <c r="L8" s="43">
        <v>246.5</v>
      </c>
      <c r="M8" s="846">
        <v>37</v>
      </c>
      <c r="N8" s="59">
        <v>37</v>
      </c>
      <c r="O8" s="59">
        <v>0</v>
      </c>
      <c r="P8" s="847">
        <v>37</v>
      </c>
      <c r="Q8" s="848">
        <v>37</v>
      </c>
      <c r="R8" s="70">
        <v>27414</v>
      </c>
      <c r="S8" s="71">
        <v>5097</v>
      </c>
      <c r="T8" s="95"/>
      <c r="U8" s="71"/>
      <c r="V8" s="71"/>
      <c r="W8" s="71">
        <v>27459</v>
      </c>
      <c r="X8" s="71">
        <v>5124</v>
      </c>
      <c r="Y8" s="71"/>
      <c r="Z8" s="71">
        <v>0</v>
      </c>
      <c r="AA8" s="71"/>
      <c r="AB8" s="131">
        <f t="shared" si="0"/>
        <v>-27</v>
      </c>
      <c r="AC8" s="132">
        <f t="shared" si="1"/>
        <v>-0.005283240387437629</v>
      </c>
      <c r="AD8" s="73">
        <v>7.58</v>
      </c>
      <c r="AE8" s="91">
        <f t="shared" si="2"/>
      </c>
      <c r="AF8" s="774">
        <v>37.72</v>
      </c>
      <c r="AG8" s="59">
        <v>3119.7</v>
      </c>
      <c r="AH8" s="76">
        <v>3060</v>
      </c>
      <c r="AI8" s="59">
        <v>52.14</v>
      </c>
      <c r="AJ8" s="78">
        <v>8.2</v>
      </c>
      <c r="AK8" s="79">
        <v>0.71</v>
      </c>
      <c r="AL8" s="80">
        <v>0.873</v>
      </c>
      <c r="AM8" s="120">
        <f t="shared" si="3"/>
        <v>7.3</v>
      </c>
      <c r="AN8" s="42"/>
      <c r="AO8" s="92">
        <f aca="true" t="shared" si="4" ref="AO8:AO13">IF($Q8=0,"",ROUND(Q8*AG8/($AI$2+$AI$3),2))</f>
        <v>37.72</v>
      </c>
      <c r="AP8" s="13"/>
      <c r="AQ8" s="13"/>
      <c r="AR8" s="43"/>
      <c r="AS8" s="13"/>
      <c r="AT8" s="13"/>
      <c r="AU8" s="16"/>
      <c r="AV8" s="67"/>
      <c r="AW8" s="58"/>
      <c r="AX8" s="94"/>
      <c r="AY8" s="86"/>
      <c r="AZ8" s="53"/>
      <c r="BA8" s="96"/>
      <c r="BB8" s="59"/>
      <c r="BC8" s="19"/>
      <c r="BD8" s="60"/>
      <c r="BE8" s="8"/>
      <c r="BF8" s="8"/>
      <c r="BG8" s="8"/>
      <c r="BH8" s="8"/>
      <c r="BI8" s="8"/>
      <c r="BJ8" s="739"/>
      <c r="BK8" s="701" t="s">
        <v>13</v>
      </c>
      <c r="BL8" s="701" t="s">
        <v>13</v>
      </c>
      <c r="BM8" s="735"/>
      <c r="BN8" s="736"/>
      <c r="BO8" s="88"/>
      <c r="BP8" s="78"/>
      <c r="BS8" s="88"/>
      <c r="BT8" s="88"/>
      <c r="BU8" s="46"/>
      <c r="BV8" s="45"/>
    </row>
    <row r="9" spans="1:74" s="37" customFormat="1" ht="12.75">
      <c r="A9" s="678">
        <v>0.390625</v>
      </c>
      <c r="B9" s="182" t="s">
        <v>70</v>
      </c>
      <c r="C9" s="24">
        <v>44552</v>
      </c>
      <c r="D9" s="39">
        <v>9</v>
      </c>
      <c r="E9" s="131">
        <v>672</v>
      </c>
      <c r="F9" s="225">
        <v>4358</v>
      </c>
      <c r="G9" s="71">
        <v>671</v>
      </c>
      <c r="H9" s="844">
        <v>0</v>
      </c>
      <c r="I9" s="225">
        <v>1</v>
      </c>
      <c r="J9" s="225">
        <v>0</v>
      </c>
      <c r="K9" s="845"/>
      <c r="L9" s="43">
        <v>287</v>
      </c>
      <c r="M9" s="846">
        <v>40.5</v>
      </c>
      <c r="N9" s="59">
        <v>40.5</v>
      </c>
      <c r="O9" s="59">
        <v>0</v>
      </c>
      <c r="P9" s="847">
        <v>40.5</v>
      </c>
      <c r="Q9" s="848">
        <v>40.5</v>
      </c>
      <c r="R9" s="70">
        <v>32266</v>
      </c>
      <c r="S9" s="71">
        <v>4852</v>
      </c>
      <c r="T9" s="71"/>
      <c r="U9" s="71">
        <v>0</v>
      </c>
      <c r="V9" s="71"/>
      <c r="W9" s="71">
        <v>32338</v>
      </c>
      <c r="X9" s="71">
        <v>4879</v>
      </c>
      <c r="Y9" s="71"/>
      <c r="Z9" s="71">
        <v>0</v>
      </c>
      <c r="AA9" s="71"/>
      <c r="AB9" s="131">
        <f t="shared" si="0"/>
        <v>-27</v>
      </c>
      <c r="AC9" s="132">
        <f t="shared" si="1"/>
        <v>-0.0055492755112526975</v>
      </c>
      <c r="AD9" s="73">
        <v>7.23</v>
      </c>
      <c r="AE9" s="91">
        <f t="shared" si="2"/>
      </c>
      <c r="AF9" s="774">
        <v>41.29</v>
      </c>
      <c r="AG9" s="59">
        <v>3119.7</v>
      </c>
      <c r="AH9" s="76">
        <v>3060</v>
      </c>
      <c r="AI9" s="59">
        <v>57.89</v>
      </c>
      <c r="AJ9" s="78">
        <v>6.9</v>
      </c>
      <c r="AK9" s="79">
        <v>0.7</v>
      </c>
      <c r="AL9" s="80">
        <v>0.833</v>
      </c>
      <c r="AM9" s="120">
        <f t="shared" si="3"/>
        <v>8.3</v>
      </c>
      <c r="AN9" s="42"/>
      <c r="AO9" s="92">
        <f t="shared" si="4"/>
        <v>41.29</v>
      </c>
      <c r="AP9" s="13"/>
      <c r="AQ9" s="48"/>
      <c r="AR9" s="43"/>
      <c r="AS9" s="59"/>
      <c r="AT9" s="19"/>
      <c r="AU9" s="60"/>
      <c r="AW9" s="98"/>
      <c r="AX9" s="24"/>
      <c r="AY9" s="39"/>
      <c r="AZ9" s="9"/>
      <c r="BA9" s="96"/>
      <c r="BB9" s="9"/>
      <c r="BC9" s="9"/>
      <c r="BD9" s="9"/>
      <c r="BE9" s="68"/>
      <c r="BF9" s="62"/>
      <c r="BG9" s="62"/>
      <c r="BH9" s="62"/>
      <c r="BI9" s="62"/>
      <c r="BJ9" s="740" t="s">
        <v>70</v>
      </c>
      <c r="BK9" s="709" t="str">
        <f>IF(ISERROR(IF(OR(BJ7="тариф"&amp;$E$3,BJ7="Год."&amp;$D$3),IF(VLOOKUP($BJ5,$B$6:$D$19,3,0)&gt;$BK$1,"&gt;="&amp;VLOOKUP($BJ5,$B$6:$D$19,2,0)+1,"&gt;="&amp;VLOOKUP($BJ5,$B$6:$D$19,2,0)),IF(VLOOKUP($BJ7,$B$6:$D$19,3,0)&gt;$BK$1,"&gt;="&amp;VLOOKUP($BJ7,$B$6:$D$19,2,0)+1,"&gt;="&amp;VLOOKUP($BJ7,$B$6:$D$19,2,0)))),"",IF(OR(BJ7="тариф"&amp;$E$3,BJ7="Год."&amp;$D$3),IF(VLOOKUP($BJ5,$B$6:$D$19,3,0)&gt;$BK$1,"&gt;="&amp;VLOOKUP($BJ5,$B$6:$D$19,2,0)+1,"&gt;="&amp;VLOOKUP($BJ5,$B$6:$D$19,2,0)),IF(VLOOKUP($BJ7,$B$6:$D$19,3,0)&gt;$BK$1,"&gt;="&amp;VLOOKUP($BJ7,$B$6:$D$19,2,0)+1,"&gt;="&amp;VLOOKUP($BJ7,$B$6:$D$19,2,0))))</f>
        <v>&gt;=44524</v>
      </c>
      <c r="BL9" s="709" t="str">
        <f>IF(ISERROR(IF(VLOOKUP($BJ9,$B$6:$D$19,3,FALSE)&lt;$BL$1,"&lt;"&amp;VLOOKUP($BJ9,$B$6:$D$19,2,FALSE),"&lt;"&amp;VLOOKUP($BJ9,$B$6:$D$19,2,FALSE)+1)),"",IF(VLOOKUP($BJ9,$B$6:$D$19,3,FALSE)&lt;$BL$1,"&lt;"&amp;VLOOKUP($BJ9,$B$6:$D$19,2,FALSE),"&lt;"&amp;VLOOKUP($BJ9,$B$6:$D$19,2,FALSE)+1))</f>
        <v>&lt;44552</v>
      </c>
      <c r="BM9" s="731" t="e">
        <f>IF(BL9="","",ROUND(DAVERAGE('[5]Температуры'!$A$4:$B$5000,'[5]Температуры'!$B$4,$BK8:$BL9),1))</f>
        <v>#VALUE!</v>
      </c>
      <c r="BN9" s="694" t="str">
        <f>IF(BL9="","",IF(ISBLANK(VLOOKUP(VLOOKUP($BJ9,$B$5:$D$19,2,FALSE),'[5]Температуры'!$A$4:$B$5000,2,FALSE)),"Не все данные","Нормально"))</f>
        <v>Нормально</v>
      </c>
      <c r="BP9" s="78"/>
      <c r="BU9" s="46"/>
      <c r="BV9" s="45"/>
    </row>
    <row r="10" spans="1:74" s="37" customFormat="1" ht="12.75">
      <c r="A10" s="678">
        <v>0.796875</v>
      </c>
      <c r="B10" s="182" t="s">
        <v>71</v>
      </c>
      <c r="C10" s="24">
        <v>44561</v>
      </c>
      <c r="D10" s="39">
        <v>24</v>
      </c>
      <c r="E10" s="131">
        <v>231</v>
      </c>
      <c r="F10" s="225">
        <v>4589</v>
      </c>
      <c r="G10" s="71">
        <v>231</v>
      </c>
      <c r="H10" s="844">
        <v>0</v>
      </c>
      <c r="I10" s="225">
        <v>0</v>
      </c>
      <c r="J10" s="225">
        <v>0</v>
      </c>
      <c r="K10" s="845"/>
      <c r="L10" s="43">
        <v>305.1</v>
      </c>
      <c r="M10" s="846">
        <v>18.100000000000023</v>
      </c>
      <c r="N10" s="59">
        <v>18.100000000000023</v>
      </c>
      <c r="O10" s="59">
        <v>0</v>
      </c>
      <c r="P10" s="847">
        <v>18.100000000000023</v>
      </c>
      <c r="Q10" s="848">
        <v>18.100000000000023</v>
      </c>
      <c r="R10" s="70">
        <v>33952</v>
      </c>
      <c r="S10" s="71">
        <v>1686</v>
      </c>
      <c r="T10" s="99"/>
      <c r="U10" s="71">
        <v>0</v>
      </c>
      <c r="V10" s="71"/>
      <c r="W10" s="99">
        <v>34032</v>
      </c>
      <c r="X10" s="71">
        <v>1694</v>
      </c>
      <c r="Y10" s="99"/>
      <c r="Z10" s="71">
        <v>0</v>
      </c>
      <c r="AA10" s="71"/>
      <c r="AB10" s="131">
        <f t="shared" si="0"/>
        <v>-8</v>
      </c>
      <c r="AC10" s="132">
        <f t="shared" si="1"/>
        <v>-0.004733727810650888</v>
      </c>
      <c r="AD10" s="73">
        <v>7.3</v>
      </c>
      <c r="AE10" s="91">
        <f t="shared" si="2"/>
      </c>
      <c r="AF10" s="774">
        <v>18.45</v>
      </c>
      <c r="AG10" s="59">
        <v>3119.7</v>
      </c>
      <c r="AH10" s="76">
        <v>3060</v>
      </c>
      <c r="AI10" s="59">
        <v>27.19</v>
      </c>
      <c r="AJ10" s="78">
        <v>2.1</v>
      </c>
      <c r="AK10" s="79">
        <v>0.666</v>
      </c>
      <c r="AL10" s="80">
        <v>0.841</v>
      </c>
      <c r="AM10" s="120">
        <f t="shared" si="3"/>
        <v>10.7</v>
      </c>
      <c r="AN10" s="42"/>
      <c r="AO10" s="92">
        <f t="shared" si="4"/>
        <v>18.45</v>
      </c>
      <c r="AP10" s="13"/>
      <c r="AQ10" s="775"/>
      <c r="AR10" s="43"/>
      <c r="AS10" s="101"/>
      <c r="AT10" s="83"/>
      <c r="AU10" s="60"/>
      <c r="AV10" s="83"/>
      <c r="AW10" s="42"/>
      <c r="AX10" s="24"/>
      <c r="AY10" s="39"/>
      <c r="AZ10" s="9"/>
      <c r="BA10" s="102"/>
      <c r="BB10" s="9"/>
      <c r="BC10" s="9"/>
      <c r="BD10" s="9"/>
      <c r="BE10" s="68"/>
      <c r="BF10" s="8"/>
      <c r="BG10" s="8"/>
      <c r="BH10" s="8"/>
      <c r="BI10" s="8"/>
      <c r="BJ10" s="741"/>
      <c r="BK10" s="701" t="s">
        <v>13</v>
      </c>
      <c r="BL10" s="701" t="s">
        <v>13</v>
      </c>
      <c r="BM10" s="735"/>
      <c r="BN10" s="721"/>
      <c r="BP10" s="78"/>
      <c r="BU10" s="46"/>
      <c r="BV10" s="45"/>
    </row>
    <row r="11" spans="1:74" s="69" customFormat="1" ht="12.75">
      <c r="A11" s="834"/>
      <c r="B11" s="182" t="s">
        <v>72</v>
      </c>
      <c r="C11" s="24">
        <v>44586</v>
      </c>
      <c r="D11" s="39">
        <v>9</v>
      </c>
      <c r="E11" s="131">
        <v>816</v>
      </c>
      <c r="F11" s="225">
        <v>585</v>
      </c>
      <c r="G11" s="71">
        <v>816</v>
      </c>
      <c r="H11" s="844">
        <v>0</v>
      </c>
      <c r="I11" s="225">
        <v>0</v>
      </c>
      <c r="J11" s="225">
        <v>0</v>
      </c>
      <c r="K11" s="845"/>
      <c r="L11" s="43">
        <v>51</v>
      </c>
      <c r="M11" s="846">
        <v>51</v>
      </c>
      <c r="N11" s="59">
        <v>51</v>
      </c>
      <c r="O11" s="59">
        <v>0</v>
      </c>
      <c r="P11" s="847">
        <v>69.10000000000002</v>
      </c>
      <c r="Q11" s="848">
        <v>69.10000000000002</v>
      </c>
      <c r="R11" s="70">
        <v>4532</v>
      </c>
      <c r="S11" s="71">
        <v>6218</v>
      </c>
      <c r="T11" s="72"/>
      <c r="U11" s="71">
        <v>0</v>
      </c>
      <c r="V11" s="71"/>
      <c r="W11" s="71">
        <v>4557</v>
      </c>
      <c r="X11" s="71">
        <v>6251</v>
      </c>
      <c r="Y11" s="71"/>
      <c r="Z11" s="71">
        <v>0</v>
      </c>
      <c r="AA11" s="71"/>
      <c r="AB11" s="131">
        <f t="shared" si="0"/>
        <v>-33</v>
      </c>
      <c r="AC11" s="132">
        <f t="shared" si="1"/>
        <v>-0.005293126954848023</v>
      </c>
      <c r="AD11" s="73">
        <v>7.62</v>
      </c>
      <c r="AE11" s="91">
        <f t="shared" si="2"/>
      </c>
      <c r="AF11" s="774">
        <v>70.44</v>
      </c>
      <c r="AG11" s="59">
        <v>3119.33</v>
      </c>
      <c r="AH11" s="76">
        <v>3060</v>
      </c>
      <c r="AI11" s="59">
        <v>94.44</v>
      </c>
      <c r="AJ11" s="78">
        <v>2.4</v>
      </c>
      <c r="AK11" s="79">
        <v>0.732</v>
      </c>
      <c r="AL11" s="80">
        <v>0.878</v>
      </c>
      <c r="AM11" s="120">
        <f t="shared" si="3"/>
        <v>11.1</v>
      </c>
      <c r="AN11" s="103"/>
      <c r="AO11" s="92">
        <f t="shared" si="4"/>
        <v>70.44</v>
      </c>
      <c r="AP11" s="13"/>
      <c r="AQ11" s="66"/>
      <c r="AR11" s="9"/>
      <c r="AS11" s="9"/>
      <c r="AT11" s="40"/>
      <c r="AU11" s="41"/>
      <c r="AV11" s="42"/>
      <c r="AW11" s="58"/>
      <c r="AX11" s="24"/>
      <c r="AY11" s="39"/>
      <c r="AZ11" s="53"/>
      <c r="BA11" s="102"/>
      <c r="BB11" s="59"/>
      <c r="BC11" s="19"/>
      <c r="BD11" s="60"/>
      <c r="BE11" s="105"/>
      <c r="BF11" s="62"/>
      <c r="BG11" s="62"/>
      <c r="BH11" s="62"/>
      <c r="BI11" s="62"/>
      <c r="BJ11" s="740" t="s">
        <v>72</v>
      </c>
      <c r="BK11" s="709" t="str">
        <f>IF(ISERROR(IF(OR(BJ9="тариф"&amp;$E$3,BJ9="Год."&amp;$D$3),IF(VLOOKUP($BJ7,$B$6:$D$19,3,0)&gt;$BK$1,"&gt;="&amp;VLOOKUP($BJ7,$B$6:$D$19,2,0)+1,"&gt;="&amp;VLOOKUP($BJ7,$B$6:$D$19,2,0)),IF(VLOOKUP($BJ9,$B$6:$D$19,3,0)&gt;$BK$1,"&gt;="&amp;VLOOKUP($BJ9,$B$6:$D$19,2,0)+1,"&gt;="&amp;VLOOKUP($BJ9,$B$6:$D$19,2,0)))),"",IF(OR(BJ9="тариф"&amp;$E$3,BJ9="Год."&amp;$D$3),IF(VLOOKUP($BJ7,$B$6:$D$19,3,0)&gt;$BK$1,"&gt;="&amp;VLOOKUP($BJ7,$B$6:$D$19,2,0)+1,"&gt;="&amp;VLOOKUP($BJ7,$B$6:$D$19,2,0)),IF(VLOOKUP($BJ9,$B$6:$D$19,3,0)&gt;$BK$1,"&gt;="&amp;VLOOKUP($BJ9,$B$6:$D$19,2,0)+1,"&gt;="&amp;VLOOKUP($BJ9,$B$6:$D$19,2,0))))</f>
        <v>&gt;=44552</v>
      </c>
      <c r="BL11" s="709" t="str">
        <f>IF(ISERROR(IF(VLOOKUP($BJ11,$B$6:$D$19,3,FALSE)&lt;$BL$1,"&lt;"&amp;VLOOKUP($BJ11,$B$6:$D$19,2,FALSE),"&lt;"&amp;VLOOKUP($BJ11,$B$6:$D$19,2,FALSE)+1)),"",IF(VLOOKUP($BJ11,$B$6:$D$19,3,FALSE)&lt;$BL$1,"&lt;"&amp;VLOOKUP($BJ11,$B$6:$D$19,2,FALSE),"&lt;"&amp;VLOOKUP($BJ11,$B$6:$D$19,2,FALSE)+1))</f>
        <v>&lt;44586</v>
      </c>
      <c r="BM11" s="731" t="e">
        <f>IF(BL11="","",ROUND(DAVERAGE('[5]Температуры'!$A$4:$B$5000,'[5]Температуры'!$B$4,$BK10:$BL11),1))</f>
        <v>#VALUE!</v>
      </c>
      <c r="BN11" s="694" t="str">
        <f>IF(BL11="","",IF(ISBLANK(VLOOKUP(VLOOKUP($BJ11,$B$5:$D$19,2,FALSE),'[5]Температуры'!$A$4:$B$5000,2,FALSE)),"Не все данные","Нормально"))</f>
        <v>Нормально</v>
      </c>
      <c r="BO11" s="656"/>
      <c r="BP11" s="78"/>
      <c r="BQ11" s="97"/>
      <c r="BR11" s="97"/>
      <c r="BS11" s="97"/>
      <c r="BT11" s="97"/>
      <c r="BU11" s="97"/>
      <c r="BV11" s="45"/>
    </row>
    <row r="12" spans="1:74" s="69" customFormat="1" ht="12.75" customHeight="1">
      <c r="A12" s="835"/>
      <c r="B12" s="182" t="s">
        <v>73</v>
      </c>
      <c r="C12" s="24">
        <v>44613</v>
      </c>
      <c r="D12" s="39">
        <v>9</v>
      </c>
      <c r="E12" s="131">
        <v>648</v>
      </c>
      <c r="F12" s="225">
        <v>1230</v>
      </c>
      <c r="G12" s="71">
        <v>645</v>
      </c>
      <c r="H12" s="844">
        <v>0</v>
      </c>
      <c r="I12" s="225">
        <v>3</v>
      </c>
      <c r="J12" s="225">
        <v>0</v>
      </c>
      <c r="K12" s="845"/>
      <c r="L12" s="43">
        <v>104</v>
      </c>
      <c r="M12" s="846">
        <v>53</v>
      </c>
      <c r="N12" s="59">
        <v>53</v>
      </c>
      <c r="O12" s="59">
        <v>0</v>
      </c>
      <c r="P12" s="847">
        <v>53</v>
      </c>
      <c r="Q12" s="848">
        <v>53</v>
      </c>
      <c r="R12" s="70">
        <v>10005</v>
      </c>
      <c r="S12" s="71">
        <v>5473</v>
      </c>
      <c r="T12" s="95"/>
      <c r="U12" s="71">
        <v>0</v>
      </c>
      <c r="V12" s="71"/>
      <c r="W12" s="95">
        <v>10050</v>
      </c>
      <c r="X12" s="71">
        <v>5493</v>
      </c>
      <c r="Y12" s="71"/>
      <c r="Z12" s="71">
        <v>0</v>
      </c>
      <c r="AA12" s="71"/>
      <c r="AB12" s="131">
        <f t="shared" si="0"/>
        <v>-20</v>
      </c>
      <c r="AC12" s="132">
        <f t="shared" si="1"/>
        <v>-0.003647638154295094</v>
      </c>
      <c r="AD12" s="73">
        <v>8.49</v>
      </c>
      <c r="AE12" s="91">
        <f t="shared" si="2"/>
      </c>
      <c r="AF12" s="774">
        <v>54.03</v>
      </c>
      <c r="AG12" s="59">
        <v>3119.33</v>
      </c>
      <c r="AH12" s="76">
        <v>3060</v>
      </c>
      <c r="AI12" s="59">
        <v>72.86</v>
      </c>
      <c r="AJ12" s="78">
        <v>2.9</v>
      </c>
      <c r="AK12" s="79">
        <v>0.727</v>
      </c>
      <c r="AL12" s="80">
        <v>0.978</v>
      </c>
      <c r="AM12" s="120">
        <f t="shared" si="3"/>
        <v>9.7</v>
      </c>
      <c r="AN12" s="17"/>
      <c r="AO12" s="92">
        <f t="shared" si="4"/>
        <v>54.03</v>
      </c>
      <c r="AP12" s="13"/>
      <c r="AQ12" s="48"/>
      <c r="AR12" s="53"/>
      <c r="AS12" s="60"/>
      <c r="AT12" s="55"/>
      <c r="AU12" s="56"/>
      <c r="AV12" s="57"/>
      <c r="AW12" s="106"/>
      <c r="AX12" s="62"/>
      <c r="AY12" s="62"/>
      <c r="AZ12" s="107"/>
      <c r="BA12" s="62"/>
      <c r="BB12" s="62"/>
      <c r="BC12" s="62"/>
      <c r="BD12" s="62"/>
      <c r="BE12" s="62"/>
      <c r="BF12" s="62"/>
      <c r="BG12" s="97"/>
      <c r="BH12" s="19"/>
      <c r="BI12" s="19"/>
      <c r="BJ12" s="742"/>
      <c r="BK12" s="701" t="s">
        <v>13</v>
      </c>
      <c r="BL12" s="701" t="s">
        <v>13</v>
      </c>
      <c r="BM12" s="731"/>
      <c r="BN12" s="736"/>
      <c r="BO12" s="97"/>
      <c r="BP12" s="78"/>
      <c r="BQ12" s="97"/>
      <c r="BR12" s="97"/>
      <c r="BS12" s="97"/>
      <c r="BT12" s="97"/>
      <c r="BU12" s="97"/>
      <c r="BV12" s="45"/>
    </row>
    <row r="13" spans="1:74" s="69" customFormat="1" ht="12.75">
      <c r="A13" s="835"/>
      <c r="B13" s="182" t="s">
        <v>74</v>
      </c>
      <c r="C13" s="24">
        <v>44645</v>
      </c>
      <c r="D13" s="39">
        <v>9</v>
      </c>
      <c r="E13" s="131">
        <v>768</v>
      </c>
      <c r="F13" s="225">
        <v>1999</v>
      </c>
      <c r="G13" s="71">
        <v>769</v>
      </c>
      <c r="H13" s="844">
        <v>0</v>
      </c>
      <c r="I13" s="225">
        <v>-1</v>
      </c>
      <c r="J13" s="225">
        <v>0</v>
      </c>
      <c r="K13" s="849"/>
      <c r="L13" s="43">
        <v>171</v>
      </c>
      <c r="M13" s="846">
        <v>67</v>
      </c>
      <c r="N13" s="59">
        <v>67</v>
      </c>
      <c r="O13" s="59">
        <v>0</v>
      </c>
      <c r="P13" s="847">
        <v>67</v>
      </c>
      <c r="Q13" s="848">
        <v>67</v>
      </c>
      <c r="R13" s="70">
        <v>16597</v>
      </c>
      <c r="S13" s="71">
        <v>6592</v>
      </c>
      <c r="T13" s="71"/>
      <c r="U13" s="71">
        <v>0</v>
      </c>
      <c r="V13" s="71"/>
      <c r="W13" s="71">
        <v>16659</v>
      </c>
      <c r="X13" s="71">
        <v>6609</v>
      </c>
      <c r="Y13" s="71"/>
      <c r="Z13" s="71">
        <v>0</v>
      </c>
      <c r="AA13" s="71"/>
      <c r="AB13" s="131">
        <f t="shared" si="0"/>
        <v>-17</v>
      </c>
      <c r="AC13" s="132">
        <f t="shared" si="1"/>
        <v>-0.002575562457389592</v>
      </c>
      <c r="AD13" s="73">
        <v>8.57</v>
      </c>
      <c r="AE13" s="91">
        <f t="shared" si="2"/>
      </c>
      <c r="AF13" s="774">
        <v>68.3</v>
      </c>
      <c r="AG13" s="59">
        <v>3119.33</v>
      </c>
      <c r="AH13" s="76">
        <v>3060</v>
      </c>
      <c r="AI13" s="59">
        <v>90.4</v>
      </c>
      <c r="AJ13" s="78">
        <v>2.1</v>
      </c>
      <c r="AK13" s="79">
        <v>0.741</v>
      </c>
      <c r="AL13" s="80">
        <v>0.987</v>
      </c>
      <c r="AM13" s="120">
        <f t="shared" si="3"/>
        <v>10.2</v>
      </c>
      <c r="AN13" s="17"/>
      <c r="AO13" s="92">
        <f t="shared" si="4"/>
        <v>68.3</v>
      </c>
      <c r="AP13" s="13"/>
      <c r="AQ13" s="48"/>
      <c r="AR13" s="53"/>
      <c r="AS13" s="60"/>
      <c r="AT13" s="55"/>
      <c r="AU13" s="56"/>
      <c r="AV13" s="57"/>
      <c r="AW13" s="106"/>
      <c r="AX13" s="109"/>
      <c r="AY13" s="9"/>
      <c r="AZ13" s="110"/>
      <c r="BA13" s="111"/>
      <c r="BB13" s="9"/>
      <c r="BC13" s="112"/>
      <c r="BD13" s="8"/>
      <c r="BE13" s="10"/>
      <c r="BF13" s="8"/>
      <c r="BG13" s="19"/>
      <c r="BH13" s="8"/>
      <c r="BI13" s="8"/>
      <c r="BJ13" s="707" t="s">
        <v>73</v>
      </c>
      <c r="BK13" s="709" t="str">
        <f>IF(ISERROR(IF(OR(BJ11="тариф"&amp;$E$3,BJ11="Год."&amp;$D$3),IF(VLOOKUP($BJ9,$B$6:$D$19,3,0)&gt;$BK$1,"&gt;="&amp;VLOOKUP($BJ9,$B$6:$D$19,2,0)+1,"&gt;="&amp;VLOOKUP($BJ9,$B$6:$D$19,2,0)),IF(VLOOKUP($BJ11,$B$6:$D$19,3,0)&gt;$BK$1,"&gt;="&amp;VLOOKUP($BJ11,$B$6:$D$19,2,0)+1,"&gt;="&amp;VLOOKUP($BJ11,$B$6:$D$19,2,0)))),"",IF(OR(BJ11="тариф"&amp;$E$3,BJ11="Год."&amp;$D$3),IF(VLOOKUP($BJ9,$B$6:$D$19,3,0)&gt;$BK$1,"&gt;="&amp;VLOOKUP($BJ9,$B$6:$D$19,2,0)+1,"&gt;="&amp;VLOOKUP($BJ9,$B$6:$D$19,2,0)),IF(VLOOKUP($BJ11,$B$6:$D$19,3,0)&gt;$BK$1,"&gt;="&amp;VLOOKUP($BJ11,$B$6:$D$19,2,0)+1,"&gt;="&amp;VLOOKUP($BJ11,$B$6:$D$19,2,0))))</f>
        <v>&gt;=44586</v>
      </c>
      <c r="BL13" s="709" t="str">
        <f>IF(ISERROR(IF(VLOOKUP($BJ13,$B$6:$D$19,3,FALSE)&lt;$BL$1,"&lt;"&amp;VLOOKUP($BJ13,$B$6:$D$19,2,FALSE),"&lt;"&amp;VLOOKUP($BJ13,$B$6:$D$19,2,FALSE)+1)),"",IF(VLOOKUP($BJ13,$B$6:$D$19,3,FALSE)&lt;$BL$1,"&lt;"&amp;VLOOKUP($BJ13,$B$6:$D$19,2,FALSE),"&lt;"&amp;VLOOKUP($BJ13,$B$6:$D$19,2,FALSE)+1))</f>
        <v>&lt;44613</v>
      </c>
      <c r="BM13" s="731" t="e">
        <f>IF(BL13="","",ROUND(DAVERAGE('[5]Температуры'!$A$4:$B$5000,'[5]Температуры'!$B$4,$BK12:$BL13),1))</f>
        <v>#VALUE!</v>
      </c>
      <c r="BN13" s="694" t="str">
        <f>IF(BL13="","",IF(ISBLANK(VLOOKUP(VLOOKUP($BJ13,$B$5:$D$19,2,FALSE),'[5]Температуры'!$A$4:$B$5000,2,FALSE)),"Не все данные","Нормально"))</f>
        <v>Нормально</v>
      </c>
      <c r="BO13" s="97"/>
      <c r="BP13" s="78"/>
      <c r="BQ13" s="97"/>
      <c r="BR13" s="97"/>
      <c r="BS13" s="97"/>
      <c r="BT13" s="97"/>
      <c r="BU13" s="97"/>
      <c r="BV13" s="45"/>
    </row>
    <row r="14" spans="1:74" s="115" customFormat="1" ht="12.75">
      <c r="A14" s="835"/>
      <c r="B14" s="182" t="s">
        <v>22</v>
      </c>
      <c r="C14" s="24">
        <v>44672</v>
      </c>
      <c r="D14" s="39">
        <v>9</v>
      </c>
      <c r="E14" s="131">
        <v>648</v>
      </c>
      <c r="F14" s="225">
        <v>2647</v>
      </c>
      <c r="G14" s="71">
        <v>648</v>
      </c>
      <c r="H14" s="844">
        <v>0</v>
      </c>
      <c r="I14" s="225">
        <v>0</v>
      </c>
      <c r="J14" s="225">
        <v>0</v>
      </c>
      <c r="K14" s="845"/>
      <c r="L14" s="43">
        <v>205.42</v>
      </c>
      <c r="M14" s="846">
        <v>34.41999999999999</v>
      </c>
      <c r="N14" s="59">
        <v>34.41999999999999</v>
      </c>
      <c r="O14" s="59">
        <v>0</v>
      </c>
      <c r="P14" s="847">
        <v>34.41999999999999</v>
      </c>
      <c r="Q14" s="848">
        <v>34.41999999999999</v>
      </c>
      <c r="R14" s="70">
        <v>21915</v>
      </c>
      <c r="S14" s="71">
        <v>5318</v>
      </c>
      <c r="T14" s="70"/>
      <c r="U14" s="71">
        <v>0</v>
      </c>
      <c r="V14" s="71"/>
      <c r="W14" s="99">
        <v>21993</v>
      </c>
      <c r="X14" s="71">
        <v>5334</v>
      </c>
      <c r="Y14" s="72"/>
      <c r="Z14" s="71">
        <v>0</v>
      </c>
      <c r="AA14" s="71"/>
      <c r="AB14" s="131">
        <f t="shared" si="0"/>
        <v>-16</v>
      </c>
      <c r="AC14" s="132">
        <f t="shared" si="1"/>
        <v>-0.0030041306796845663</v>
      </c>
      <c r="AD14" s="73">
        <v>8.21</v>
      </c>
      <c r="AE14" s="91">
        <f t="shared" si="2"/>
      </c>
      <c r="AF14" s="774">
        <v>35.09</v>
      </c>
      <c r="AG14" s="59">
        <v>3119.33</v>
      </c>
      <c r="AH14" s="76">
        <v>3060</v>
      </c>
      <c r="AI14" s="59">
        <v>47.72</v>
      </c>
      <c r="AJ14" s="78">
        <v>8.8</v>
      </c>
      <c r="AK14" s="79">
        <v>0.721</v>
      </c>
      <c r="AL14" s="80">
        <v>0.946</v>
      </c>
      <c r="AM14" s="120">
        <f t="shared" si="3"/>
        <v>6.5</v>
      </c>
      <c r="AN14" s="122"/>
      <c r="AO14" s="666"/>
      <c r="AP14" s="70"/>
      <c r="AQ14" s="53"/>
      <c r="AR14" s="53"/>
      <c r="AS14" s="60"/>
      <c r="AT14" s="66"/>
      <c r="AU14" s="56"/>
      <c r="AV14" s="67"/>
      <c r="AW14" s="66"/>
      <c r="AX14" s="114"/>
      <c r="AY14" s="11"/>
      <c r="AZ14" s="783"/>
      <c r="BA14" s="784"/>
      <c r="BB14" s="9"/>
      <c r="BC14" s="112"/>
      <c r="BD14" s="8"/>
      <c r="BE14" s="10"/>
      <c r="BF14" s="66"/>
      <c r="BG14" s="19"/>
      <c r="BH14" s="62"/>
      <c r="BI14" s="62"/>
      <c r="BJ14" s="742"/>
      <c r="BK14" s="701" t="s">
        <v>13</v>
      </c>
      <c r="BL14" s="701" t="s">
        <v>13</v>
      </c>
      <c r="BM14" s="735"/>
      <c r="BN14" s="743"/>
      <c r="BO14" s="19"/>
      <c r="BP14" s="78"/>
      <c r="BQ14" s="19"/>
      <c r="BR14" s="19"/>
      <c r="BS14" s="19"/>
      <c r="BT14" s="19"/>
      <c r="BU14" s="19"/>
      <c r="BV14" s="45"/>
    </row>
    <row r="15" spans="1:74" s="115" customFormat="1" ht="12.75">
      <c r="A15" s="836"/>
      <c r="B15" s="182"/>
      <c r="C15" s="24"/>
      <c r="D15" s="39"/>
      <c r="E15" s="131">
        <f>IF(D15="","",IF(B15="пуск"&amp;$D$3,0,IF(OR(AND(E14=0,B14="пуск"&amp;$D$3)),(C15-C14)*24+D15-D14,IF(AND(E14=0,E13=0),(C15-C12)*24+D15-D12,IF(OR(B14="Обнул.",B14="Год."&amp;$D$3,B14="тариф"&amp;$E$3),(C15-C13)*24+D15-D13,(C15-C14)*24+D15-D14)))))</f>
      </c>
      <c r="F15" s="225"/>
      <c r="G15" s="71">
        <f>IF($F$5="нет",E15,IF(OR(F15="",B15="показ.",B15="Пуск"&amp;$D$3),"",IF(OR($F$5="часы+",$F$5="часы-"),IF(B14="Год."&amp;$D$3,F15+G14,IF(B14="тариф"&amp;$E$3,ABS(F15-F13),ABS(F15-F14))),IF($F$5="сутки",IF(B14="тариф"&amp;$E$3,ABS((F15-F13)*24),ABS((F15-F14)*24)),IF($F$5="минуты",IF(B14="тариф"&amp;$E$3,ABS((F15-F13)/60),ABS((F15-F14)/60)))))))</f>
      </c>
      <c r="H15" s="844">
        <f>IF(C15="","",IF(OR(B14="Обнул.",B14="показ.",B14="Год."&amp;$D$3),SUM(H14),SUM(0)))</f>
      </c>
      <c r="I15" s="225">
        <f>IF(OR(G15="",B15="Пуск"&amp;$D$3),"",IF(OR($B$1=1,$B$1=57,$B$1=82,$B$1=87,$B$1=94,$B$1=104,$B$1=28,B15="показ.",B15="показ."),E15-(РАСЧЕТ!G15+РАСЧЕТ!H15),(E15)-(РАСЧЕТ!G15+РАСЧЕТ!H15)))</f>
      </c>
      <c r="J15" s="225">
        <f>IF(OR(C15="",C15=0),0,IF(OR(B14="Обнул.",B14="Год."&amp;$D$3),SUM(IF(AND(C14&lt;=$E$66,C15&gt;=$E$67),$I$67,0),IF(AND(C14&lt;=$E$68,C15&gt;=$E$69),$I$69,0),IF(AND(C14&lt;=$E$70,C15&gt;=$E$71),$I$71,0))+J14,SUM(IF(AND(C14&lt;=$E$66,C15&gt;=$E$67),$I$67,0),IF(AND(C14&lt;=$E$68,C15&gt;=$E$69),$I$69,0),IF(AND(C14&lt;=$E$70,C15&gt;=$E$71),$I$71,0))))</f>
        <v>0</v>
      </c>
      <c r="K15" s="849"/>
      <c r="L15" s="43"/>
      <c r="M15" s="846">
        <f>IF(OR(L15="",B15="Показ.",B15="Пуск"&amp;$D$3,B15="приемка"&amp;$E$3),0,IF(OR(B14="Обнул.",B14="Год."&amp;$D$3),L15-K15,IF(B14="тариф"&amp;$E$3,L15-L13-K15,L15-L14-K15)))</f>
        <v>0</v>
      </c>
      <c r="N15" s="59">
        <f>IF(M15=0,0,IF($L$5="ГДж",ROUND(M15/4.19,$N$4),IF($L$5="МВт",ROUND(M15*0.86,$N$4),IF($L$5="Гкал",M15*1))))</f>
        <v>0</v>
      </c>
      <c r="O15" s="59">
        <f>IF(OR(C15="",C15=0),0,IF(OR(B14="Обнул.",B14="Год."&amp;$D$3),SUM(IF(AND(C14&lt;=$E$66,C15&gt;=$E$67),$R$67,0),IF(AND(C14&lt;=$E$68,C15&gt;=$E$69),$R$69,0),IF(AND(C14&lt;=$E$70,C15&gt;=$E$71),$R$71,0))+O14,SUM(IF(AND(C14&lt;=$E$66,C15&gt;=$E$67),$R$67,0),IF(AND(C14&lt;=$E$68,C15&gt;=$E$69),$R$69,0),IF(AND(C14&lt;=$E$70,C15&gt;=$E$71),$R$71,0))))</f>
        <v>0</v>
      </c>
      <c r="P15" s="847">
        <f>IF(OR(B15="Обнул."),"",IF(OR(B14="Обнул.",B14="Год."&amp;D$3),SUM(N15,O15,N14,-AN15),SUM(N15,O15,-AN15)))</f>
        <v>0</v>
      </c>
      <c r="Q15" s="848">
        <f>IF(P15="","",IF(AND($B$1=54,B15="тариф"&amp;$E$3),ROUND(P15*0.0147,$Q$4)+P15,ROUND(P15*$Q$5,$Q$4)+P15))</f>
        <v>0</v>
      </c>
      <c r="R15" s="70"/>
      <c r="S15" s="71">
        <f>IF(OR(R15=0,B15="Пуск"&amp;$D$3,B15="показ."),0,IF(OR(B14="Год."&amp;$D$3,B14="Обнул."),R15+S14,IF(B14="тариф"&amp;$E$3,R15-R13,R15-R14)))</f>
        <v>0</v>
      </c>
      <c r="T15" s="70"/>
      <c r="U15" s="71">
        <f>IF(OR(T15=0,B15="Пуск"&amp;$D$3,B15="показ."),0,IF(OR(B14="Год."&amp;$D$3,B14="Обнул."),T15+U14,IF(B14="тариф"&amp;$E$3,T15-T13,T15-T14)))</f>
        <v>0</v>
      </c>
      <c r="V15" s="71">
        <f>IF(T15="","",S15-U15)</f>
      </c>
      <c r="W15" s="99"/>
      <c r="X15" s="71">
        <f>IF(OR(W15=0,B15="Пуск"&amp;$D$3,B15="показ."),0,IF(OR(B14="Год."&amp;$D$3,B14="Обнул."),W15+X14,IF(B14="тариф"&amp;$E$3,W15-W13,W15-W14)))</f>
        <v>0</v>
      </c>
      <c r="Y15" s="72"/>
      <c r="Z15" s="71">
        <f>IF(OR(Y15=0,B15="Пуск"&amp;$D$3,B15="показ."),0,IF(OR(B14="тариф"&amp;$E$3,B14="Обнул."),Y15-Y13,Y15-Y14))</f>
        <v>0</v>
      </c>
      <c r="AA15" s="71">
        <f>IF(Y15="","",X15-Z15)</f>
      </c>
      <c r="AB15" s="131">
        <f t="shared" si="0"/>
      </c>
      <c r="AC15" s="132">
        <f t="shared" si="1"/>
      </c>
      <c r="AD15" s="73">
        <f>IF(OR(G15="",G15=0),"",IF(OR(LEFT($L$1,4)="КМ-5",B14="Обнул.",$AD$4="Расход без простоя"),ROUND($S15/G15,2),ROUND($S15/(G15-H15-J15),2)))</f>
      </c>
      <c r="AE15" s="91">
        <f t="shared" si="2"/>
      </c>
      <c r="AF15" s="774">
        <f>IF(OR(Q15="",Q15=0),"",IF(OR(B14="тариф"&amp;$E$3,B14="показ",B14="Год."&amp;$D$3),ROUND((Q15-Q14)*AG15/(AH15+$AI$3)+AF14,2),ROUND(Q15*AG15/(AH15+$AI$3),2)))</f>
      </c>
      <c r="AG15" s="59">
        <f>IF(OR(C15="",C15=0),"",IF(C15&lt;=DATEVALUE("02.01."&amp;$E$3),$AG$2,$AG$3))</f>
      </c>
      <c r="AH15" s="76">
        <f>IF(OR(B15="",B15=0),"",$AI$2)</f>
      </c>
      <c r="AI15" s="59">
        <f>IF(OR(AJ15="",P15=0),"",ROUND($T$2*(E15-H15)*($AJ$2-AJ15)/($AJ$2-($AK$2)),2))</f>
      </c>
      <c r="AJ15" s="78">
        <f>IF(B15="","",VLOOKUP(B15,$BJ$1:$BN$17,4,FALSE))</f>
      </c>
      <c r="AK15" s="79">
        <f>IF(OR(AJ15="",P15=0),"",ROUND((Q15+AN15)/AI15,3))</f>
      </c>
      <c r="AL15" s="80">
        <f>IF(OR(AJ15="",P15=0),"",ROUND(AD15/$S$2,3))</f>
      </c>
      <c r="AM15" s="120">
        <f t="shared" si="3"/>
      </c>
      <c r="AN15" s="67"/>
      <c r="AO15" s="776"/>
      <c r="AP15" s="123"/>
      <c r="AQ15" s="777"/>
      <c r="AR15" s="777"/>
      <c r="AS15" s="778"/>
      <c r="AT15" s="116"/>
      <c r="AU15" s="62"/>
      <c r="AV15" s="62"/>
      <c r="AW15" s="62"/>
      <c r="AX15" s="119"/>
      <c r="AY15" s="120"/>
      <c r="AZ15" s="68"/>
      <c r="BA15" s="68"/>
      <c r="BB15" s="62"/>
      <c r="BC15" s="62"/>
      <c r="BD15" s="62"/>
      <c r="BE15" s="62"/>
      <c r="BF15" s="62"/>
      <c r="BG15" s="19"/>
      <c r="BH15" s="62"/>
      <c r="BI15" s="62"/>
      <c r="BJ15" s="740" t="s">
        <v>74</v>
      </c>
      <c r="BK15" s="709" t="str">
        <f>IF(ISERROR(IF(OR(BJ13="тариф"&amp;$E$3,BJ13="Год."&amp;$D$3),IF(VLOOKUP($BJ11,$B$6:$D$19,3,0)&gt;$BK$1,"&gt;="&amp;VLOOKUP($BJ11,$B$6:$D$19,2,0)+1,"&gt;="&amp;VLOOKUP($BJ11,$B$6:$D$19,2,0)),IF(VLOOKUP($BJ13,$B$6:$D$19,3,0)&gt;$BK$1,"&gt;="&amp;VLOOKUP($BJ13,$B$6:$D$19,2,0)+1,"&gt;="&amp;VLOOKUP($BJ13,$B$6:$D$19,2,0)))),"",IF(OR(BJ13="тариф"&amp;$E$3,BJ13="Год."&amp;$D$3),IF(VLOOKUP($BJ11,$B$6:$D$19,3,0)&gt;$BK$1,"&gt;="&amp;VLOOKUP($BJ11,$B$6:$D$19,2,0)+1,"&gt;="&amp;VLOOKUP($BJ11,$B$6:$D$19,2,0)),IF(VLOOKUP($BJ13,$B$6:$D$19,3,0)&gt;$BK$1,"&gt;="&amp;VLOOKUP($BJ13,$B$6:$D$19,2,0)+1,"&gt;="&amp;VLOOKUP($BJ13,$B$6:$D$19,2,0))))</f>
        <v>&gt;=44613</v>
      </c>
      <c r="BL15" s="709" t="str">
        <f>IF(ISERROR(IF(VLOOKUP($BJ15,$B$6:$D$19,3,FALSE)&lt;$BL$1,"&lt;"&amp;VLOOKUP($BJ15,$B$6:$D$19,2,FALSE),"&lt;"&amp;VLOOKUP($BJ15,$B$6:$D$19,2,FALSE)+1)),"",IF(VLOOKUP($BJ15,$B$6:$D$19,3,FALSE)&lt;$BL$1,"&lt;"&amp;VLOOKUP($BJ15,$B$6:$D$19,2,FALSE),"&lt;"&amp;VLOOKUP($BJ15,$B$6:$D$19,2,FALSE)+1))</f>
        <v>&lt;44645</v>
      </c>
      <c r="BM15" s="731" t="e">
        <f>IF(BL15="","",ROUND(DAVERAGE('[5]Температуры'!$A$4:$B$5000,'[5]Температуры'!$B$4,$BK14:$BL15),1))</f>
        <v>#VALUE!</v>
      </c>
      <c r="BN15" s="694" t="str">
        <f>IF(BL15="","",IF(ISBLANK(VLOOKUP(VLOOKUP($BJ15,$B$5:$D$19,2,FALSE),'[5]Температуры'!$A$4:$B$5000,2,FALSE)),"Не все данные","Нормально"))</f>
        <v>Нормально</v>
      </c>
      <c r="BO15" s="19"/>
      <c r="BP15" s="738"/>
      <c r="BQ15" s="19"/>
      <c r="BR15" s="19"/>
      <c r="BS15" s="19"/>
      <c r="BT15" s="19"/>
      <c r="BU15" s="19"/>
      <c r="BV15" s="45"/>
    </row>
    <row r="16" spans="1:71" s="115" customFormat="1" ht="12.75">
      <c r="A16" s="836"/>
      <c r="B16" s="182"/>
      <c r="C16" s="24"/>
      <c r="D16" s="39"/>
      <c r="E16" s="131">
        <f>IF(D16="","",IF(B16="пуск"&amp;$D$3,0,IF(OR(AND(E15=0,B15="пуск"&amp;$D$3)),(C16-C15)*24+D16-D15,IF(AND(E15=0,E14=0),(C16-C13)*24+D16-D13,IF(OR(B15="Обнул.",B15="Год."&amp;$D$3,B15="тариф"&amp;$E$3),(C16-C14)*24+D16-D14,(C16-C15)*24+D16-D15)))))</f>
      </c>
      <c r="F16" s="225"/>
      <c r="G16" s="71">
        <f>IF($F$5="нет",E16,IF(OR(F16="",B16="показ.",B16="Пуск"&amp;$D$3),"",IF(OR($F$5="часы+",$F$5="часы-"),IF(B15="Год."&amp;$D$3,F16+G15,IF(B15="тариф"&amp;$E$3,ABS(F16-F14),ABS(F16-F15))),IF($F$5="сутки",IF(B15="тариф"&amp;$E$3,ABS((F16-F14)*24),ABS((F16-F15)*24)),IF($F$5="минуты",IF(B15="тариф"&amp;$E$3,ABS((F16-F14)/60),ABS((F16-F15)/60)))))))</f>
      </c>
      <c r="H16" s="844">
        <f>IF(C16="","",IF(OR(B15="Обнул.",B15="показ.",B15="Год."&amp;$D$3),SUM(H15),SUM(0)))</f>
      </c>
      <c r="I16" s="225">
        <f>IF(OR(G16="",B16="Пуск"&amp;$D$3),"",IF(OR($B$1=1,$B$1=57,$B$1=82,$B$1=87,$B$1=94,$B$1=104,$B$1=28,B16="показ.",B16="показ."),E16-(РАСЧЕТ!G16+РАСЧЕТ!H16),(E16)-(РАСЧЕТ!G16+РАСЧЕТ!H16)))</f>
      </c>
      <c r="J16" s="225">
        <f>IF(OR(C16="",C16=0),0,IF(OR(B15="Обнул.",B15="Год."&amp;$D$3),SUM(IF(AND(C15&lt;=$E$66,C16&gt;=$E$67),$I$67,0),IF(AND(C15&lt;=$E$68,C16&gt;=$E$69),$I$69,0),IF(AND(C15&lt;=$E$70,C16&gt;=$E$71),$I$71,0))+J15,SUM(IF(AND(C15&lt;=$E$66,C16&gt;=$E$67),$I$67,0),IF(AND(C15&lt;=$E$68,C16&gt;=$E$69),$I$69,0),IF(AND(C15&lt;=$E$70,C16&gt;=$E$71),$I$71,0))))</f>
        <v>0</v>
      </c>
      <c r="K16" s="849"/>
      <c r="L16" s="43"/>
      <c r="M16" s="846">
        <f>IF(OR(L16="",B16="Показ.",B16="Пуск"&amp;$D$3,B16="приемка"&amp;$E$3),0,IF(OR(B15="Обнул.",B15="Год."&amp;$D$3),L16-K16,IF(B15="тариф"&amp;$E$3,L16-L14-K16,L16-L15-K16)))</f>
        <v>0</v>
      </c>
      <c r="N16" s="59">
        <f>IF(M16=0,0,IF($L$5="ГДж",ROUND(M16/4.19,$N$4),IF($L$5="МВт",ROUND(M16*0.86,$N$4),IF($L$5="Гкал",M16*1))))</f>
        <v>0</v>
      </c>
      <c r="O16" s="59">
        <f>IF(OR(C16="",C16=0),0,IF(OR(B15="Обнул.",B15="Год."&amp;$D$3),SUM(IF(AND(C15&lt;=$E$66,C16&gt;=$E$67),$R$67,0),IF(AND(C15&lt;=$E$68,C16&gt;=$E$69),$R$69,0),IF(AND(C15&lt;=$E$70,C16&gt;=$E$71),$R$71,0))+O15,SUM(IF(AND(C15&lt;=$E$66,C16&gt;=$E$67),$R$67,0),IF(AND(C15&lt;=$E$68,C16&gt;=$E$69),$R$69,0),IF(AND(C15&lt;=$E$70,C16&gt;=$E$71),$R$71,0))))</f>
        <v>0</v>
      </c>
      <c r="P16" s="847">
        <f>IF(OR(B16="Обнул."),"",IF(OR(B15="Обнул.",B15="Год."&amp;D$3),SUM(N16,O16,N15,-AN16),SUM(N16,O16,-AN16)))</f>
        <v>0</v>
      </c>
      <c r="Q16" s="848">
        <f>IF(P16="","",IF(AND($B$1=54,B16="тариф"&amp;$E$3),ROUND(P16*0.0147,$Q$4)+P16,ROUND(P16*$Q$5,$Q$4)+P16))</f>
        <v>0</v>
      </c>
      <c r="R16" s="70"/>
      <c r="S16" s="71">
        <f>IF(OR(R16=0,B16="Пуск"&amp;$D$3,B16="показ."),0,IF(OR(B15="Год."&amp;$D$3,B15="Обнул."),R16+S15,IF(B15="тариф"&amp;$E$3,R16-R14,R16-R15)))</f>
        <v>0</v>
      </c>
      <c r="T16" s="70"/>
      <c r="U16" s="71">
        <f>IF(OR(T16=0,B16="Пуск"&amp;$D$3,B16="показ."),0,IF(OR(B15="Год."&amp;$D$3,B15="Обнул."),T16+U15,IF(B15="тариф"&amp;$E$3,T16-T14,T16-T15)))</f>
        <v>0</v>
      </c>
      <c r="V16" s="71">
        <f>IF(T16="","",S16-U16)</f>
      </c>
      <c r="W16" s="99"/>
      <c r="X16" s="71">
        <f>IF(OR(W16=0,B16="Пуск"&amp;$D$3,B16="показ."),0,IF(OR(B15="Год."&amp;$D$3,B15="Обнул."),W16+X15,IF(B15="тариф"&amp;$E$3,W16-W14,W16-W15)))</f>
        <v>0</v>
      </c>
      <c r="Y16" s="72"/>
      <c r="Z16" s="71">
        <f>IF(OR(Y16=0,B16="Пуск"&amp;$D$3,B16="показ."),0,IF(OR(B15="тариф"&amp;$E$3,B15="Обнул."),Y16-Y14,Y16-Y15))</f>
        <v>0</v>
      </c>
      <c r="AA16" s="71">
        <f>IF(Y16="","",X16-Z16)</f>
      </c>
      <c r="AB16" s="131">
        <f t="shared" si="0"/>
      </c>
      <c r="AC16" s="132">
        <f t="shared" si="1"/>
      </c>
      <c r="AD16" s="73">
        <f>IF(OR(G16="",G16=0),"",IF(OR(LEFT($L$1,4)="КМ-5",B15="Обнул.",$AD$4="Расход без простоя"),ROUND($S16/G16,2),ROUND($S16/(G16-H16-J16),2)))</f>
      </c>
      <c r="AE16" s="91">
        <f t="shared" si="2"/>
      </c>
      <c r="AF16" s="774">
        <f>IF(OR(Q16="",Q16=0),"",IF(OR(B15="тариф"&amp;$E$3,B15="показ",B15="Год."&amp;$D$3),ROUND((Q16-Q15)*AG16/(AH16+$AI$3)+AF15,2),ROUND(Q16*AG16/(AH16+$AI$3),2)))</f>
      </c>
      <c r="AG16" s="59">
        <f>IF(OR(C16="",C16=0),"",IF(C16&lt;=DATEVALUE("02.01."&amp;$E$3),$AG$2,$AG$3))</f>
      </c>
      <c r="AH16" s="76">
        <f>IF(OR(B16="",B16=0),"",$AI$2)</f>
      </c>
      <c r="AI16" s="59">
        <f>IF(OR(AJ16="",P16=0),"",ROUND($T$2*(E16-H16)*($AJ$2-AJ16)/($AJ$2-($AK$2)),2))</f>
      </c>
      <c r="AJ16" s="78">
        <f>IF(B16="","",VLOOKUP(B16,$BJ$1:$BN$17,4,FALSE))</f>
      </c>
      <c r="AK16" s="79">
        <f>IF(OR(AJ16="",P16=0),"",ROUND((Q16+AN16)/AI16,3))</f>
      </c>
      <c r="AL16" s="80">
        <f>IF(OR(AJ16="",P16=0),"",ROUND(AD16/$S$2,3))</f>
      </c>
      <c r="AM16" s="120">
        <f t="shared" si="3"/>
      </c>
      <c r="AN16" s="13"/>
      <c r="AO16" s="66"/>
      <c r="AP16" s="17"/>
      <c r="AQ16" s="17"/>
      <c r="AR16" s="17"/>
      <c r="AS16" s="122"/>
      <c r="AT16" s="123"/>
      <c r="AU16" s="62"/>
      <c r="AV16" s="62"/>
      <c r="AW16" s="62"/>
      <c r="AX16" s="113"/>
      <c r="AY16" s="66"/>
      <c r="AZ16" s="53"/>
      <c r="BA16" s="62"/>
      <c r="BB16" s="62"/>
      <c r="BC16" s="62"/>
      <c r="BD16" s="62"/>
      <c r="BE16" s="62"/>
      <c r="BF16" s="62"/>
      <c r="BG16" s="19"/>
      <c r="BH16" s="19"/>
      <c r="BI16" s="19"/>
      <c r="BJ16" s="744"/>
      <c r="BK16" s="701" t="s">
        <v>13</v>
      </c>
      <c r="BL16" s="701" t="s">
        <v>13</v>
      </c>
      <c r="BM16" s="731"/>
      <c r="BN16" s="743"/>
      <c r="BO16" s="745"/>
      <c r="BP16" s="738"/>
      <c r="BQ16" s="19"/>
      <c r="BR16" s="19"/>
      <c r="BS16" s="19"/>
    </row>
    <row r="17" spans="1:71" s="115" customFormat="1" ht="12" customHeight="1">
      <c r="A17" s="836"/>
      <c r="B17" s="182"/>
      <c r="C17" s="24"/>
      <c r="D17" s="39"/>
      <c r="E17" s="131">
        <f>IF(D17="","",IF(B17="пуск"&amp;$D$3,0,IF(OR(AND(E16=0,B16="пуск"&amp;$D$3)),(C17-C16)*24+D17-D16,IF(AND(E16=0,E15=0),(C17-C14)*24+D17-D14,IF(OR(B16="Обнул.",B16="Год."&amp;$D$3,B16="тариф"&amp;$E$3),(C17-C15)*24+D17-D15,(C17-C16)*24+D17-D16)))))</f>
      </c>
      <c r="F17" s="225"/>
      <c r="G17" s="71">
        <f>IF($F$5="нет",E17,IF(OR(F17="",B17="показ.",B17="Пуск"&amp;$D$3),"",IF(OR($F$5="часы+",$F$5="часы-"),IF(B16="Год."&amp;$D$3,F17+G16,IF(B16="тариф"&amp;$E$3,ABS(F17-F15),ABS(F17-F16))),IF($F$5="сутки",IF(B16="тариф"&amp;$E$3,ABS((F17-F15)*24),ABS((F17-F16)*24)),IF($F$5="минуты",IF(B16="тариф"&amp;$E$3,ABS((F17-F15)/60),ABS((F17-F16)/60)))))))</f>
      </c>
      <c r="H17" s="844">
        <f>IF(C17="","",IF(OR(B16="Обнул.",B16="показ.",B16="Год."&amp;$D$3),SUM(H16),SUM(0)))</f>
      </c>
      <c r="I17" s="225">
        <f>IF(OR(G17="",B17="Пуск"&amp;$D$3),"",IF(OR($B$1=1,$B$1=57,$B$1=82,$B$1=87,$B$1=94,$B$1=104,$B$1=28,B17="показ.",B17="показ."),E17-(РАСЧЕТ!G17+РАСЧЕТ!H17),(E17)-(РАСЧЕТ!G17+РАСЧЕТ!H17)))</f>
      </c>
      <c r="J17" s="225">
        <f>IF(OR(C17="",C17=0),0,IF(OR(B16="Обнул.",B16="Год."&amp;$D$3),SUM(IF(AND(C16&lt;=$E$66,C17&gt;=$E$67),$I$67,0),IF(AND(C16&lt;=$E$68,C17&gt;=$E$69),$I$69,0),IF(AND(C16&lt;=$E$70,C17&gt;=$E$71),$I$71,0))+J16,SUM(IF(AND(C16&lt;=$E$66,C17&gt;=$E$67),$I$67,0),IF(AND(C16&lt;=$E$68,C17&gt;=$E$69),$I$69,0),IF(AND(C16&lt;=$E$70,C17&gt;=$E$71),$I$71,0))))</f>
        <v>0</v>
      </c>
      <c r="K17" s="849"/>
      <c r="L17" s="43"/>
      <c r="M17" s="846">
        <f>IF(OR(L17="",B17="Показ.",B17="Пуск"&amp;$D$3,B17="приемка"&amp;$E$3),0,IF(OR(B16="Обнул.",B16="Год."&amp;$D$3),L17-K17,IF(B16="тариф"&amp;$E$3,L17-L15-K17,L17-L16-K17)))</f>
        <v>0</v>
      </c>
      <c r="N17" s="59">
        <f>IF(M17=0,0,IF($L$5="ГДж",ROUND(M17/4.19,$N$4),IF($L$5="МВт",ROUND(M17*0.86,$N$4),IF($L$5="Гкал",M17*1))))</f>
        <v>0</v>
      </c>
      <c r="O17" s="59">
        <f>IF(OR(C17="",C17=0),0,IF(OR(B16="Обнул.",B16="Год."&amp;$D$3),SUM(IF(AND(C16&lt;=$E$66,C17&gt;=$E$67),$R$67,0),IF(AND(C16&lt;=$E$68,C17&gt;=$E$69),$R$69,0),IF(AND(C16&lt;=$E$70,C17&gt;=$E$71),$R$71,0))+O16,SUM(IF(AND(C16&lt;=$E$66,C17&gt;=$E$67),$R$67,0),IF(AND(C16&lt;=$E$68,C17&gt;=$E$69),$R$69,0),IF(AND(C16&lt;=$E$70,C17&gt;=$E$71),$R$71,0))))</f>
        <v>0</v>
      </c>
      <c r="P17" s="847">
        <f>IF(OR(B17="Обнул."),"",IF(OR(B16="Обнул.",B16="Год."&amp;D$3),SUM(N17,O17,N16,-AN17),SUM(N17,O17,-AN17)))</f>
        <v>0</v>
      </c>
      <c r="Q17" s="848">
        <f>IF(P17="","",IF(AND($B$1=54,B17="тариф"&amp;$E$3),ROUND(P17*0.0147,$Q$4)+P17,ROUND(P17*$Q$5,$Q$4)+P17))</f>
        <v>0</v>
      </c>
      <c r="R17" s="70"/>
      <c r="S17" s="71">
        <f>IF(OR(R17=0,B17="Пуск"&amp;$D$3,B17="показ."),0,IF(OR(B16="Год."&amp;$D$3,B16="Обнул."),R17+S16,IF(B16="тариф"&amp;$E$3,R17-R15,R17-R16)))</f>
        <v>0</v>
      </c>
      <c r="T17" s="70"/>
      <c r="U17" s="71">
        <f>IF(OR(T17=0,B17="Пуск"&amp;$D$3,B17="показ."),0,IF(OR(B16="Год."&amp;$D$3,B16="Обнул."),T17+U16,IF(B16="тариф"&amp;$E$3,T17-T15,T17-T16)))</f>
        <v>0</v>
      </c>
      <c r="V17" s="71">
        <f>IF(T17="","",S17-U17)</f>
      </c>
      <c r="W17" s="99"/>
      <c r="X17" s="71">
        <f>IF(OR(W17=0,B17="Пуск"&amp;$D$3,B17="показ."),0,IF(OR(B16="Год."&amp;$D$3,B16="Обнул."),W17+X16,IF(B16="тариф"&amp;$E$3,W17-W15,W17-W16)))</f>
        <v>0</v>
      </c>
      <c r="Y17" s="72"/>
      <c r="Z17" s="71">
        <f>IF(OR(Y17=0,B17="Пуск"&amp;$D$3,B17="показ."),0,IF(OR(B16="тариф"&amp;$E$3,B16="Обнул."),Y17-Y15,Y17-Y16))</f>
        <v>0</v>
      </c>
      <c r="AA17" s="71">
        <f>IF(Y17="","",X17-Z17)</f>
      </c>
      <c r="AB17" s="131">
        <f t="shared" si="0"/>
      </c>
      <c r="AC17" s="132">
        <f t="shared" si="1"/>
      </c>
      <c r="AD17" s="73">
        <f>IF(OR(G17="",G17=0),"",IF(OR(LEFT($L$1,4)="КМ-5",B16="Обнул.",$AD$4="Расход без простоя"),ROUND($S17/G17,2),ROUND($S17/(G17-H17-J17),2)))</f>
      </c>
      <c r="AE17" s="91">
        <f t="shared" si="2"/>
      </c>
      <c r="AF17" s="75">
        <f>IF(OR(Q17="",Q17=0),"",IF(OR(B16="тариф"&amp;$E$3,B16="показ",B16="Год."&amp;$D$3),ROUND((Q17-Q16)*AG17/(AH17+$AI$3)+AF16,2),ROUND(Q17*AG17/(AH17+$AI$3),2)))</f>
      </c>
      <c r="AG17" s="59">
        <f>IF(OR(C17="",C17=0),"",IF(C17&lt;=DATEVALUE("02.01."&amp;$E$3),$AG$2,$AG$3))</f>
      </c>
      <c r="AH17" s="76">
        <f>IF(OR(B17="",B17=0),"",$AI$2)</f>
      </c>
      <c r="AI17" s="59">
        <f>IF(OR(AJ17="",P17=0),"",ROUND($T$2*(E17-H17)*($AJ$2-AJ17)/($AJ$2-($AK$2)),2))</f>
      </c>
      <c r="AJ17" s="78">
        <f>IF(B17="","",VLOOKUP(B17,$BJ$1:$BN$17,4,FALSE))</f>
      </c>
      <c r="AK17" s="79">
        <f>IF(OR(AJ17="",P17=0),"",ROUND((Q17+AN17)/AI17,3))</f>
      </c>
      <c r="AL17" s="80">
        <f>IF(OR(AJ17="",P17=0),"",ROUND(AD17/$S$2,3))</f>
      </c>
      <c r="AM17" s="120">
        <f t="shared" si="3"/>
      </c>
      <c r="AN17" s="674"/>
      <c r="AO17" s="674"/>
      <c r="AP17" s="674"/>
      <c r="AQ17" s="675"/>
      <c r="AR17" s="674"/>
      <c r="AS17" s="674"/>
      <c r="AT17" s="124"/>
      <c r="AU17" s="19"/>
      <c r="AV17" s="19"/>
      <c r="AW17" s="19"/>
      <c r="AX17" s="19"/>
      <c r="AY17" s="125"/>
      <c r="AZ17" s="746"/>
      <c r="BA17" s="746"/>
      <c r="BB17" s="127"/>
      <c r="BC17" s="128"/>
      <c r="BD17" s="125"/>
      <c r="BE17" s="125"/>
      <c r="BF17" s="128"/>
      <c r="BG17" s="128"/>
      <c r="BH17" s="19"/>
      <c r="BI17" s="19"/>
      <c r="BJ17" s="740" t="s">
        <v>22</v>
      </c>
      <c r="BK17" s="709" t="str">
        <f>IF(ISERROR(IF(OR(BJ15="тариф"&amp;E$3,BJ15="Год."&amp;$D$3),IF(VLOOKUP($BJ13,$B$6:$D$19,3,0)&gt;$BK$1,"&gt;="&amp;VLOOKUP($BJ13,$B$6:$D$19,2,0)+1,"&gt;="&amp;VLOOKUP($BJ13,$B$6:$D$19,2,0)),IF(VLOOKUP($BJ15,$B$6:$D$19,3,0)&gt;$BK$1,"&gt;="&amp;VLOOKUP($BJ15,$B$6:$D$19,2,0)+1,"&gt;="&amp;VLOOKUP($BJ15,$B$6:$D$19,2,0)))),"",IF(OR(BJ15="тариф"&amp;$E$3,BJ15="Год."&amp;$D$3),IF(VLOOKUP($BJ13,$B$6:$D$19,3,0)&gt;$BK$1,"&gt;="&amp;VLOOKUP($BJ13,$B$6:$D$19,2,0)+1,"&gt;="&amp;VLOOKUP($BJ13,$B$6:$D$19,2,0)),IF(VLOOKUP($BJ15,$B$6:$D$19,3,0)&gt;$BK$1,"&gt;="&amp;VLOOKUP($BJ15,$B$6:$D$19,2,0)+1,"&gt;="&amp;VLOOKUP($BJ15,$B$6:$D$19,2,0))))</f>
        <v>&gt;=44645</v>
      </c>
      <c r="BL17" s="709" t="str">
        <f>IF(ISERROR(IF(VLOOKUP($BJ17,$B$6:$D$19,3,FALSE)&lt;$BL$1,"&lt;"&amp;VLOOKUP($BJ17,$B$6:$D$19,2,FALSE),"&lt;"&amp;VLOOKUP($BJ17,$B$6:$D$19,2,FALSE)+1)),"",IF(VLOOKUP($BJ17,$B$6:$D$19,3,FALSE)&lt;$BL$1,"&lt;"&amp;VLOOKUP($BJ17,$B$6:$D$19,2,FALSE),"&lt;"&amp;VLOOKUP($BJ17,$B$6:$D$19,2,FALSE)+1))</f>
        <v>&lt;44672</v>
      </c>
      <c r="BM17" s="731" t="e">
        <f>IF(BL17="","",ROUND(DAVERAGE('[5]Температуры'!$A$4:$B$5000,'[5]Температуры'!$B$4,$BK16:$BL17),1))</f>
        <v>#VALUE!</v>
      </c>
      <c r="BN17" s="694" t="str">
        <f>IF(BL17="","",IF(ISBLANK(VLOOKUP(VLOOKUP($BJ17,$B$5:$D$19,2,FALSE),'[5]Температуры'!$A$4:$B$5000,2,FALSE)),"Не все данные","Нормально"))</f>
        <v>Нормально</v>
      </c>
      <c r="BO17" s="19"/>
      <c r="BP17" s="738"/>
      <c r="BQ17" s="19"/>
      <c r="BR17" s="19"/>
      <c r="BS17" s="19"/>
    </row>
    <row r="18" spans="1:71" s="115" customFormat="1" ht="12.75">
      <c r="A18" s="837"/>
      <c r="B18" s="182"/>
      <c r="C18" s="24"/>
      <c r="D18" s="39"/>
      <c r="E18" s="131">
        <f>IF(D18="","",IF(B18="пуск"&amp;$D$3,0,IF(OR(AND(E17=0,B17="пуск"&amp;$D$3)),(C18-C17)*24+D18-D17,IF(AND(E17=0,E16=0),(C18-C15)*24+D18-D15,IF(OR(B17="Обнул.",B17="Год."&amp;$D$3,B17="тариф"&amp;$E$3),(C18-C16)*24+D18-D16,(C18-C17)*24+D18-D17)))))</f>
      </c>
      <c r="F18" s="225"/>
      <c r="G18" s="71">
        <f>IF($F$5="нет",E18,IF(OR(F18="",B18="показ.",B18="Пуск"&amp;$D$3),"",IF(OR($F$5="часы+",$F$5="часы-"),IF(B17="Год."&amp;$D$3,F18+G17,IF(B17="тариф"&amp;$E$3,ABS(F18-F16),ABS(F18-F17))),IF($F$5="сутки",IF(B17="тариф"&amp;$E$3,ABS((F18-F16)*24),ABS((F18-F17)*24)),IF($F$5="минуты",IF(B17="тариф"&amp;$E$3,ABS((F18-F16)/60),ABS((F18-F17)/60)))))))</f>
      </c>
      <c r="H18" s="850">
        <f>IF(C18="","",IF(OR(B17="Обнул.",B17="показ.",B17="Год."&amp;$D$3),SUM(H17),SUM(0)))</f>
      </c>
      <c r="I18" s="225">
        <f>IF(OR(G18="",B18="Пуск"&amp;$D$3),"",IF(OR($B$1=1,$B$1=57,$B$1=82,$B$1=87,$B$1=94,$B$1=104,$B$1=28,B18="показ.",B18="показ."),E18-(РАСЧЕТ!G18+РАСЧЕТ!H18),(E18)-(РАСЧЕТ!G18+РАСЧЕТ!H18)))</f>
      </c>
      <c r="J18" s="225">
        <f>IF(OR(C18="",C18=0),0,IF(OR(B17="Обнул.",B17="Год."&amp;$D$3),SUM(IF(AND(C17&lt;=$E$66,C18&gt;=$E$67),$I$67,0),IF(AND(C17&lt;=$E$68,C18&gt;=$E$69),$I$69,0),IF(AND(C17&lt;=$E$70,C18&gt;=$E$71),$I$71,0))+J17,SUM(IF(AND(C17&lt;=$E$66,C18&gt;=$E$67),$I$67,0),IF(AND(C17&lt;=$E$68,C18&gt;=$E$69),$I$69,0),IF(AND(C17&lt;=$E$70,C18&gt;=$E$71),$I$71,0))))</f>
        <v>0</v>
      </c>
      <c r="K18" s="851"/>
      <c r="L18" s="43"/>
      <c r="M18" s="846">
        <f>IF(OR(L18="",B18="Показ.",B18="Пуск"&amp;$D$3,B18="приемка"&amp;$E$3),0,IF(OR(B17="Обнул.",B17="Год."&amp;$D$3),L18-K18,IF(B17="тариф"&amp;$E$3,L18-L16-K18,L18-L17-K18)))</f>
        <v>0</v>
      </c>
      <c r="N18" s="59">
        <f>IF(M18=0,0,IF($L$5="ГДж",ROUND(M18/4.19,$N$4),IF($L$5="МВт",ROUND(M18*0.86,$N$4),IF($L$5="Гкал",M18*1))))</f>
        <v>0</v>
      </c>
      <c r="O18" s="59">
        <f>IF(OR(C18="",C18=0),0,IF(OR(B17="Обнул.",B17="Год."&amp;$D$3),SUM(IF(AND(C17&lt;=$E$66,C18&gt;=$E$67),$R$67,0),IF(AND(C17&lt;=$E$68,C18&gt;=$E$69),$R$69,0),IF(AND(C17&lt;=$E$70,C18&gt;=$E$71),$R$71,0))+O17,SUM(IF(AND(C17&lt;=$E$66,C18&gt;=$E$67),$R$67,0),IF(AND(C17&lt;=$E$68,C18&gt;=$E$69),$R$69,0),IF(AND(C17&lt;=$E$70,C18&gt;=$E$71),$R$71,0))))</f>
        <v>0</v>
      </c>
      <c r="P18" s="847">
        <f>IF(OR(B18="Обнул."),"",IF(OR(B17="Обнул.",B17="Год."&amp;D$3),SUM(N18,O18,N17,-AN18),SUM(N18,O18,-AN18)))</f>
        <v>0</v>
      </c>
      <c r="Q18" s="848">
        <f>IF(P18="","",IF(AND($B$1=54,B18="тариф"&amp;$E$3),ROUND(P18*0.0147,$Q$4)+P18,ROUND(P18*$Q$5,$Q$4)+P18))</f>
        <v>0</v>
      </c>
      <c r="R18" s="52"/>
      <c r="S18" s="71">
        <f>IF(OR(R18=0,B18="Пуск"&amp;$D$3,B18="показ."),0,IF(OR(B17="Год."&amp;$D$3,B17="Обнул."),R18+S17,IF(B17="тариф"&amp;$E$3,R18-R16,R18-R17)))</f>
        <v>0</v>
      </c>
      <c r="T18" s="52"/>
      <c r="U18" s="71">
        <f>IF(OR(T18=0,B18="Пуск"&amp;$D$3,B18="показ."),0,IF(OR(B17="Год."&amp;$D$3,B17="Обнул."),T18+U17,IF(B17="тариф"&amp;$E$3,T18-T16,T18-T17)))</f>
        <v>0</v>
      </c>
      <c r="V18" s="71">
        <f>IF(T18="","",S18-U18)</f>
      </c>
      <c r="W18" s="99"/>
      <c r="X18" s="71">
        <f>IF(OR(W18=0,B18="Пуск"&amp;$D$3,B18="показ."),0,IF(OR(B17="Год."&amp;$D$3,B17="Обнул."),W18+X17,IF(B17="тариф"&amp;$E$3,W18-W16,W18-W17)))</f>
        <v>0</v>
      </c>
      <c r="Y18" s="130"/>
      <c r="Z18" s="71">
        <f>IF(OR(Y18=0,B18="Пуск"&amp;$D$3,B18="показ."),0,IF(OR(B17="тариф"&amp;$E$3,B17="Обнул."),Y18-Y16,Y18-Y17))</f>
        <v>0</v>
      </c>
      <c r="AA18" s="131">
        <f>IF(Y18="","",X18-Z18)</f>
      </c>
      <c r="AB18" s="131">
        <f t="shared" si="0"/>
      </c>
      <c r="AC18" s="132">
        <f t="shared" si="1"/>
      </c>
      <c r="AD18" s="73">
        <f>IF(OR(G18="",G18=0),"",IF(OR(LEFT($L$1,4)="КМ-5",B17="Обнул.",$AD$4="Расход без простоя"),ROUND($S18/G18,2),ROUND($S18/(G18-H18-J18),2)))</f>
      </c>
      <c r="AE18" s="91">
        <f t="shared" si="2"/>
      </c>
      <c r="AF18" s="75">
        <f>IF(OR(Q18="",Q18=0),"",IF(OR(B17="тариф"&amp;$E$3,B17="показ",B17="Год."&amp;$D$3),ROUND((Q18-Q17)*AG18/(AH18+$AI$3)+AF17,2),ROUND(Q18*AG18/(AH18+$AI$3),2)))</f>
      </c>
      <c r="AG18" s="59">
        <f>IF(OR(C18="",C18=0),"",IF(C18&lt;=DATEVALUE("02.01."&amp;$E$3),$AG$2,$AG$3))</f>
      </c>
      <c r="AH18" s="76">
        <f>IF(OR(B18="",B18=0),"",$AI$2)</f>
      </c>
      <c r="AI18" s="59">
        <f>IF(OR(AJ18="",P18=0),"",ROUND($T$2*(E18-H18)*($AJ$2-AJ18)/($AJ$2-($AK$2)),2))</f>
      </c>
      <c r="AJ18" s="78">
        <f>IF(B18="","",VLOOKUP(B18,$BJ$1:$BN$17,4,FALSE))</f>
      </c>
      <c r="AK18" s="79">
        <f>IF(OR(AJ18="",P18=0),"",ROUND((Q18+AN18)/AI18,3))</f>
      </c>
      <c r="AL18" s="80">
        <f>IF(OR(AJ18="",P18=0),"",ROUND(AD18/$S$2,3))</f>
      </c>
      <c r="AM18" s="120">
        <f t="shared" si="3"/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25"/>
      <c r="AZ18" s="128"/>
      <c r="BA18" s="128"/>
      <c r="BB18" s="127"/>
      <c r="BC18" s="128"/>
      <c r="BD18" s="125"/>
      <c r="BE18" s="125"/>
      <c r="BF18" s="128"/>
      <c r="BG18" s="128"/>
      <c r="BH18" s="19"/>
      <c r="BI18" s="19"/>
      <c r="BJ18" s="744"/>
      <c r="BK18" s="701" t="s">
        <v>13</v>
      </c>
      <c r="BL18" s="701" t="s">
        <v>13</v>
      </c>
      <c r="BM18" s="731"/>
      <c r="BN18" s="743"/>
      <c r="BO18" s="19"/>
      <c r="BP18" s="738"/>
      <c r="BQ18" s="19"/>
      <c r="BR18" s="19"/>
      <c r="BS18" s="19"/>
    </row>
    <row r="19" spans="1:71" s="115" customFormat="1" ht="12.75">
      <c r="A19" s="836"/>
      <c r="B19" s="182"/>
      <c r="C19" s="24"/>
      <c r="D19" s="39"/>
      <c r="E19" s="131">
        <f>IF(D19="","",IF(B19="пуск"&amp;$D$3,0,IF(OR(AND(E18=0,B18="пуск"&amp;$D$3)),(C19-C18)*24+D19-D18,IF(AND(E18=0,E17=0),(C19-C16)*24+D19-D16,IF(OR(B18="Обнул.",B18="Год."&amp;$D$3,B18="тариф"&amp;$E$3),(C19-C17)*24+D19-D17,(C19-C18)*24+D19-D18)))))</f>
      </c>
      <c r="F19" s="225"/>
      <c r="G19" s="852">
        <f>IF($F$5="нет",E19,IF(OR(F19="",B19="показ.",B19="Пуск"&amp;$D$3),"",IF(OR($F$5="часы+",$F$5="часы-"),IF(B18="Год."&amp;$D$3,F19+G18,IF(B18="тариф"&amp;$E$3,ABS(F19-F17),ABS(F19-F18))),IF($F$5="сутки",IF(B18="тариф"&amp;$E$3,ABS((F19-F17)*24),ABS((F19-F18)*24)),IF($F$5="минуты",IF(B18="тариф"&amp;$E$3,ABS((F19-F17)/60),ABS((F19-F18)/60)))))))</f>
      </c>
      <c r="H19" s="844">
        <f>IF(C19="","",IF(OR(B18="Обнул.",B18="показ.",B18="Год."&amp;$D$3),SUM(H18),SUM(0)))</f>
      </c>
      <c r="I19" s="225">
        <f>IF(OR(G19="",B19="Пуск"&amp;$D$3),"",IF(OR($B$1=1,$B$1=57,$B$1=82,$B$1=87,$B$1=94,$B$1=104,$B$1=28,B19="показ.",B19="показ."),E19-(РАСЧЕТ!G19+РАСЧЕТ!H19),(E19)-(РАСЧЕТ!G19+РАСЧЕТ!H19)))</f>
      </c>
      <c r="J19" s="225">
        <f>IF(OR(C19="",C19=0),0,IF(OR(B18="Обнул.",B18="Год."&amp;$D$3),SUM(IF(AND(C18&lt;=$E$66,C19&gt;=$E$67),$I$67,0),IF(AND(C18&lt;=$E$68,C19&gt;=$E$69),$I$69,0),IF(AND(C18&lt;=$E$70,C19&gt;=$E$71),$I$71,0))+J18,SUM(IF(AND(C18&lt;=$E$66,C19&gt;=$E$67),$I$67,0),IF(AND(C18&lt;=$E$68,C19&gt;=$E$69),$I$69,0),IF(AND(C18&lt;=$E$70,C19&gt;=$E$71),$I$71,0))))</f>
        <v>0</v>
      </c>
      <c r="K19" s="849"/>
      <c r="L19" s="806"/>
      <c r="M19" s="846">
        <f>IF(OR(L19="",B19="Показ.",B19="Пуск"&amp;$D$3,B19="приемка"&amp;$E$3),0,IF(OR(B18="Обнул.",B18="Год."&amp;$D$3),L19-K19,IF(B18="тариф"&amp;$E$3,L19-L17-K19,L19-L18-K19)))</f>
        <v>0</v>
      </c>
      <c r="N19" s="59">
        <f>IF(M19=0,0,IF($L$5="ГДж",ROUND(M19/4.19,$N$4),IF($L$5="МВт",ROUND(M19*0.86,$N$4),IF($L$5="Гкал",M19*1))))</f>
        <v>0</v>
      </c>
      <c r="O19" s="59">
        <f>IF(OR(C19="",C19=0),0,IF(OR(B18="Обнул.",B18="Год."&amp;$D$3),SUM(IF(AND(C18&lt;=$E$66,C19&gt;=$E$67),$R$67,0),IF(AND(C18&lt;=$E$68,C19&gt;=$E$69),$R$69,0),IF(AND(C18&lt;=$E$70,C19&gt;=$E$71),$R$71,0))+O18,SUM(IF(AND(C18&lt;=$E$66,C19&gt;=$E$67),$R$67,0),IF(AND(C18&lt;=$E$68,C19&gt;=$E$69),$R$69,0),IF(AND(C18&lt;=$E$70,C19&gt;=$E$71),$R$71,0))))</f>
        <v>0</v>
      </c>
      <c r="P19" s="847">
        <f>IF(OR(B19="Обнул."),"",IF(OR(B18="Обнул.",B18="Год."&amp;D$3),SUM(N19,O19,N18,-AN19),SUM(N19,O19,-AN19)))</f>
        <v>0</v>
      </c>
      <c r="Q19" s="848">
        <f>IF(P19="","",IF(AND($B$1=54,B19="тариф"&amp;$E$3),ROUND(P19*0.0147,$Q$4)+P19,ROUND(P19*$Q$5,$Q$4)+P19))</f>
        <v>0</v>
      </c>
      <c r="R19" s="52"/>
      <c r="S19" s="71">
        <f>IF(OR(R19=0,B19="Пуск"&amp;$D$3,B19="показ."),0,IF(OR(B18="Год."&amp;$D$3,B18="Обнул."),R19+S18,IF(B18="тариф"&amp;$E$3,R19-R17,R19-R18)))</f>
        <v>0</v>
      </c>
      <c r="T19" s="52"/>
      <c r="U19" s="71">
        <f>IF(OR(T19=0,B19="Пуск"&amp;$D$3,B19="показ."),0,IF(OR(B18="Год."&amp;$D$3,B18="Обнул."),T19+U18,IF(B18="тариф"&amp;$E$3,T19-T17,T19-T18)))</f>
        <v>0</v>
      </c>
      <c r="V19" s="852">
        <f>IF(T19="","",S19-U19)</f>
      </c>
      <c r="W19" s="854"/>
      <c r="X19" s="71">
        <f>IF(OR(W19=0,B19="Пуск"&amp;$D$3,B19="показ."),0,IF(OR(B18="Год."&amp;$D$3,B18="Обнул."),W19+X18,IF(B18="тариф"&amp;$E$3,W19-W17,W19-W18)))</f>
        <v>0</v>
      </c>
      <c r="Y19" s="855"/>
      <c r="Z19" s="71">
        <f>IF(OR(Y19=0,B19="Пуск"&amp;$D$3,B19="показ."),0,IF(OR(B18="тариф"&amp;$E$3,B18="Обнул."),Y19-Y17,Y19-Y18))</f>
        <v>0</v>
      </c>
      <c r="AA19" s="856">
        <f>IF(Y19="","",X19-Z19)</f>
      </c>
      <c r="AB19" s="856">
        <f t="shared" si="0"/>
      </c>
      <c r="AC19" s="857">
        <f t="shared" si="1"/>
      </c>
      <c r="AD19" s="858">
        <f>IF(OR(G19="",G19=0),"",IF(OR(LEFT($L$1,4)="КМ-5",B18="Обнул.",$AD$4="Расход без простоя"),ROUND($S19/G19,2),ROUND($S19/(G19-H19-J19),2)))</f>
      </c>
      <c r="AE19" s="74">
        <f t="shared" si="2"/>
      </c>
      <c r="AF19" s="75">
        <f>IF(OR(Q19="",Q19=0),"",IF(OR(B18="тариф"&amp;$E$3,B18="показ",B18="Год."&amp;$D$3),ROUND((Q19-Q18)*AG19/(AH19+$AI$3)+AF18,2),ROUND(Q19*AG19/(AH19+$AI$3),2)))</f>
      </c>
      <c r="AG19" s="59">
        <f>IF(OR(C19="",C19=0),"",IF(C19&lt;=DATEVALUE("02.01."&amp;$E$3),$AG$2,$AG$3))</f>
      </c>
      <c r="AH19" s="76">
        <f>IF(OR(B19="",B19=0),"",$AI$2)</f>
      </c>
      <c r="AI19" s="59">
        <f>IF(OR(AJ19="",P19=0),"",ROUND($T$2*(E19-H19)*($AJ$2-AJ19)/($AJ$2-($AK$2)),2))</f>
      </c>
      <c r="AJ19" s="78">
        <f>IF(B19="","",VLOOKUP(B19,$BJ$1:$BN$17,4,FALSE))</f>
      </c>
      <c r="AK19" s="79">
        <f>IF(OR(AJ19="",P19=0),"",ROUND((Q19+AN19)/AI19,3))</f>
      </c>
      <c r="AL19" s="810">
        <f>IF(OR(AJ19="",P19=0),"",ROUND(AD19/$S$2,3))</f>
      </c>
      <c r="AM19" s="120">
        <f t="shared" si="3"/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25"/>
      <c r="AZ19" s="128"/>
      <c r="BA19" s="128"/>
      <c r="BB19" s="127"/>
      <c r="BC19" s="128"/>
      <c r="BD19" s="125"/>
      <c r="BE19" s="125"/>
      <c r="BF19" s="128"/>
      <c r="BG19" s="128"/>
      <c r="BH19" s="19"/>
      <c r="BI19" s="19"/>
      <c r="BJ19" s="740"/>
      <c r="BK19" s="709" t="str">
        <f>IF(ISERROR(IF(OR(BJ17="тариф"&amp;$E$3,BJ17="Год."&amp;$D$3),IF(VLOOKUP($BJ15,$B$6:$D$19,3,0)&gt;$BK$1,"&gt;="&amp;VLOOKUP($BJ15,$B$6:$D$19,2,0)+1,"&gt;="&amp;VLOOKUP($BJ15,$B$6:$D$19,2,0)),IF(VLOOKUP($BJ17,$B$6:$D$19,3,0)&gt;$BK$1,"&gt;="&amp;VLOOKUP($BJ17,$B$6:$D$19,2,0)+1,"&gt;="&amp;VLOOKUP($BJ17,$B$6:$D$19,2,0)))),"",IF(OR(BJ17="тариф"&amp;$E$3,BJ17="Год."&amp;$D$3),IF(VLOOKUP($BJ15,$B$6:$D$19,3,0)&gt;$BK$1,"&gt;="&amp;VLOOKUP($BJ15,$B$6:$D$19,2,0)+1,"&gt;="&amp;VLOOKUP($BJ15,$B$6:$D$19,2,0)),IF(VLOOKUP($BJ17,$B$6:$D$19,3,0)&gt;$BK$1,"&gt;="&amp;VLOOKUP($BJ17,$B$6:$D$19,2,0)+1,"&gt;="&amp;VLOOKUP($BJ17,$B$6:$D$19,2,0))))</f>
        <v>&gt;=44672</v>
      </c>
      <c r="BL19" s="709">
        <f>IF(ISERROR(IF(VLOOKUP($BJ19,$B$6:$D$19,3,FALSE)&lt;$BL$1,"&lt;"&amp;VLOOKUP($BJ19,$B$6:$D$19,2,FALSE),"&lt;"&amp;VLOOKUP($BJ19,$B$6:$D$19,2,FALSE)+1)),"",IF(VLOOKUP($BJ19,$B$6:$D$19,3,FALSE)&lt;$BL$1,"&lt;"&amp;VLOOKUP($BJ19,$B$6:$D$19,2,FALSE),"&lt;"&amp;VLOOKUP($BJ19,$B$6:$D$19,2,FALSE)+1))</f>
      </c>
      <c r="BM19" s="731">
        <f>IF(BL19="","",ROUND(DAVERAGE('[5]Температуры'!$A$4:$B$5000,'[5]Температуры'!$B$4,$BK18:$BL19),1))</f>
      </c>
      <c r="BN19" s="694">
        <f>IF(BL19="","",IF(ISBLANK(VLOOKUP(VLOOKUP($BJ19,$B$5:$D$19,2,FALSE),'[5]Температуры'!$A$4:$B$5000,2,FALSE)),"Не все данные","Нормально"))</f>
      </c>
      <c r="BO19" s="19"/>
      <c r="BP19" s="738"/>
      <c r="BQ19" s="19"/>
      <c r="BR19" s="19"/>
      <c r="BS19" s="19"/>
    </row>
    <row r="20" spans="1:71" s="148" customFormat="1" ht="12.75" customHeight="1">
      <c r="A20" s="133"/>
      <c r="B20" s="134"/>
      <c r="C20" s="135"/>
      <c r="D20" s="136"/>
      <c r="E20" s="137"/>
      <c r="F20" s="58"/>
      <c r="G20" s="18"/>
      <c r="H20" s="138"/>
      <c r="I20" s="18"/>
      <c r="J20" s="108"/>
      <c r="K20" s="139"/>
      <c r="L20" s="140"/>
      <c r="M20" s="853"/>
      <c r="N20" s="142"/>
      <c r="O20" s="142"/>
      <c r="P20" s="853"/>
      <c r="Q20" s="141"/>
      <c r="R20" s="70"/>
      <c r="S20" s="71"/>
      <c r="T20" s="72"/>
      <c r="U20" s="71"/>
      <c r="V20" s="71"/>
      <c r="W20" s="71"/>
      <c r="X20" s="71"/>
      <c r="Y20" s="71"/>
      <c r="Z20" s="142"/>
      <c r="AA20" s="143"/>
      <c r="AB20" s="58"/>
      <c r="AC20" s="58"/>
      <c r="AD20" s="141"/>
      <c r="AE20" s="58"/>
      <c r="AF20" s="144"/>
      <c r="AG20" s="142"/>
      <c r="AH20" s="18"/>
      <c r="AI20" s="18"/>
      <c r="AJ20" s="145"/>
      <c r="AK20" s="146"/>
      <c r="AL20" s="146"/>
      <c r="AM20" s="147"/>
      <c r="AN20" s="747"/>
      <c r="AO20" s="747"/>
      <c r="AP20" s="747"/>
      <c r="AQ20" s="747"/>
      <c r="AR20" s="747"/>
      <c r="AS20" s="747"/>
      <c r="AT20" s="747"/>
      <c r="AU20" s="747"/>
      <c r="AV20" s="747"/>
      <c r="AW20" s="747"/>
      <c r="AX20" s="747"/>
      <c r="AY20" s="748"/>
      <c r="AZ20" s="128"/>
      <c r="BA20" s="128"/>
      <c r="BB20" s="127"/>
      <c r="BC20" s="749"/>
      <c r="BD20" s="750"/>
      <c r="BE20" s="750"/>
      <c r="BF20" s="751"/>
      <c r="BG20" s="751"/>
      <c r="BH20" s="747"/>
      <c r="BI20" s="747"/>
      <c r="BJ20" s="157"/>
      <c r="BK20" s="747"/>
      <c r="BL20" s="747"/>
      <c r="BM20" s="747"/>
      <c r="BN20" s="747"/>
      <c r="BO20" s="747"/>
      <c r="BP20" s="747"/>
      <c r="BQ20" s="747"/>
      <c r="BR20" s="747"/>
      <c r="BS20" s="747"/>
    </row>
    <row r="21" spans="1:62" s="21" customFormat="1" ht="12.75">
      <c r="A21" s="713" t="str">
        <f>IF(LEFT(L1,6)="КСТ-22","КАРТИНКА НЕ НАЙДЕНА!",L1)</f>
        <v>КМ-5-2-2</v>
      </c>
      <c r="B21" s="798"/>
      <c r="C21" s="24"/>
      <c r="D21" s="39"/>
      <c r="E21" s="832"/>
      <c r="F21" s="733"/>
      <c r="G21" s="71"/>
      <c r="H21" s="225"/>
      <c r="I21" s="225"/>
      <c r="J21" s="70"/>
      <c r="K21" s="799"/>
      <c r="L21" s="43"/>
      <c r="M21" s="198"/>
      <c r="N21" s="59"/>
      <c r="O21" s="59"/>
      <c r="P21" s="199"/>
      <c r="Q21" s="800"/>
      <c r="R21" s="70"/>
      <c r="S21" s="71"/>
      <c r="T21" s="70"/>
      <c r="U21" s="71"/>
      <c r="V21" s="71"/>
      <c r="W21" s="71"/>
      <c r="X21" s="71"/>
      <c r="Y21" s="71"/>
      <c r="Z21" s="71"/>
      <c r="AA21" s="71"/>
      <c r="AB21" s="19"/>
      <c r="AC21" s="19"/>
      <c r="AD21" s="59"/>
      <c r="AE21" s="74"/>
      <c r="AF21" s="738"/>
      <c r="AG21" s="59"/>
      <c r="AH21" s="76"/>
      <c r="AI21" s="59"/>
      <c r="AJ21" s="78"/>
      <c r="AK21" s="79"/>
      <c r="AL21" s="80"/>
      <c r="AM21" s="14"/>
      <c r="AN21" s="67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49"/>
      <c r="AZ21" s="129"/>
      <c r="BA21" s="129"/>
      <c r="BB21" s="127"/>
      <c r="BC21" s="150"/>
      <c r="BD21" s="149"/>
      <c r="BE21" s="149"/>
      <c r="BF21" s="128"/>
      <c r="BG21" s="128"/>
      <c r="BJ21" s="151"/>
    </row>
    <row r="22" spans="1:62" s="21" customFormat="1" ht="12" customHeight="1">
      <c r="A22" s="13"/>
      <c r="B22" s="801"/>
      <c r="C22" s="24"/>
      <c r="D22" s="39"/>
      <c r="E22" s="131"/>
      <c r="F22" s="225"/>
      <c r="G22" s="71"/>
      <c r="H22" s="225"/>
      <c r="I22" s="225"/>
      <c r="J22" s="70"/>
      <c r="K22" s="799"/>
      <c r="L22" s="43"/>
      <c r="M22" s="198"/>
      <c r="N22" s="59"/>
      <c r="O22" s="59"/>
      <c r="P22" s="199"/>
      <c r="Q22" s="800"/>
      <c r="R22" s="70"/>
      <c r="S22" s="71"/>
      <c r="T22" s="70"/>
      <c r="U22" s="71"/>
      <c r="V22" s="71"/>
      <c r="W22" s="71"/>
      <c r="X22" s="71"/>
      <c r="Y22" s="71"/>
      <c r="Z22" s="71"/>
      <c r="AA22" s="71"/>
      <c r="AB22" s="86"/>
      <c r="AC22" s="802"/>
      <c r="AD22" s="59"/>
      <c r="AE22" s="74"/>
      <c r="AF22" s="738"/>
      <c r="AG22" s="59"/>
      <c r="AH22" s="76"/>
      <c r="AI22" s="59"/>
      <c r="AJ22" s="78"/>
      <c r="AK22" s="79"/>
      <c r="AL22" s="80"/>
      <c r="AM22" s="14"/>
      <c r="AN22" s="152"/>
      <c r="AO22" s="9"/>
      <c r="AP22" s="19"/>
      <c r="AQ22" s="19"/>
      <c r="AR22" s="9"/>
      <c r="AS22" s="11"/>
      <c r="AT22" s="19"/>
      <c r="AU22" s="14"/>
      <c r="AV22" s="153"/>
      <c r="AW22" s="13"/>
      <c r="AX22" s="154"/>
      <c r="AY22" s="125"/>
      <c r="AZ22" s="155"/>
      <c r="BA22" s="128"/>
      <c r="BB22" s="127"/>
      <c r="BC22" s="128"/>
      <c r="BD22" s="125"/>
      <c r="BE22" s="125"/>
      <c r="BF22" s="128"/>
      <c r="BG22" s="128"/>
      <c r="BJ22" s="98"/>
    </row>
    <row r="23" spans="1:62" s="21" customFormat="1" ht="12.75">
      <c r="A23" s="156"/>
      <c r="B23" s="801"/>
      <c r="C23" s="24"/>
      <c r="D23" s="39"/>
      <c r="E23" s="131"/>
      <c r="F23" s="225"/>
      <c r="G23" s="71"/>
      <c r="H23" s="225"/>
      <c r="I23" s="225"/>
      <c r="J23" s="70"/>
      <c r="K23" s="799"/>
      <c r="L23" s="43"/>
      <c r="M23" s="198"/>
      <c r="N23" s="59"/>
      <c r="O23" s="59"/>
      <c r="P23" s="199"/>
      <c r="Q23" s="800"/>
      <c r="R23" s="70"/>
      <c r="S23" s="71"/>
      <c r="T23" s="70"/>
      <c r="U23" s="71"/>
      <c r="V23" s="71"/>
      <c r="W23" s="71"/>
      <c r="X23" s="71"/>
      <c r="Y23" s="71"/>
      <c r="Z23" s="71"/>
      <c r="AA23" s="71"/>
      <c r="AB23" s="86"/>
      <c r="AC23" s="802"/>
      <c r="AD23" s="59"/>
      <c r="AE23" s="74"/>
      <c r="AF23" s="738"/>
      <c r="AG23" s="59"/>
      <c r="AH23" s="76"/>
      <c r="AI23" s="59"/>
      <c r="AJ23" s="78"/>
      <c r="AK23" s="79"/>
      <c r="AL23" s="80"/>
      <c r="AM23" s="14"/>
      <c r="AN23" s="8"/>
      <c r="AO23" s="9"/>
      <c r="AP23" s="8"/>
      <c r="AQ23" s="9"/>
      <c r="AR23" s="9"/>
      <c r="AS23" s="9"/>
      <c r="AT23" s="14"/>
      <c r="AU23" s="14"/>
      <c r="AV23" s="153"/>
      <c r="AW23" s="13"/>
      <c r="AX23" s="154"/>
      <c r="AY23" s="125"/>
      <c r="AZ23" s="129"/>
      <c r="BA23" s="129"/>
      <c r="BB23" s="127"/>
      <c r="BC23" s="128"/>
      <c r="BD23" s="125"/>
      <c r="BE23" s="125"/>
      <c r="BF23" s="128"/>
      <c r="BG23" s="128"/>
      <c r="BJ23" s="157"/>
    </row>
    <row r="24" spans="1:62" s="21" customFormat="1" ht="12.75">
      <c r="A24" s="13"/>
      <c r="B24" s="801"/>
      <c r="C24" s="24"/>
      <c r="D24" s="39"/>
      <c r="E24" s="131"/>
      <c r="F24" s="225"/>
      <c r="G24" s="71"/>
      <c r="H24" s="225"/>
      <c r="I24" s="225"/>
      <c r="J24" s="70"/>
      <c r="K24" s="799"/>
      <c r="L24" s="43"/>
      <c r="M24" s="198"/>
      <c r="N24" s="59"/>
      <c r="O24" s="59"/>
      <c r="P24" s="199"/>
      <c r="Q24" s="800"/>
      <c r="R24" s="70"/>
      <c r="S24" s="71"/>
      <c r="T24" s="70"/>
      <c r="U24" s="71"/>
      <c r="V24" s="71"/>
      <c r="W24" s="71"/>
      <c r="X24" s="71"/>
      <c r="Y24" s="71"/>
      <c r="Z24" s="71"/>
      <c r="AA24" s="71"/>
      <c r="AB24" s="86"/>
      <c r="AC24" s="802"/>
      <c r="AD24" s="59"/>
      <c r="AE24" s="74"/>
      <c r="AF24" s="738"/>
      <c r="AG24" s="59"/>
      <c r="AH24" s="76"/>
      <c r="AI24" s="59"/>
      <c r="AJ24" s="78"/>
      <c r="AK24" s="79"/>
      <c r="AL24" s="80"/>
      <c r="AM24" s="14"/>
      <c r="AN24" s="24"/>
      <c r="AO24" s="39"/>
      <c r="AP24" s="24"/>
      <c r="AQ24" s="39"/>
      <c r="AR24" s="19"/>
      <c r="AS24" s="53"/>
      <c r="AT24" s="158"/>
      <c r="AU24" s="13"/>
      <c r="AV24" s="60"/>
      <c r="AW24" s="66"/>
      <c r="AX24" s="13"/>
      <c r="AY24" s="125"/>
      <c r="AZ24" s="129"/>
      <c r="BA24" s="129"/>
      <c r="BB24" s="127"/>
      <c r="BC24" s="128"/>
      <c r="BD24" s="125"/>
      <c r="BE24" s="125"/>
      <c r="BF24" s="128"/>
      <c r="BG24" s="128"/>
      <c r="BJ24" s="22"/>
    </row>
    <row r="25" spans="1:65" s="21" customFormat="1" ht="12.75">
      <c r="A25" s="37"/>
      <c r="B25" s="801"/>
      <c r="C25" s="24"/>
      <c r="D25" s="39"/>
      <c r="E25" s="131"/>
      <c r="F25" s="225"/>
      <c r="G25" s="71"/>
      <c r="H25" s="225"/>
      <c r="I25" s="225"/>
      <c r="J25" s="70"/>
      <c r="K25" s="799"/>
      <c r="L25" s="43"/>
      <c r="M25" s="198"/>
      <c r="N25" s="59"/>
      <c r="O25" s="59"/>
      <c r="P25" s="199"/>
      <c r="Q25" s="800"/>
      <c r="R25" s="70"/>
      <c r="S25" s="71"/>
      <c r="T25" s="70"/>
      <c r="U25" s="71"/>
      <c r="V25" s="71"/>
      <c r="W25" s="71"/>
      <c r="X25" s="86"/>
      <c r="Y25" s="86"/>
      <c r="Z25" s="86"/>
      <c r="AA25" s="86"/>
      <c r="AB25" s="86"/>
      <c r="AC25" s="802"/>
      <c r="AD25" s="59"/>
      <c r="AE25" s="74"/>
      <c r="AF25" s="738"/>
      <c r="AG25" s="59"/>
      <c r="AH25" s="76"/>
      <c r="AI25" s="59"/>
      <c r="AJ25" s="78"/>
      <c r="AK25" s="79"/>
      <c r="AL25" s="80"/>
      <c r="AM25" s="14"/>
      <c r="AN25" s="67"/>
      <c r="AO25" s="19"/>
      <c r="AP25" s="19"/>
      <c r="AQ25" s="19"/>
      <c r="AR25" s="19"/>
      <c r="AS25" s="19"/>
      <c r="AT25" s="19"/>
      <c r="AU25" s="14"/>
      <c r="AV25" s="14"/>
      <c r="AW25" s="93"/>
      <c r="AX25" s="19"/>
      <c r="AY25" s="159"/>
      <c r="AZ25" s="160"/>
      <c r="BA25" s="160"/>
      <c r="BB25" s="130"/>
      <c r="BC25" s="127"/>
      <c r="BD25" s="125"/>
      <c r="BE25" s="125"/>
      <c r="BF25" s="128"/>
      <c r="BG25" s="128"/>
      <c r="BH25" s="19"/>
      <c r="BI25" s="19"/>
      <c r="BJ25" s="13"/>
      <c r="BK25" s="161"/>
      <c r="BL25" s="162"/>
      <c r="BM25" s="19"/>
    </row>
    <row r="26" spans="1:65" s="21" customFormat="1" ht="12.75">
      <c r="A26" s="37"/>
      <c r="B26" s="801"/>
      <c r="C26" s="24"/>
      <c r="D26" s="39"/>
      <c r="E26" s="131"/>
      <c r="F26" s="225"/>
      <c r="G26" s="71"/>
      <c r="H26" s="803"/>
      <c r="I26" s="225"/>
      <c r="J26" s="70"/>
      <c r="K26" s="804"/>
      <c r="L26" s="43"/>
      <c r="M26" s="198"/>
      <c r="N26" s="59"/>
      <c r="O26" s="59"/>
      <c r="P26" s="199"/>
      <c r="Q26" s="800"/>
      <c r="R26" s="52"/>
      <c r="S26" s="71"/>
      <c r="T26" s="52"/>
      <c r="U26" s="71"/>
      <c r="V26" s="71"/>
      <c r="W26" s="71"/>
      <c r="X26" s="71"/>
      <c r="Y26" s="71"/>
      <c r="Z26" s="71"/>
      <c r="AA26" s="71"/>
      <c r="AB26" s="86"/>
      <c r="AC26" s="802"/>
      <c r="AD26" s="59"/>
      <c r="AE26" s="74"/>
      <c r="AF26" s="738"/>
      <c r="AG26" s="59"/>
      <c r="AH26" s="76"/>
      <c r="AI26" s="59"/>
      <c r="AJ26" s="78"/>
      <c r="AK26" s="79"/>
      <c r="AL26" s="80"/>
      <c r="AM26" s="14"/>
      <c r="AN26" s="19"/>
      <c r="AO26" s="14"/>
      <c r="AP26" s="14"/>
      <c r="AQ26" s="19"/>
      <c r="AR26" s="14"/>
      <c r="AS26" s="16"/>
      <c r="AT26" s="13"/>
      <c r="AU26" s="14"/>
      <c r="AV26" s="65"/>
      <c r="AW26" s="93"/>
      <c r="AX26" s="93"/>
      <c r="AY26" s="159"/>
      <c r="AZ26" s="160"/>
      <c r="BA26" s="160"/>
      <c r="BB26" s="130"/>
      <c r="BC26" s="14"/>
      <c r="BD26" s="125"/>
      <c r="BE26" s="125"/>
      <c r="BF26" s="128"/>
      <c r="BG26" s="128"/>
      <c r="BH26" s="163"/>
      <c r="BI26" s="14"/>
      <c r="BJ26" s="14"/>
      <c r="BK26" s="16"/>
      <c r="BL26" s="19"/>
      <c r="BM26" s="19"/>
    </row>
    <row r="27" spans="1:65" s="21" customFormat="1" ht="12.75">
      <c r="A27" s="37"/>
      <c r="B27" s="801"/>
      <c r="C27" s="24"/>
      <c r="D27" s="39"/>
      <c r="E27" s="131"/>
      <c r="F27" s="225"/>
      <c r="G27" s="71"/>
      <c r="H27" s="52"/>
      <c r="I27" s="225"/>
      <c r="J27" s="70"/>
      <c r="K27" s="805"/>
      <c r="L27" s="806"/>
      <c r="M27" s="198"/>
      <c r="N27" s="59"/>
      <c r="O27" s="59"/>
      <c r="P27" s="199"/>
      <c r="Q27" s="800"/>
      <c r="R27" s="52"/>
      <c r="S27" s="71"/>
      <c r="T27" s="52"/>
      <c r="U27" s="71"/>
      <c r="V27" s="71"/>
      <c r="W27" s="71"/>
      <c r="X27" s="71"/>
      <c r="Y27" s="71"/>
      <c r="Z27" s="71"/>
      <c r="AA27" s="71"/>
      <c r="AB27" s="86"/>
      <c r="AC27" s="802"/>
      <c r="AD27" s="59"/>
      <c r="AE27" s="74"/>
      <c r="AF27" s="738"/>
      <c r="AG27" s="59"/>
      <c r="AH27" s="76"/>
      <c r="AI27" s="59"/>
      <c r="AJ27" s="78"/>
      <c r="AK27" s="79"/>
      <c r="AL27" s="80"/>
      <c r="AM27" s="14"/>
      <c r="AN27" s="67"/>
      <c r="AO27" s="97"/>
      <c r="AP27" s="97"/>
      <c r="AQ27" s="97"/>
      <c r="AR27" s="97"/>
      <c r="AS27" s="159"/>
      <c r="AT27" s="160"/>
      <c r="AU27" s="42"/>
      <c r="AV27" s="19"/>
      <c r="AW27" s="19"/>
      <c r="AX27" s="165"/>
      <c r="AY27" s="159"/>
      <c r="AZ27" s="160"/>
      <c r="BA27" s="160"/>
      <c r="BB27" s="130"/>
      <c r="BC27" s="19"/>
      <c r="BD27" s="125"/>
      <c r="BE27" s="166"/>
      <c r="BF27" s="128"/>
      <c r="BG27" s="128"/>
      <c r="BH27" s="15"/>
      <c r="BI27" s="13"/>
      <c r="BJ27" s="13"/>
      <c r="BK27" s="16"/>
      <c r="BL27" s="19"/>
      <c r="BM27" s="19"/>
    </row>
    <row r="28" spans="1:65" s="21" customFormat="1" ht="12.75">
      <c r="A28" s="16"/>
      <c r="B28" s="801"/>
      <c r="C28" s="24"/>
      <c r="D28" s="39"/>
      <c r="E28" s="131"/>
      <c r="F28" s="225"/>
      <c r="G28" s="71"/>
      <c r="H28" s="803"/>
      <c r="I28" s="225"/>
      <c r="J28" s="70"/>
      <c r="K28" s="804"/>
      <c r="L28" s="43"/>
      <c r="M28" s="198"/>
      <c r="N28" s="59"/>
      <c r="O28" s="59"/>
      <c r="P28" s="199"/>
      <c r="Q28" s="800"/>
      <c r="R28" s="70"/>
      <c r="S28" s="71"/>
      <c r="T28" s="70"/>
      <c r="U28" s="71"/>
      <c r="V28" s="71"/>
      <c r="W28" s="71"/>
      <c r="X28" s="71"/>
      <c r="Y28" s="71"/>
      <c r="Z28" s="71"/>
      <c r="AA28" s="71"/>
      <c r="AB28" s="732"/>
      <c r="AC28" s="732"/>
      <c r="AD28" s="59"/>
      <c r="AE28" s="74"/>
      <c r="AF28" s="738"/>
      <c r="AG28" s="59"/>
      <c r="AH28" s="76"/>
      <c r="AI28" s="59"/>
      <c r="AJ28" s="78"/>
      <c r="AK28" s="79"/>
      <c r="AL28" s="80"/>
      <c r="AM28" s="14"/>
      <c r="AN28" s="13"/>
      <c r="AO28" s="153"/>
      <c r="AP28" s="172"/>
      <c r="AQ28" s="173"/>
      <c r="AR28" s="174"/>
      <c r="AS28" s="13"/>
      <c r="AT28" s="13"/>
      <c r="AU28" s="16"/>
      <c r="AV28" s="19"/>
      <c r="AW28" s="19"/>
      <c r="AX28" s="19"/>
      <c r="AY28" s="159"/>
      <c r="AZ28" s="664"/>
      <c r="BA28" s="664"/>
      <c r="BB28" s="130"/>
      <c r="BC28" s="19"/>
      <c r="BD28" s="125"/>
      <c r="BE28" s="166"/>
      <c r="BF28" s="128"/>
      <c r="BG28" s="128"/>
      <c r="BH28" s="19"/>
      <c r="BI28" s="37"/>
      <c r="BJ28" s="19"/>
      <c r="BK28" s="19"/>
      <c r="BL28" s="19"/>
      <c r="BM28" s="19"/>
    </row>
    <row r="29" spans="1:65" s="21" customFormat="1" ht="12.75">
      <c r="A29" s="19"/>
      <c r="B29" s="807"/>
      <c r="C29" s="24"/>
      <c r="D29" s="39"/>
      <c r="E29" s="131"/>
      <c r="F29" s="225"/>
      <c r="G29" s="71"/>
      <c r="H29" s="225"/>
      <c r="I29" s="225"/>
      <c r="J29" s="70"/>
      <c r="K29" s="799"/>
      <c r="L29" s="43"/>
      <c r="M29" s="198"/>
      <c r="N29" s="59"/>
      <c r="O29" s="59"/>
      <c r="P29" s="199"/>
      <c r="Q29" s="800"/>
      <c r="R29" s="70"/>
      <c r="S29" s="71"/>
      <c r="T29" s="70"/>
      <c r="U29" s="71"/>
      <c r="V29" s="71"/>
      <c r="W29" s="808"/>
      <c r="X29" s="808"/>
      <c r="Y29" s="809"/>
      <c r="Z29" s="809"/>
      <c r="AA29" s="809"/>
      <c r="AB29" s="732"/>
      <c r="AC29" s="732"/>
      <c r="AD29" s="59"/>
      <c r="AE29" s="74"/>
      <c r="AF29" s="738"/>
      <c r="AG29" s="59"/>
      <c r="AH29" s="76"/>
      <c r="AI29" s="59"/>
      <c r="AJ29" s="78"/>
      <c r="AK29" s="79"/>
      <c r="AL29" s="80"/>
      <c r="AM29" s="14"/>
      <c r="AN29" s="24"/>
      <c r="AO29" s="39"/>
      <c r="AP29" s="97"/>
      <c r="AQ29" s="177"/>
      <c r="AR29" s="71"/>
      <c r="AS29" s="178"/>
      <c r="AT29" s="177"/>
      <c r="AU29" s="16"/>
      <c r="AV29" s="19"/>
      <c r="AW29" s="19"/>
      <c r="AX29" s="19"/>
      <c r="AY29" s="159"/>
      <c r="AZ29" s="160"/>
      <c r="BA29" s="160"/>
      <c r="BB29" s="130"/>
      <c r="BC29" s="19"/>
      <c r="BD29" s="125"/>
      <c r="BE29" s="166"/>
      <c r="BF29" s="128"/>
      <c r="BG29" s="128"/>
      <c r="BH29" s="163"/>
      <c r="BI29" s="14"/>
      <c r="BJ29" s="14"/>
      <c r="BK29" s="16"/>
      <c r="BL29" s="19"/>
      <c r="BM29" s="19"/>
    </row>
    <row r="30" spans="1:65" s="21" customFormat="1" ht="12.75">
      <c r="A30" s="19"/>
      <c r="B30" s="182"/>
      <c r="C30" s="24"/>
      <c r="D30" s="39"/>
      <c r="E30" s="131"/>
      <c r="F30" s="225"/>
      <c r="G30" s="71"/>
      <c r="H30" s="803"/>
      <c r="I30" s="225"/>
      <c r="J30" s="70"/>
      <c r="K30" s="804"/>
      <c r="L30" s="43"/>
      <c r="M30" s="198"/>
      <c r="N30" s="59"/>
      <c r="O30" s="59"/>
      <c r="P30" s="199"/>
      <c r="Q30" s="800"/>
      <c r="R30" s="70"/>
      <c r="S30" s="71"/>
      <c r="T30" s="70"/>
      <c r="U30" s="71"/>
      <c r="V30" s="71"/>
      <c r="W30" s="59"/>
      <c r="X30" s="809"/>
      <c r="Y30" s="809"/>
      <c r="Z30" s="809"/>
      <c r="AA30" s="809"/>
      <c r="AB30" s="732"/>
      <c r="AC30" s="732"/>
      <c r="AD30" s="59"/>
      <c r="AE30" s="74"/>
      <c r="AF30" s="738"/>
      <c r="AG30" s="59"/>
      <c r="AH30" s="76"/>
      <c r="AI30" s="59"/>
      <c r="AJ30" s="78"/>
      <c r="AK30" s="79"/>
      <c r="AL30" s="810"/>
      <c r="AM30" s="14"/>
      <c r="AN30" s="58"/>
      <c r="AO30" s="19"/>
      <c r="AP30" s="19"/>
      <c r="AQ30" s="14"/>
      <c r="AR30" s="163"/>
      <c r="AS30" s="14"/>
      <c r="AT30" s="167"/>
      <c r="AU30" s="16"/>
      <c r="AV30" s="19"/>
      <c r="AW30" s="19"/>
      <c r="AX30" s="19"/>
      <c r="AY30" s="159"/>
      <c r="AZ30" s="160"/>
      <c r="BA30" s="160"/>
      <c r="BB30" s="130"/>
      <c r="BC30" s="19"/>
      <c r="BD30" s="19"/>
      <c r="BE30" s="166"/>
      <c r="BF30" s="128"/>
      <c r="BG30" s="168"/>
      <c r="BH30" s="163"/>
      <c r="BI30" s="14"/>
      <c r="BJ30" s="14"/>
      <c r="BK30" s="16"/>
      <c r="BL30" s="19"/>
      <c r="BM30" s="19"/>
    </row>
    <row r="31" spans="1:65" s="21" customFormat="1" ht="12.75">
      <c r="A31" s="169"/>
      <c r="B31" s="807"/>
      <c r="C31" s="24"/>
      <c r="D31" s="225"/>
      <c r="E31" s="811"/>
      <c r="F31" s="225"/>
      <c r="G31" s="72"/>
      <c r="H31" s="803"/>
      <c r="I31" s="225"/>
      <c r="J31" s="70"/>
      <c r="K31" s="804"/>
      <c r="L31" s="812"/>
      <c r="M31" s="76"/>
      <c r="N31" s="76"/>
      <c r="O31" s="76"/>
      <c r="P31" s="646"/>
      <c r="Q31" s="800"/>
      <c r="R31" s="70"/>
      <c r="S31" s="71"/>
      <c r="T31" s="70"/>
      <c r="U31" s="71"/>
      <c r="V31" s="71"/>
      <c r="W31" s="59"/>
      <c r="X31" s="809"/>
      <c r="Y31" s="809"/>
      <c r="Z31" s="809"/>
      <c r="AA31" s="809"/>
      <c r="AB31" s="732"/>
      <c r="AC31" s="732"/>
      <c r="AD31" s="59"/>
      <c r="AE31" s="74"/>
      <c r="AF31" s="813"/>
      <c r="AG31" s="634"/>
      <c r="AH31" s="76"/>
      <c r="AI31" s="59"/>
      <c r="AJ31" s="78"/>
      <c r="AK31" s="79"/>
      <c r="AL31" s="80"/>
      <c r="AM31" s="14"/>
      <c r="AN31" s="67"/>
      <c r="AO31" s="19"/>
      <c r="AP31" s="19"/>
      <c r="AQ31" s="14"/>
      <c r="AR31" s="163"/>
      <c r="AS31" s="14"/>
      <c r="AT31" s="14"/>
      <c r="AU31" s="16"/>
      <c r="AV31" s="19"/>
      <c r="AW31" s="19"/>
      <c r="AX31" s="19"/>
      <c r="AY31" s="159"/>
      <c r="AZ31" s="664"/>
      <c r="BA31" s="664"/>
      <c r="BB31" s="130"/>
      <c r="BC31" s="19"/>
      <c r="BD31" s="19"/>
      <c r="BE31" s="125"/>
      <c r="BF31" s="128"/>
      <c r="BG31" s="128"/>
      <c r="BH31" s="163"/>
      <c r="BI31" s="14"/>
      <c r="BJ31" s="14"/>
      <c r="BK31" s="16"/>
      <c r="BL31" s="19"/>
      <c r="BM31" s="19"/>
    </row>
    <row r="32" spans="1:65" s="21" customFormat="1" ht="12.75">
      <c r="A32" s="16"/>
      <c r="B32" s="814"/>
      <c r="C32" s="815"/>
      <c r="D32" s="803"/>
      <c r="E32" s="816"/>
      <c r="F32" s="173"/>
      <c r="G32" s="817"/>
      <c r="H32" s="173"/>
      <c r="I32" s="11"/>
      <c r="J32" s="174"/>
      <c r="K32" s="97"/>
      <c r="L32" s="87"/>
      <c r="M32" s="76"/>
      <c r="N32" s="87"/>
      <c r="O32" s="76"/>
      <c r="P32" s="643"/>
      <c r="Q32" s="633"/>
      <c r="R32" s="818"/>
      <c r="S32" s="97"/>
      <c r="T32" s="19"/>
      <c r="U32" s="97"/>
      <c r="V32" s="97"/>
      <c r="W32" s="59"/>
      <c r="X32" s="59"/>
      <c r="Y32" s="59"/>
      <c r="Z32" s="59"/>
      <c r="AA32" s="59"/>
      <c r="AB32" s="19"/>
      <c r="AC32" s="19"/>
      <c r="AD32" s="59"/>
      <c r="AE32" s="19"/>
      <c r="AF32" s="819"/>
      <c r="AG32" s="74"/>
      <c r="AH32" s="74"/>
      <c r="AI32" s="74"/>
      <c r="AJ32" s="820"/>
      <c r="AK32" s="80"/>
      <c r="AL32" s="80"/>
      <c r="AM32" s="14"/>
      <c r="AN32" s="669"/>
      <c r="AO32" s="13"/>
      <c r="AP32" s="74"/>
      <c r="AQ32" s="669"/>
      <c r="AR32" s="13"/>
      <c r="AS32" s="74"/>
      <c r="AT32" s="665"/>
      <c r="AU32" s="16"/>
      <c r="AV32" s="670"/>
      <c r="AW32" s="670"/>
      <c r="AX32" s="19"/>
      <c r="AY32" s="159"/>
      <c r="AZ32" s="87"/>
      <c r="BA32" s="160"/>
      <c r="BB32" s="130"/>
      <c r="BC32" s="19"/>
      <c r="BD32" s="19"/>
      <c r="BE32" s="166"/>
      <c r="BF32" s="128"/>
      <c r="BG32" s="128"/>
      <c r="BH32" s="163"/>
      <c r="BI32" s="14"/>
      <c r="BJ32" s="14"/>
      <c r="BK32" s="16"/>
      <c r="BL32" s="19"/>
      <c r="BM32" s="19"/>
    </row>
    <row r="33" spans="1:65" s="21" customFormat="1" ht="12.75">
      <c r="A33" s="14"/>
      <c r="B33" s="814"/>
      <c r="C33" s="815"/>
      <c r="D33" s="803"/>
      <c r="E33" s="816"/>
      <c r="F33" s="173"/>
      <c r="G33" s="817"/>
      <c r="H33" s="173"/>
      <c r="I33" s="11"/>
      <c r="J33" s="174"/>
      <c r="K33" s="97"/>
      <c r="L33" s="87"/>
      <c r="M33" s="76"/>
      <c r="N33" s="87"/>
      <c r="O33" s="76"/>
      <c r="P33" s="643"/>
      <c r="Q33" s="633"/>
      <c r="R33" s="818"/>
      <c r="S33" s="97"/>
      <c r="T33" s="19"/>
      <c r="U33" s="97"/>
      <c r="V33" s="97"/>
      <c r="W33" s="59"/>
      <c r="X33" s="59"/>
      <c r="Y33" s="59"/>
      <c r="Z33" s="59"/>
      <c r="AA33" s="59"/>
      <c r="AB33" s="19"/>
      <c r="AC33" s="19"/>
      <c r="AD33" s="59"/>
      <c r="AE33" s="74"/>
      <c r="AF33" s="819"/>
      <c r="AG33" s="74"/>
      <c r="AH33" s="74"/>
      <c r="AI33" s="74"/>
      <c r="AJ33" s="820"/>
      <c r="AK33" s="80"/>
      <c r="AL33" s="80"/>
      <c r="AM33" s="170"/>
      <c r="AN33" s="13"/>
      <c r="AO33" s="153"/>
      <c r="AP33" s="153"/>
      <c r="AQ33" s="13"/>
      <c r="AR33" s="153"/>
      <c r="AS33" s="153"/>
      <c r="AT33" s="13"/>
      <c r="AU33" s="153"/>
      <c r="AV33" s="93"/>
      <c r="AW33" s="93"/>
      <c r="AX33" s="19"/>
      <c r="AY33" s="159"/>
      <c r="AZ33" s="160"/>
      <c r="BA33" s="160"/>
      <c r="BB33" s="130"/>
      <c r="BC33" s="19"/>
      <c r="BD33" s="19"/>
      <c r="BE33" s="125"/>
      <c r="BF33" s="128"/>
      <c r="BG33" s="168"/>
      <c r="BH33" s="163"/>
      <c r="BI33" s="14"/>
      <c r="BJ33" s="14"/>
      <c r="BK33" s="16"/>
      <c r="BL33" s="19"/>
      <c r="BM33" s="19"/>
    </row>
    <row r="34" spans="1:65" s="21" customFormat="1" ht="12.75">
      <c r="A34" s="19"/>
      <c r="B34" s="814"/>
      <c r="C34" s="815"/>
      <c r="D34" s="225"/>
      <c r="E34" s="816"/>
      <c r="F34" s="803"/>
      <c r="G34" s="817"/>
      <c r="H34" s="173"/>
      <c r="I34" s="11"/>
      <c r="J34" s="174"/>
      <c r="K34" s="97"/>
      <c r="L34" s="87"/>
      <c r="M34" s="76"/>
      <c r="N34" s="87"/>
      <c r="O34" s="76"/>
      <c r="P34" s="643"/>
      <c r="Q34" s="633"/>
      <c r="R34" s="818"/>
      <c r="S34" s="97"/>
      <c r="T34" s="19"/>
      <c r="U34" s="97"/>
      <c r="V34" s="97"/>
      <c r="W34" s="59"/>
      <c r="X34" s="59"/>
      <c r="Y34" s="59"/>
      <c r="Z34" s="59"/>
      <c r="AA34" s="59"/>
      <c r="AB34" s="19"/>
      <c r="AC34" s="19"/>
      <c r="AD34" s="59"/>
      <c r="AE34" s="19"/>
      <c r="AF34" s="821"/>
      <c r="AG34" s="74"/>
      <c r="AH34" s="74"/>
      <c r="AI34" s="74"/>
      <c r="AJ34" s="820"/>
      <c r="AK34" s="80"/>
      <c r="AL34" s="80"/>
      <c r="AM34" s="14"/>
      <c r="AN34" s="669"/>
      <c r="AO34" s="14"/>
      <c r="AP34" s="74"/>
      <c r="AQ34" s="671"/>
      <c r="AR34" s="14"/>
      <c r="AS34" s="14"/>
      <c r="AT34" s="666"/>
      <c r="AU34" s="16"/>
      <c r="AV34" s="57"/>
      <c r="AW34" s="54"/>
      <c r="AX34" s="19"/>
      <c r="AY34" s="159"/>
      <c r="AZ34" s="160"/>
      <c r="BA34" s="160"/>
      <c r="BB34" s="130"/>
      <c r="BC34" s="19"/>
      <c r="BD34" s="19"/>
      <c r="BE34" s="19"/>
      <c r="BF34" s="19"/>
      <c r="BG34" s="14"/>
      <c r="BH34" s="163"/>
      <c r="BI34" s="14"/>
      <c r="BJ34" s="14"/>
      <c r="BK34" s="16"/>
      <c r="BL34" s="19"/>
      <c r="BM34" s="19"/>
    </row>
    <row r="35" spans="1:65" s="21" customFormat="1" ht="12.75">
      <c r="A35" s="19"/>
      <c r="B35" s="814"/>
      <c r="C35" s="162"/>
      <c r="D35" s="803"/>
      <c r="E35" s="102"/>
      <c r="F35" s="173"/>
      <c r="G35" s="102"/>
      <c r="H35" s="173"/>
      <c r="I35" s="173"/>
      <c r="J35" s="14"/>
      <c r="K35" s="19"/>
      <c r="L35" s="87"/>
      <c r="M35" s="87"/>
      <c r="N35" s="87"/>
      <c r="O35" s="87"/>
      <c r="P35" s="643"/>
      <c r="Q35" s="165"/>
      <c r="R35" s="818"/>
      <c r="S35" s="19"/>
      <c r="T35" s="19"/>
      <c r="U35" s="19"/>
      <c r="V35" s="19"/>
      <c r="W35" s="74"/>
      <c r="X35" s="74"/>
      <c r="Y35" s="74"/>
      <c r="Z35" s="74"/>
      <c r="AA35" s="74"/>
      <c r="AB35" s="19"/>
      <c r="AC35" s="19"/>
      <c r="AD35" s="74"/>
      <c r="AE35" s="822"/>
      <c r="AF35" s="823"/>
      <c r="AG35" s="824"/>
      <c r="AH35" s="824"/>
      <c r="AI35" s="825"/>
      <c r="AJ35" s="820"/>
      <c r="AK35" s="80"/>
      <c r="AL35" s="80"/>
      <c r="AM35" s="14"/>
      <c r="AN35" s="58"/>
      <c r="AO35" s="19"/>
      <c r="AP35" s="19"/>
      <c r="AQ35" s="14"/>
      <c r="AR35" s="163"/>
      <c r="AS35" s="14"/>
      <c r="AT35" s="14"/>
      <c r="AU35" s="16"/>
      <c r="AV35" s="19"/>
      <c r="AW35" s="19"/>
      <c r="AX35" s="19"/>
      <c r="AY35" s="159"/>
      <c r="AZ35" s="160"/>
      <c r="BA35" s="160"/>
      <c r="BB35" s="13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 s="21" customFormat="1" ht="12.75">
      <c r="A36" s="19"/>
      <c r="B36" s="814"/>
      <c r="C36" s="815"/>
      <c r="D36" s="803"/>
      <c r="E36" s="102"/>
      <c r="F36" s="173"/>
      <c r="G36" s="102"/>
      <c r="H36" s="173"/>
      <c r="I36" s="173"/>
      <c r="J36" s="14"/>
      <c r="K36" s="19"/>
      <c r="L36" s="87"/>
      <c r="M36" s="87"/>
      <c r="N36" s="87"/>
      <c r="O36" s="87"/>
      <c r="P36" s="643"/>
      <c r="Q36" s="165"/>
      <c r="R36" s="818"/>
      <c r="S36" s="19"/>
      <c r="T36" s="19"/>
      <c r="U36" s="19"/>
      <c r="V36" s="19"/>
      <c r="W36" s="74"/>
      <c r="X36" s="74"/>
      <c r="Y36" s="74"/>
      <c r="Z36" s="74"/>
      <c r="AA36" s="74"/>
      <c r="AB36" s="19"/>
      <c r="AC36" s="19"/>
      <c r="AD36" s="74"/>
      <c r="AE36" s="19"/>
      <c r="AF36" s="821"/>
      <c r="AG36" s="74"/>
      <c r="AH36" s="74"/>
      <c r="AI36" s="74"/>
      <c r="AJ36" s="820"/>
      <c r="AK36" s="80"/>
      <c r="AL36" s="80"/>
      <c r="AM36" s="14"/>
      <c r="AN36" s="67"/>
      <c r="AO36" s="97"/>
      <c r="AP36" s="97"/>
      <c r="AQ36" s="97"/>
      <c r="AR36" s="97"/>
      <c r="AS36" s="19"/>
      <c r="AT36" s="67"/>
      <c r="AU36" s="97"/>
      <c r="AV36" s="97"/>
      <c r="AW36" s="97"/>
      <c r="AX36" s="97"/>
      <c r="AY36" s="159"/>
      <c r="AZ36" s="160"/>
      <c r="BA36" s="160"/>
      <c r="BB36" s="130"/>
      <c r="BC36" s="19"/>
      <c r="BD36" s="19"/>
      <c r="BE36" s="19"/>
      <c r="BF36" s="19"/>
      <c r="BG36" s="19"/>
      <c r="BH36" s="19"/>
      <c r="BI36" s="19"/>
      <c r="BJ36" s="14"/>
      <c r="BK36" s="19"/>
      <c r="BL36" s="19"/>
      <c r="BM36" s="19"/>
    </row>
    <row r="37" spans="1:62" s="175" customFormat="1" ht="12.75">
      <c r="A37" s="14"/>
      <c r="B37" s="826"/>
      <c r="C37" s="827"/>
      <c r="D37" s="803"/>
      <c r="E37" s="130"/>
      <c r="F37" s="803"/>
      <c r="G37" s="130"/>
      <c r="H37" s="803"/>
      <c r="I37" s="803"/>
      <c r="J37" s="818"/>
      <c r="K37" s="818"/>
      <c r="L37" s="87"/>
      <c r="M37" s="87"/>
      <c r="N37" s="87"/>
      <c r="O37" s="87"/>
      <c r="P37" s="646"/>
      <c r="Q37" s="828"/>
      <c r="R37" s="818"/>
      <c r="S37" s="86"/>
      <c r="T37" s="86"/>
      <c r="U37" s="86"/>
      <c r="V37" s="86"/>
      <c r="W37" s="74"/>
      <c r="X37" s="74"/>
      <c r="Y37" s="74"/>
      <c r="Z37" s="74"/>
      <c r="AA37" s="74"/>
      <c r="AB37" s="19"/>
      <c r="AC37" s="19"/>
      <c r="AD37" s="74"/>
      <c r="AE37" s="74"/>
      <c r="AF37" s="821"/>
      <c r="AG37" s="74"/>
      <c r="AH37" s="74"/>
      <c r="AI37" s="74"/>
      <c r="AJ37" s="820"/>
      <c r="AK37" s="80"/>
      <c r="AL37" s="80"/>
      <c r="AM37" s="14"/>
      <c r="AN37" s="13"/>
      <c r="AO37" s="153"/>
      <c r="AP37" s="174"/>
      <c r="AQ37" s="13"/>
      <c r="AR37" s="13"/>
      <c r="AS37" s="11"/>
      <c r="AT37" s="13"/>
      <c r="AU37" s="153"/>
      <c r="AV37" s="172"/>
      <c r="AW37" s="173"/>
      <c r="AX37" s="174"/>
      <c r="AY37" s="13"/>
      <c r="AZ37" s="13"/>
      <c r="BA37" s="160"/>
      <c r="BB37" s="130"/>
      <c r="BC37" s="97"/>
      <c r="BD37" s="97"/>
      <c r="BE37" s="97"/>
      <c r="BF37" s="97"/>
      <c r="BJ37" s="176"/>
    </row>
    <row r="38" spans="1:62" s="175" customFormat="1" ht="12.75">
      <c r="A38" s="16"/>
      <c r="B38" s="798"/>
      <c r="C38" s="827"/>
      <c r="D38" s="803"/>
      <c r="E38" s="130"/>
      <c r="F38" s="803"/>
      <c r="G38" s="130"/>
      <c r="H38" s="803"/>
      <c r="I38" s="803"/>
      <c r="J38" s="818"/>
      <c r="K38" s="818"/>
      <c r="L38" s="87"/>
      <c r="M38" s="87"/>
      <c r="N38" s="87"/>
      <c r="O38" s="87"/>
      <c r="P38" s="646"/>
      <c r="Q38" s="828"/>
      <c r="R38" s="818"/>
      <c r="S38" s="86"/>
      <c r="T38" s="86"/>
      <c r="U38" s="86"/>
      <c r="V38" s="86"/>
      <c r="W38" s="74"/>
      <c r="X38" s="74"/>
      <c r="Y38" s="74"/>
      <c r="Z38" s="74"/>
      <c r="AA38" s="74"/>
      <c r="AB38" s="19"/>
      <c r="AC38" s="19"/>
      <c r="AD38" s="74"/>
      <c r="AE38" s="74"/>
      <c r="AF38" s="821"/>
      <c r="AG38" s="74"/>
      <c r="AH38" s="74"/>
      <c r="AI38" s="74"/>
      <c r="AJ38" s="820"/>
      <c r="AK38" s="80"/>
      <c r="AL38" s="80"/>
      <c r="AM38" s="14"/>
      <c r="AN38" s="24"/>
      <c r="AO38" s="39"/>
      <c r="AP38" s="97"/>
      <c r="AQ38" s="178"/>
      <c r="AR38" s="123"/>
      <c r="AS38" s="9"/>
      <c r="AT38" s="24"/>
      <c r="AU38" s="39"/>
      <c r="AV38" s="97"/>
      <c r="AW38" s="177"/>
      <c r="AX38" s="71"/>
      <c r="AY38" s="178"/>
      <c r="AZ38" s="123"/>
      <c r="BA38" s="128"/>
      <c r="BB38" s="127"/>
      <c r="BC38" s="97"/>
      <c r="BD38" s="97"/>
      <c r="BE38" s="97"/>
      <c r="BF38" s="97"/>
      <c r="BJ38" s="176"/>
    </row>
    <row r="39" spans="1:62" s="175" customFormat="1" ht="12.75">
      <c r="A39" s="97"/>
      <c r="B39" s="829"/>
      <c r="C39" s="620"/>
      <c r="D39" s="225"/>
      <c r="E39" s="72"/>
      <c r="F39" s="225"/>
      <c r="G39" s="72"/>
      <c r="H39" s="225"/>
      <c r="I39" s="225"/>
      <c r="J39" s="82"/>
      <c r="K39" s="71"/>
      <c r="L39" s="76"/>
      <c r="M39" s="76"/>
      <c r="N39" s="59"/>
      <c r="O39" s="76"/>
      <c r="P39" s="646"/>
      <c r="Q39" s="633"/>
      <c r="R39" s="82"/>
      <c r="S39" s="71"/>
      <c r="T39" s="71"/>
      <c r="U39" s="71"/>
      <c r="V39" s="71"/>
      <c r="W39" s="59"/>
      <c r="X39" s="59"/>
      <c r="Y39" s="59"/>
      <c r="Z39" s="59"/>
      <c r="AA39" s="59"/>
      <c r="AB39" s="97"/>
      <c r="AC39" s="97"/>
      <c r="AD39" s="59"/>
      <c r="AE39" s="59"/>
      <c r="AF39" s="830"/>
      <c r="AG39" s="59"/>
      <c r="AH39" s="59"/>
      <c r="AI39" s="59"/>
      <c r="AJ39" s="78"/>
      <c r="AK39" s="79"/>
      <c r="AL39" s="79"/>
      <c r="AM39" s="176"/>
      <c r="AN39" s="67"/>
      <c r="AO39" s="97"/>
      <c r="AP39" s="97"/>
      <c r="AQ39" s="97"/>
      <c r="AR39" s="97"/>
      <c r="AS39" s="53"/>
      <c r="AT39" s="179"/>
      <c r="AU39" s="180"/>
      <c r="AV39" s="60"/>
      <c r="AW39" s="66"/>
      <c r="AX39" s="104"/>
      <c r="AY39" s="181"/>
      <c r="AZ39" s="128"/>
      <c r="BA39" s="128"/>
      <c r="BB39" s="127"/>
      <c r="BC39" s="97"/>
      <c r="BD39" s="97"/>
      <c r="BE39" s="97"/>
      <c r="BF39" s="97"/>
      <c r="BJ39" s="176"/>
    </row>
    <row r="40" spans="1:62" s="175" customFormat="1" ht="12.75">
      <c r="A40" s="97"/>
      <c r="B40" s="829"/>
      <c r="C40" s="620"/>
      <c r="D40" s="225"/>
      <c r="E40" s="72"/>
      <c r="F40" s="225"/>
      <c r="G40" s="72"/>
      <c r="H40" s="225"/>
      <c r="I40" s="225"/>
      <c r="J40" s="82"/>
      <c r="K40" s="71"/>
      <c r="L40" s="76"/>
      <c r="M40" s="76"/>
      <c r="N40" s="59"/>
      <c r="O40" s="76"/>
      <c r="P40" s="646"/>
      <c r="Q40" s="633"/>
      <c r="R40" s="82"/>
      <c r="S40" s="71"/>
      <c r="T40" s="71"/>
      <c r="U40" s="71"/>
      <c r="V40" s="71"/>
      <c r="W40" s="59"/>
      <c r="X40" s="59"/>
      <c r="Y40" s="59"/>
      <c r="Z40" s="59"/>
      <c r="AA40" s="59"/>
      <c r="AB40" s="97"/>
      <c r="AC40" s="97"/>
      <c r="AD40" s="59"/>
      <c r="AE40" s="59"/>
      <c r="AF40" s="830"/>
      <c r="AG40" s="59"/>
      <c r="AH40" s="59"/>
      <c r="AI40" s="59"/>
      <c r="AJ40" s="78"/>
      <c r="AK40" s="79"/>
      <c r="AL40" s="79"/>
      <c r="AM40" s="176"/>
      <c r="AN40" s="67"/>
      <c r="AO40" s="97"/>
      <c r="AP40" s="97"/>
      <c r="AQ40" s="97"/>
      <c r="AR40" s="97"/>
      <c r="AS40" s="53"/>
      <c r="AT40" s="179"/>
      <c r="AU40" s="180"/>
      <c r="AV40" s="60"/>
      <c r="AW40" s="66"/>
      <c r="AX40" s="104"/>
      <c r="AY40" s="181"/>
      <c r="AZ40" s="128"/>
      <c r="BA40" s="128"/>
      <c r="BB40" s="127"/>
      <c r="BC40" s="97"/>
      <c r="BD40" s="97"/>
      <c r="BE40" s="97"/>
      <c r="BF40" s="97"/>
      <c r="BJ40" s="176"/>
    </row>
    <row r="41" spans="1:62" s="175" customFormat="1" ht="12.75">
      <c r="A41" s="97"/>
      <c r="B41" s="182"/>
      <c r="C41" s="634"/>
      <c r="D41" s="67"/>
      <c r="E41" s="71"/>
      <c r="F41" s="71"/>
      <c r="G41" s="71"/>
      <c r="H41" s="71"/>
      <c r="I41" s="71"/>
      <c r="J41" s="82"/>
      <c r="K41" s="71"/>
      <c r="L41" s="76"/>
      <c r="M41" s="59"/>
      <c r="N41" s="59"/>
      <c r="O41" s="59"/>
      <c r="P41" s="632"/>
      <c r="Q41" s="633"/>
      <c r="R41" s="71"/>
      <c r="S41" s="71"/>
      <c r="T41" s="71"/>
      <c r="U41" s="71"/>
      <c r="V41" s="71"/>
      <c r="W41" s="59"/>
      <c r="X41" s="59"/>
      <c r="Y41" s="59"/>
      <c r="Z41" s="59"/>
      <c r="AA41" s="59"/>
      <c r="AB41" s="97"/>
      <c r="AC41" s="97"/>
      <c r="AD41" s="59"/>
      <c r="AE41" s="59"/>
      <c r="AF41" s="59"/>
      <c r="AG41" s="78"/>
      <c r="AH41" s="59"/>
      <c r="AI41" s="79"/>
      <c r="AJ41" s="79"/>
      <c r="AK41" s="97"/>
      <c r="AL41" s="97"/>
      <c r="AM41" s="176"/>
      <c r="AN41" s="24"/>
      <c r="AO41" s="39"/>
      <c r="AP41" s="97"/>
      <c r="AQ41" s="178"/>
      <c r="AR41" s="123"/>
      <c r="AS41" s="97"/>
      <c r="AT41" s="59"/>
      <c r="AU41" s="667"/>
      <c r="AV41" s="667"/>
      <c r="AW41" s="656"/>
      <c r="AX41" s="656"/>
      <c r="AY41" s="181"/>
      <c r="AZ41" s="668"/>
      <c r="BA41" s="668"/>
      <c r="BB41" s="97"/>
      <c r="BC41" s="97"/>
      <c r="BD41" s="97"/>
      <c r="BE41" s="97"/>
      <c r="BF41" s="97"/>
      <c r="BJ41" s="176"/>
    </row>
    <row r="42" spans="1:62" s="175" customFormat="1" ht="12.75">
      <c r="A42" s="97"/>
      <c r="B42" s="831"/>
      <c r="C42" s="634"/>
      <c r="D42" s="67"/>
      <c r="E42" s="71"/>
      <c r="F42" s="71"/>
      <c r="G42" s="71"/>
      <c r="H42" s="71"/>
      <c r="I42" s="71"/>
      <c r="J42" s="82"/>
      <c r="K42" s="71"/>
      <c r="L42" s="76">
        <v>18038.5</v>
      </c>
      <c r="M42" s="59">
        <f>ROUND(L42*4.1868,2)</f>
        <v>75523.59</v>
      </c>
      <c r="N42" s="59"/>
      <c r="O42" s="59"/>
      <c r="P42" s="632"/>
      <c r="Q42" s="633"/>
      <c r="R42" s="71"/>
      <c r="S42" s="71"/>
      <c r="T42" s="95"/>
      <c r="U42" s="71"/>
      <c r="V42" s="71"/>
      <c r="W42" s="59"/>
      <c r="X42" s="59"/>
      <c r="Y42" s="59"/>
      <c r="Z42" s="59"/>
      <c r="AA42" s="59"/>
      <c r="AB42" s="97"/>
      <c r="AC42" s="97"/>
      <c r="AD42" s="59"/>
      <c r="AE42" s="59"/>
      <c r="AF42" s="59">
        <f>SUM(AF22:AF41)</f>
        <v>0</v>
      </c>
      <c r="AG42" s="78">
        <f>23*12</f>
        <v>276</v>
      </c>
      <c r="AH42" s="59"/>
      <c r="AI42" s="79"/>
      <c r="AJ42" s="79"/>
      <c r="AK42" s="97"/>
      <c r="AL42" s="97"/>
      <c r="AM42" s="176"/>
      <c r="AN42" s="6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81"/>
      <c r="AZ42" s="668"/>
      <c r="BA42" s="668"/>
      <c r="BB42" s="97"/>
      <c r="BC42" s="97"/>
      <c r="BD42" s="97"/>
      <c r="BE42" s="97"/>
      <c r="BF42" s="97"/>
      <c r="BJ42" s="176"/>
    </row>
    <row r="43" spans="2:62" s="175" customFormat="1" ht="12.75">
      <c r="B43" s="182"/>
      <c r="C43" s="183"/>
      <c r="D43" s="67"/>
      <c r="E43" s="99"/>
      <c r="F43" s="99"/>
      <c r="G43" s="99"/>
      <c r="H43" s="99"/>
      <c r="I43" s="99"/>
      <c r="J43" s="184"/>
      <c r="K43" s="99"/>
      <c r="L43" s="185"/>
      <c r="M43" s="186"/>
      <c r="N43" s="186"/>
      <c r="O43" s="186"/>
      <c r="P43" s="187"/>
      <c r="Q43" s="188"/>
      <c r="R43" s="99"/>
      <c r="S43" s="99"/>
      <c r="T43" s="99"/>
      <c r="U43" s="99"/>
      <c r="V43" s="99"/>
      <c r="W43" s="186"/>
      <c r="X43" s="186"/>
      <c r="Y43" s="186"/>
      <c r="Z43" s="186"/>
      <c r="AA43" s="186"/>
      <c r="AD43" s="186"/>
      <c r="AE43" s="186"/>
      <c r="AF43" s="186"/>
      <c r="AG43" s="189"/>
      <c r="AH43" s="186"/>
      <c r="AI43" s="190"/>
      <c r="AJ43" s="190"/>
      <c r="AM43" s="176"/>
      <c r="AN43" s="97"/>
      <c r="AO43" s="174"/>
      <c r="AP43" s="174"/>
      <c r="AQ43" s="174"/>
      <c r="AR43" s="17"/>
      <c r="AS43" s="192"/>
      <c r="AT43" s="97"/>
      <c r="AU43" s="97"/>
      <c r="AV43" s="97"/>
      <c r="AW43" s="97"/>
      <c r="AX43" s="97"/>
      <c r="AY43" s="181"/>
      <c r="AZ43" s="668"/>
      <c r="BA43" s="668"/>
      <c r="BB43" s="97"/>
      <c r="BC43" s="97"/>
      <c r="BD43" s="97"/>
      <c r="BE43" s="97"/>
      <c r="BF43" s="97"/>
      <c r="BJ43" s="176"/>
    </row>
    <row r="44" spans="2:62" s="175" customFormat="1" ht="12.75">
      <c r="B44" s="182"/>
      <c r="C44" s="183"/>
      <c r="D44" s="67"/>
      <c r="E44" s="99"/>
      <c r="F44" s="99"/>
      <c r="G44" s="99"/>
      <c r="H44" s="99"/>
      <c r="I44" s="99"/>
      <c r="J44" s="184"/>
      <c r="K44" s="99"/>
      <c r="L44" s="185"/>
      <c r="M44" s="186"/>
      <c r="N44" s="186"/>
      <c r="O44" s="186"/>
      <c r="P44" s="187"/>
      <c r="Q44" s="188"/>
      <c r="R44" s="99"/>
      <c r="S44" s="99"/>
      <c r="T44" s="99"/>
      <c r="U44" s="99"/>
      <c r="V44" s="99"/>
      <c r="W44" s="186"/>
      <c r="X44" s="186"/>
      <c r="Y44" s="186"/>
      <c r="Z44" s="186"/>
      <c r="AA44" s="186"/>
      <c r="AD44" s="186"/>
      <c r="AE44" s="186"/>
      <c r="AF44" s="186"/>
      <c r="AG44" s="189"/>
      <c r="AH44" s="186"/>
      <c r="AI44" s="190"/>
      <c r="AJ44" s="190"/>
      <c r="AM44" s="176"/>
      <c r="AN44" s="97"/>
      <c r="AO44" s="174"/>
      <c r="AP44" s="174"/>
      <c r="AQ44" s="174"/>
      <c r="AR44" s="17"/>
      <c r="AS44" s="192"/>
      <c r="AT44" s="97"/>
      <c r="AU44" s="97"/>
      <c r="AV44" s="97"/>
      <c r="AW44" s="97"/>
      <c r="AX44" s="97"/>
      <c r="AY44" s="181"/>
      <c r="AZ44" s="668"/>
      <c r="BA44" s="668"/>
      <c r="BB44" s="97"/>
      <c r="BC44" s="97"/>
      <c r="BD44" s="97"/>
      <c r="BE44" s="97"/>
      <c r="BF44" s="97"/>
      <c r="BJ44" s="176"/>
    </row>
    <row r="45" spans="1:58" s="194" customFormat="1" ht="12.75">
      <c r="A45" s="193"/>
      <c r="AN45" s="672"/>
      <c r="AO45" s="672"/>
      <c r="AP45" s="672"/>
      <c r="AQ45" s="672"/>
      <c r="AR45" s="672"/>
      <c r="AS45" s="672"/>
      <c r="AT45" s="672"/>
      <c r="AU45" s="672"/>
      <c r="AV45" s="672"/>
      <c r="AW45" s="672"/>
      <c r="AX45" s="672"/>
      <c r="AY45" s="672"/>
      <c r="AZ45" s="672"/>
      <c r="BA45" s="672"/>
      <c r="BB45" s="672"/>
      <c r="BC45" s="672"/>
      <c r="BD45" s="672"/>
      <c r="BE45" s="672"/>
      <c r="BF45" s="672"/>
    </row>
    <row r="46" spans="2:62" s="175" customFormat="1" ht="12.75">
      <c r="B46" s="182"/>
      <c r="C46" s="183"/>
      <c r="D46" s="99"/>
      <c r="E46" s="99"/>
      <c r="F46" s="99"/>
      <c r="G46" s="99"/>
      <c r="H46" s="99"/>
      <c r="I46" s="99"/>
      <c r="J46" s="184"/>
      <c r="K46" s="99"/>
      <c r="L46" s="185"/>
      <c r="M46" s="186"/>
      <c r="N46" s="186"/>
      <c r="O46" s="186"/>
      <c r="P46" s="187"/>
      <c r="Q46" s="188"/>
      <c r="R46" s="99"/>
      <c r="S46" s="99"/>
      <c r="T46" s="99"/>
      <c r="U46" s="99"/>
      <c r="V46" s="99"/>
      <c r="W46" s="186"/>
      <c r="X46" s="186"/>
      <c r="Y46" s="186"/>
      <c r="Z46" s="186"/>
      <c r="AA46" s="186"/>
      <c r="AD46" s="186"/>
      <c r="AE46" s="186"/>
      <c r="AF46" s="186"/>
      <c r="AG46" s="189"/>
      <c r="AH46" s="186"/>
      <c r="AI46" s="190"/>
      <c r="AJ46" s="190"/>
      <c r="AM46" s="176"/>
      <c r="AN46" s="6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181"/>
      <c r="AZ46" s="668"/>
      <c r="BA46" s="668"/>
      <c r="BB46" s="97"/>
      <c r="BC46" s="97"/>
      <c r="BD46" s="97"/>
      <c r="BE46" s="97"/>
      <c r="BF46" s="97"/>
      <c r="BJ46" s="176"/>
    </row>
    <row r="47" spans="13:58" ht="12.75">
      <c r="M47" s="198"/>
      <c r="N47" s="77"/>
      <c r="O47" s="59"/>
      <c r="P47" s="199"/>
      <c r="AN47" s="67"/>
      <c r="AO47" s="628"/>
      <c r="AP47" s="628"/>
      <c r="AQ47" s="66"/>
      <c r="AR47" s="66"/>
      <c r="AS47" s="66"/>
      <c r="AT47" s="66"/>
      <c r="AU47" s="97"/>
      <c r="AV47" s="97"/>
      <c r="AW47" s="97"/>
      <c r="AX47" s="97"/>
      <c r="AY47" s="181"/>
      <c r="AZ47" s="668"/>
      <c r="BA47" s="668"/>
      <c r="BB47" s="97"/>
      <c r="BC47" s="97"/>
      <c r="BD47" s="97"/>
      <c r="BE47" s="97"/>
      <c r="BF47" s="97"/>
    </row>
    <row r="48" spans="40:58" ht="12.75">
      <c r="AN48" s="627"/>
      <c r="AO48" s="673"/>
      <c r="AP48" s="177"/>
      <c r="AQ48" s="626"/>
      <c r="AR48" s="124"/>
      <c r="AS48" s="66"/>
      <c r="AT48" s="55"/>
      <c r="AU48" s="97"/>
      <c r="AV48" s="97"/>
      <c r="AW48" s="97"/>
      <c r="AX48" s="97"/>
      <c r="AY48" s="181"/>
      <c r="AZ48" s="668"/>
      <c r="BA48" s="668"/>
      <c r="BB48" s="97"/>
      <c r="BC48" s="97"/>
      <c r="BD48" s="97"/>
      <c r="BE48" s="97"/>
      <c r="BF48" s="97"/>
    </row>
    <row r="49" spans="40:58" ht="12.75">
      <c r="AN49" s="54"/>
      <c r="AO49" s="116"/>
      <c r="AP49" s="105"/>
      <c r="AQ49" s="117"/>
      <c r="AR49" s="117"/>
      <c r="AS49" s="118"/>
      <c r="AT49" s="116"/>
      <c r="AU49" s="97"/>
      <c r="AV49" s="97"/>
      <c r="AW49" s="97"/>
      <c r="AX49" s="97"/>
      <c r="AY49" s="181"/>
      <c r="AZ49" s="668"/>
      <c r="BA49" s="668"/>
      <c r="BB49" s="97"/>
      <c r="BC49" s="97"/>
      <c r="BD49" s="97"/>
      <c r="BE49" s="97"/>
      <c r="BF49" s="97"/>
    </row>
    <row r="50" spans="40:58" ht="12.75">
      <c r="AN50" s="13"/>
      <c r="AO50" s="66"/>
      <c r="AP50" s="17"/>
      <c r="AQ50" s="17"/>
      <c r="AR50" s="17"/>
      <c r="AS50" s="122"/>
      <c r="AT50" s="123"/>
      <c r="AU50" s="97"/>
      <c r="AV50" s="97"/>
      <c r="AW50" s="97"/>
      <c r="AX50" s="97"/>
      <c r="AY50" s="181"/>
      <c r="AZ50" s="668"/>
      <c r="BA50" s="668"/>
      <c r="BB50" s="97"/>
      <c r="BC50" s="97"/>
      <c r="BD50" s="97"/>
      <c r="BE50" s="97"/>
      <c r="BF50" s="97"/>
    </row>
    <row r="51" spans="40:58" ht="12.75">
      <c r="AN51" s="674"/>
      <c r="AO51" s="674"/>
      <c r="AP51" s="674"/>
      <c r="AQ51" s="675"/>
      <c r="AR51" s="674"/>
      <c r="AS51" s="674"/>
      <c r="AT51" s="124"/>
      <c r="AU51" s="97"/>
      <c r="AV51" s="97"/>
      <c r="AW51" s="97"/>
      <c r="AX51" s="97"/>
      <c r="AY51" s="181"/>
      <c r="AZ51" s="668"/>
      <c r="BA51" s="668"/>
      <c r="BB51" s="97"/>
      <c r="BC51" s="97"/>
      <c r="BD51" s="97"/>
      <c r="BE51" s="97"/>
      <c r="BF51" s="97"/>
    </row>
    <row r="52" spans="8:58" ht="12.75">
      <c r="H52" s="71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81"/>
      <c r="AZ52" s="668"/>
      <c r="BA52" s="668"/>
      <c r="BB52" s="97"/>
      <c r="BC52" s="97"/>
      <c r="BD52" s="97"/>
      <c r="BE52" s="97"/>
      <c r="BF52" s="97"/>
    </row>
    <row r="53" spans="40:58" ht="12.75"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81"/>
      <c r="AZ53" s="668"/>
      <c r="BA53" s="668"/>
      <c r="BB53" s="97"/>
      <c r="BC53" s="97"/>
      <c r="BD53" s="97"/>
      <c r="BE53" s="97"/>
      <c r="BF53" s="97"/>
    </row>
    <row r="54" spans="3:53" ht="12.75">
      <c r="C54" s="24"/>
      <c r="AY54" s="205"/>
      <c r="AZ54" s="126"/>
      <c r="BA54" s="126"/>
    </row>
    <row r="55" ht="12.75"/>
    <row r="56" spans="51:53" ht="12.75">
      <c r="AY56" s="205"/>
      <c r="AZ56" s="126"/>
      <c r="BA56" s="126"/>
    </row>
    <row r="57" spans="51:53" ht="12.75">
      <c r="AY57" s="202"/>
      <c r="AZ57" s="195"/>
      <c r="BA57" s="195"/>
    </row>
    <row r="58" spans="51:53" ht="12.75">
      <c r="AY58" s="202"/>
      <c r="AZ58" s="195"/>
      <c r="BA58" s="195"/>
    </row>
    <row r="59" spans="51:53" ht="12.75">
      <c r="AY59" s="202"/>
      <c r="AZ59" s="195"/>
      <c r="BA59" s="195"/>
    </row>
    <row r="60" spans="3:53" ht="12.75">
      <c r="C60" s="207"/>
      <c r="D60" s="208"/>
      <c r="E60" s="208"/>
      <c r="F60" s="208"/>
      <c r="G60" s="208"/>
      <c r="H60" s="208"/>
      <c r="I60" s="208"/>
      <c r="J60" s="209"/>
      <c r="K60" s="208"/>
      <c r="L60" s="210"/>
      <c r="M60" s="211"/>
      <c r="N60" s="211"/>
      <c r="O60" s="211"/>
      <c r="P60" s="212"/>
      <c r="Q60" s="213"/>
      <c r="R60" s="208"/>
      <c r="S60" s="208"/>
      <c r="T60" s="208"/>
      <c r="U60" s="208"/>
      <c r="V60" s="208"/>
      <c r="W60" s="211"/>
      <c r="X60" s="211"/>
      <c r="Y60" s="211"/>
      <c r="Z60" s="211"/>
      <c r="AA60" s="211"/>
      <c r="AB60" s="214"/>
      <c r="AC60" s="214"/>
      <c r="AD60" s="211"/>
      <c r="AE60" s="211"/>
      <c r="AF60" s="211"/>
      <c r="AG60" s="215"/>
      <c r="AY60" s="202"/>
      <c r="AZ60" s="195"/>
      <c r="BA60" s="195"/>
    </row>
    <row r="61" spans="51:53" ht="12.75">
      <c r="AY61" s="202"/>
      <c r="AZ61" s="195"/>
      <c r="BA61" s="195"/>
    </row>
    <row r="62" spans="2:74" s="175" customFormat="1" ht="12.75">
      <c r="B62" s="183"/>
      <c r="C62" s="183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6"/>
      <c r="O62" s="676"/>
      <c r="P62" s="676"/>
      <c r="Q62" s="676"/>
      <c r="R62" s="676"/>
      <c r="S62" s="676"/>
      <c r="T62" s="676"/>
      <c r="U62" s="676"/>
      <c r="V62" s="676"/>
      <c r="W62" s="676"/>
      <c r="X62" s="676"/>
      <c r="Y62" s="676"/>
      <c r="Z62" s="676"/>
      <c r="AA62" s="676"/>
      <c r="AB62" s="676"/>
      <c r="AC62" s="676"/>
      <c r="AD62" s="676"/>
      <c r="AE62" s="676"/>
      <c r="AF62" s="676"/>
      <c r="AG62" s="676"/>
      <c r="AH62" s="676"/>
      <c r="AI62" s="676"/>
      <c r="AJ62" s="676"/>
      <c r="AK62" s="676"/>
      <c r="AL62" s="676"/>
      <c r="AM62" s="676"/>
      <c r="AN62" s="676"/>
      <c r="AO62" s="676"/>
      <c r="AP62" s="676"/>
      <c r="AQ62" s="676"/>
      <c r="AR62" s="676"/>
      <c r="AS62" s="676"/>
      <c r="AT62" s="676"/>
      <c r="AU62" s="676"/>
      <c r="AV62" s="676"/>
      <c r="AW62" s="676"/>
      <c r="AX62" s="676"/>
      <c r="AY62" s="676"/>
      <c r="AZ62" s="676"/>
      <c r="BA62" s="676"/>
      <c r="BB62" s="676"/>
      <c r="BC62" s="676"/>
      <c r="BD62" s="676"/>
      <c r="BE62" s="676"/>
      <c r="BF62" s="676"/>
      <c r="BG62" s="676"/>
      <c r="BH62" s="676"/>
      <c r="BI62" s="676"/>
      <c r="BJ62" s="676"/>
      <c r="BK62" s="676"/>
      <c r="BL62" s="676"/>
      <c r="BM62" s="676"/>
      <c r="BN62" s="676"/>
      <c r="BO62" s="676"/>
      <c r="BP62" s="676"/>
      <c r="BQ62" s="676"/>
      <c r="BR62" s="676"/>
      <c r="BS62" s="676"/>
      <c r="BT62" s="676"/>
      <c r="BU62" s="676"/>
      <c r="BV62" s="676"/>
    </row>
    <row r="63" spans="12:13" s="100" customFormat="1" ht="12.75">
      <c r="L63" s="216"/>
      <c r="M63" s="217"/>
    </row>
    <row r="64" spans="1:53" ht="12.75">
      <c r="A64" s="97"/>
      <c r="B64" s="627"/>
      <c r="C64" s="628"/>
      <c r="D64" s="71"/>
      <c r="E64" s="629"/>
      <c r="F64" s="177"/>
      <c r="G64" s="71"/>
      <c r="H64" s="71"/>
      <c r="I64" s="71"/>
      <c r="J64" s="82"/>
      <c r="K64" s="71"/>
      <c r="L64" s="630">
        <f>$AJ$2</f>
        <v>20</v>
      </c>
      <c r="M64" s="631">
        <f>$AK$2</f>
        <v>-13</v>
      </c>
      <c r="N64" s="59"/>
      <c r="O64" s="59"/>
      <c r="P64" s="632"/>
      <c r="Q64" s="633"/>
      <c r="R64" s="71"/>
      <c r="S64" s="71"/>
      <c r="T64" s="71"/>
      <c r="U64" s="71"/>
      <c r="V64" s="71"/>
      <c r="W64" s="59"/>
      <c r="X64" s="59"/>
      <c r="Y64" s="59"/>
      <c r="Z64" s="59"/>
      <c r="AA64" s="59"/>
      <c r="AB64" s="97"/>
      <c r="AC64" s="97"/>
      <c r="AD64" s="59"/>
      <c r="AE64" s="59"/>
      <c r="AF64" s="59"/>
      <c r="AG64" s="78"/>
      <c r="AH64" s="59"/>
      <c r="AI64" s="79"/>
      <c r="AJ64" s="79"/>
      <c r="AK64" s="97"/>
      <c r="AL64" s="97"/>
      <c r="AM64" s="174"/>
      <c r="AY64" s="202"/>
      <c r="AZ64" s="195"/>
      <c r="BA64" s="195"/>
    </row>
    <row r="65" spans="1:53" ht="33.75" customHeight="1">
      <c r="A65" s="97"/>
      <c r="B65" s="634"/>
      <c r="C65" s="86"/>
      <c r="D65" s="131"/>
      <c r="E65" s="635"/>
      <c r="F65" s="614"/>
      <c r="G65" s="636"/>
      <c r="H65" s="637"/>
      <c r="I65" s="637"/>
      <c r="J65" s="637"/>
      <c r="K65" s="785"/>
      <c r="L65" s="786"/>
      <c r="M65" s="787"/>
      <c r="N65" s="788"/>
      <c r="O65" s="789"/>
      <c r="P65" s="790"/>
      <c r="Q65" s="633"/>
      <c r="R65" s="638"/>
      <c r="S65" s="615"/>
      <c r="T65" s="639"/>
      <c r="U65" s="639"/>
      <c r="V65" s="71"/>
      <c r="W65" s="59"/>
      <c r="X65" s="59"/>
      <c r="Y65" s="59"/>
      <c r="Z65" s="59"/>
      <c r="AA65" s="59"/>
      <c r="AB65" s="97"/>
      <c r="AC65" s="97"/>
      <c r="AD65" s="59"/>
      <c r="AE65" s="59"/>
      <c r="AF65" s="59"/>
      <c r="AG65" s="18"/>
      <c r="AH65" s="19"/>
      <c r="AI65" s="18"/>
      <c r="AJ65" s="19"/>
      <c r="AK65" s="146"/>
      <c r="AL65" s="97"/>
      <c r="AM65" s="174"/>
      <c r="AY65" s="202"/>
      <c r="AZ65" s="195"/>
      <c r="BA65" s="195"/>
    </row>
    <row r="66" spans="1:53" ht="12.75">
      <c r="A66" s="97"/>
      <c r="B66" s="634"/>
      <c r="C66" s="640"/>
      <c r="D66" s="24"/>
      <c r="E66" s="791"/>
      <c r="F66" s="791"/>
      <c r="G66" s="39"/>
      <c r="H66" s="37"/>
      <c r="I66" s="67"/>
      <c r="J66" s="641"/>
      <c r="K66" s="37"/>
      <c r="L66" s="642"/>
      <c r="M66" s="37"/>
      <c r="N66" s="37"/>
      <c r="O66" s="643"/>
      <c r="P66" s="37"/>
      <c r="Q66" s="633"/>
      <c r="R66" s="71"/>
      <c r="S66" s="55"/>
      <c r="T66" s="223"/>
      <c r="U66" s="223"/>
      <c r="V66" s="71"/>
      <c r="W66" s="59"/>
      <c r="X66" s="59"/>
      <c r="Y66" s="59"/>
      <c r="Z66" s="59"/>
      <c r="AA66" s="59"/>
      <c r="AB66" s="97"/>
      <c r="AC66" s="97"/>
      <c r="AD66" s="59"/>
      <c r="AE66" s="59"/>
      <c r="AF66" s="59"/>
      <c r="AG66" s="8"/>
      <c r="AH66" s="8"/>
      <c r="AI66" s="8"/>
      <c r="AJ66" s="8"/>
      <c r="AK66" s="97"/>
      <c r="AL66" s="97"/>
      <c r="AM66" s="174"/>
      <c r="AY66" s="202"/>
      <c r="AZ66" s="195"/>
      <c r="BA66" s="195"/>
    </row>
    <row r="67" spans="1:53" ht="12.75">
      <c r="A67" s="78"/>
      <c r="B67" s="634"/>
      <c r="C67" s="18"/>
      <c r="D67" s="24"/>
      <c r="E67" s="791"/>
      <c r="F67" s="791"/>
      <c r="G67" s="39"/>
      <c r="H67" s="39"/>
      <c r="I67" s="53"/>
      <c r="J67" s="616"/>
      <c r="K67" s="57"/>
      <c r="L67" s="55"/>
      <c r="M67" s="617"/>
      <c r="N67" s="76"/>
      <c r="O67" s="57"/>
      <c r="P67" s="76"/>
      <c r="Q67" s="633"/>
      <c r="R67" s="59"/>
      <c r="S67" s="124"/>
      <c r="T67" s="124"/>
      <c r="U67" s="644"/>
      <c r="V67" s="71"/>
      <c r="W67" s="59"/>
      <c r="X67" s="59"/>
      <c r="Y67" s="59"/>
      <c r="Z67" s="59"/>
      <c r="AA67" s="59"/>
      <c r="AB67" s="97"/>
      <c r="AC67" s="97"/>
      <c r="AD67" s="59"/>
      <c r="AE67" s="59"/>
      <c r="AF67" s="634"/>
      <c r="AG67" s="62"/>
      <c r="AH67" s="62"/>
      <c r="AI67" s="62"/>
      <c r="AJ67" s="62"/>
      <c r="AK67" s="97"/>
      <c r="AL67" s="97"/>
      <c r="AM67" s="174"/>
      <c r="AY67" s="202"/>
      <c r="AZ67" s="195"/>
      <c r="BA67" s="195"/>
    </row>
    <row r="68" spans="1:53" ht="12.75">
      <c r="A68" s="78"/>
      <c r="B68" s="634"/>
      <c r="C68" s="640"/>
      <c r="D68" s="24"/>
      <c r="E68" s="791"/>
      <c r="F68" s="791"/>
      <c r="G68" s="39"/>
      <c r="H68" s="64"/>
      <c r="I68" s="67"/>
      <c r="J68" s="641"/>
      <c r="K68" s="37"/>
      <c r="L68" s="642">
        <f>IF($L$66="","",$L$66)</f>
      </c>
      <c r="M68" s="37"/>
      <c r="N68" s="37"/>
      <c r="O68" s="37"/>
      <c r="P68" s="37"/>
      <c r="Q68" s="633"/>
      <c r="R68" s="59"/>
      <c r="S68" s="223"/>
      <c r="T68" s="223"/>
      <c r="U68" s="223"/>
      <c r="V68" s="71"/>
      <c r="W68" s="59"/>
      <c r="X68" s="59"/>
      <c r="Y68" s="59"/>
      <c r="Z68" s="59"/>
      <c r="AA68" s="59"/>
      <c r="AB68" s="97"/>
      <c r="AC68" s="97"/>
      <c r="AD68" s="59"/>
      <c r="AE68" s="59"/>
      <c r="AF68" s="634"/>
      <c r="AG68" s="8"/>
      <c r="AH68" s="8"/>
      <c r="AI68" s="8"/>
      <c r="AJ68" s="8"/>
      <c r="AK68" s="97"/>
      <c r="AL68" s="97"/>
      <c r="AM68" s="174"/>
      <c r="AY68" s="202"/>
      <c r="AZ68" s="195"/>
      <c r="BA68" s="195"/>
    </row>
    <row r="69" spans="1:53" ht="12.75">
      <c r="A69" s="97"/>
      <c r="B69" s="634"/>
      <c r="C69" s="18"/>
      <c r="D69" s="24"/>
      <c r="E69" s="791"/>
      <c r="F69" s="791"/>
      <c r="G69" s="39"/>
      <c r="H69" s="39"/>
      <c r="I69" s="53"/>
      <c r="J69" s="616"/>
      <c r="K69" s="57"/>
      <c r="L69" s="55"/>
      <c r="M69" s="617"/>
      <c r="N69" s="76"/>
      <c r="O69" s="67"/>
      <c r="P69" s="76"/>
      <c r="Q69" s="633"/>
      <c r="R69" s="59"/>
      <c r="S69" s="55"/>
      <c r="T69" s="124"/>
      <c r="U69" s="644"/>
      <c r="V69" s="71"/>
      <c r="W69" s="59"/>
      <c r="X69" s="59"/>
      <c r="Y69" s="59"/>
      <c r="Z69" s="59"/>
      <c r="AA69" s="59"/>
      <c r="AB69" s="97"/>
      <c r="AC69" s="97"/>
      <c r="AD69" s="59"/>
      <c r="AE69" s="59"/>
      <c r="AF69" s="634"/>
      <c r="AG69" s="62"/>
      <c r="AH69" s="62"/>
      <c r="AI69" s="62"/>
      <c r="AJ69" s="62"/>
      <c r="AK69" s="97"/>
      <c r="AL69" s="97"/>
      <c r="AM69" s="174"/>
      <c r="AY69" s="202"/>
      <c r="AZ69" s="195"/>
      <c r="BA69" s="195"/>
    </row>
    <row r="70" spans="1:53" ht="12.75">
      <c r="A70" s="97"/>
      <c r="B70" s="634"/>
      <c r="C70" s="640"/>
      <c r="D70" s="24"/>
      <c r="E70" s="791"/>
      <c r="F70" s="791"/>
      <c r="G70" s="39"/>
      <c r="H70" s="64"/>
      <c r="I70" s="67"/>
      <c r="J70" s="37"/>
      <c r="K70" s="37"/>
      <c r="L70" s="642">
        <f>IF($L$66="","",$L$66)</f>
      </c>
      <c r="M70" s="37"/>
      <c r="N70" s="37"/>
      <c r="O70" s="37"/>
      <c r="P70" s="37"/>
      <c r="Q70" s="633"/>
      <c r="R70" s="59"/>
      <c r="S70" s="71"/>
      <c r="T70" s="71"/>
      <c r="U70" s="71"/>
      <c r="V70" s="71"/>
      <c r="W70" s="59"/>
      <c r="X70" s="59"/>
      <c r="Y70" s="59"/>
      <c r="Z70" s="59"/>
      <c r="AA70" s="59"/>
      <c r="AB70" s="97"/>
      <c r="AC70" s="97"/>
      <c r="AD70" s="59"/>
      <c r="AE70" s="59"/>
      <c r="AF70" s="634"/>
      <c r="AG70" s="8"/>
      <c r="AH70" s="8"/>
      <c r="AI70" s="8"/>
      <c r="AJ70" s="8"/>
      <c r="AK70" s="97"/>
      <c r="AL70" s="97"/>
      <c r="AM70" s="174"/>
      <c r="AY70" s="202"/>
      <c r="AZ70" s="195"/>
      <c r="BA70" s="195"/>
    </row>
    <row r="71" spans="1:53" ht="12.75">
      <c r="A71" s="97"/>
      <c r="B71" s="634"/>
      <c r="C71" s="18"/>
      <c r="D71" s="24"/>
      <c r="E71" s="791"/>
      <c r="F71" s="791"/>
      <c r="G71" s="39"/>
      <c r="H71" s="39"/>
      <c r="I71" s="53"/>
      <c r="J71" s="618"/>
      <c r="K71" s="57"/>
      <c r="L71" s="55"/>
      <c r="M71" s="617"/>
      <c r="N71" s="76"/>
      <c r="O71" s="67"/>
      <c r="P71" s="76"/>
      <c r="Q71" s="633"/>
      <c r="R71" s="59"/>
      <c r="S71" s="71"/>
      <c r="T71" s="71"/>
      <c r="U71" s="71"/>
      <c r="V71" s="71"/>
      <c r="W71" s="59"/>
      <c r="X71" s="59"/>
      <c r="Y71" s="59"/>
      <c r="Z71" s="59"/>
      <c r="AA71" s="59"/>
      <c r="AB71" s="97"/>
      <c r="AC71" s="97"/>
      <c r="AD71" s="59"/>
      <c r="AE71" s="59"/>
      <c r="AF71" s="634"/>
      <c r="AG71" s="62"/>
      <c r="AH71" s="62"/>
      <c r="AI71" s="62"/>
      <c r="AJ71" s="62"/>
      <c r="AK71" s="97"/>
      <c r="AL71" s="97"/>
      <c r="AM71" s="174"/>
      <c r="AY71" s="202"/>
      <c r="AZ71" s="195"/>
      <c r="BA71" s="195"/>
    </row>
    <row r="72" spans="1:53" ht="12.75">
      <c r="A72" s="97"/>
      <c r="B72" s="634"/>
      <c r="C72" s="628"/>
      <c r="D72" s="71"/>
      <c r="E72" s="71"/>
      <c r="F72" s="71"/>
      <c r="G72" s="71"/>
      <c r="H72" s="71"/>
      <c r="I72" s="645"/>
      <c r="J72" s="234"/>
      <c r="K72" s="71"/>
      <c r="L72" s="632"/>
      <c r="M72" s="632"/>
      <c r="N72" s="59"/>
      <c r="O72" s="59"/>
      <c r="P72" s="632"/>
      <c r="Q72" s="633"/>
      <c r="R72" s="646"/>
      <c r="S72" s="71"/>
      <c r="T72" s="71"/>
      <c r="U72" s="71"/>
      <c r="V72" s="71"/>
      <c r="W72" s="59"/>
      <c r="X72" s="59"/>
      <c r="Y72" s="59"/>
      <c r="Z72" s="59"/>
      <c r="AA72" s="59"/>
      <c r="AB72" s="97"/>
      <c r="AC72" s="97"/>
      <c r="AD72" s="59"/>
      <c r="AE72" s="59"/>
      <c r="AF72" s="634"/>
      <c r="AG72" s="8"/>
      <c r="AH72" s="8"/>
      <c r="AI72" s="8"/>
      <c r="AJ72" s="8"/>
      <c r="AK72" s="97"/>
      <c r="AL72" s="97"/>
      <c r="AM72" s="174"/>
      <c r="AY72" s="202"/>
      <c r="AZ72" s="195"/>
      <c r="BA72" s="195"/>
    </row>
    <row r="73" spans="1:53" ht="12.75">
      <c r="A73" s="97"/>
      <c r="B73" s="634"/>
      <c r="C73" s="634"/>
      <c r="D73" s="71"/>
      <c r="E73" s="71"/>
      <c r="F73" s="71"/>
      <c r="G73" s="71"/>
      <c r="H73" s="71"/>
      <c r="I73" s="71"/>
      <c r="J73" s="82"/>
      <c r="K73" s="71"/>
      <c r="L73" s="76"/>
      <c r="M73" s="59"/>
      <c r="N73" s="59"/>
      <c r="O73" s="59"/>
      <c r="P73" s="632"/>
      <c r="Q73" s="633"/>
      <c r="R73" s="71"/>
      <c r="S73" s="71"/>
      <c r="T73" s="71"/>
      <c r="U73" s="71"/>
      <c r="V73" s="71"/>
      <c r="W73" s="59"/>
      <c r="X73" s="59"/>
      <c r="Y73" s="59"/>
      <c r="Z73" s="59"/>
      <c r="AA73" s="59"/>
      <c r="AB73" s="97"/>
      <c r="AC73" s="97"/>
      <c r="AD73" s="59"/>
      <c r="AE73" s="59"/>
      <c r="AF73" s="59"/>
      <c r="AG73" s="62"/>
      <c r="AH73" s="62"/>
      <c r="AI73" s="62"/>
      <c r="AJ73" s="62"/>
      <c r="AK73" s="97"/>
      <c r="AL73" s="97"/>
      <c r="AM73" s="174"/>
      <c r="AY73" s="202"/>
      <c r="AZ73" s="195"/>
      <c r="BA73" s="195"/>
    </row>
    <row r="74" spans="1:53" ht="33.75" customHeight="1">
      <c r="A74" s="97"/>
      <c r="B74" s="634"/>
      <c r="C74" s="218"/>
      <c r="D74" s="647"/>
      <c r="E74" s="788"/>
      <c r="F74" s="788"/>
      <c r="G74" s="636"/>
      <c r="H74" s="637"/>
      <c r="I74" s="637"/>
      <c r="J74" s="637"/>
      <c r="K74" s="792" t="str">
        <f>L5</f>
        <v>Гкал</v>
      </c>
      <c r="L74" s="793"/>
      <c r="M74" s="648"/>
      <c r="N74" s="794"/>
      <c r="O74" s="795"/>
      <c r="P74" s="649"/>
      <c r="Q74" s="633"/>
      <c r="R74" s="796"/>
      <c r="S74" s="790"/>
      <c r="T74" s="177"/>
      <c r="U74" s="71"/>
      <c r="V74" s="71"/>
      <c r="W74" s="59"/>
      <c r="X74" s="59"/>
      <c r="Y74" s="59"/>
      <c r="Z74" s="59"/>
      <c r="AA74" s="59"/>
      <c r="AB74" s="97"/>
      <c r="AC74" s="97"/>
      <c r="AD74" s="59"/>
      <c r="AE74" s="59"/>
      <c r="AF74" s="59"/>
      <c r="AG74" s="8"/>
      <c r="AH74" s="8"/>
      <c r="AI74" s="8"/>
      <c r="AJ74" s="8"/>
      <c r="AK74" s="97"/>
      <c r="AL74" s="97"/>
      <c r="AM74" s="174"/>
      <c r="AY74" s="202"/>
      <c r="AZ74" s="195"/>
      <c r="BA74" s="195"/>
    </row>
    <row r="75" spans="1:53" ht="12.75">
      <c r="A75" s="97"/>
      <c r="B75" s="650"/>
      <c r="C75" s="98"/>
      <c r="D75" s="71"/>
      <c r="E75" s="791"/>
      <c r="F75" s="791"/>
      <c r="G75" s="234"/>
      <c r="H75" s="642"/>
      <c r="I75" s="651">
        <f>IF(OR(G76="",G75=""),"",(E76-E75)*24+G76-G75-H75)</f>
      </c>
      <c r="J75" s="37"/>
      <c r="K75" s="652"/>
      <c r="L75" s="43"/>
      <c r="M75" s="133"/>
      <c r="N75" s="58"/>
      <c r="O75" s="37"/>
      <c r="P75" s="133"/>
      <c r="Q75" s="633"/>
      <c r="R75" s="71"/>
      <c r="S75" s="71"/>
      <c r="T75" s="71"/>
      <c r="U75" s="71"/>
      <c r="V75" s="71"/>
      <c r="W75" s="59"/>
      <c r="X75" s="59"/>
      <c r="Y75" s="59"/>
      <c r="Z75" s="59"/>
      <c r="AA75" s="59"/>
      <c r="AB75" s="97"/>
      <c r="AC75" s="97"/>
      <c r="AD75" s="59"/>
      <c r="AE75" s="59"/>
      <c r="AF75" s="59"/>
      <c r="AG75" s="62"/>
      <c r="AH75" s="62"/>
      <c r="AI75" s="62"/>
      <c r="AJ75" s="62"/>
      <c r="AK75" s="97"/>
      <c r="AL75" s="97"/>
      <c r="AM75" s="174"/>
      <c r="AY75" s="202"/>
      <c r="AZ75" s="195"/>
      <c r="BA75" s="195"/>
    </row>
    <row r="76" spans="1:53" ht="12.75">
      <c r="A76" s="97"/>
      <c r="B76" s="634"/>
      <c r="C76" s="58"/>
      <c r="D76" s="71"/>
      <c r="E76" s="791"/>
      <c r="F76" s="791"/>
      <c r="G76" s="39"/>
      <c r="H76" s="71"/>
      <c r="I76" s="53">
        <f>IF(OR(G76="",G75=""),"",SUM((E76-E75)*24+G76-G75-H76,IF(AND(E66&gt;=E75,E67&lt;=E76),-I67,0),IF(AND(E68&gt;=E75,E69&lt;=E76),-I69,0)))</f>
      </c>
      <c r="J76" s="71"/>
      <c r="K76" s="653"/>
      <c r="L76" s="43"/>
      <c r="M76" s="198"/>
      <c r="N76" s="654"/>
      <c r="O76" s="655"/>
      <c r="P76" s="616"/>
      <c r="Q76" s="633"/>
      <c r="R76" s="59"/>
      <c r="S76" s="71"/>
      <c r="T76" s="71"/>
      <c r="U76" s="71"/>
      <c r="V76" s="71"/>
      <c r="W76" s="59"/>
      <c r="X76" s="59"/>
      <c r="Y76" s="59"/>
      <c r="Z76" s="59"/>
      <c r="AA76" s="59"/>
      <c r="AB76" s="97"/>
      <c r="AC76" s="97"/>
      <c r="AD76" s="59"/>
      <c r="AE76" s="59"/>
      <c r="AF76" s="59"/>
      <c r="AG76" s="122"/>
      <c r="AH76" s="59"/>
      <c r="AI76" s="79"/>
      <c r="AJ76" s="79"/>
      <c r="AK76" s="97"/>
      <c r="AL76" s="97"/>
      <c r="AM76" s="174"/>
      <c r="AY76" s="202"/>
      <c r="AZ76" s="195"/>
      <c r="BA76" s="195"/>
    </row>
    <row r="77" spans="1:53" ht="12.75">
      <c r="A77" s="97"/>
      <c r="B77" s="634"/>
      <c r="C77" s="634"/>
      <c r="D77" s="71"/>
      <c r="E77" s="71"/>
      <c r="F77" s="71"/>
      <c r="G77" s="71"/>
      <c r="H77" s="71"/>
      <c r="I77" s="71"/>
      <c r="J77" s="82"/>
      <c r="K77" s="71"/>
      <c r="L77" s="76"/>
      <c r="M77" s="59"/>
      <c r="N77" s="59"/>
      <c r="O77" s="59"/>
      <c r="P77" s="632"/>
      <c r="Q77" s="633"/>
      <c r="R77" s="71"/>
      <c r="S77" s="71"/>
      <c r="T77" s="71"/>
      <c r="U77" s="71"/>
      <c r="V77" s="71"/>
      <c r="W77" s="59"/>
      <c r="X77" s="59"/>
      <c r="Y77" s="59"/>
      <c r="Z77" s="59"/>
      <c r="AA77" s="59"/>
      <c r="AB77" s="97"/>
      <c r="AC77" s="97"/>
      <c r="AD77" s="59"/>
      <c r="AE77" s="59"/>
      <c r="AF77" s="59"/>
      <c r="AG77" s="98"/>
      <c r="AH77" s="59"/>
      <c r="AI77" s="79"/>
      <c r="AJ77" s="79"/>
      <c r="AK77" s="97"/>
      <c r="AL77" s="97"/>
      <c r="AM77" s="174"/>
      <c r="AY77" s="202"/>
      <c r="AZ77" s="195"/>
      <c r="BA77" s="195"/>
    </row>
    <row r="78" spans="1:53" ht="12.75">
      <c r="A78" s="97"/>
      <c r="B78" s="634"/>
      <c r="C78" s="634"/>
      <c r="D78" s="71"/>
      <c r="E78" s="656"/>
      <c r="F78" s="71"/>
      <c r="G78" s="71"/>
      <c r="H78" s="71"/>
      <c r="I78" s="59"/>
      <c r="J78" s="657"/>
      <c r="K78" s="71"/>
      <c r="L78" s="76"/>
      <c r="M78" s="59"/>
      <c r="N78" s="59"/>
      <c r="O78" s="59"/>
      <c r="P78" s="632"/>
      <c r="Q78" s="633"/>
      <c r="R78" s="71"/>
      <c r="S78" s="71"/>
      <c r="T78" s="71"/>
      <c r="U78" s="71"/>
      <c r="V78" s="71"/>
      <c r="W78" s="59"/>
      <c r="X78" s="59"/>
      <c r="Y78" s="59"/>
      <c r="Z78" s="59"/>
      <c r="AA78" s="59"/>
      <c r="AB78" s="97"/>
      <c r="AC78" s="97"/>
      <c r="AD78" s="59"/>
      <c r="AE78" s="59"/>
      <c r="AF78" s="59"/>
      <c r="AG78" s="8"/>
      <c r="AH78" s="71"/>
      <c r="AI78" s="71"/>
      <c r="AJ78" s="79"/>
      <c r="AK78" s="97"/>
      <c r="AL78" s="97"/>
      <c r="AM78" s="174"/>
      <c r="AY78" s="202"/>
      <c r="AZ78" s="195"/>
      <c r="BA78" s="195"/>
    </row>
    <row r="79" spans="1:53" ht="12.75">
      <c r="A79" s="88"/>
      <c r="B79" s="218"/>
      <c r="C79" s="47"/>
      <c r="D79" s="172"/>
      <c r="E79" s="219"/>
      <c r="F79" s="219"/>
      <c r="G79" s="172"/>
      <c r="H79" s="172"/>
      <c r="I79" s="17"/>
      <c r="J79" s="220"/>
      <c r="K79" s="221"/>
      <c r="L79" s="222"/>
      <c r="M79" s="223"/>
      <c r="N79" s="223"/>
      <c r="O79" s="223"/>
      <c r="P79" s="224"/>
      <c r="Q79" s="658"/>
      <c r="R79" s="647"/>
      <c r="S79" s="647"/>
      <c r="T79" s="647"/>
      <c r="U79" s="647"/>
      <c r="V79" s="647"/>
      <c r="W79" s="59"/>
      <c r="X79" s="59"/>
      <c r="Y79" s="59"/>
      <c r="Z79" s="59"/>
      <c r="AA79" s="59"/>
      <c r="AB79" s="97"/>
      <c r="AC79" s="97"/>
      <c r="AD79" s="59"/>
      <c r="AE79" s="59"/>
      <c r="AF79" s="59"/>
      <c r="AG79" s="78"/>
      <c r="AH79" s="59"/>
      <c r="AI79" s="79"/>
      <c r="AJ79" s="79"/>
      <c r="AK79" s="97"/>
      <c r="AL79" s="97"/>
      <c r="AM79" s="174"/>
      <c r="AY79" s="202"/>
      <c r="AZ79" s="195"/>
      <c r="BA79" s="195"/>
    </row>
    <row r="80" spans="1:53" ht="12.75">
      <c r="A80" s="88"/>
      <c r="B80" s="218"/>
      <c r="C80" s="225"/>
      <c r="D80" s="226"/>
      <c r="E80" s="227"/>
      <c r="F80" s="172"/>
      <c r="G80" s="172"/>
      <c r="H80" s="172"/>
      <c r="I80" s="228"/>
      <c r="J80" s="41"/>
      <c r="K80" s="229"/>
      <c r="L80" s="230"/>
      <c r="M80" s="223"/>
      <c r="N80" s="223"/>
      <c r="O80" s="223"/>
      <c r="P80" s="231"/>
      <c r="Q80" s="658"/>
      <c r="R80" s="234"/>
      <c r="S80" s="234"/>
      <c r="T80" s="234"/>
      <c r="U80" s="647"/>
      <c r="V80" s="647"/>
      <c r="W80" s="59"/>
      <c r="X80" s="59"/>
      <c r="Y80" s="59"/>
      <c r="Z80" s="59"/>
      <c r="AA80" s="59"/>
      <c r="AB80" s="97"/>
      <c r="AC80" s="97"/>
      <c r="AD80" s="59"/>
      <c r="AE80" s="59"/>
      <c r="AF80" s="59"/>
      <c r="AG80" s="97"/>
      <c r="AH80" s="97"/>
      <c r="AI80" s="110"/>
      <c r="AJ80" s="111"/>
      <c r="AK80" s="97"/>
      <c r="AL80" s="97"/>
      <c r="AM80" s="174"/>
      <c r="AY80" s="202"/>
      <c r="AZ80" s="195"/>
      <c r="BA80" s="195"/>
    </row>
    <row r="81" spans="1:53" ht="12.75">
      <c r="A81" s="88"/>
      <c r="B81" s="619"/>
      <c r="C81" s="620"/>
      <c r="D81" s="234"/>
      <c r="E81" s="226"/>
      <c r="F81" s="621"/>
      <c r="G81" s="621"/>
      <c r="H81" s="234"/>
      <c r="I81" s="622"/>
      <c r="J81" s="623"/>
      <c r="K81" s="624"/>
      <c r="L81" s="625"/>
      <c r="M81" s="226"/>
      <c r="N81" s="234"/>
      <c r="O81" s="226"/>
      <c r="P81" s="225"/>
      <c r="Q81" s="225"/>
      <c r="R81" s="223"/>
      <c r="S81" s="659"/>
      <c r="T81" s="659"/>
      <c r="U81" s="660"/>
      <c r="V81" s="661"/>
      <c r="W81" s="59"/>
      <c r="X81" s="59"/>
      <c r="Y81" s="59"/>
      <c r="Z81" s="59"/>
      <c r="AA81" s="59"/>
      <c r="AB81" s="97"/>
      <c r="AC81" s="97"/>
      <c r="AD81" s="59"/>
      <c r="AE81" s="59"/>
      <c r="AF81" s="59"/>
      <c r="AG81" s="662"/>
      <c r="AH81" s="9"/>
      <c r="AI81" s="783"/>
      <c r="AJ81" s="784"/>
      <c r="AK81" s="9"/>
      <c r="AL81" s="112"/>
      <c r="AM81" s="174"/>
      <c r="AY81" s="202"/>
      <c r="AZ81" s="195"/>
      <c r="BA81" s="195"/>
    </row>
    <row r="82" spans="1:53" ht="12.75">
      <c r="A82" s="88"/>
      <c r="B82" s="619"/>
      <c r="C82" s="620"/>
      <c r="D82" s="234"/>
      <c r="E82" s="226"/>
      <c r="F82" s="621"/>
      <c r="G82" s="621"/>
      <c r="H82" s="234"/>
      <c r="I82" s="622"/>
      <c r="J82" s="623"/>
      <c r="K82" s="624"/>
      <c r="L82" s="625"/>
      <c r="M82" s="226"/>
      <c r="N82" s="234"/>
      <c r="O82" s="226"/>
      <c r="P82" s="225"/>
      <c r="Q82" s="225"/>
      <c r="R82" s="223"/>
      <c r="S82" s="659"/>
      <c r="T82" s="659"/>
      <c r="U82" s="660"/>
      <c r="V82" s="661"/>
      <c r="W82" s="59"/>
      <c r="X82" s="59"/>
      <c r="Y82" s="59"/>
      <c r="Z82" s="59"/>
      <c r="AA82" s="59"/>
      <c r="AB82" s="97"/>
      <c r="AC82" s="97"/>
      <c r="AD82" s="59"/>
      <c r="AE82" s="59"/>
      <c r="AF82" s="59"/>
      <c r="AG82" s="662"/>
      <c r="AH82" s="9"/>
      <c r="AI82" s="626"/>
      <c r="AJ82" s="626"/>
      <c r="AK82" s="9"/>
      <c r="AL82" s="112"/>
      <c r="AM82" s="174"/>
      <c r="AY82" s="202"/>
      <c r="AZ82" s="195"/>
      <c r="BA82" s="195"/>
    </row>
    <row r="83" spans="1:53" ht="12.75">
      <c r="A83" s="88"/>
      <c r="B83" s="619"/>
      <c r="C83" s="620"/>
      <c r="D83" s="234"/>
      <c r="E83" s="226"/>
      <c r="F83" s="621"/>
      <c r="G83" s="621"/>
      <c r="H83" s="234"/>
      <c r="I83" s="622"/>
      <c r="J83" s="623"/>
      <c r="K83" s="624"/>
      <c r="L83" s="625"/>
      <c r="M83" s="226"/>
      <c r="N83" s="234"/>
      <c r="O83" s="226"/>
      <c r="P83" s="225"/>
      <c r="Q83" s="225"/>
      <c r="R83" s="223"/>
      <c r="S83" s="659"/>
      <c r="T83" s="659"/>
      <c r="U83" s="660"/>
      <c r="V83" s="661"/>
      <c r="W83" s="59"/>
      <c r="X83" s="59"/>
      <c r="Y83" s="59"/>
      <c r="Z83" s="59"/>
      <c r="AA83" s="59"/>
      <c r="AB83" s="97"/>
      <c r="AC83" s="97"/>
      <c r="AD83" s="59"/>
      <c r="AE83" s="59"/>
      <c r="AF83" s="59"/>
      <c r="AG83" s="119"/>
      <c r="AH83" s="120"/>
      <c r="AI83" s="174"/>
      <c r="AJ83" s="97"/>
      <c r="AK83" s="62"/>
      <c r="AL83" s="62"/>
      <c r="AM83" s="174"/>
      <c r="AY83" s="202"/>
      <c r="AZ83" s="195"/>
      <c r="BA83" s="195"/>
    </row>
    <row r="84" spans="1:53" ht="12.75">
      <c r="A84" s="88"/>
      <c r="B84" s="619"/>
      <c r="C84" s="620"/>
      <c r="D84" s="234"/>
      <c r="E84" s="226"/>
      <c r="F84" s="621"/>
      <c r="G84" s="621"/>
      <c r="H84" s="234"/>
      <c r="I84" s="622"/>
      <c r="J84" s="623"/>
      <c r="K84" s="624"/>
      <c r="L84" s="625"/>
      <c r="M84" s="226"/>
      <c r="N84" s="234"/>
      <c r="O84" s="226"/>
      <c r="P84" s="225"/>
      <c r="Q84" s="225"/>
      <c r="R84" s="223"/>
      <c r="S84" s="223"/>
      <c r="T84" s="659"/>
      <c r="U84" s="660"/>
      <c r="V84" s="661"/>
      <c r="W84" s="59"/>
      <c r="X84" s="59"/>
      <c r="Y84" s="59"/>
      <c r="Z84" s="59"/>
      <c r="AA84" s="59"/>
      <c r="AB84" s="97"/>
      <c r="AC84" s="97"/>
      <c r="AD84" s="59"/>
      <c r="AE84" s="59"/>
      <c r="AF84" s="59"/>
      <c r="AG84" s="113"/>
      <c r="AH84" s="110"/>
      <c r="AI84" s="232"/>
      <c r="AJ84" s="68"/>
      <c r="AK84" s="62"/>
      <c r="AL84" s="62"/>
      <c r="AM84" s="174"/>
      <c r="AY84" s="202"/>
      <c r="AZ84" s="195"/>
      <c r="BA84" s="195"/>
    </row>
    <row r="85" spans="1:53" ht="12.75">
      <c r="A85" s="88"/>
      <c r="B85" s="619"/>
      <c r="C85" s="620"/>
      <c r="D85" s="234"/>
      <c r="E85" s="226"/>
      <c r="F85" s="621"/>
      <c r="G85" s="621"/>
      <c r="H85" s="234"/>
      <c r="I85" s="622"/>
      <c r="J85" s="623"/>
      <c r="K85" s="624"/>
      <c r="L85" s="625"/>
      <c r="M85" s="226"/>
      <c r="N85" s="234"/>
      <c r="O85" s="226"/>
      <c r="P85" s="225"/>
      <c r="Q85" s="225"/>
      <c r="R85" s="223"/>
      <c r="S85" s="223"/>
      <c r="T85" s="659"/>
      <c r="U85" s="660"/>
      <c r="V85" s="661"/>
      <c r="W85" s="59"/>
      <c r="X85" s="59"/>
      <c r="Y85" s="59"/>
      <c r="Z85" s="59"/>
      <c r="AA85" s="59"/>
      <c r="AB85" s="97"/>
      <c r="AC85" s="97"/>
      <c r="AD85" s="59"/>
      <c r="AE85" s="59"/>
      <c r="AF85" s="59"/>
      <c r="AG85" s="19"/>
      <c r="AH85" s="78"/>
      <c r="AI85" s="663"/>
      <c r="AJ85" s="663"/>
      <c r="AK85" s="127"/>
      <c r="AL85" s="128"/>
      <c r="AM85" s="174"/>
      <c r="AY85" s="202"/>
      <c r="AZ85" s="195"/>
      <c r="BA85" s="195"/>
    </row>
    <row r="86" spans="1:53" ht="12.75">
      <c r="A86" s="88"/>
      <c r="B86" s="619"/>
      <c r="C86" s="620"/>
      <c r="D86" s="234"/>
      <c r="E86" s="226"/>
      <c r="F86" s="621"/>
      <c r="G86" s="621"/>
      <c r="H86" s="234"/>
      <c r="I86" s="622"/>
      <c r="J86" s="623"/>
      <c r="K86" s="624"/>
      <c r="L86" s="625"/>
      <c r="M86" s="226"/>
      <c r="N86" s="234"/>
      <c r="O86" s="226"/>
      <c r="P86" s="225"/>
      <c r="Q86" s="225"/>
      <c r="R86" s="223"/>
      <c r="S86" s="223"/>
      <c r="T86" s="659"/>
      <c r="U86" s="660"/>
      <c r="V86" s="661"/>
      <c r="W86" s="59"/>
      <c r="X86" s="59"/>
      <c r="Y86" s="59"/>
      <c r="Z86" s="59"/>
      <c r="AA86" s="59"/>
      <c r="AB86" s="97"/>
      <c r="AC86" s="97"/>
      <c r="AD86" s="59"/>
      <c r="AE86" s="59"/>
      <c r="AF86" s="59"/>
      <c r="AG86" s="19"/>
      <c r="AH86" s="78"/>
      <c r="AI86" s="663"/>
      <c r="AJ86" s="663"/>
      <c r="AK86" s="127"/>
      <c r="AL86" s="128"/>
      <c r="AM86" s="174"/>
      <c r="AY86" s="202"/>
      <c r="AZ86" s="195"/>
      <c r="BA86" s="195"/>
    </row>
    <row r="87" spans="1:53" ht="12.75">
      <c r="A87" s="88"/>
      <c r="B87" s="619"/>
      <c r="C87" s="620"/>
      <c r="D87" s="234"/>
      <c r="E87" s="226"/>
      <c r="F87" s="621"/>
      <c r="G87" s="621"/>
      <c r="H87" s="234"/>
      <c r="I87" s="622"/>
      <c r="J87" s="623"/>
      <c r="K87" s="624"/>
      <c r="L87" s="625"/>
      <c r="M87" s="226"/>
      <c r="N87" s="234"/>
      <c r="O87" s="226"/>
      <c r="P87" s="225"/>
      <c r="Q87" s="225"/>
      <c r="R87" s="223"/>
      <c r="S87" s="223"/>
      <c r="T87" s="659"/>
      <c r="U87" s="660"/>
      <c r="V87" s="661"/>
      <c r="W87" s="59"/>
      <c r="X87" s="59"/>
      <c r="Y87" s="59"/>
      <c r="Z87" s="59"/>
      <c r="AA87" s="59"/>
      <c r="AB87" s="97"/>
      <c r="AC87" s="97"/>
      <c r="AD87" s="59"/>
      <c r="AE87" s="59"/>
      <c r="AF87" s="59"/>
      <c r="AG87" s="19"/>
      <c r="AH87" s="78"/>
      <c r="AI87" s="663"/>
      <c r="AJ87" s="663"/>
      <c r="AK87" s="127"/>
      <c r="AL87" s="128"/>
      <c r="AM87" s="174"/>
      <c r="AY87" s="202"/>
      <c r="AZ87" s="195"/>
      <c r="BA87" s="195"/>
    </row>
    <row r="88" spans="1:53" ht="12.75">
      <c r="A88" s="88"/>
      <c r="B88" s="619"/>
      <c r="C88" s="620"/>
      <c r="D88" s="234"/>
      <c r="E88" s="226"/>
      <c r="F88" s="621"/>
      <c r="G88" s="621"/>
      <c r="H88" s="234"/>
      <c r="I88" s="622"/>
      <c r="J88" s="623"/>
      <c r="K88" s="624"/>
      <c r="L88" s="625"/>
      <c r="M88" s="226"/>
      <c r="N88" s="234"/>
      <c r="O88" s="226"/>
      <c r="P88" s="225"/>
      <c r="Q88" s="225"/>
      <c r="R88" s="223"/>
      <c r="S88" s="223"/>
      <c r="T88" s="659"/>
      <c r="U88" s="660"/>
      <c r="V88" s="661"/>
      <c r="W88" s="59"/>
      <c r="X88" s="59"/>
      <c r="Y88" s="59"/>
      <c r="Z88" s="59"/>
      <c r="AA88" s="59"/>
      <c r="AB88" s="97"/>
      <c r="AC88" s="97"/>
      <c r="AD88" s="59"/>
      <c r="AE88" s="59"/>
      <c r="AF88" s="59"/>
      <c r="AG88" s="19"/>
      <c r="AH88" s="78"/>
      <c r="AI88" s="663"/>
      <c r="AJ88" s="663"/>
      <c r="AK88" s="127"/>
      <c r="AL88" s="128"/>
      <c r="AM88" s="174"/>
      <c r="AY88" s="202"/>
      <c r="AZ88" s="195"/>
      <c r="BA88" s="195"/>
    </row>
    <row r="89" spans="1:53" ht="12.75">
      <c r="A89" s="88"/>
      <c r="B89" s="619"/>
      <c r="C89" s="620"/>
      <c r="D89" s="234"/>
      <c r="E89" s="226"/>
      <c r="F89" s="621"/>
      <c r="G89" s="621"/>
      <c r="H89" s="234"/>
      <c r="I89" s="622"/>
      <c r="J89" s="623"/>
      <c r="K89" s="624"/>
      <c r="L89" s="625"/>
      <c r="M89" s="226"/>
      <c r="N89" s="234"/>
      <c r="O89" s="226"/>
      <c r="P89" s="225"/>
      <c r="Q89" s="225"/>
      <c r="R89" s="223"/>
      <c r="S89" s="223"/>
      <c r="T89" s="659"/>
      <c r="U89" s="660"/>
      <c r="V89" s="661"/>
      <c r="W89" s="59"/>
      <c r="X89" s="59"/>
      <c r="Y89" s="59"/>
      <c r="Z89" s="59"/>
      <c r="AA89" s="59"/>
      <c r="AB89" s="97"/>
      <c r="AC89" s="97"/>
      <c r="AD89" s="59"/>
      <c r="AE89" s="59"/>
      <c r="AF89" s="59"/>
      <c r="AG89" s="19"/>
      <c r="AH89" s="78"/>
      <c r="AI89" s="663"/>
      <c r="AJ89" s="663"/>
      <c r="AK89" s="127"/>
      <c r="AL89" s="128"/>
      <c r="AM89" s="174"/>
      <c r="AY89" s="202"/>
      <c r="AZ89" s="195"/>
      <c r="BA89" s="195"/>
    </row>
    <row r="90" spans="1:53" ht="12.75">
      <c r="A90" s="88"/>
      <c r="B90" s="619"/>
      <c r="C90" s="620"/>
      <c r="D90" s="234"/>
      <c r="E90" s="226"/>
      <c r="F90" s="621"/>
      <c r="G90" s="621"/>
      <c r="H90" s="234"/>
      <c r="I90" s="622"/>
      <c r="J90" s="623"/>
      <c r="K90" s="624"/>
      <c r="L90" s="625"/>
      <c r="M90" s="226"/>
      <c r="N90" s="234"/>
      <c r="O90" s="226"/>
      <c r="P90" s="225"/>
      <c r="Q90" s="225"/>
      <c r="R90" s="223"/>
      <c r="S90" s="223"/>
      <c r="T90" s="659"/>
      <c r="U90" s="660"/>
      <c r="V90" s="661"/>
      <c r="W90" s="59"/>
      <c r="X90" s="59"/>
      <c r="Y90" s="59"/>
      <c r="Z90" s="59"/>
      <c r="AA90" s="59"/>
      <c r="AB90" s="97"/>
      <c r="AC90" s="97"/>
      <c r="AD90" s="59"/>
      <c r="AE90" s="59"/>
      <c r="AF90" s="59"/>
      <c r="AG90" s="19"/>
      <c r="AH90" s="78"/>
      <c r="AI90" s="663"/>
      <c r="AJ90" s="663"/>
      <c r="AK90" s="127"/>
      <c r="AL90" s="128"/>
      <c r="AM90" s="174"/>
      <c r="AY90" s="202"/>
      <c r="AZ90" s="195"/>
      <c r="BA90" s="195"/>
    </row>
    <row r="91" spans="1:53" ht="12.75">
      <c r="A91" s="88"/>
      <c r="B91" s="619"/>
      <c r="C91" s="620"/>
      <c r="D91" s="234"/>
      <c r="E91" s="226"/>
      <c r="F91" s="621"/>
      <c r="G91" s="621"/>
      <c r="H91" s="234"/>
      <c r="I91" s="622"/>
      <c r="J91" s="623"/>
      <c r="K91" s="624"/>
      <c r="L91" s="625"/>
      <c r="M91" s="226"/>
      <c r="N91" s="234"/>
      <c r="O91" s="226"/>
      <c r="P91" s="225"/>
      <c r="Q91" s="225"/>
      <c r="R91" s="223"/>
      <c r="S91" s="223"/>
      <c r="T91" s="659"/>
      <c r="U91" s="660"/>
      <c r="V91" s="661"/>
      <c r="W91" s="59"/>
      <c r="X91" s="59"/>
      <c r="Y91" s="59"/>
      <c r="Z91" s="59"/>
      <c r="AA91" s="59"/>
      <c r="AB91" s="97"/>
      <c r="AC91" s="97"/>
      <c r="AD91" s="59"/>
      <c r="AE91" s="59"/>
      <c r="AF91" s="59"/>
      <c r="AG91" s="19"/>
      <c r="AH91" s="78"/>
      <c r="AI91" s="663"/>
      <c r="AJ91" s="663"/>
      <c r="AK91" s="127"/>
      <c r="AL91" s="128"/>
      <c r="AM91" s="174"/>
      <c r="AY91" s="202"/>
      <c r="AZ91" s="195"/>
      <c r="BA91" s="195"/>
    </row>
    <row r="92" spans="3:53" ht="12.75">
      <c r="C92" s="24"/>
      <c r="D92" s="39"/>
      <c r="E92" s="24"/>
      <c r="F92" s="39"/>
      <c r="G92" s="234"/>
      <c r="H92" s="235"/>
      <c r="I92" s="90"/>
      <c r="J92" s="236"/>
      <c r="K92" s="90"/>
      <c r="L92" s="121"/>
      <c r="M92" s="77"/>
      <c r="AH92" s="202"/>
      <c r="AI92" s="233"/>
      <c r="AJ92" s="233"/>
      <c r="AK92" s="127"/>
      <c r="AY92" s="202"/>
      <c r="AZ92" s="195"/>
      <c r="BA92" s="195"/>
    </row>
    <row r="93" spans="3:53" ht="12.75">
      <c r="C93" s="237"/>
      <c r="D93" s="90"/>
      <c r="E93" s="90"/>
      <c r="F93" s="90"/>
      <c r="G93" s="90"/>
      <c r="H93" s="90"/>
      <c r="I93" s="90"/>
      <c r="J93" s="236"/>
      <c r="K93" s="90"/>
      <c r="L93" s="121"/>
      <c r="M93" s="77"/>
      <c r="AH93" s="202"/>
      <c r="AI93" s="233"/>
      <c r="AJ93" s="233"/>
      <c r="AK93" s="127"/>
      <c r="AY93" s="202"/>
      <c r="AZ93" s="195"/>
      <c r="BA93" s="195"/>
    </row>
    <row r="94" spans="3:53" ht="12.75">
      <c r="C94" s="237"/>
      <c r="D94" s="90"/>
      <c r="E94" s="90"/>
      <c r="F94" s="90"/>
      <c r="G94" s="90"/>
      <c r="H94" s="90"/>
      <c r="I94" s="90"/>
      <c r="J94" s="236"/>
      <c r="K94" s="90"/>
      <c r="L94" s="121"/>
      <c r="M94" s="77"/>
      <c r="AH94" s="202"/>
      <c r="AI94" s="233"/>
      <c r="AJ94" s="233"/>
      <c r="AK94" s="127"/>
      <c r="AY94" s="202"/>
      <c r="AZ94" s="195"/>
      <c r="BA94" s="195"/>
    </row>
    <row r="95" spans="34:53" ht="12.75">
      <c r="AH95" s="202"/>
      <c r="AI95" s="233"/>
      <c r="AJ95" s="233"/>
      <c r="AK95" s="127"/>
      <c r="AY95" s="202"/>
      <c r="AZ95" s="195"/>
      <c r="BA95" s="195"/>
    </row>
    <row r="96" spans="34:53" ht="12.75">
      <c r="AH96" s="202"/>
      <c r="AI96" s="233"/>
      <c r="AJ96" s="233"/>
      <c r="AK96" s="127"/>
      <c r="AY96" s="202"/>
      <c r="AZ96" s="195"/>
      <c r="BA96" s="195"/>
    </row>
    <row r="97" spans="34:53" ht="12.75">
      <c r="AH97" s="202"/>
      <c r="AI97" s="233"/>
      <c r="AJ97" s="233"/>
      <c r="AK97" s="127"/>
      <c r="AY97" s="202"/>
      <c r="AZ97" s="195"/>
      <c r="BA97" s="195"/>
    </row>
    <row r="98" spans="34:53" ht="12.75">
      <c r="AH98" s="202"/>
      <c r="AI98" s="233"/>
      <c r="AJ98" s="233"/>
      <c r="AK98" s="127"/>
      <c r="AY98" s="202"/>
      <c r="AZ98" s="195"/>
      <c r="BA98" s="195"/>
    </row>
    <row r="99" spans="34:53" ht="12.75">
      <c r="AH99" s="202"/>
      <c r="AI99" s="233"/>
      <c r="AJ99" s="233"/>
      <c r="AK99" s="127"/>
      <c r="AY99" s="202"/>
      <c r="AZ99" s="195"/>
      <c r="BA99" s="195"/>
    </row>
    <row r="100" spans="34:53" ht="12.75">
      <c r="AH100" s="202"/>
      <c r="AI100" s="233"/>
      <c r="AJ100" s="233"/>
      <c r="AK100" s="127"/>
      <c r="AY100" s="202"/>
      <c r="AZ100" s="195"/>
      <c r="BA100" s="195"/>
    </row>
    <row r="101" spans="34:53" ht="12.75">
      <c r="AH101" s="202"/>
      <c r="AI101" s="233"/>
      <c r="AJ101" s="233"/>
      <c r="AK101" s="127"/>
      <c r="AY101" s="202"/>
      <c r="AZ101" s="195"/>
      <c r="BA101" s="195"/>
    </row>
    <row r="102" spans="2:53" ht="12.75">
      <c r="B102" s="225"/>
      <c r="AH102" s="202"/>
      <c r="AI102" s="233"/>
      <c r="AJ102" s="233"/>
      <c r="AK102" s="127"/>
      <c r="AY102" s="202"/>
      <c r="AZ102" s="195"/>
      <c r="BA102" s="195"/>
    </row>
    <row r="103" spans="34:53" ht="12.75">
      <c r="AH103" s="202"/>
      <c r="AI103" s="233"/>
      <c r="AJ103" s="233"/>
      <c r="AK103" s="127"/>
      <c r="AY103" s="202"/>
      <c r="AZ103" s="195"/>
      <c r="BA103" s="195"/>
    </row>
    <row r="104" spans="34:53" ht="12.75">
      <c r="AH104" s="202"/>
      <c r="AI104" s="233"/>
      <c r="AJ104" s="233"/>
      <c r="AK104" s="127"/>
      <c r="AY104" s="202"/>
      <c r="AZ104" s="195"/>
      <c r="BA104" s="195"/>
    </row>
    <row r="105" spans="34:53" ht="12.75">
      <c r="AH105" s="202"/>
      <c r="AI105" s="233"/>
      <c r="AJ105" s="233"/>
      <c r="AK105" s="127"/>
      <c r="AY105" s="202"/>
      <c r="AZ105" s="195"/>
      <c r="BA105" s="195"/>
    </row>
    <row r="106" spans="34:53" ht="12.75">
      <c r="AH106" s="202"/>
      <c r="AI106" s="233"/>
      <c r="AJ106" s="233"/>
      <c r="AK106" s="127"/>
      <c r="AY106" s="202"/>
      <c r="AZ106" s="195"/>
      <c r="BA106" s="195"/>
    </row>
    <row r="107" spans="34:53" ht="12.75">
      <c r="AH107" s="202"/>
      <c r="AI107" s="233"/>
      <c r="AJ107" s="233"/>
      <c r="AK107" s="127"/>
      <c r="AY107" s="202"/>
      <c r="AZ107" s="195"/>
      <c r="BA107" s="195"/>
    </row>
    <row r="108" spans="34:53" ht="12.75">
      <c r="AH108" s="202"/>
      <c r="AI108" s="233"/>
      <c r="AJ108" s="233"/>
      <c r="AK108" s="127"/>
      <c r="AY108" s="202"/>
      <c r="AZ108" s="195"/>
      <c r="BA108" s="195"/>
    </row>
    <row r="109" spans="34:53" ht="12.75">
      <c r="AH109" s="202"/>
      <c r="AI109" s="233"/>
      <c r="AJ109" s="233"/>
      <c r="AK109" s="127"/>
      <c r="AY109" s="202"/>
      <c r="AZ109" s="195"/>
      <c r="BA109" s="195"/>
    </row>
    <row r="110" spans="34:53" ht="12.75">
      <c r="AH110" s="202"/>
      <c r="AI110" s="233"/>
      <c r="AJ110" s="233"/>
      <c r="AK110" s="127"/>
      <c r="AY110" s="202"/>
      <c r="AZ110" s="195"/>
      <c r="BA110" s="195"/>
    </row>
    <row r="111" spans="2:53" ht="12.75">
      <c r="B111" s="237"/>
      <c r="C111" s="237"/>
      <c r="D111" s="90"/>
      <c r="E111" s="90"/>
      <c r="AH111" s="202"/>
      <c r="AI111" s="233"/>
      <c r="AJ111" s="233"/>
      <c r="AK111" s="127"/>
      <c r="AY111" s="202"/>
      <c r="AZ111" s="195"/>
      <c r="BA111" s="195"/>
    </row>
    <row r="112" spans="2:53" ht="12.75">
      <c r="B112" s="237"/>
      <c r="C112" s="24"/>
      <c r="D112" s="90"/>
      <c r="E112" s="90"/>
      <c r="AH112" s="202"/>
      <c r="AI112" s="233"/>
      <c r="AJ112" s="233"/>
      <c r="AK112" s="127"/>
      <c r="AY112" s="202"/>
      <c r="AZ112" s="195"/>
      <c r="BA112" s="195"/>
    </row>
    <row r="113" spans="2:53" ht="12.75">
      <c r="B113" s="237"/>
      <c r="C113" s="237"/>
      <c r="D113" s="90"/>
      <c r="E113" s="90"/>
      <c r="AH113" s="202"/>
      <c r="AI113" s="233"/>
      <c r="AJ113" s="233"/>
      <c r="AK113" s="127"/>
      <c r="AY113" s="202"/>
      <c r="AZ113" s="195"/>
      <c r="BA113" s="195"/>
    </row>
    <row r="114" spans="2:53" ht="12.75">
      <c r="B114" s="237"/>
      <c r="C114" s="237"/>
      <c r="D114" s="90"/>
      <c r="E114" s="90"/>
      <c r="P114" s="238"/>
      <c r="AH114" s="202"/>
      <c r="AI114" s="233"/>
      <c r="AJ114" s="233"/>
      <c r="AK114" s="127"/>
      <c r="AY114" s="202"/>
      <c r="AZ114" s="195"/>
      <c r="BA114" s="195"/>
    </row>
    <row r="115" spans="16:53" ht="12.75">
      <c r="P115" s="238"/>
      <c r="AH115" s="202"/>
      <c r="AI115" s="233"/>
      <c r="AJ115" s="233"/>
      <c r="AK115" s="127"/>
      <c r="AY115" s="202"/>
      <c r="AZ115" s="195"/>
      <c r="BA115" s="195"/>
    </row>
    <row r="116" spans="34:53" ht="12.75">
      <c r="AH116" s="202"/>
      <c r="AI116" s="233"/>
      <c r="AJ116" s="233"/>
      <c r="AK116" s="127"/>
      <c r="AY116" s="202"/>
      <c r="AZ116" s="195"/>
      <c r="BA116" s="195"/>
    </row>
    <row r="117" spans="34:53" ht="12.75">
      <c r="AH117" s="202"/>
      <c r="AI117" s="233"/>
      <c r="AJ117" s="233"/>
      <c r="AK117" s="127"/>
      <c r="AY117" s="202"/>
      <c r="AZ117" s="195"/>
      <c r="BA117" s="195"/>
    </row>
    <row r="118" spans="34:53" ht="12.75">
      <c r="AH118" s="202"/>
      <c r="AI118" s="233"/>
      <c r="AJ118" s="233"/>
      <c r="AK118" s="127"/>
      <c r="AY118" s="202"/>
      <c r="AZ118" s="195"/>
      <c r="BA118" s="195"/>
    </row>
    <row r="119" spans="34:53" ht="12.75">
      <c r="AH119" s="202"/>
      <c r="AI119" s="233"/>
      <c r="AJ119" s="233"/>
      <c r="AK119" s="127"/>
      <c r="AY119" s="202"/>
      <c r="AZ119" s="195"/>
      <c r="BA119" s="195"/>
    </row>
    <row r="120" spans="34:53" ht="12.75">
      <c r="AH120" s="202"/>
      <c r="AI120" s="233"/>
      <c r="AJ120" s="233"/>
      <c r="AK120" s="127"/>
      <c r="AY120" s="202"/>
      <c r="AZ120" s="195"/>
      <c r="BA120" s="195"/>
    </row>
    <row r="121" spans="34:53" ht="12.75">
      <c r="AH121" s="202"/>
      <c r="AI121" s="233"/>
      <c r="AJ121" s="233"/>
      <c r="AK121" s="127"/>
      <c r="AY121" s="202"/>
      <c r="AZ121" s="195"/>
      <c r="BA121" s="195"/>
    </row>
    <row r="122" spans="34:53" ht="12.75">
      <c r="AH122" s="202"/>
      <c r="AI122" s="233"/>
      <c r="AJ122" s="233"/>
      <c r="AK122" s="127"/>
      <c r="AY122" s="202"/>
      <c r="AZ122" s="195"/>
      <c r="BA122" s="195"/>
    </row>
    <row r="123" spans="34:53" ht="12.75">
      <c r="AH123" s="202"/>
      <c r="AI123" s="233"/>
      <c r="AJ123" s="233"/>
      <c r="AK123" s="127"/>
      <c r="AY123" s="202"/>
      <c r="AZ123" s="195"/>
      <c r="BA123" s="195"/>
    </row>
    <row r="124" spans="34:53" ht="12.75">
      <c r="AH124" s="202"/>
      <c r="AI124" s="233"/>
      <c r="AJ124" s="233"/>
      <c r="AK124" s="127"/>
      <c r="AY124" s="202"/>
      <c r="AZ124" s="195"/>
      <c r="BA124" s="195"/>
    </row>
    <row r="125" spans="34:53" ht="12.75">
      <c r="AH125" s="202"/>
      <c r="AI125" s="233"/>
      <c r="AJ125" s="233"/>
      <c r="AK125" s="127"/>
      <c r="AY125" s="202"/>
      <c r="AZ125" s="195"/>
      <c r="BA125" s="195"/>
    </row>
    <row r="126" spans="34:53" ht="12.75">
      <c r="AH126" s="202"/>
      <c r="AI126" s="233"/>
      <c r="AJ126" s="233"/>
      <c r="AK126" s="127"/>
      <c r="AY126" s="202"/>
      <c r="AZ126" s="195"/>
      <c r="BA126" s="195"/>
    </row>
    <row r="127" spans="34:53" ht="12.75">
      <c r="AH127" s="202"/>
      <c r="AI127" s="233"/>
      <c r="AJ127" s="233"/>
      <c r="AK127" s="127"/>
      <c r="AY127" s="202"/>
      <c r="AZ127" s="195"/>
      <c r="BA127" s="195"/>
    </row>
    <row r="128" spans="34:53" ht="12.75">
      <c r="AH128" s="202"/>
      <c r="AI128" s="233"/>
      <c r="AJ128" s="233"/>
      <c r="AK128" s="127"/>
      <c r="AY128" s="202"/>
      <c r="AZ128" s="195"/>
      <c r="BA128" s="195"/>
    </row>
    <row r="129" spans="34:53" ht="12.75">
      <c r="AH129" s="202"/>
      <c r="AI129" s="233"/>
      <c r="AJ129" s="233"/>
      <c r="AK129" s="127"/>
      <c r="AY129" s="202"/>
      <c r="AZ129" s="195"/>
      <c r="BA129" s="195"/>
    </row>
    <row r="130" spans="34:53" ht="12.75">
      <c r="AH130" s="202"/>
      <c r="AI130" s="233"/>
      <c r="AJ130" s="233"/>
      <c r="AK130" s="127"/>
      <c r="AY130" s="202"/>
      <c r="AZ130" s="195"/>
      <c r="BA130" s="195"/>
    </row>
    <row r="131" spans="34:53" ht="12.75">
      <c r="AH131" s="202"/>
      <c r="AI131" s="233"/>
      <c r="AJ131" s="233"/>
      <c r="AK131" s="127"/>
      <c r="AY131" s="202"/>
      <c r="AZ131" s="195"/>
      <c r="BA131" s="195"/>
    </row>
    <row r="132" spans="34:53" ht="12.75">
      <c r="AH132" s="202"/>
      <c r="AI132" s="233"/>
      <c r="AJ132" s="233"/>
      <c r="AK132" s="127"/>
      <c r="AY132" s="202"/>
      <c r="AZ132" s="195"/>
      <c r="BA132" s="195"/>
    </row>
    <row r="133" spans="34:53" ht="12.75">
      <c r="AH133" s="125"/>
      <c r="AI133" s="239"/>
      <c r="AJ133" s="239"/>
      <c r="AK133" s="127"/>
      <c r="AY133" s="202"/>
      <c r="AZ133" s="195"/>
      <c r="BA133" s="195"/>
    </row>
    <row r="134" spans="34:53" ht="12.75">
      <c r="AH134" s="202"/>
      <c r="AI134" s="233"/>
      <c r="AJ134" s="233"/>
      <c r="AK134" s="127"/>
      <c r="AY134" s="202"/>
      <c r="AZ134" s="195"/>
      <c r="BA134" s="195"/>
    </row>
    <row r="135" spans="34:53" ht="12.75">
      <c r="AH135" s="202"/>
      <c r="AI135" s="233"/>
      <c r="AJ135" s="233"/>
      <c r="AK135" s="127"/>
      <c r="AY135" s="202"/>
      <c r="AZ135" s="195"/>
      <c r="BA135" s="195"/>
    </row>
    <row r="136" spans="34:53" ht="12.75">
      <c r="AH136" s="202"/>
      <c r="AI136" s="233"/>
      <c r="AJ136" s="233"/>
      <c r="AK136" s="127"/>
      <c r="AY136" s="202"/>
      <c r="AZ136" s="195"/>
      <c r="BA136" s="195"/>
    </row>
    <row r="137" spans="34:53" ht="12.75">
      <c r="AH137" s="202"/>
      <c r="AI137" s="233"/>
      <c r="AJ137" s="233"/>
      <c r="AK137" s="127"/>
      <c r="AY137" s="202"/>
      <c r="AZ137" s="195"/>
      <c r="BA137" s="195"/>
    </row>
    <row r="138" spans="34:53" ht="12.75">
      <c r="AH138" s="202"/>
      <c r="AI138" s="233"/>
      <c r="AJ138" s="233"/>
      <c r="AK138" s="127"/>
      <c r="AY138" s="202"/>
      <c r="AZ138" s="195"/>
      <c r="BA138" s="195"/>
    </row>
    <row r="139" spans="34:53" ht="12.75">
      <c r="AH139" s="202"/>
      <c r="AI139" s="233"/>
      <c r="AJ139" s="233"/>
      <c r="AK139" s="127"/>
      <c r="AY139" s="202"/>
      <c r="AZ139" s="195"/>
      <c r="BA139" s="195"/>
    </row>
    <row r="140" spans="34:53" ht="12.75">
      <c r="AH140" s="202"/>
      <c r="AI140" s="233"/>
      <c r="AJ140" s="233"/>
      <c r="AK140" s="127"/>
      <c r="AZ140" s="195"/>
      <c r="BA140" s="195"/>
    </row>
    <row r="141" spans="34:53" ht="12.75">
      <c r="AH141" s="202"/>
      <c r="AI141" s="233"/>
      <c r="AJ141" s="233"/>
      <c r="AK141" s="127"/>
      <c r="AZ141" s="195"/>
      <c r="BA141" s="195"/>
    </row>
    <row r="142" spans="34:53" ht="12.75">
      <c r="AH142" s="202"/>
      <c r="AI142" s="233"/>
      <c r="AJ142" s="233"/>
      <c r="AK142" s="127"/>
      <c r="AZ142" s="195"/>
      <c r="BA142" s="195"/>
    </row>
    <row r="143" spans="34:53" ht="12.75">
      <c r="AH143" s="202"/>
      <c r="AI143" s="233"/>
      <c r="AJ143" s="233"/>
      <c r="AK143" s="127"/>
      <c r="AZ143" s="195"/>
      <c r="BA143" s="195"/>
    </row>
    <row r="144" spans="34:53" ht="12.75">
      <c r="AH144" s="202"/>
      <c r="AI144" s="233"/>
      <c r="AJ144" s="233"/>
      <c r="AK144" s="127"/>
      <c r="AZ144" s="195"/>
      <c r="BA144" s="195"/>
    </row>
    <row r="145" spans="34:53" ht="12.75">
      <c r="AH145" s="202"/>
      <c r="AI145" s="233"/>
      <c r="AJ145" s="233"/>
      <c r="AK145" s="127"/>
      <c r="AZ145" s="195"/>
      <c r="BA145" s="195"/>
    </row>
    <row r="146" spans="34:53" ht="12.75">
      <c r="AH146" s="202"/>
      <c r="AI146" s="233"/>
      <c r="AJ146" s="233"/>
      <c r="AK146" s="127"/>
      <c r="AZ146" s="195"/>
      <c r="BA146" s="195"/>
    </row>
    <row r="147" spans="34:53" ht="12.75">
      <c r="AH147" s="202"/>
      <c r="AI147" s="233"/>
      <c r="AJ147" s="233"/>
      <c r="AK147" s="127"/>
      <c r="AZ147" s="195"/>
      <c r="BA147" s="195"/>
    </row>
    <row r="148" spans="34:53" ht="12.75">
      <c r="AH148" s="202"/>
      <c r="AI148" s="233"/>
      <c r="AJ148" s="233"/>
      <c r="AK148" s="127"/>
      <c r="AZ148" s="195"/>
      <c r="BA148" s="195"/>
    </row>
    <row r="149" spans="34:53" ht="12.75">
      <c r="AH149" s="202"/>
      <c r="AI149" s="233"/>
      <c r="AJ149" s="233"/>
      <c r="AK149" s="127"/>
      <c r="AZ149" s="195"/>
      <c r="BA149" s="195"/>
    </row>
    <row r="150" spans="34:53" ht="12.75">
      <c r="AH150" s="202"/>
      <c r="AI150" s="233"/>
      <c r="AJ150" s="233"/>
      <c r="AK150" s="127"/>
      <c r="AZ150" s="195"/>
      <c r="BA150" s="195"/>
    </row>
    <row r="151" spans="34:53" ht="12.75">
      <c r="AH151" s="202"/>
      <c r="AI151" s="233"/>
      <c r="AJ151" s="233"/>
      <c r="AK151" s="127"/>
      <c r="AZ151" s="195"/>
      <c r="BA151" s="195"/>
    </row>
    <row r="152" spans="34:53" ht="12.75">
      <c r="AH152" s="202"/>
      <c r="AI152" s="233"/>
      <c r="AJ152" s="233"/>
      <c r="AK152" s="127"/>
      <c r="AZ152" s="195"/>
      <c r="BA152" s="195"/>
    </row>
    <row r="153" spans="34:53" ht="12.75">
      <c r="AH153" s="202"/>
      <c r="AI153" s="233"/>
      <c r="AJ153" s="233"/>
      <c r="AZ153" s="195"/>
      <c r="BA153" s="195"/>
    </row>
    <row r="154" spans="34:53" ht="12.75">
      <c r="AH154" s="202"/>
      <c r="AI154" s="233"/>
      <c r="AJ154" s="233"/>
      <c r="AZ154" s="195"/>
      <c r="BA154" s="195"/>
    </row>
    <row r="155" spans="34:53" ht="12.75">
      <c r="AH155" s="202"/>
      <c r="AI155" s="233"/>
      <c r="AJ155" s="233"/>
      <c r="AZ155" s="195"/>
      <c r="BA155" s="195"/>
    </row>
    <row r="156" spans="34:53" ht="12.75">
      <c r="AH156" s="202"/>
      <c r="AI156" s="233"/>
      <c r="AJ156" s="233"/>
      <c r="AZ156" s="195"/>
      <c r="BA156" s="195"/>
    </row>
    <row r="157" spans="34:53" ht="12.75">
      <c r="AH157" s="202"/>
      <c r="AI157" s="233"/>
      <c r="AJ157" s="233"/>
      <c r="AZ157" s="195"/>
      <c r="BA157" s="195"/>
    </row>
    <row r="158" spans="34:53" ht="12.75">
      <c r="AH158" s="202"/>
      <c r="AI158" s="233"/>
      <c r="AJ158" s="233"/>
      <c r="AZ158" s="195"/>
      <c r="BA158" s="195"/>
    </row>
    <row r="159" spans="3:53" ht="12.75">
      <c r="C159" s="240"/>
      <c r="AH159" s="202"/>
      <c r="AI159" s="233"/>
      <c r="AJ159" s="233"/>
      <c r="AZ159" s="195"/>
      <c r="BA159" s="195"/>
    </row>
    <row r="160" spans="3:53" ht="12.75">
      <c r="C160" s="211"/>
      <c r="AH160" s="202"/>
      <c r="AI160" s="233"/>
      <c r="AJ160" s="233"/>
      <c r="AZ160" s="195"/>
      <c r="BA160" s="195"/>
    </row>
    <row r="161" spans="3:53" ht="12.75">
      <c r="C161" s="201"/>
      <c r="AH161" s="202"/>
      <c r="AI161" s="233"/>
      <c r="AJ161" s="233"/>
      <c r="AZ161" s="195"/>
      <c r="BA161" s="195"/>
    </row>
    <row r="162" spans="3:53" ht="12.75">
      <c r="C162" s="211"/>
      <c r="AH162" s="202"/>
      <c r="AI162" s="233"/>
      <c r="AJ162" s="233"/>
      <c r="AZ162" s="195"/>
      <c r="BA162" s="195"/>
    </row>
    <row r="163" spans="3:53" ht="12.75">
      <c r="C163" s="241"/>
      <c r="AH163" s="202"/>
      <c r="AI163" s="233"/>
      <c r="AJ163" s="233"/>
      <c r="AZ163" s="195"/>
      <c r="BA163" s="195"/>
    </row>
    <row r="164" spans="3:53" ht="12.75">
      <c r="C164" s="207"/>
      <c r="AH164" s="202"/>
      <c r="AI164" s="233"/>
      <c r="AJ164" s="233"/>
      <c r="AZ164" s="195"/>
      <c r="BA164" s="195"/>
    </row>
    <row r="165" spans="34:53" ht="12.75">
      <c r="AH165" s="202"/>
      <c r="AI165" s="233"/>
      <c r="AJ165" s="233"/>
      <c r="AZ165" s="195"/>
      <c r="BA165" s="195"/>
    </row>
    <row r="166" spans="6:53" ht="12.75">
      <c r="F166" s="191"/>
      <c r="G166" s="99"/>
      <c r="H166" s="242"/>
      <c r="AH166" s="202"/>
      <c r="AI166" s="233"/>
      <c r="AJ166" s="233"/>
      <c r="AZ166" s="195"/>
      <c r="BA166" s="195"/>
    </row>
    <row r="167" spans="34:53" ht="12.75">
      <c r="AH167" s="202"/>
      <c r="AI167" s="233"/>
      <c r="AJ167" s="233"/>
      <c r="AZ167" s="195"/>
      <c r="BA167" s="195"/>
    </row>
    <row r="168" spans="34:53" ht="12.75">
      <c r="AH168" s="202"/>
      <c r="AI168" s="233"/>
      <c r="AJ168" s="233"/>
      <c r="AZ168" s="195"/>
      <c r="BA168" s="195"/>
    </row>
    <row r="169" spans="34:53" ht="12.75">
      <c r="AH169" s="202"/>
      <c r="AI169" s="233"/>
      <c r="AJ169" s="233"/>
      <c r="AZ169" s="195"/>
      <c r="BA169" s="195"/>
    </row>
    <row r="170" spans="34:53" ht="12.75">
      <c r="AH170" s="202"/>
      <c r="AI170" s="233"/>
      <c r="AJ170" s="233"/>
      <c r="AZ170" s="195"/>
      <c r="BA170" s="195"/>
    </row>
    <row r="171" spans="34:53" ht="12.75">
      <c r="AH171" s="202"/>
      <c r="AI171" s="233"/>
      <c r="AJ171" s="233"/>
      <c r="AZ171" s="195"/>
      <c r="BA171" s="195"/>
    </row>
    <row r="172" spans="34:53" ht="12.75">
      <c r="AH172" s="202"/>
      <c r="AI172" s="233"/>
      <c r="AJ172" s="233"/>
      <c r="AZ172" s="195"/>
      <c r="BA172" s="195"/>
    </row>
    <row r="173" spans="34:53" ht="12.75">
      <c r="AH173" s="202"/>
      <c r="AI173" s="233"/>
      <c r="AJ173" s="233"/>
      <c r="AZ173" s="195"/>
      <c r="BA173" s="195"/>
    </row>
    <row r="174" spans="34:53" ht="12.75">
      <c r="AH174" s="202"/>
      <c r="AZ174" s="195"/>
      <c r="BA174" s="195"/>
    </row>
    <row r="175" spans="34:53" ht="12.75">
      <c r="AH175" s="202"/>
      <c r="AZ175" s="195"/>
      <c r="BA175" s="195"/>
    </row>
    <row r="176" spans="34:53" ht="12.75">
      <c r="AH176" s="202"/>
      <c r="AZ176" s="195"/>
      <c r="BA176" s="195"/>
    </row>
    <row r="177" spans="34:53" ht="12.75">
      <c r="AH177" s="202"/>
      <c r="AZ177" s="195"/>
      <c r="BA177" s="195"/>
    </row>
    <row r="178" spans="34:53" ht="12.75">
      <c r="AH178" s="202"/>
      <c r="AZ178" s="195"/>
      <c r="BA178" s="195"/>
    </row>
    <row r="179" spans="34:53" ht="12.75">
      <c r="AH179" s="202"/>
      <c r="AZ179" s="195"/>
      <c r="BA179" s="195"/>
    </row>
    <row r="180" spans="34:53" ht="12.75">
      <c r="AH180" s="202"/>
      <c r="AZ180" s="195"/>
      <c r="BA180" s="195"/>
    </row>
    <row r="181" spans="34:53" ht="12.75">
      <c r="AH181" s="202"/>
      <c r="AZ181" s="195"/>
      <c r="BA181" s="195"/>
    </row>
    <row r="182" spans="34:53" ht="12.75">
      <c r="AH182" s="202"/>
      <c r="AZ182" s="195"/>
      <c r="BA182" s="195"/>
    </row>
    <row r="183" spans="34:53" ht="12.75">
      <c r="AH183" s="202"/>
      <c r="AZ183" s="195"/>
      <c r="BA183" s="195"/>
    </row>
    <row r="184" spans="34:53" ht="12.75">
      <c r="AH184" s="202"/>
      <c r="AZ184" s="195"/>
      <c r="BA184" s="195"/>
    </row>
    <row r="185" spans="34:53" ht="12.75">
      <c r="AH185" s="202"/>
      <c r="AZ185" s="195"/>
      <c r="BA185" s="195"/>
    </row>
    <row r="186" spans="34:53" ht="12.75">
      <c r="AH186" s="202"/>
      <c r="AZ186" s="195"/>
      <c r="BA186" s="195"/>
    </row>
    <row r="187" spans="34:53" ht="12.75">
      <c r="AH187" s="202"/>
      <c r="AZ187" s="195"/>
      <c r="BA187" s="195"/>
    </row>
    <row r="188" spans="34:53" ht="12.75">
      <c r="AH188" s="202"/>
      <c r="AZ188" s="195"/>
      <c r="BA188" s="195"/>
    </row>
    <row r="189" spans="34:53" ht="12.75">
      <c r="AH189" s="202"/>
      <c r="AZ189" s="195"/>
      <c r="BA189" s="195"/>
    </row>
    <row r="190" spans="34:53" ht="12.75">
      <c r="AH190" s="202"/>
      <c r="AZ190" s="195"/>
      <c r="BA190" s="195"/>
    </row>
    <row r="191" spans="34:53" ht="12.75">
      <c r="AH191" s="202"/>
      <c r="AZ191" s="195"/>
      <c r="BA191" s="195"/>
    </row>
    <row r="192" spans="34:53" ht="12.75">
      <c r="AH192" s="202"/>
      <c r="AZ192" s="195"/>
      <c r="BA192" s="195"/>
    </row>
    <row r="193" spans="34:53" ht="12.75">
      <c r="AH193" s="202"/>
      <c r="AZ193" s="195"/>
      <c r="BA193" s="195"/>
    </row>
    <row r="194" spans="34:53" ht="12.75">
      <c r="AH194" s="202"/>
      <c r="AZ194" s="195"/>
      <c r="BA194" s="195"/>
    </row>
    <row r="195" spans="34:53" ht="12.75">
      <c r="AH195" s="202"/>
      <c r="AZ195" s="195"/>
      <c r="BA195" s="195"/>
    </row>
    <row r="196" spans="34:53" ht="12.75">
      <c r="AH196" s="202"/>
      <c r="AZ196" s="195"/>
      <c r="BA196" s="195"/>
    </row>
    <row r="197" spans="34:53" ht="12.75">
      <c r="AH197" s="202"/>
      <c r="AZ197" s="195"/>
      <c r="BA197" s="195"/>
    </row>
    <row r="198" spans="34:53" ht="12.75">
      <c r="AH198" s="202"/>
      <c r="AZ198" s="195"/>
      <c r="BA198" s="195"/>
    </row>
    <row r="199" spans="34:53" ht="12.75">
      <c r="AH199" s="202"/>
      <c r="AZ199" s="195"/>
      <c r="BA199" s="195"/>
    </row>
    <row r="200" spans="34:53" ht="12.75">
      <c r="AH200" s="202"/>
      <c r="AZ200" s="195"/>
      <c r="BA200" s="195"/>
    </row>
    <row r="201" spans="34:53" ht="12.75">
      <c r="AH201" s="202"/>
      <c r="AZ201" s="195"/>
      <c r="BA201" s="195"/>
    </row>
    <row r="202" spans="34:53" ht="12.75">
      <c r="AH202" s="202"/>
      <c r="AZ202" s="195"/>
      <c r="BA202" s="195"/>
    </row>
    <row r="203" spans="34:53" ht="12.75">
      <c r="AH203" s="202"/>
      <c r="AZ203" s="195"/>
      <c r="BA203" s="195"/>
    </row>
    <row r="204" spans="34:53" ht="12.75">
      <c r="AH204" s="202"/>
      <c r="AZ204" s="195"/>
      <c r="BA204" s="195"/>
    </row>
    <row r="205" spans="34:53" ht="12.75">
      <c r="AH205" s="202"/>
      <c r="AZ205" s="195"/>
      <c r="BA205" s="195"/>
    </row>
    <row r="206" spans="34:53" ht="12.75">
      <c r="AH206" s="202"/>
      <c r="AZ206" s="195"/>
      <c r="BA206" s="195"/>
    </row>
    <row r="207" spans="34:53" ht="12.75">
      <c r="AH207" s="202"/>
      <c r="AZ207" s="195"/>
      <c r="BA207" s="195"/>
    </row>
    <row r="208" spans="34:53" ht="12.75">
      <c r="AH208" s="202"/>
      <c r="AZ208" s="195"/>
      <c r="BA208" s="195"/>
    </row>
    <row r="209" spans="34:53" ht="12.75">
      <c r="AH209" s="202"/>
      <c r="AZ209" s="195"/>
      <c r="BA209" s="195"/>
    </row>
    <row r="210" spans="34:53" ht="12.75">
      <c r="AH210" s="202"/>
      <c r="AZ210" s="195"/>
      <c r="BA210" s="195"/>
    </row>
    <row r="211" spans="34:53" ht="12.75">
      <c r="AH211" s="202"/>
      <c r="AZ211" s="195"/>
      <c r="BA211" s="195"/>
    </row>
    <row r="212" spans="34:53" ht="12.75">
      <c r="AH212" s="202"/>
      <c r="AZ212" s="195"/>
      <c r="BA212" s="195"/>
    </row>
    <row r="213" spans="34:53" ht="12.75">
      <c r="AH213" s="202"/>
      <c r="AZ213" s="195"/>
      <c r="BA213" s="195"/>
    </row>
    <row r="214" spans="34:53" ht="12.75">
      <c r="AH214" s="202"/>
      <c r="AZ214" s="195"/>
      <c r="BA214" s="195"/>
    </row>
    <row r="215" spans="34:53" ht="12.75">
      <c r="AH215" s="202"/>
      <c r="AZ215" s="195"/>
      <c r="BA215" s="195"/>
    </row>
    <row r="216" spans="34:53" ht="12.75">
      <c r="AH216" s="202"/>
      <c r="AZ216" s="195"/>
      <c r="BA216" s="195"/>
    </row>
    <row r="217" spans="34:53" ht="12.75">
      <c r="AH217" s="202"/>
      <c r="AZ217" s="195"/>
      <c r="BA217" s="195"/>
    </row>
    <row r="218" spans="34:53" ht="12.75">
      <c r="AH218" s="202"/>
      <c r="AZ218" s="195"/>
      <c r="BA218" s="195"/>
    </row>
    <row r="219" spans="52:53" ht="12.75">
      <c r="AZ219" s="195"/>
      <c r="BA219" s="195"/>
    </row>
    <row r="220" spans="52:53" ht="12.75">
      <c r="AZ220" s="195"/>
      <c r="BA220" s="195"/>
    </row>
    <row r="221" spans="52:53" ht="12.75">
      <c r="AZ221" s="195"/>
      <c r="BA221" s="195"/>
    </row>
    <row r="222" spans="52:53" ht="12.75">
      <c r="AZ222" s="195"/>
      <c r="BA222" s="195"/>
    </row>
    <row r="223" spans="52:53" ht="12.75">
      <c r="AZ223" s="195"/>
      <c r="BA223" s="195"/>
    </row>
    <row r="224" spans="52:53" ht="12.75">
      <c r="AZ224" s="195"/>
      <c r="BA224" s="195"/>
    </row>
    <row r="225" spans="52:53" ht="12.75">
      <c r="AZ225" s="195"/>
      <c r="BA225" s="195"/>
    </row>
    <row r="226" spans="52:53" ht="12.75">
      <c r="AZ226" s="195"/>
      <c r="BA226" s="195"/>
    </row>
    <row r="227" spans="52:53" ht="12.75">
      <c r="AZ227" s="195"/>
      <c r="BA227" s="195"/>
    </row>
    <row r="228" spans="52:53" ht="12.75">
      <c r="AZ228" s="195"/>
      <c r="BA228" s="195"/>
    </row>
    <row r="229" spans="52:53" ht="12.75">
      <c r="AZ229" s="195"/>
      <c r="BA229" s="195"/>
    </row>
    <row r="230" spans="52:53" ht="12.75">
      <c r="AZ230" s="195"/>
      <c r="BA230" s="195"/>
    </row>
    <row r="231" spans="52:53" ht="12.75">
      <c r="AZ231" s="195"/>
      <c r="BA231" s="195"/>
    </row>
    <row r="232" spans="52:53" ht="12.75">
      <c r="AZ232" s="195"/>
      <c r="BA232" s="195"/>
    </row>
    <row r="233" spans="52:53" ht="12.75">
      <c r="AZ233" s="195"/>
      <c r="BA233" s="195"/>
    </row>
    <row r="234" spans="52:53" ht="12.75">
      <c r="AZ234" s="195"/>
      <c r="BA234" s="195"/>
    </row>
    <row r="235" spans="52:53" ht="12.75">
      <c r="AZ235" s="195"/>
      <c r="BA235" s="195"/>
    </row>
    <row r="236" spans="52:53" ht="12.75">
      <c r="AZ236" s="195"/>
      <c r="BA236" s="195"/>
    </row>
    <row r="237" spans="52:53" ht="12.75">
      <c r="AZ237" s="195"/>
      <c r="BA237" s="195"/>
    </row>
    <row r="238" spans="52:53" ht="12.75">
      <c r="AZ238" s="195"/>
      <c r="BA238" s="195"/>
    </row>
    <row r="239" spans="52:53" ht="12.75">
      <c r="AZ239" s="195"/>
      <c r="BA239" s="195"/>
    </row>
    <row r="240" spans="52:53" ht="12.75">
      <c r="AZ240" s="195"/>
      <c r="BA240" s="195"/>
    </row>
    <row r="241" spans="52:53" ht="12.75">
      <c r="AZ241" s="195"/>
      <c r="BA241" s="195"/>
    </row>
    <row r="242" spans="52:53" ht="12.75">
      <c r="AZ242" s="195"/>
      <c r="BA242" s="195"/>
    </row>
    <row r="243" spans="52:53" ht="12.75">
      <c r="AZ243" s="195"/>
      <c r="BA243" s="195"/>
    </row>
    <row r="244" spans="52:53" ht="12.75">
      <c r="AZ244" s="195"/>
      <c r="BA244" s="195"/>
    </row>
    <row r="245" spans="52:53" ht="12.75">
      <c r="AZ245" s="195"/>
      <c r="BA245" s="195"/>
    </row>
    <row r="246" spans="52:53" ht="12.75">
      <c r="AZ246" s="195"/>
      <c r="BA246" s="195"/>
    </row>
    <row r="247" spans="52:53" ht="12.75">
      <c r="AZ247" s="195"/>
      <c r="BA247" s="195"/>
    </row>
    <row r="248" spans="52:53" ht="12.75">
      <c r="AZ248" s="195"/>
      <c r="BA248" s="195"/>
    </row>
    <row r="249" spans="52:53" ht="12.75">
      <c r="AZ249" s="195"/>
      <c r="BA249" s="195"/>
    </row>
    <row r="250" spans="52:53" ht="12.75">
      <c r="AZ250" s="195"/>
      <c r="BA250" s="195"/>
    </row>
    <row r="251" spans="52:53" ht="12.75">
      <c r="AZ251" s="195"/>
      <c r="BA251" s="195"/>
    </row>
    <row r="252" spans="52:53" ht="12.75">
      <c r="AZ252" s="195"/>
      <c r="BA252" s="195"/>
    </row>
    <row r="253" spans="52:53" ht="12.75">
      <c r="AZ253" s="195"/>
      <c r="BA253" s="195"/>
    </row>
    <row r="254" spans="52:53" ht="12.75">
      <c r="AZ254" s="195"/>
      <c r="BA254" s="195"/>
    </row>
    <row r="255" spans="52:53" ht="12.75">
      <c r="AZ255" s="195"/>
      <c r="BA255" s="195"/>
    </row>
    <row r="256" spans="52:53" ht="12.75">
      <c r="AZ256" s="195"/>
      <c r="BA256" s="195"/>
    </row>
    <row r="257" spans="52:53" ht="12.75">
      <c r="AZ257" s="195"/>
      <c r="BA257" s="195"/>
    </row>
    <row r="258" spans="52:53" ht="12.75">
      <c r="AZ258" s="195"/>
      <c r="BA258" s="195"/>
    </row>
    <row r="259" spans="52:53" ht="12.75">
      <c r="AZ259" s="195"/>
      <c r="BA259" s="195"/>
    </row>
    <row r="260" spans="52:53" ht="12.75">
      <c r="AZ260" s="195"/>
      <c r="BA260" s="195"/>
    </row>
    <row r="261" spans="52:53" ht="12.75">
      <c r="AZ261" s="195"/>
      <c r="BA261" s="195"/>
    </row>
    <row r="262" spans="52:53" ht="12.75">
      <c r="AZ262" s="195"/>
      <c r="BA262" s="195"/>
    </row>
    <row r="263" spans="52:53" ht="12.75">
      <c r="AZ263" s="195"/>
      <c r="BA263" s="195"/>
    </row>
    <row r="264" spans="52:53" ht="12.75">
      <c r="AZ264" s="195"/>
      <c r="BA264" s="195"/>
    </row>
    <row r="265" spans="52:53" ht="12.75">
      <c r="AZ265" s="195"/>
      <c r="BA265" s="195"/>
    </row>
    <row r="266" spans="52:53" ht="12.75">
      <c r="AZ266" s="195"/>
      <c r="BA266" s="195"/>
    </row>
    <row r="267" spans="52:53" ht="12.75">
      <c r="AZ267" s="195"/>
      <c r="BA267" s="195"/>
    </row>
    <row r="268" spans="52:53" ht="12.75">
      <c r="AZ268" s="195"/>
      <c r="BA268" s="195"/>
    </row>
    <row r="269" spans="52:53" ht="12.75">
      <c r="AZ269" s="195"/>
      <c r="BA269" s="195"/>
    </row>
    <row r="270" spans="52:53" ht="12.75">
      <c r="AZ270" s="195"/>
      <c r="BA270" s="195"/>
    </row>
    <row r="271" spans="52:53" ht="12.75">
      <c r="AZ271" s="195"/>
      <c r="BA271" s="195"/>
    </row>
    <row r="272" spans="52:53" ht="12.75">
      <c r="AZ272" s="195"/>
      <c r="BA272" s="195"/>
    </row>
    <row r="273" spans="52:53" ht="12.75">
      <c r="AZ273" s="195"/>
      <c r="BA273" s="195"/>
    </row>
    <row r="274" spans="52:53" ht="12.75">
      <c r="AZ274" s="195"/>
      <c r="BA274" s="195"/>
    </row>
    <row r="275" spans="52:53" ht="12.75">
      <c r="AZ275" s="195"/>
      <c r="BA275" s="195"/>
    </row>
    <row r="276" spans="52:53" ht="12.75">
      <c r="AZ276" s="195"/>
      <c r="BA276" s="195"/>
    </row>
    <row r="277" spans="52:53" ht="12.75">
      <c r="AZ277" s="195"/>
      <c r="BA277" s="195"/>
    </row>
    <row r="278" spans="52:53" ht="12.75">
      <c r="AZ278" s="195"/>
      <c r="BA278" s="195"/>
    </row>
    <row r="279" spans="52:53" ht="12.75">
      <c r="AZ279" s="195"/>
      <c r="BA279" s="195"/>
    </row>
    <row r="280" spans="52:53" ht="12.75">
      <c r="AZ280" s="195"/>
      <c r="BA280" s="195"/>
    </row>
    <row r="281" spans="52:53" ht="12.75">
      <c r="AZ281" s="195"/>
      <c r="BA281" s="195"/>
    </row>
    <row r="282" spans="52:53" ht="12.75">
      <c r="AZ282" s="195"/>
      <c r="BA282" s="195"/>
    </row>
    <row r="283" spans="52:53" ht="12.75">
      <c r="AZ283" s="195"/>
      <c r="BA283" s="195"/>
    </row>
    <row r="284" spans="52:53" ht="12.75">
      <c r="AZ284" s="195"/>
      <c r="BA284" s="195"/>
    </row>
  </sheetData>
  <sheetProtection/>
  <mergeCells count="19">
    <mergeCell ref="AI81:AJ81"/>
    <mergeCell ref="E74:F74"/>
    <mergeCell ref="K74:L74"/>
    <mergeCell ref="N74:O74"/>
    <mergeCell ref="R74:S74"/>
    <mergeCell ref="E75:F75"/>
    <mergeCell ref="E76:F76"/>
    <mergeCell ref="E66:F66"/>
    <mergeCell ref="E67:F67"/>
    <mergeCell ref="E68:F68"/>
    <mergeCell ref="E69:F69"/>
    <mergeCell ref="E70:F70"/>
    <mergeCell ref="E71:F71"/>
    <mergeCell ref="C1:H1"/>
    <mergeCell ref="BM2:BM3"/>
    <mergeCell ref="AZ14:BA14"/>
    <mergeCell ref="K65:L65"/>
    <mergeCell ref="M65:N65"/>
    <mergeCell ref="O65:P65"/>
  </mergeCells>
  <conditionalFormatting sqref="N47 N21:N26">
    <cfRule type="expression" priority="52" dxfId="54" stopIfTrue="1">
      <formula>$A$13="Тариф."</formula>
    </cfRule>
  </conditionalFormatting>
  <conditionalFormatting sqref="N30 N7:N15">
    <cfRule type="expression" priority="51" dxfId="54" stopIfTrue="1">
      <formula>#REF!="Тариф."</formula>
    </cfRule>
  </conditionalFormatting>
  <conditionalFormatting sqref="N31 N16">
    <cfRule type="expression" priority="50" dxfId="54" stopIfTrue="1">
      <formula>#REF!="Тариф."</formula>
    </cfRule>
  </conditionalFormatting>
  <conditionalFormatting sqref="N27:N29 BB11 BB3 BB5 BB7:BB8 AS9:AS10 M76 N6:N19">
    <cfRule type="expression" priority="49" dxfId="54" stopIfTrue="1">
      <formula>$A$14="Тариф."</formula>
    </cfRule>
  </conditionalFormatting>
  <conditionalFormatting sqref="N17:N18">
    <cfRule type="expression" priority="48" dxfId="54" stopIfTrue="1">
      <formula>#REF!="Тариф."</formula>
    </cfRule>
  </conditionalFormatting>
  <conditionalFormatting sqref="BN1 BN4:BN19">
    <cfRule type="expression" priority="47" dxfId="55" stopIfTrue="1">
      <formula>"""Не все данные"""</formula>
    </cfRule>
  </conditionalFormatting>
  <conditionalFormatting sqref="AH6:AH19">
    <cfRule type="cellIs" priority="46" dxfId="56" operator="notEqual" stopIfTrue="1">
      <formula>$AI$2</formula>
    </cfRule>
  </conditionalFormatting>
  <conditionalFormatting sqref="AE24:AE30 AE6:AE19">
    <cfRule type="expression" priority="44" dxfId="56" stopIfTrue="1">
      <formula>AE6&gt;4</formula>
    </cfRule>
    <cfRule type="expression" priority="45" dxfId="56" stopIfTrue="1">
      <formula>AE6&lt;0</formula>
    </cfRule>
  </conditionalFormatting>
  <conditionalFormatting sqref="I67:I71 M72 P67:P72 L67:L71">
    <cfRule type="cellIs" priority="43" dxfId="57" operator="equal" stopIfTrue="1">
      <formula>0</formula>
    </cfRule>
  </conditionalFormatting>
  <conditionalFormatting sqref="I76">
    <cfRule type="expression" priority="42" dxfId="58" stopIfTrue="1">
      <formula>$P$75="ДА"</formula>
    </cfRule>
  </conditionalFormatting>
  <conditionalFormatting sqref="I75">
    <cfRule type="expression" priority="41" dxfId="58" stopIfTrue="1">
      <formula>$P$75="НЕТ"</formula>
    </cfRule>
  </conditionalFormatting>
  <conditionalFormatting sqref="O1">
    <cfRule type="cellIs" priority="40" dxfId="56" operator="equal" stopIfTrue="1">
      <formula>"ПОВЕРИТЬ!-Поверка просрочена!"</formula>
    </cfRule>
  </conditionalFormatting>
  <conditionalFormatting sqref="M7:M19">
    <cfRule type="expression" priority="39" dxfId="59" stopIfTrue="1">
      <formula>AND($B7="",$M7=0)</formula>
    </cfRule>
  </conditionalFormatting>
  <conditionalFormatting sqref="O7:O19">
    <cfRule type="expression" priority="38" dxfId="59" stopIfTrue="1">
      <formula>AND($B7="""",$O7=0)</formula>
    </cfRule>
  </conditionalFormatting>
  <conditionalFormatting sqref="O7:O19">
    <cfRule type="expression" priority="37" dxfId="59" stopIfTrue="1">
      <formula>AND($B7="",$O7=0)</formula>
    </cfRule>
  </conditionalFormatting>
  <conditionalFormatting sqref="J7:J19">
    <cfRule type="expression" priority="36" dxfId="59" stopIfTrue="1">
      <formula>AND($B7="",$J$9=0)</formula>
    </cfRule>
  </conditionalFormatting>
  <conditionalFormatting sqref="P7:P19">
    <cfRule type="expression" priority="35" dxfId="59" stopIfTrue="1">
      <formula>AND($B7="",$P$9=0)</formula>
    </cfRule>
  </conditionalFormatting>
  <conditionalFormatting sqref="S7:S19">
    <cfRule type="expression" priority="34" dxfId="59" stopIfTrue="1">
      <formula>AND($B7="",$S7=0)</formula>
    </cfRule>
  </conditionalFormatting>
  <conditionalFormatting sqref="U7:U19">
    <cfRule type="expression" priority="33" dxfId="59" stopIfTrue="1">
      <formula>AND($B7="",$U7=0)</formula>
    </cfRule>
  </conditionalFormatting>
  <conditionalFormatting sqref="P7:P19">
    <cfRule type="expression" priority="32" dxfId="59" stopIfTrue="1">
      <formula>AND($B7="",$P8=0)</formula>
    </cfRule>
  </conditionalFormatting>
  <conditionalFormatting sqref="Q7:Q19">
    <cfRule type="expression" priority="31" dxfId="59" stopIfTrue="1">
      <formula>AND($B7="",$Q7=0)</formula>
    </cfRule>
  </conditionalFormatting>
  <conditionalFormatting sqref="N7:N19">
    <cfRule type="expression" priority="30" dxfId="59" stopIfTrue="1">
      <formula>AND($B7="",$N7=0)</formula>
    </cfRule>
  </conditionalFormatting>
  <conditionalFormatting sqref="U9">
    <cfRule type="expression" priority="29" dxfId="59" stopIfTrue="1">
      <formula>AND($B9="",$S9=0)</formula>
    </cfRule>
  </conditionalFormatting>
  <conditionalFormatting sqref="U8">
    <cfRule type="expression" priority="28" dxfId="59" stopIfTrue="1">
      <formula>AND($B8="",$S8=0)</formula>
    </cfRule>
  </conditionalFormatting>
  <conditionalFormatting sqref="U8">
    <cfRule type="expression" priority="27" dxfId="59" stopIfTrue="1">
      <formula>AND($B8="",$S8=0)</formula>
    </cfRule>
  </conditionalFormatting>
  <conditionalFormatting sqref="U7">
    <cfRule type="expression" priority="26" dxfId="59" stopIfTrue="1">
      <formula>AND($B7="",$S7=0)</formula>
    </cfRule>
  </conditionalFormatting>
  <conditionalFormatting sqref="U7">
    <cfRule type="expression" priority="25" dxfId="59" stopIfTrue="1">
      <formula>AND($B7="",$S7=0)</formula>
    </cfRule>
  </conditionalFormatting>
  <conditionalFormatting sqref="U7">
    <cfRule type="expression" priority="24" dxfId="59" stopIfTrue="1">
      <formula>AND($B7="",$S7=0)</formula>
    </cfRule>
  </conditionalFormatting>
  <conditionalFormatting sqref="U7">
    <cfRule type="expression" priority="23" dxfId="59" stopIfTrue="1">
      <formula>AND($B7="",$S7=0)</formula>
    </cfRule>
  </conditionalFormatting>
  <conditionalFormatting sqref="U8">
    <cfRule type="expression" priority="22" dxfId="59" stopIfTrue="1">
      <formula>AND($B8="",$S8=0)</formula>
    </cfRule>
  </conditionalFormatting>
  <conditionalFormatting sqref="U8">
    <cfRule type="expression" priority="21" dxfId="59" stopIfTrue="1">
      <formula>AND($B8="",$S8=0)</formula>
    </cfRule>
  </conditionalFormatting>
  <conditionalFormatting sqref="U8">
    <cfRule type="expression" priority="20" dxfId="59" stopIfTrue="1">
      <formula>AND($B8="",$S8=0)</formula>
    </cfRule>
  </conditionalFormatting>
  <conditionalFormatting sqref="U8">
    <cfRule type="expression" priority="19" dxfId="59" stopIfTrue="1">
      <formula>AND($B8="",$S8=0)</formula>
    </cfRule>
  </conditionalFormatting>
  <conditionalFormatting sqref="U7">
    <cfRule type="expression" priority="18" dxfId="59" stopIfTrue="1">
      <formula>AND($B7="",$S7=0)</formula>
    </cfRule>
  </conditionalFormatting>
  <conditionalFormatting sqref="U7">
    <cfRule type="expression" priority="17" dxfId="59" stopIfTrue="1">
      <formula>AND($B7="",$S7=0)</formula>
    </cfRule>
  </conditionalFormatting>
  <conditionalFormatting sqref="U7">
    <cfRule type="expression" priority="16" dxfId="59" stopIfTrue="1">
      <formula>AND($B7="",$S7=0)</formula>
    </cfRule>
  </conditionalFormatting>
  <conditionalFormatting sqref="U7">
    <cfRule type="expression" priority="15" dxfId="59" stopIfTrue="1">
      <formula>AND($B7="",$S7=0)</formula>
    </cfRule>
  </conditionalFormatting>
  <conditionalFormatting sqref="U7">
    <cfRule type="expression" priority="14" dxfId="59" stopIfTrue="1">
      <formula>AND($B7="",$S7=0)</formula>
    </cfRule>
  </conditionalFormatting>
  <conditionalFormatting sqref="U7">
    <cfRule type="expression" priority="13" dxfId="59" stopIfTrue="1">
      <formula>AND($B7="",$S7=0)</formula>
    </cfRule>
  </conditionalFormatting>
  <conditionalFormatting sqref="U8">
    <cfRule type="expression" priority="12" dxfId="59" stopIfTrue="1">
      <formula>AND($B8="",$S8=0)</formula>
    </cfRule>
  </conditionalFormatting>
  <conditionalFormatting sqref="U7">
    <cfRule type="expression" priority="11" dxfId="59" stopIfTrue="1">
      <formula>AND($B7="",$S7=0)</formula>
    </cfRule>
  </conditionalFormatting>
  <conditionalFormatting sqref="U7">
    <cfRule type="expression" priority="10" dxfId="59" stopIfTrue="1">
      <formula>AND($B7="",$S7=0)</formula>
    </cfRule>
  </conditionalFormatting>
  <conditionalFormatting sqref="U7">
    <cfRule type="expression" priority="9" dxfId="59" stopIfTrue="1">
      <formula>AND($B7="",$S7=0)</formula>
    </cfRule>
  </conditionalFormatting>
  <conditionalFormatting sqref="U7">
    <cfRule type="expression" priority="8" dxfId="59" stopIfTrue="1">
      <formula>AND($B7="",$S7=0)</formula>
    </cfRule>
  </conditionalFormatting>
  <conditionalFormatting sqref="U7">
    <cfRule type="expression" priority="7" dxfId="59" stopIfTrue="1">
      <formula>AND($B7="",$S7=0)</formula>
    </cfRule>
  </conditionalFormatting>
  <conditionalFormatting sqref="U7">
    <cfRule type="expression" priority="6" dxfId="59" stopIfTrue="1">
      <formula>AND($B7="",$S7=0)</formula>
    </cfRule>
  </conditionalFormatting>
  <conditionalFormatting sqref="U7">
    <cfRule type="expression" priority="5" dxfId="59" stopIfTrue="1">
      <formula>AND($B7="",$S7=0)</formula>
    </cfRule>
  </conditionalFormatting>
  <conditionalFormatting sqref="U8">
    <cfRule type="expression" priority="4" dxfId="59" stopIfTrue="1">
      <formula>AND($B8="",$S8=0)</formula>
    </cfRule>
  </conditionalFormatting>
  <conditionalFormatting sqref="U8">
    <cfRule type="expression" priority="3" dxfId="59" stopIfTrue="1">
      <formula>AND($B8="",$S8=0)</formula>
    </cfRule>
  </conditionalFormatting>
  <conditionalFormatting sqref="X7:X19">
    <cfRule type="expression" priority="2" dxfId="59" stopIfTrue="1">
      <formula>AND($B7="",$S7=0)</formula>
    </cfRule>
  </conditionalFormatting>
  <conditionalFormatting sqref="Z7:Z19">
    <cfRule type="expression" priority="1" dxfId="59" stopIfTrue="1">
      <formula>AND($B7="",$S7=0)</formula>
    </cfRule>
  </conditionalFormatting>
  <dataValidations count="11">
    <dataValidation type="list" allowBlank="1" showInputMessage="1" showErrorMessage="1" sqref="O65:P65">
      <formula1>"Простой по среднему,По среднему из нагрузки"</formula1>
    </dataValidation>
    <dataValidation type="whole" operator="equal" allowBlank="1" showInputMessage="1" showErrorMessage="1" sqref="BP2:BP4">
      <formula1>-111</formula1>
    </dataValidation>
    <dataValidation allowBlank="1" showInputMessage="1" showErrorMessage="1" sqref="V18"/>
    <dataValidation type="list" allowBlank="1" showInputMessage="1" showErrorMessage="1" sqref="N4">
      <formula1>"1,2,3,4"</formula1>
    </dataValidation>
    <dataValidation type="list" allowBlank="1" showInputMessage="1" showErrorMessage="1" sqref="AD4">
      <formula1>"Расход без простоя,Учитывать время простоя в расчете"</formula1>
    </dataValidation>
    <dataValidation type="list" allowBlank="1" showInputMessage="1" showErrorMessage="1" sqref="O3">
      <formula1>"По нагрузке, По среднему,Т.коррекция,По времени"</formula1>
    </dataValidation>
    <dataValidation type="list" allowBlank="1" showInputMessage="1" showErrorMessage="1" sqref="D3">
      <formula1>"12,13,14,15,16,17,18,19,20,21,22"</formula1>
    </dataValidation>
    <dataValidation type="list" allowBlank="1" showInputMessage="1" showErrorMessage="1" sqref="B4">
      <formula1>Месяцы_2</formula1>
    </dataValidation>
    <dataValidation type="list" allowBlank="1" showInputMessage="1" showErrorMessage="1" sqref="BA9">
      <formula1>"ГДж,МВт,Гкал"</formula1>
    </dataValidation>
    <dataValidation type="whole" operator="equal" allowBlank="1" showInputMessage="1" showErrorMessage="1" errorTitle="ВНИМАНИЕ!!!" error="РУКИ ПРОЧЬ!    РЕДАКТИРОВАНИЕ ЗАПРЕЩЕНО!!!" sqref="H52">
      <formula1>-1</formula1>
    </dataValidation>
    <dataValidation type="list" allowBlank="1" showInputMessage="1" showErrorMessage="1" sqref="C1:H1">
      <formula1>Адресааа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2022-08-01T09:18:38Z</dcterms:created>
  <dcterms:modified xsi:type="dcterms:W3CDTF">2022-08-01T11:03:42Z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